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4A3E4D69-9524-4291-A95B-0B25A810FF97}" xr6:coauthVersionLast="47" xr6:coauthVersionMax="47" xr10:uidLastSave="{00000000-0000-0000-0000-000000000000}"/>
  <bookViews>
    <workbookView minimized="1" xWindow="2800" yWindow="2800" windowWidth="10340" windowHeight="5190" tabRatio="742" activeTab="1" xr2:uid="{A42980B9-15CC-435D-B2DC-C53A9DCD0A9B}"/>
  </bookViews>
  <sheets>
    <sheet name="Historical Financial Statement " sheetId="1" r:id="rId1"/>
    <sheet name="Forcasted Financial Statement" sheetId="28" r:id="rId2"/>
    <sheet name="Ratio Analysis" sheetId="7" r:id="rId3"/>
    <sheet name="Common Size Analysis" sheetId="9" r:id="rId4"/>
    <sheet name="Free Cash Flow " sheetId="10" r:id="rId5"/>
    <sheet name="Estimates" sheetId="15" r:id="rId6"/>
    <sheet name="DCF" sheetId="23" r:id="rId7"/>
    <sheet name="WACC" sheetId="11" r:id="rId8"/>
    <sheet name="Relative Valuation" sheetId="12" r:id="rId9"/>
    <sheet name="Beta-Regression" sheetId="17" r:id="rId10"/>
    <sheet name="Rm" sheetId="19" r:id="rId11"/>
    <sheet name="Data&gt; Relative Valuation" sheetId="16" r:id="rId12"/>
    <sheet name="Data&gt;" sheetId="5" r:id="rId13"/>
    <sheet name="Data Sheet" sheetId="3" r:id="rId14"/>
    <sheet name="Cash Flow Data " sheetId="6" r:id="rId15"/>
    <sheet name="Google Sheet Data " sheetId="31" r:id="rId16"/>
    <sheet name="Dmart Current Price" sheetId="27" state="hidden" r:id="rId17"/>
    <sheet name="Graphs" sheetId="29" r:id="rId18"/>
  </sheets>
  <definedNames>
    <definedName name="_xlnm._FilterDatabase" localSheetId="9" hidden="1">'Beta-Regression'!#REF!</definedName>
    <definedName name="ExternalData_1" localSheetId="16" hidden="1">'Dmart Current Price'!$A$1:$E$173</definedName>
    <definedName name="ExternalData_3" localSheetId="15" hidden="1">'Google Sheet Data '!$A$1:$M$162</definedName>
    <definedName name="UPDATE">'Data Sheet'!$E$1</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 1_e5e5d0ef-3de4-48f3-ba04-b6ccfd531b08" name="Table 1" connection="Query - Table 1"/>
          <x15:modelTable id="Table 2_09701847-b963-4955-8294-31e903afe5b6" name="Table 2" connection="Query - Table 2"/>
          <x15:modelTable id="Table 3_f2beef8a-6f47-43f1-bb23-df34041fff97" name="Table 3" connection="Query - Table 3"/>
          <x15:modelTable id="Displayed Text_4a131c62-754a-4261-9a3f-73710e51538e" name="Displayed Text" connection="Query - Displayed Tex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5" i="10" l="1"/>
  <c r="T9" i="10"/>
  <c r="L16" i="28"/>
  <c r="L13" i="28"/>
  <c r="K13" i="28"/>
  <c r="L7" i="15" l="1"/>
  <c r="L8" i="15"/>
  <c r="L9" i="15"/>
  <c r="L10" i="15"/>
  <c r="L11" i="15"/>
  <c r="L12" i="15"/>
  <c r="L13" i="15"/>
  <c r="L14" i="15"/>
  <c r="L15" i="15"/>
  <c r="L16" i="15"/>
  <c r="L17" i="15"/>
  <c r="L18" i="15"/>
  <c r="L6" i="15"/>
  <c r="L5" i="15"/>
  <c r="L4" i="15"/>
  <c r="C7" i="15"/>
  <c r="C8" i="15"/>
  <c r="C9" i="15"/>
  <c r="C10" i="15"/>
  <c r="C11" i="15" s="1"/>
  <c r="C12" i="15" s="1"/>
  <c r="C13" i="15" s="1"/>
  <c r="C14" i="15" s="1"/>
  <c r="C15" i="15" s="1"/>
  <c r="C16" i="15" s="1"/>
  <c r="C6" i="15"/>
  <c r="C5" i="15"/>
  <c r="K20" i="11"/>
  <c r="H15" i="23"/>
  <c r="F8" i="23" s="1"/>
  <c r="G8" i="23" s="1"/>
  <c r="H8" i="23" s="1"/>
  <c r="I8" i="23" s="1"/>
  <c r="J8" i="23" s="1"/>
  <c r="D22" i="23"/>
  <c r="K10" i="23"/>
  <c r="K9" i="23"/>
  <c r="L9" i="23" s="1"/>
  <c r="U9" i="10"/>
  <c r="U15" i="10"/>
  <c r="V15" i="10"/>
  <c r="T17" i="10"/>
  <c r="Y14" i="23"/>
  <c r="E12" i="23"/>
  <c r="O6" i="1"/>
  <c r="M9" i="23" l="1"/>
  <c r="L10" i="23"/>
  <c r="V9" i="10"/>
  <c r="Z8" i="23"/>
  <c r="AA8" i="23"/>
  <c r="AB8" i="23"/>
  <c r="AC8" i="23"/>
  <c r="D29" i="11"/>
  <c r="C23" i="11" s="1"/>
  <c r="D39" i="23"/>
  <c r="D33" i="23"/>
  <c r="D30" i="11"/>
  <c r="C22" i="11"/>
  <c r="E13" i="11"/>
  <c r="K14" i="11"/>
  <c r="G7" i="19"/>
  <c r="F7" i="19"/>
  <c r="D31" i="19"/>
  <c r="D9" i="19"/>
  <c r="D10" i="19"/>
  <c r="D11" i="19"/>
  <c r="D12" i="19"/>
  <c r="D13" i="19"/>
  <c r="D14" i="19"/>
  <c r="D15" i="19"/>
  <c r="D16" i="19"/>
  <c r="D17" i="19"/>
  <c r="D18" i="19"/>
  <c r="D19" i="19"/>
  <c r="D20" i="19"/>
  <c r="D21" i="19" s="1"/>
  <c r="D22" i="19" s="1"/>
  <c r="D23" i="19" s="1"/>
  <c r="D24" i="19" s="1"/>
  <c r="D25" i="19" s="1"/>
  <c r="D26" i="19" s="1"/>
  <c r="D27" i="19" s="1"/>
  <c r="D28" i="19" s="1"/>
  <c r="D29" i="19" s="1"/>
  <c r="D30" i="19" s="1"/>
  <c r="D8" i="19"/>
  <c r="E8" i="23"/>
  <c r="E6" i="23"/>
  <c r="F6" i="23" s="1"/>
  <c r="G6" i="23" s="1"/>
  <c r="H6" i="23" s="1"/>
  <c r="I6" i="23" s="1"/>
  <c r="J6" i="23" s="1"/>
  <c r="K6" i="23" s="1"/>
  <c r="L6" i="23" s="1"/>
  <c r="M6" i="23" s="1"/>
  <c r="N6" i="23" s="1"/>
  <c r="O6" i="23" s="1"/>
  <c r="U17" i="10"/>
  <c r="V17" i="10"/>
  <c r="M7" i="10" s="1"/>
  <c r="G3" i="28"/>
  <c r="H3" i="28" s="1"/>
  <c r="F3" i="28"/>
  <c r="P81" i="1"/>
  <c r="O81" i="1"/>
  <c r="Q81" i="1" s="1"/>
  <c r="B14" i="12"/>
  <c r="K10" i="17"/>
  <c r="K15" i="11" s="1"/>
  <c r="M10" i="23" l="1"/>
  <c r="N9" i="23"/>
  <c r="N7" i="10"/>
  <c r="O7" i="10" s="1"/>
  <c r="P7" i="10" s="1"/>
  <c r="Q7" i="10" s="1"/>
  <c r="M9" i="10"/>
  <c r="O9" i="10"/>
  <c r="Q9" i="10"/>
  <c r="N9" i="10"/>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G116" i="17" s="1"/>
  <c r="F117" i="17"/>
  <c r="F118" i="17"/>
  <c r="F119" i="17"/>
  <c r="F120" i="17"/>
  <c r="F121" i="17"/>
  <c r="G121" i="17" s="1"/>
  <c r="F122" i="17"/>
  <c r="F123" i="17"/>
  <c r="G123" i="17" s="1"/>
  <c r="F124" i="17"/>
  <c r="F125" i="17"/>
  <c r="F126" i="17"/>
  <c r="G126" i="17" s="1"/>
  <c r="F127" i="17"/>
  <c r="F128" i="17"/>
  <c r="G128" i="17" s="1"/>
  <c r="F129" i="17"/>
  <c r="F130" i="17"/>
  <c r="F131" i="17"/>
  <c r="F132" i="17"/>
  <c r="F133" i="17"/>
  <c r="G133" i="17" s="1"/>
  <c r="F134" i="17"/>
  <c r="F135" i="17"/>
  <c r="G135" i="17" s="1"/>
  <c r="F136" i="17"/>
  <c r="F137" i="17"/>
  <c r="F138" i="17"/>
  <c r="G138" i="17" s="1"/>
  <c r="F139" i="17"/>
  <c r="F140" i="17"/>
  <c r="G140" i="17" s="1"/>
  <c r="F141" i="17"/>
  <c r="F142" i="17"/>
  <c r="F143" i="17"/>
  <c r="F144" i="17"/>
  <c r="F145" i="17"/>
  <c r="G145" i="17" s="1"/>
  <c r="F146" i="17"/>
  <c r="F147" i="17"/>
  <c r="G147" i="17" s="1"/>
  <c r="F148" i="17"/>
  <c r="F149" i="17"/>
  <c r="F150" i="17"/>
  <c r="G150" i="17" s="1"/>
  <c r="F151" i="17"/>
  <c r="F152" i="17"/>
  <c r="G152" i="17" s="1"/>
  <c r="F153" i="17"/>
  <c r="F154" i="17"/>
  <c r="F155" i="17"/>
  <c r="F156" i="17"/>
  <c r="F157" i="17"/>
  <c r="G157" i="17" s="1"/>
  <c r="F158" i="17"/>
  <c r="F159" i="17"/>
  <c r="G159" i="17" s="1"/>
  <c r="F160" i="17"/>
  <c r="F161" i="17"/>
  <c r="F162" i="17"/>
  <c r="G162" i="17" s="1"/>
  <c r="F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104" i="17"/>
  <c r="B105" i="17"/>
  <c r="B106" i="17"/>
  <c r="B107" i="17"/>
  <c r="B108" i="17"/>
  <c r="B109" i="17"/>
  <c r="B110" i="17"/>
  <c r="B111" i="17"/>
  <c r="B112" i="17"/>
  <c r="B113" i="17"/>
  <c r="B114" i="17"/>
  <c r="B115" i="17"/>
  <c r="B116" i="17"/>
  <c r="B117" i="17"/>
  <c r="B118" i="17"/>
  <c r="B119" i="17"/>
  <c r="B120" i="17"/>
  <c r="B121" i="17"/>
  <c r="B122" i="17"/>
  <c r="B123" i="17"/>
  <c r="B124" i="17"/>
  <c r="B125" i="17"/>
  <c r="B126" i="17"/>
  <c r="B127" i="17"/>
  <c r="B128" i="17"/>
  <c r="B129" i="17"/>
  <c r="B130" i="17"/>
  <c r="B131" i="17"/>
  <c r="B132" i="17"/>
  <c r="B133" i="17"/>
  <c r="B134" i="17"/>
  <c r="B135" i="17"/>
  <c r="B136" i="17"/>
  <c r="B137" i="17"/>
  <c r="B138" i="17"/>
  <c r="B139" i="17"/>
  <c r="B140" i="17"/>
  <c r="B141" i="17"/>
  <c r="B142" i="17"/>
  <c r="B143" i="17"/>
  <c r="B144" i="17"/>
  <c r="B145" i="17"/>
  <c r="B146" i="17"/>
  <c r="B147" i="17"/>
  <c r="B148" i="17"/>
  <c r="B149" i="17"/>
  <c r="B150" i="17"/>
  <c r="B151" i="17"/>
  <c r="B152" i="17"/>
  <c r="B153" i="17"/>
  <c r="B154" i="17"/>
  <c r="B155" i="17"/>
  <c r="B156" i="17"/>
  <c r="B157" i="17"/>
  <c r="B158" i="17"/>
  <c r="B159" i="17"/>
  <c r="B160" i="17"/>
  <c r="B161" i="17"/>
  <c r="B162" i="17"/>
  <c r="B10" i="17"/>
  <c r="C11" i="17"/>
  <c r="C12" i="17"/>
  <c r="C13" i="17"/>
  <c r="C14" i="17"/>
  <c r="C15" i="17"/>
  <c r="C16" i="17"/>
  <c r="C17" i="17"/>
  <c r="C18" i="17"/>
  <c r="C19" i="17"/>
  <c r="C20" i="17"/>
  <c r="C21" i="17"/>
  <c r="C22" i="17"/>
  <c r="C23" i="17"/>
  <c r="C24" i="17"/>
  <c r="D24" i="17" s="1"/>
  <c r="C25" i="17"/>
  <c r="C26" i="17"/>
  <c r="C27" i="17"/>
  <c r="C28" i="17"/>
  <c r="C29" i="17"/>
  <c r="C30" i="17"/>
  <c r="C31" i="17"/>
  <c r="C32" i="17"/>
  <c r="C33" i="17"/>
  <c r="C34" i="17"/>
  <c r="C35" i="17"/>
  <c r="C36" i="17"/>
  <c r="C37" i="17"/>
  <c r="C38" i="17"/>
  <c r="C39" i="17"/>
  <c r="C40" i="17"/>
  <c r="C41" i="17"/>
  <c r="C42" i="17"/>
  <c r="C43" i="17"/>
  <c r="C44" i="17"/>
  <c r="C45" i="17"/>
  <c r="C46" i="17"/>
  <c r="C47" i="17"/>
  <c r="C48" i="17"/>
  <c r="D48" i="17" s="1"/>
  <c r="C49" i="17"/>
  <c r="C50" i="17"/>
  <c r="C51" i="17"/>
  <c r="C52" i="17"/>
  <c r="C53" i="17"/>
  <c r="C54" i="17"/>
  <c r="C55" i="17"/>
  <c r="C56" i="17"/>
  <c r="C57" i="17"/>
  <c r="C58" i="17"/>
  <c r="C59" i="17"/>
  <c r="C60" i="17"/>
  <c r="D60" i="17" s="1"/>
  <c r="C61" i="17"/>
  <c r="C62" i="17"/>
  <c r="C63" i="17"/>
  <c r="C64" i="17"/>
  <c r="C65" i="17"/>
  <c r="C66" i="17"/>
  <c r="C67" i="17"/>
  <c r="C68" i="17"/>
  <c r="C69" i="17"/>
  <c r="C70" i="17"/>
  <c r="C71" i="17"/>
  <c r="C72" i="17"/>
  <c r="D72" i="17" s="1"/>
  <c r="C73" i="17"/>
  <c r="C74" i="17"/>
  <c r="C75" i="17"/>
  <c r="C76" i="17"/>
  <c r="C77" i="17"/>
  <c r="C78" i="17"/>
  <c r="C79" i="17"/>
  <c r="C80" i="17"/>
  <c r="C81" i="17"/>
  <c r="C82" i="17"/>
  <c r="C83" i="17"/>
  <c r="C84" i="17"/>
  <c r="D84" i="17" s="1"/>
  <c r="C85" i="17"/>
  <c r="C86" i="17"/>
  <c r="C87" i="17"/>
  <c r="C88" i="17"/>
  <c r="C89" i="17"/>
  <c r="C90" i="17"/>
  <c r="C91" i="17"/>
  <c r="C92" i="17"/>
  <c r="C93" i="17"/>
  <c r="C94" i="17"/>
  <c r="C95" i="17"/>
  <c r="C96" i="17"/>
  <c r="D96" i="17" s="1"/>
  <c r="C97" i="17"/>
  <c r="C98" i="17"/>
  <c r="C99" i="17"/>
  <c r="C100" i="17"/>
  <c r="C101" i="17"/>
  <c r="C102" i="17"/>
  <c r="C103" i="17"/>
  <c r="C104" i="17"/>
  <c r="C105" i="17"/>
  <c r="C106" i="17"/>
  <c r="C107" i="17"/>
  <c r="C108" i="17"/>
  <c r="D108" i="17" s="1"/>
  <c r="C109" i="17"/>
  <c r="C110" i="17"/>
  <c r="C111" i="17"/>
  <c r="C112" i="17"/>
  <c r="C113" i="17"/>
  <c r="C114" i="17"/>
  <c r="C115" i="17"/>
  <c r="C116" i="17"/>
  <c r="C117" i="17"/>
  <c r="C118" i="17"/>
  <c r="C119" i="17"/>
  <c r="C120" i="17"/>
  <c r="D120" i="17" s="1"/>
  <c r="C121" i="17"/>
  <c r="C122" i="17"/>
  <c r="C123" i="17"/>
  <c r="C124" i="17"/>
  <c r="C125" i="17"/>
  <c r="C126" i="17"/>
  <c r="C127" i="17"/>
  <c r="C128" i="17"/>
  <c r="C129" i="17"/>
  <c r="C130" i="17"/>
  <c r="C131" i="17"/>
  <c r="C132" i="17"/>
  <c r="C133" i="17"/>
  <c r="C134" i="17"/>
  <c r="C135" i="17"/>
  <c r="C136" i="17"/>
  <c r="C137" i="17"/>
  <c r="C138" i="17"/>
  <c r="C139" i="17"/>
  <c r="D139" i="17" s="1"/>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0" i="17"/>
  <c r="D4" i="16"/>
  <c r="F4" i="16" s="1"/>
  <c r="J4" i="16" s="1"/>
  <c r="D5" i="16"/>
  <c r="F5" i="16" s="1"/>
  <c r="J5" i="16" s="1"/>
  <c r="D6" i="16"/>
  <c r="F6" i="16" s="1"/>
  <c r="J6" i="16" s="1"/>
  <c r="D7" i="16"/>
  <c r="D8" i="16"/>
  <c r="F8" i="16" s="1"/>
  <c r="J8" i="16" s="1"/>
  <c r="D9" i="16"/>
  <c r="F9" i="16" s="1"/>
  <c r="J9" i="16" s="1"/>
  <c r="D10" i="16"/>
  <c r="F10" i="16" s="1"/>
  <c r="J10" i="16" s="1"/>
  <c r="D11" i="16"/>
  <c r="F11" i="16" s="1"/>
  <c r="J11" i="16" s="1"/>
  <c r="D12" i="16"/>
  <c r="F12" i="16" s="1"/>
  <c r="J12" i="16" s="1"/>
  <c r="D3" i="16"/>
  <c r="F3" i="16" s="1"/>
  <c r="J3" i="16" s="1"/>
  <c r="D12" i="17"/>
  <c r="D36" i="17"/>
  <c r="D42" i="17"/>
  <c r="F7" i="16"/>
  <c r="J7" i="16" s="1"/>
  <c r="X4" i="16"/>
  <c r="I3" i="16"/>
  <c r="I4" i="16"/>
  <c r="I5" i="16"/>
  <c r="I6" i="16"/>
  <c r="I7" i="16"/>
  <c r="I8" i="16"/>
  <c r="I9" i="16"/>
  <c r="I10" i="16"/>
  <c r="I11" i="16"/>
  <c r="I12" i="16"/>
  <c r="U5" i="16"/>
  <c r="X5" i="16" s="1"/>
  <c r="U6" i="16"/>
  <c r="X6" i="16" s="1"/>
  <c r="U7" i="16"/>
  <c r="X7" i="16" s="1"/>
  <c r="U8" i="16"/>
  <c r="X8" i="16" s="1"/>
  <c r="U9" i="16"/>
  <c r="X9" i="16" s="1"/>
  <c r="U10" i="16"/>
  <c r="X10" i="16" s="1"/>
  <c r="U11" i="16"/>
  <c r="X11" i="16" s="1"/>
  <c r="U12" i="16"/>
  <c r="X12" i="16" s="1"/>
  <c r="U13" i="16"/>
  <c r="X13" i="16" s="1"/>
  <c r="U24" i="16"/>
  <c r="X24" i="16" s="1"/>
  <c r="U25" i="16"/>
  <c r="X25" i="16" s="1"/>
  <c r="U26" i="16"/>
  <c r="X26" i="16" s="1"/>
  <c r="U27" i="16"/>
  <c r="X27" i="16" s="1"/>
  <c r="U28" i="16"/>
  <c r="X28" i="16" s="1"/>
  <c r="U29" i="16"/>
  <c r="X29" i="16" s="1"/>
  <c r="U30" i="16"/>
  <c r="X30" i="16" s="1"/>
  <c r="U31" i="16"/>
  <c r="X31" i="16" s="1"/>
  <c r="U32" i="16"/>
  <c r="X32" i="16" s="1"/>
  <c r="U33" i="16"/>
  <c r="X33" i="16" s="1"/>
  <c r="U34" i="16"/>
  <c r="X34" i="16" s="1"/>
  <c r="U35" i="16"/>
  <c r="X35" i="16" s="1"/>
  <c r="U36" i="16"/>
  <c r="X36" i="16" s="1"/>
  <c r="U37" i="16"/>
  <c r="X37" i="16" s="1"/>
  <c r="U38" i="16"/>
  <c r="X38" i="16" s="1"/>
  <c r="U4" i="16"/>
  <c r="C38" i="29"/>
  <c r="D38" i="29"/>
  <c r="E38" i="29"/>
  <c r="F38" i="29"/>
  <c r="G38" i="29"/>
  <c r="D34" i="29"/>
  <c r="E34" i="29" s="1"/>
  <c r="F34" i="29" s="1"/>
  <c r="G34" i="29" s="1"/>
  <c r="N8" i="29"/>
  <c r="M11" i="29"/>
  <c r="N11" i="29" s="1"/>
  <c r="M10" i="29"/>
  <c r="M9" i="29"/>
  <c r="M8" i="29"/>
  <c r="M7" i="29"/>
  <c r="F25" i="29"/>
  <c r="G19" i="29" s="1"/>
  <c r="F46" i="28"/>
  <c r="G46" i="28"/>
  <c r="H46" i="28"/>
  <c r="G41" i="28"/>
  <c r="H41" i="28"/>
  <c r="F41" i="28"/>
  <c r="G29" i="28"/>
  <c r="H29" i="28"/>
  <c r="F29" i="28"/>
  <c r="F24" i="28"/>
  <c r="F23" i="28"/>
  <c r="G24" i="28"/>
  <c r="H24" i="28" s="1"/>
  <c r="H23" i="28" s="1"/>
  <c r="G15" i="28"/>
  <c r="H15" i="28"/>
  <c r="F15" i="28"/>
  <c r="G10" i="28"/>
  <c r="H10" i="28"/>
  <c r="G9" i="28"/>
  <c r="H9" i="28"/>
  <c r="G12" i="28"/>
  <c r="H12" i="28"/>
  <c r="G13" i="28"/>
  <c r="H13" i="28"/>
  <c r="F13" i="28"/>
  <c r="F12" i="28"/>
  <c r="F9" i="28" s="1"/>
  <c r="L16" i="10"/>
  <c r="L7" i="10"/>
  <c r="D12" i="10"/>
  <c r="E12" i="10"/>
  <c r="F12" i="10"/>
  <c r="G12" i="10"/>
  <c r="H12" i="10"/>
  <c r="I12" i="10"/>
  <c r="J12" i="10"/>
  <c r="K12" i="10"/>
  <c r="L12" i="10"/>
  <c r="C12" i="10"/>
  <c r="D3" i="10"/>
  <c r="E3" i="10"/>
  <c r="F3" i="10"/>
  <c r="G3" i="10"/>
  <c r="H3" i="10"/>
  <c r="I3" i="10"/>
  <c r="J3" i="10"/>
  <c r="K3" i="10"/>
  <c r="L3" i="10"/>
  <c r="M3" i="10" s="1"/>
  <c r="N3" i="10" s="1"/>
  <c r="O3" i="10" s="1"/>
  <c r="P3" i="10" s="1"/>
  <c r="Q3" i="10" s="1"/>
  <c r="C3" i="10"/>
  <c r="D3" i="9"/>
  <c r="E3" i="9"/>
  <c r="F3" i="9"/>
  <c r="G3" i="9"/>
  <c r="H3" i="9"/>
  <c r="I3" i="9"/>
  <c r="J3" i="9"/>
  <c r="K3" i="9"/>
  <c r="L3" i="9"/>
  <c r="C3" i="9"/>
  <c r="G6" i="28"/>
  <c r="H6" i="28" s="1"/>
  <c r="F6" i="28"/>
  <c r="G7" i="28"/>
  <c r="H7" i="28"/>
  <c r="F7" i="28"/>
  <c r="Q6" i="1"/>
  <c r="P6" i="1"/>
  <c r="C7" i="28"/>
  <c r="C3" i="28"/>
  <c r="E105" i="28"/>
  <c r="D105" i="28"/>
  <c r="C105" i="28"/>
  <c r="E104" i="28"/>
  <c r="D104" i="28"/>
  <c r="C104" i="28"/>
  <c r="E103" i="28"/>
  <c r="D103" i="28"/>
  <c r="C103" i="28"/>
  <c r="E102" i="28"/>
  <c r="D102" i="28"/>
  <c r="C102" i="28"/>
  <c r="E101" i="28"/>
  <c r="D101" i="28"/>
  <c r="C101" i="28"/>
  <c r="E100" i="28"/>
  <c r="D100" i="28"/>
  <c r="C100" i="28"/>
  <c r="E99" i="28"/>
  <c r="D99" i="28"/>
  <c r="C99" i="28"/>
  <c r="E98" i="28"/>
  <c r="D98" i="28"/>
  <c r="C98" i="28"/>
  <c r="E97" i="28"/>
  <c r="D97" i="28"/>
  <c r="C97" i="28"/>
  <c r="E93" i="28"/>
  <c r="D93" i="28"/>
  <c r="C93" i="28"/>
  <c r="E92" i="28"/>
  <c r="D92" i="28"/>
  <c r="C92" i="28"/>
  <c r="E91" i="28"/>
  <c r="D91" i="28"/>
  <c r="C91" i="28"/>
  <c r="E90" i="28"/>
  <c r="D90" i="28"/>
  <c r="C90" i="28"/>
  <c r="E89" i="28"/>
  <c r="D89" i="28"/>
  <c r="C89" i="28"/>
  <c r="E88" i="28"/>
  <c r="D88" i="28"/>
  <c r="C88" i="28"/>
  <c r="E87" i="28"/>
  <c r="D87" i="28"/>
  <c r="C87" i="28"/>
  <c r="E86" i="28"/>
  <c r="D86" i="28"/>
  <c r="C86" i="28"/>
  <c r="E85" i="28"/>
  <c r="D85" i="28"/>
  <c r="C85" i="28"/>
  <c r="E84" i="28"/>
  <c r="D84" i="28"/>
  <c r="C84" i="28"/>
  <c r="E80" i="28"/>
  <c r="D80" i="28"/>
  <c r="C80" i="28"/>
  <c r="E79" i="28"/>
  <c r="D79" i="28"/>
  <c r="C79" i="28"/>
  <c r="E78" i="28"/>
  <c r="D78" i="28"/>
  <c r="C78" i="28"/>
  <c r="E68" i="28"/>
  <c r="D68" i="28"/>
  <c r="C68" i="28"/>
  <c r="E67" i="28"/>
  <c r="D67" i="28"/>
  <c r="C67" i="28"/>
  <c r="E66" i="28"/>
  <c r="D66" i="28"/>
  <c r="C66" i="28"/>
  <c r="E62" i="28"/>
  <c r="D62" i="28"/>
  <c r="C62" i="28"/>
  <c r="E61" i="28"/>
  <c r="D61" i="28"/>
  <c r="C61" i="28"/>
  <c r="E60" i="28"/>
  <c r="D60" i="28"/>
  <c r="C60" i="28"/>
  <c r="E59" i="28"/>
  <c r="D59" i="28"/>
  <c r="C59" i="28"/>
  <c r="E56" i="28"/>
  <c r="D56" i="28"/>
  <c r="C56" i="28"/>
  <c r="E55" i="28"/>
  <c r="D55" i="28"/>
  <c r="C55" i="28"/>
  <c r="E54" i="28"/>
  <c r="D54" i="28"/>
  <c r="C54" i="28"/>
  <c r="E53" i="28"/>
  <c r="D53" i="28"/>
  <c r="C53" i="28"/>
  <c r="E52" i="28"/>
  <c r="D52" i="28"/>
  <c r="C52" i="28"/>
  <c r="E46" i="28"/>
  <c r="D46" i="28"/>
  <c r="C46" i="28"/>
  <c r="E41" i="28"/>
  <c r="D41" i="28"/>
  <c r="C41" i="28"/>
  <c r="F35" i="28"/>
  <c r="E35" i="28"/>
  <c r="D35" i="28"/>
  <c r="C35" i="28"/>
  <c r="E29" i="28"/>
  <c r="D29" i="28"/>
  <c r="C29" i="28"/>
  <c r="E23" i="28"/>
  <c r="D23" i="28"/>
  <c r="C23" i="28"/>
  <c r="E17" i="28"/>
  <c r="D17" i="28"/>
  <c r="C17" i="28"/>
  <c r="E15" i="28"/>
  <c r="D15" i="28"/>
  <c r="C15" i="28"/>
  <c r="E9" i="28"/>
  <c r="D9" i="28"/>
  <c r="C9" i="28"/>
  <c r="E6" i="28"/>
  <c r="D6" i="28"/>
  <c r="C6" i="28"/>
  <c r="E3" i="28"/>
  <c r="D3" i="28"/>
  <c r="C6" i="1"/>
  <c r="D6" i="1"/>
  <c r="E6" i="1"/>
  <c r="F6" i="1"/>
  <c r="G6" i="1"/>
  <c r="H6" i="1"/>
  <c r="I6" i="1"/>
  <c r="J6" i="1"/>
  <c r="K6" i="1"/>
  <c r="L6" i="1"/>
  <c r="D30" i="17" l="1"/>
  <c r="D126" i="17"/>
  <c r="D114" i="17"/>
  <c r="D102" i="17"/>
  <c r="D90" i="17"/>
  <c r="D78" i="17"/>
  <c r="D66" i="17"/>
  <c r="D54" i="17"/>
  <c r="D18" i="17"/>
  <c r="G156" i="17"/>
  <c r="G144" i="17"/>
  <c r="G132" i="17"/>
  <c r="G120" i="17"/>
  <c r="G161" i="17"/>
  <c r="D155" i="17"/>
  <c r="G153" i="17"/>
  <c r="G141" i="17"/>
  <c r="G129" i="17"/>
  <c r="G117" i="17"/>
  <c r="G137" i="17"/>
  <c r="G148" i="17"/>
  <c r="G124" i="17"/>
  <c r="O9" i="23"/>
  <c r="O10" i="23" s="1"/>
  <c r="N10" i="23"/>
  <c r="P9" i="10"/>
  <c r="D137" i="17"/>
  <c r="D124" i="17"/>
  <c r="D112" i="17"/>
  <c r="D76" i="17"/>
  <c r="D64" i="17"/>
  <c r="D28" i="17"/>
  <c r="G154" i="17"/>
  <c r="G142" i="17"/>
  <c r="G130" i="17"/>
  <c r="G118" i="17"/>
  <c r="G160" i="17"/>
  <c r="D133" i="17"/>
  <c r="G151" i="17"/>
  <c r="G139" i="17"/>
  <c r="G127" i="17"/>
  <c r="G115" i="17"/>
  <c r="G149" i="17"/>
  <c r="G125" i="17"/>
  <c r="D16" i="17"/>
  <c r="D160" i="17"/>
  <c r="D88" i="17"/>
  <c r="D118" i="17"/>
  <c r="D106" i="17"/>
  <c r="D94" i="17"/>
  <c r="D82" i="17"/>
  <c r="D70" i="17"/>
  <c r="D100" i="17"/>
  <c r="D40" i="17"/>
  <c r="D153" i="17"/>
  <c r="G158" i="17"/>
  <c r="G146" i="17"/>
  <c r="G134" i="17"/>
  <c r="G122" i="17"/>
  <c r="G136" i="17"/>
  <c r="D52" i="17"/>
  <c r="G155" i="17"/>
  <c r="G143" i="17"/>
  <c r="G131" i="17"/>
  <c r="G119" i="17"/>
  <c r="N9" i="29"/>
  <c r="M12" i="29"/>
  <c r="N10" i="29"/>
  <c r="N7" i="29"/>
  <c r="N6" i="29"/>
  <c r="N12" i="29" s="1"/>
  <c r="D149" i="17"/>
  <c r="D162" i="17"/>
  <c r="D58" i="17"/>
  <c r="D46" i="17"/>
  <c r="D34" i="17"/>
  <c r="D22" i="17"/>
  <c r="D143" i="17"/>
  <c r="D131" i="17"/>
  <c r="D147" i="17"/>
  <c r="D107" i="17"/>
  <c r="D59" i="17"/>
  <c r="D117" i="17"/>
  <c r="D145" i="17"/>
  <c r="D121" i="17"/>
  <c r="D109" i="17"/>
  <c r="D97" i="17"/>
  <c r="D85" i="17"/>
  <c r="D73" i="17"/>
  <c r="D61" i="17"/>
  <c r="D49" i="17"/>
  <c r="D37" i="17"/>
  <c r="D25" i="17"/>
  <c r="D13" i="17"/>
  <c r="D134" i="17"/>
  <c r="D150" i="17"/>
  <c r="D157" i="17"/>
  <c r="D105" i="17"/>
  <c r="D69" i="17"/>
  <c r="D123" i="17"/>
  <c r="D111" i="17"/>
  <c r="D99" i="17"/>
  <c r="D87" i="17"/>
  <c r="D75" i="17"/>
  <c r="D63" i="17"/>
  <c r="D51" i="17"/>
  <c r="D39" i="17"/>
  <c r="D27" i="17"/>
  <c r="D15" i="17"/>
  <c r="D136" i="17"/>
  <c r="D152" i="17"/>
  <c r="D159" i="17"/>
  <c r="D122" i="17"/>
  <c r="D110" i="17"/>
  <c r="D151" i="17"/>
  <c r="D156" i="17"/>
  <c r="D119" i="17"/>
  <c r="D95" i="17"/>
  <c r="D83" i="17"/>
  <c r="D71" i="17"/>
  <c r="D47" i="17"/>
  <c r="D35" i="17"/>
  <c r="D23" i="17"/>
  <c r="D132" i="17"/>
  <c r="D148" i="17"/>
  <c r="D93" i="17"/>
  <c r="D81" i="17"/>
  <c r="D57" i="17"/>
  <c r="D45" i="17"/>
  <c r="D33" i="17"/>
  <c r="D21" i="17"/>
  <c r="D142" i="17"/>
  <c r="D130" i="17"/>
  <c r="D98" i="17"/>
  <c r="D86" i="17"/>
  <c r="D74" i="17"/>
  <c r="D62" i="17"/>
  <c r="D50" i="17"/>
  <c r="D38" i="17"/>
  <c r="D26" i="17"/>
  <c r="D14" i="17"/>
  <c r="D135" i="17"/>
  <c r="D158" i="17"/>
  <c r="D146" i="17"/>
  <c r="D127" i="17"/>
  <c r="D116" i="17"/>
  <c r="D103" i="17"/>
  <c r="D91" i="17"/>
  <c r="D79" i="17"/>
  <c r="D67" i="17"/>
  <c r="D55" i="17"/>
  <c r="D43" i="17"/>
  <c r="D32" i="17"/>
  <c r="D20" i="17"/>
  <c r="D140" i="17"/>
  <c r="D129" i="17"/>
  <c r="D144" i="17"/>
  <c r="D125" i="17"/>
  <c r="D113" i="17"/>
  <c r="D101" i="17"/>
  <c r="D89" i="17"/>
  <c r="D77" i="17"/>
  <c r="D65" i="17"/>
  <c r="D53" i="17"/>
  <c r="D41" i="17"/>
  <c r="D29" i="17"/>
  <c r="D17" i="17"/>
  <c r="D138" i="17"/>
  <c r="D154" i="17"/>
  <c r="D161" i="17"/>
  <c r="D104" i="17"/>
  <c r="D44" i="17"/>
  <c r="D19" i="17"/>
  <c r="D141" i="17"/>
  <c r="D92" i="17"/>
  <c r="D31" i="17"/>
  <c r="D128" i="17"/>
  <c r="D56" i="17"/>
  <c r="D80" i="17"/>
  <c r="D115" i="17"/>
  <c r="D68" i="17"/>
  <c r="K3" i="11"/>
  <c r="G14" i="29"/>
  <c r="G13" i="29"/>
  <c r="G12" i="29"/>
  <c r="G11" i="29"/>
  <c r="G10" i="29"/>
  <c r="G21" i="29"/>
  <c r="G9" i="29"/>
  <c r="G20" i="29"/>
  <c r="G8" i="29"/>
  <c r="G18" i="29"/>
  <c r="G17" i="29"/>
  <c r="G16" i="29"/>
  <c r="G15" i="29"/>
  <c r="G6" i="29"/>
  <c r="G24" i="29"/>
  <c r="G23" i="29"/>
  <c r="G22" i="29"/>
  <c r="G23" i="28"/>
  <c r="D10" i="28"/>
  <c r="E10" i="28"/>
  <c r="C10" i="28"/>
  <c r="F10" i="28"/>
  <c r="D63" i="28"/>
  <c r="D94" i="28"/>
  <c r="D106" i="28"/>
  <c r="E106" i="28"/>
  <c r="E18" i="28"/>
  <c r="C63" i="28"/>
  <c r="C69" i="28"/>
  <c r="C71" i="28" s="1"/>
  <c r="C73" i="28" s="1"/>
  <c r="E30" i="28"/>
  <c r="D69" i="28"/>
  <c r="C81" i="28"/>
  <c r="C94" i="28"/>
  <c r="D12" i="28"/>
  <c r="D20" i="28" s="1"/>
  <c r="C30" i="28"/>
  <c r="E94" i="28"/>
  <c r="E12" i="28"/>
  <c r="E13" i="28" s="1"/>
  <c r="D30" i="28"/>
  <c r="E63" i="28"/>
  <c r="C12" i="28"/>
  <c r="C20" i="28" s="1"/>
  <c r="D81" i="28"/>
  <c r="C106" i="28"/>
  <c r="E81" i="28"/>
  <c r="E69" i="28"/>
  <c r="D24" i="28"/>
  <c r="E7" i="28"/>
  <c r="E24" i="28"/>
  <c r="C24" i="28"/>
  <c r="D7" i="28"/>
  <c r="C18" i="28"/>
  <c r="D18" i="28"/>
  <c r="G25" i="29" l="1"/>
  <c r="E20" i="28"/>
  <c r="E26" i="28" s="1"/>
  <c r="C13" i="28"/>
  <c r="D71" i="28"/>
  <c r="D73" i="28" s="1"/>
  <c r="D13" i="28"/>
  <c r="E71" i="28"/>
  <c r="E73" i="28" s="1"/>
  <c r="C108" i="28"/>
  <c r="D108" i="28"/>
  <c r="E108" i="28"/>
  <c r="C26" i="28"/>
  <c r="C21" i="28"/>
  <c r="D26" i="28"/>
  <c r="D21" i="28"/>
  <c r="C9" i="1"/>
  <c r="B2" i="7"/>
  <c r="E21" i="28" l="1"/>
  <c r="D32" i="28"/>
  <c r="D27" i="28"/>
  <c r="E32" i="28"/>
  <c r="E27" i="28"/>
  <c r="C27" i="28"/>
  <c r="C32" i="28"/>
  <c r="Y22" i="23"/>
  <c r="AB9" i="23"/>
  <c r="G9" i="23"/>
  <c r="H9" i="23" s="1"/>
  <c r="I9" i="23" s="1"/>
  <c r="J9" i="23" s="1"/>
  <c r="E36" i="28" l="1"/>
  <c r="F36" i="28" s="1"/>
  <c r="E38" i="28"/>
  <c r="E33" i="28"/>
  <c r="D36" i="28"/>
  <c r="D38" i="28"/>
  <c r="D33" i="28"/>
  <c r="C33" i="28"/>
  <c r="C36" i="28"/>
  <c r="C38" i="28"/>
  <c r="AC9" i="23"/>
  <c r="G36" i="28" l="1"/>
  <c r="H36" i="28" s="1"/>
  <c r="C43" i="28"/>
  <c r="C39" i="28"/>
  <c r="E39" i="28"/>
  <c r="E43" i="28"/>
  <c r="D39" i="28"/>
  <c r="D43" i="28"/>
  <c r="Z6" i="23"/>
  <c r="AA6" i="23" s="1"/>
  <c r="AB6" i="23" s="1"/>
  <c r="AC6" i="23" s="1"/>
  <c r="AD6" i="23" s="1"/>
  <c r="AE6" i="23" s="1"/>
  <c r="AF6" i="23" s="1"/>
  <c r="AG6" i="23" s="1"/>
  <c r="AH6" i="23" s="1"/>
  <c r="AI6" i="23" s="1"/>
  <c r="AJ6" i="23" s="1"/>
  <c r="AK6" i="23" s="1"/>
  <c r="AL6" i="23" s="1"/>
  <c r="AM6" i="23" s="1"/>
  <c r="AN6" i="23" s="1"/>
  <c r="AO6" i="23" s="1"/>
  <c r="AD9" i="23"/>
  <c r="E44" i="28" l="1"/>
  <c r="E47" i="28"/>
  <c r="E49" i="28" s="1"/>
  <c r="D44" i="28"/>
  <c r="D47" i="28"/>
  <c r="D49" i="28" s="1"/>
  <c r="C47" i="28"/>
  <c r="C49" i="28" s="1"/>
  <c r="C44" i="28"/>
  <c r="AE9" i="23"/>
  <c r="AF9" i="23" s="1"/>
  <c r="AG9" i="23" s="1"/>
  <c r="AH9" i="23" s="1"/>
  <c r="AI9" i="23" s="1"/>
  <c r="AJ9" i="23" s="1"/>
  <c r="K28" i="11" l="1"/>
  <c r="AK9" i="23"/>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 i="17"/>
  <c r="D11" i="17"/>
  <c r="M21" i="12"/>
  <c r="K21" i="12"/>
  <c r="M20" i="12"/>
  <c r="K20" i="12"/>
  <c r="M19" i="12"/>
  <c r="L19" i="12"/>
  <c r="K19" i="12"/>
  <c r="M18" i="12"/>
  <c r="K18" i="12"/>
  <c r="M17" i="12"/>
  <c r="K17" i="12"/>
  <c r="M16" i="12"/>
  <c r="K16" i="12"/>
  <c r="M15" i="12"/>
  <c r="K15" i="12"/>
  <c r="M14" i="12"/>
  <c r="K14" i="12"/>
  <c r="M13" i="12"/>
  <c r="L13" i="12"/>
  <c r="K13" i="12"/>
  <c r="M12" i="12"/>
  <c r="K12" i="12"/>
  <c r="G16" i="12"/>
  <c r="G12" i="12"/>
  <c r="G13" i="12"/>
  <c r="Q47" i="12" s="1"/>
  <c r="G14" i="12"/>
  <c r="G15" i="12"/>
  <c r="G17" i="12"/>
  <c r="G18" i="12"/>
  <c r="G19" i="12"/>
  <c r="G20" i="12"/>
  <c r="G21" i="12"/>
  <c r="E21" i="12"/>
  <c r="D21" i="12"/>
  <c r="F21" i="12" s="1"/>
  <c r="E20" i="12"/>
  <c r="D20" i="12"/>
  <c r="F20" i="12" s="1"/>
  <c r="E19" i="12"/>
  <c r="D19" i="12"/>
  <c r="E18" i="12"/>
  <c r="D18" i="12"/>
  <c r="F18" i="12" s="1"/>
  <c r="E17" i="12"/>
  <c r="D17" i="12"/>
  <c r="F17" i="12" s="1"/>
  <c r="E16" i="12"/>
  <c r="D16" i="12"/>
  <c r="F16" i="12" s="1"/>
  <c r="E15" i="12"/>
  <c r="D15" i="12"/>
  <c r="F15" i="12" s="1"/>
  <c r="E14" i="12"/>
  <c r="D14" i="12"/>
  <c r="F14" i="12" s="1"/>
  <c r="E13" i="12"/>
  <c r="P49" i="12" s="1"/>
  <c r="D13" i="12"/>
  <c r="E12" i="12"/>
  <c r="O35" i="12" s="1"/>
  <c r="D12" i="12"/>
  <c r="F12" i="12" s="1"/>
  <c r="B13" i="12"/>
  <c r="B15" i="12"/>
  <c r="B16" i="12"/>
  <c r="B17" i="12"/>
  <c r="B18" i="12"/>
  <c r="B19" i="12"/>
  <c r="B20" i="12"/>
  <c r="B21" i="12"/>
  <c r="B12" i="12"/>
  <c r="F27" i="16"/>
  <c r="J27" i="16" s="1"/>
  <c r="F28" i="16"/>
  <c r="J28" i="16" s="1"/>
  <c r="F24" i="16"/>
  <c r="J24" i="16" s="1"/>
  <c r="F25" i="16"/>
  <c r="J25" i="16" s="1"/>
  <c r="F26" i="16"/>
  <c r="J26" i="16" s="1"/>
  <c r="L14" i="12"/>
  <c r="L15" i="12"/>
  <c r="L16" i="12"/>
  <c r="L17" i="12"/>
  <c r="L18" i="12"/>
  <c r="L20" i="12"/>
  <c r="L21" i="12"/>
  <c r="L24" i="16"/>
  <c r="M24" i="16" s="1"/>
  <c r="L25" i="16"/>
  <c r="M25" i="16" s="1"/>
  <c r="L26" i="16"/>
  <c r="M26" i="16" s="1"/>
  <c r="L27" i="16"/>
  <c r="M27" i="16" s="1"/>
  <c r="L28" i="16"/>
  <c r="M28" i="16" s="1"/>
  <c r="L12" i="12"/>
  <c r="C24" i="11"/>
  <c r="D24" i="11" s="1"/>
  <c r="E24" i="11" s="1"/>
  <c r="O33" i="12" l="1"/>
  <c r="P33" i="12"/>
  <c r="F13" i="12"/>
  <c r="F19" i="12"/>
  <c r="K8" i="17"/>
  <c r="K7" i="17"/>
  <c r="AL9" i="23"/>
  <c r="E23" i="11"/>
  <c r="E26" i="11" s="1"/>
  <c r="D23" i="11"/>
  <c r="D22" i="11"/>
  <c r="O47" i="12"/>
  <c r="Q33" i="12"/>
  <c r="P47" i="12"/>
  <c r="O49" i="12"/>
  <c r="Q49" i="12"/>
  <c r="Q35" i="12"/>
  <c r="P35" i="12"/>
  <c r="E5" i="15"/>
  <c r="F5" i="15" s="1"/>
  <c r="H5" i="15"/>
  <c r="B5" i="15"/>
  <c r="B6" i="15" s="1"/>
  <c r="B7" i="15" s="1"/>
  <c r="B8" i="15" s="1"/>
  <c r="B9" i="15" s="1"/>
  <c r="B10" i="15" s="1"/>
  <c r="B11" i="15" s="1"/>
  <c r="B12" i="15" s="1"/>
  <c r="B13" i="15" s="1"/>
  <c r="B14" i="15" s="1"/>
  <c r="B15" i="15" s="1"/>
  <c r="B16" i="15" s="1"/>
  <c r="B17" i="15" s="1"/>
  <c r="B18" i="15" s="1"/>
  <c r="B19" i="15" s="1"/>
  <c r="C17" i="15" l="1"/>
  <c r="C18" i="15" s="1"/>
  <c r="C19" i="15" s="1"/>
  <c r="J5" i="15"/>
  <c r="I5" i="15"/>
  <c r="K16" i="11"/>
  <c r="K24" i="11" s="1"/>
  <c r="E6" i="15"/>
  <c r="AM9" i="23"/>
  <c r="D26" i="11"/>
  <c r="K25" i="11"/>
  <c r="H21" i="12"/>
  <c r="Q21" i="12"/>
  <c r="H12" i="12"/>
  <c r="Q12" i="12"/>
  <c r="H13" i="12"/>
  <c r="Q13" i="12"/>
  <c r="H14" i="12"/>
  <c r="Q14" i="12"/>
  <c r="H19" i="12"/>
  <c r="Q19" i="12"/>
  <c r="H17" i="12"/>
  <c r="Q17" i="12"/>
  <c r="H15" i="12"/>
  <c r="Q15" i="12"/>
  <c r="H20" i="12"/>
  <c r="Q20" i="12"/>
  <c r="H16" i="12"/>
  <c r="Q16" i="12"/>
  <c r="H18" i="12"/>
  <c r="Q18" i="12"/>
  <c r="H6" i="15"/>
  <c r="J6" i="15" s="1"/>
  <c r="E7" i="15" l="1"/>
  <c r="F6" i="15"/>
  <c r="AN9" i="23"/>
  <c r="O17" i="12"/>
  <c r="P17" i="12"/>
  <c r="P19" i="12"/>
  <c r="O19" i="12"/>
  <c r="O18" i="12"/>
  <c r="P18" i="12"/>
  <c r="O13" i="12"/>
  <c r="P13" i="12"/>
  <c r="O20" i="12"/>
  <c r="P20" i="12"/>
  <c r="O14" i="12"/>
  <c r="P14" i="12"/>
  <c r="O16" i="12"/>
  <c r="P16" i="12"/>
  <c r="Q24" i="12"/>
  <c r="Q34" i="12" s="1"/>
  <c r="Q28" i="12"/>
  <c r="Q26" i="12"/>
  <c r="Q25" i="12"/>
  <c r="Q23" i="12"/>
  <c r="Q27" i="12"/>
  <c r="P12" i="12"/>
  <c r="O12" i="12"/>
  <c r="O15" i="12"/>
  <c r="P15" i="12"/>
  <c r="P21" i="12"/>
  <c r="O21" i="12"/>
  <c r="I6" i="15"/>
  <c r="H7" i="15"/>
  <c r="J7" i="15" s="1"/>
  <c r="AK10" i="23" l="1"/>
  <c r="AJ10" i="23"/>
  <c r="AE10" i="23"/>
  <c r="AI10" i="23"/>
  <c r="AD10" i="23"/>
  <c r="AH10" i="23"/>
  <c r="AC10" i="23"/>
  <c r="H10" i="23"/>
  <c r="I10" i="23"/>
  <c r="AM10" i="23"/>
  <c r="AB10" i="23"/>
  <c r="AL10" i="23"/>
  <c r="F10" i="23"/>
  <c r="Q48" i="12"/>
  <c r="Q32" i="12"/>
  <c r="J10" i="23"/>
  <c r="D21" i="23"/>
  <c r="AG10" i="23"/>
  <c r="AF10" i="23"/>
  <c r="AA10" i="23"/>
  <c r="G10" i="23"/>
  <c r="E8" i="15"/>
  <c r="F7" i="15"/>
  <c r="AO9" i="23"/>
  <c r="AO10" i="23" s="1"/>
  <c r="AN10" i="23"/>
  <c r="O28" i="12"/>
  <c r="O26" i="12"/>
  <c r="O25" i="12"/>
  <c r="O27" i="12"/>
  <c r="O24" i="12"/>
  <c r="O23" i="12"/>
  <c r="P23" i="12"/>
  <c r="P28" i="12"/>
  <c r="P26" i="12"/>
  <c r="P24" i="12"/>
  <c r="P27" i="12"/>
  <c r="P25" i="12"/>
  <c r="H8" i="15"/>
  <c r="J8" i="15" s="1"/>
  <c r="I7" i="15"/>
  <c r="O46" i="12" l="1"/>
  <c r="O48" i="12" s="1"/>
  <c r="O51" i="12" s="1"/>
  <c r="O32" i="12"/>
  <c r="O34" i="12" s="1"/>
  <c r="O37" i="12" s="1"/>
  <c r="P46" i="12"/>
  <c r="P32" i="12"/>
  <c r="E9" i="15"/>
  <c r="F8" i="15"/>
  <c r="P48" i="12"/>
  <c r="P51" i="12" s="1"/>
  <c r="P54" i="12" s="1"/>
  <c r="Q46" i="12"/>
  <c r="Q51" i="12"/>
  <c r="Q54" i="12" s="1"/>
  <c r="H9" i="15"/>
  <c r="J9" i="15" s="1"/>
  <c r="I8" i="15"/>
  <c r="O54" i="12" l="1"/>
  <c r="O40" i="12"/>
  <c r="E10" i="15"/>
  <c r="F9" i="15"/>
  <c r="P34" i="12"/>
  <c r="P37" i="12" s="1"/>
  <c r="P40" i="12" s="1"/>
  <c r="H10" i="15"/>
  <c r="J10" i="15" s="1"/>
  <c r="I9" i="15"/>
  <c r="E11" i="15" l="1"/>
  <c r="F10" i="15"/>
  <c r="I10" i="15"/>
  <c r="H11" i="15"/>
  <c r="J11" i="15" s="1"/>
  <c r="E12" i="15" l="1"/>
  <c r="F11" i="15"/>
  <c r="H12" i="15"/>
  <c r="J12" i="15" s="1"/>
  <c r="I11" i="15"/>
  <c r="E13" i="15" l="1"/>
  <c r="F12" i="15"/>
  <c r="I12" i="15"/>
  <c r="H13" i="15"/>
  <c r="J13" i="15" s="1"/>
  <c r="E14" i="15" l="1"/>
  <c r="F13" i="15"/>
  <c r="I13" i="15"/>
  <c r="H14" i="15"/>
  <c r="J14" i="15" s="1"/>
  <c r="E15" i="15" l="1"/>
  <c r="F14" i="15"/>
  <c r="I14" i="15"/>
  <c r="H15" i="15"/>
  <c r="J15" i="15" s="1"/>
  <c r="E16" i="15" l="1"/>
  <c r="F15" i="15"/>
  <c r="I15" i="15"/>
  <c r="H16" i="15"/>
  <c r="J16" i="15" s="1"/>
  <c r="E17" i="15" l="1"/>
  <c r="F16" i="15"/>
  <c r="H17" i="15"/>
  <c r="J17" i="15" s="1"/>
  <c r="I16" i="15"/>
  <c r="E18" i="15" l="1"/>
  <c r="F17" i="15"/>
  <c r="H18" i="15"/>
  <c r="H19" i="15" s="1"/>
  <c r="I17" i="15"/>
  <c r="I18" i="15" l="1"/>
  <c r="I19" i="15" s="1"/>
  <c r="E19" i="15"/>
  <c r="F19" i="15" s="1"/>
  <c r="F18" i="15"/>
  <c r="J18" i="15"/>
  <c r="J19" i="15" s="1"/>
  <c r="E41" i="1" l="1"/>
  <c r="F41" i="1"/>
  <c r="G41" i="1"/>
  <c r="H41" i="1"/>
  <c r="I41" i="1"/>
  <c r="J41" i="1"/>
  <c r="K41" i="1"/>
  <c r="L41" i="1"/>
  <c r="M41" i="1"/>
  <c r="D41" i="1"/>
  <c r="G16" i="10"/>
  <c r="H16" i="10"/>
  <c r="I16" i="10"/>
  <c r="J16" i="10"/>
  <c r="K16" i="10"/>
  <c r="B35" i="9"/>
  <c r="B34" i="9"/>
  <c r="B33" i="9"/>
  <c r="B32" i="9"/>
  <c r="B31" i="9"/>
  <c r="B30" i="9"/>
  <c r="B29" i="9"/>
  <c r="B28" i="9"/>
  <c r="B27" i="9"/>
  <c r="B26" i="9"/>
  <c r="B24" i="9"/>
  <c r="B23" i="9"/>
  <c r="B22" i="9"/>
  <c r="B21" i="9"/>
  <c r="B20" i="9"/>
  <c r="B19" i="9"/>
  <c r="B17" i="9"/>
  <c r="B16" i="9"/>
  <c r="B15" i="9"/>
  <c r="B14" i="9"/>
  <c r="B13" i="9"/>
  <c r="B12" i="9"/>
  <c r="B11" i="9"/>
  <c r="B10" i="9"/>
  <c r="B9" i="9"/>
  <c r="B8" i="9"/>
  <c r="B7" i="9"/>
  <c r="B6" i="9"/>
  <c r="B5" i="9"/>
  <c r="E17" i="1"/>
  <c r="F17" i="1"/>
  <c r="G17" i="1"/>
  <c r="H17" i="1"/>
  <c r="I17" i="1"/>
  <c r="J17" i="1"/>
  <c r="K17" i="1"/>
  <c r="L17" i="1"/>
  <c r="D17" i="1"/>
  <c r="C17" i="1"/>
  <c r="M15" i="1"/>
  <c r="C29" i="1"/>
  <c r="C16" i="10" s="1"/>
  <c r="D29" i="1"/>
  <c r="D16" i="10" s="1"/>
  <c r="E29" i="1"/>
  <c r="E16" i="10" s="1"/>
  <c r="F29" i="1"/>
  <c r="F16" i="10" s="1"/>
  <c r="G29" i="1"/>
  <c r="H29" i="1"/>
  <c r="I29" i="1"/>
  <c r="J29" i="1"/>
  <c r="K29" i="1"/>
  <c r="L29" i="1"/>
  <c r="M29" i="1"/>
  <c r="D15" i="1"/>
  <c r="E15" i="1"/>
  <c r="F15" i="1"/>
  <c r="G15" i="1"/>
  <c r="H15" i="1"/>
  <c r="I15" i="1"/>
  <c r="J15" i="1"/>
  <c r="K15" i="1"/>
  <c r="L15" i="1"/>
  <c r="C15" i="1"/>
  <c r="M9" i="1"/>
  <c r="M6" i="1"/>
  <c r="L3" i="7" l="1"/>
  <c r="K3" i="7"/>
  <c r="J3" i="7"/>
  <c r="I3" i="7"/>
  <c r="H3" i="7"/>
  <c r="G3" i="7"/>
  <c r="F3" i="7"/>
  <c r="E3" i="7"/>
  <c r="D3" i="7"/>
  <c r="C3" i="7"/>
  <c r="C98" i="1" l="1"/>
  <c r="D98" i="1"/>
  <c r="E98" i="1"/>
  <c r="F98" i="1"/>
  <c r="G98" i="1"/>
  <c r="H98" i="1"/>
  <c r="I98" i="1"/>
  <c r="J98" i="1"/>
  <c r="K98" i="1"/>
  <c r="L98" i="1"/>
  <c r="C99" i="1"/>
  <c r="D99" i="1"/>
  <c r="E99" i="1"/>
  <c r="F99" i="1"/>
  <c r="G99" i="1"/>
  <c r="H99" i="1"/>
  <c r="I99" i="1"/>
  <c r="J99" i="1"/>
  <c r="K99" i="1"/>
  <c r="L99" i="1"/>
  <c r="C100" i="1"/>
  <c r="D100" i="1"/>
  <c r="E100" i="1"/>
  <c r="F100" i="1"/>
  <c r="G100" i="1"/>
  <c r="H100" i="1"/>
  <c r="I100" i="1"/>
  <c r="J100" i="1"/>
  <c r="K100" i="1"/>
  <c r="L100" i="1"/>
  <c r="C101" i="1"/>
  <c r="D101" i="1"/>
  <c r="E101" i="1"/>
  <c r="F101" i="1"/>
  <c r="G101" i="1"/>
  <c r="H101" i="1"/>
  <c r="I101" i="1"/>
  <c r="J101" i="1"/>
  <c r="K101" i="1"/>
  <c r="L101" i="1"/>
  <c r="C102" i="1"/>
  <c r="D102" i="1"/>
  <c r="E102" i="1"/>
  <c r="F102" i="1"/>
  <c r="G102" i="1"/>
  <c r="H102" i="1"/>
  <c r="I102" i="1"/>
  <c r="J102" i="1"/>
  <c r="K102" i="1"/>
  <c r="L102" i="1"/>
  <c r="C103" i="1"/>
  <c r="D103" i="1"/>
  <c r="E103" i="1"/>
  <c r="F103" i="1"/>
  <c r="G103" i="1"/>
  <c r="H103" i="1"/>
  <c r="I103" i="1"/>
  <c r="J103" i="1"/>
  <c r="K103" i="1"/>
  <c r="L103" i="1"/>
  <c r="C104" i="1"/>
  <c r="D104" i="1"/>
  <c r="E104" i="1"/>
  <c r="F104" i="1"/>
  <c r="G104" i="1"/>
  <c r="H104" i="1"/>
  <c r="I104" i="1"/>
  <c r="J104" i="1"/>
  <c r="K104" i="1"/>
  <c r="L104" i="1"/>
  <c r="C105" i="1"/>
  <c r="D105" i="1"/>
  <c r="E105" i="1"/>
  <c r="F105" i="1"/>
  <c r="G105" i="1"/>
  <c r="H105" i="1"/>
  <c r="I105" i="1"/>
  <c r="J105" i="1"/>
  <c r="K105" i="1"/>
  <c r="L105" i="1"/>
  <c r="J97" i="1"/>
  <c r="K97" i="1"/>
  <c r="L97" i="1"/>
  <c r="D97" i="1"/>
  <c r="E97" i="1"/>
  <c r="F97" i="1"/>
  <c r="G97" i="1"/>
  <c r="H97" i="1"/>
  <c r="I97" i="1"/>
  <c r="C97" i="1"/>
  <c r="C85" i="1"/>
  <c r="D85" i="1"/>
  <c r="E85" i="1"/>
  <c r="F85" i="1"/>
  <c r="G85" i="1"/>
  <c r="H85" i="1"/>
  <c r="I85" i="1"/>
  <c r="J85" i="1"/>
  <c r="K85" i="1"/>
  <c r="L85" i="1"/>
  <c r="C86" i="1"/>
  <c r="D86" i="1"/>
  <c r="E86" i="1"/>
  <c r="F86" i="1"/>
  <c r="G86" i="1"/>
  <c r="H86" i="1"/>
  <c r="I86" i="1"/>
  <c r="J86" i="1"/>
  <c r="K86" i="1"/>
  <c r="L86" i="1"/>
  <c r="C87" i="1"/>
  <c r="D87" i="1"/>
  <c r="E87" i="1"/>
  <c r="F87" i="1"/>
  <c r="G87" i="1"/>
  <c r="H87" i="1"/>
  <c r="I87" i="1"/>
  <c r="J87" i="1"/>
  <c r="K87" i="1"/>
  <c r="L87" i="1"/>
  <c r="C88" i="1"/>
  <c r="D88" i="1"/>
  <c r="E88" i="1"/>
  <c r="F88" i="1"/>
  <c r="G88" i="1"/>
  <c r="H88" i="1"/>
  <c r="I88" i="1"/>
  <c r="J88" i="1"/>
  <c r="K88" i="1"/>
  <c r="L88" i="1"/>
  <c r="C89" i="1"/>
  <c r="D89" i="1"/>
  <c r="E89" i="1"/>
  <c r="F89" i="1"/>
  <c r="G89" i="1"/>
  <c r="H89" i="1"/>
  <c r="I89" i="1"/>
  <c r="J89" i="1"/>
  <c r="K89" i="1"/>
  <c r="L89" i="1"/>
  <c r="C90" i="1"/>
  <c r="D90" i="1"/>
  <c r="E90" i="1"/>
  <c r="F90" i="1"/>
  <c r="G90" i="1"/>
  <c r="H90" i="1"/>
  <c r="I90" i="1"/>
  <c r="J90" i="1"/>
  <c r="K90" i="1"/>
  <c r="L90" i="1"/>
  <c r="C91" i="1"/>
  <c r="D91" i="1"/>
  <c r="E91" i="1"/>
  <c r="F91" i="1"/>
  <c r="G91" i="1"/>
  <c r="H91" i="1"/>
  <c r="I91" i="1"/>
  <c r="J91" i="1"/>
  <c r="K91" i="1"/>
  <c r="L91" i="1"/>
  <c r="C92" i="1"/>
  <c r="D92" i="1"/>
  <c r="E92" i="1"/>
  <c r="F92" i="1"/>
  <c r="G92" i="1"/>
  <c r="H92" i="1"/>
  <c r="I92" i="1"/>
  <c r="J92" i="1"/>
  <c r="K92" i="1"/>
  <c r="L92" i="1"/>
  <c r="C93" i="1"/>
  <c r="D93" i="1"/>
  <c r="E93" i="1"/>
  <c r="F93" i="1"/>
  <c r="G93" i="1"/>
  <c r="H93" i="1"/>
  <c r="I93" i="1"/>
  <c r="J93" i="1"/>
  <c r="K93" i="1"/>
  <c r="L93" i="1"/>
  <c r="D84" i="1"/>
  <c r="D7" i="10" s="1"/>
  <c r="E84" i="1"/>
  <c r="E7" i="10" s="1"/>
  <c r="F84" i="1"/>
  <c r="F7" i="10" s="1"/>
  <c r="G84" i="1"/>
  <c r="G7" i="10" s="1"/>
  <c r="H84" i="1"/>
  <c r="H7" i="10" s="1"/>
  <c r="I84" i="1"/>
  <c r="I7" i="10" s="1"/>
  <c r="J84" i="1"/>
  <c r="J7" i="10" s="1"/>
  <c r="K84" i="1"/>
  <c r="K7" i="10" s="1"/>
  <c r="L84" i="1"/>
  <c r="C84" i="1"/>
  <c r="C7" i="10" s="1"/>
  <c r="C79" i="1"/>
  <c r="D79" i="1"/>
  <c r="E79" i="1"/>
  <c r="F79" i="1"/>
  <c r="G79" i="1"/>
  <c r="H79" i="1"/>
  <c r="I79" i="1"/>
  <c r="J79" i="1"/>
  <c r="K79" i="1"/>
  <c r="C80" i="1"/>
  <c r="D80" i="1"/>
  <c r="E80" i="1"/>
  <c r="F80" i="1"/>
  <c r="G80" i="1"/>
  <c r="H80" i="1"/>
  <c r="I80" i="1"/>
  <c r="J80" i="1"/>
  <c r="K80" i="1"/>
  <c r="G78" i="1"/>
  <c r="H78" i="1"/>
  <c r="I78" i="1"/>
  <c r="J78" i="1"/>
  <c r="K78" i="1"/>
  <c r="D78" i="1"/>
  <c r="E78" i="1"/>
  <c r="F78" i="1"/>
  <c r="L78" i="1"/>
  <c r="L79" i="1"/>
  <c r="L80" i="1"/>
  <c r="C78" i="1"/>
  <c r="D62" i="1"/>
  <c r="E62" i="1"/>
  <c r="F62" i="1"/>
  <c r="G62" i="1"/>
  <c r="H62" i="1"/>
  <c r="I62" i="1"/>
  <c r="J62" i="1"/>
  <c r="K62" i="1"/>
  <c r="L62" i="1"/>
  <c r="C62" i="1"/>
  <c r="D66" i="1"/>
  <c r="E66" i="1"/>
  <c r="F66" i="1"/>
  <c r="F31" i="7" s="1"/>
  <c r="G66" i="1"/>
  <c r="G31" i="7" s="1"/>
  <c r="H66" i="1"/>
  <c r="H31" i="7" s="1"/>
  <c r="I66" i="1"/>
  <c r="I31" i="7" s="1"/>
  <c r="J66" i="1"/>
  <c r="J31" i="7" s="1"/>
  <c r="K66" i="1"/>
  <c r="K31" i="7" s="1"/>
  <c r="L66" i="1"/>
  <c r="D67" i="1"/>
  <c r="E67" i="1"/>
  <c r="E33" i="7" s="1"/>
  <c r="F67" i="1"/>
  <c r="F33" i="7" s="1"/>
  <c r="G67" i="1"/>
  <c r="G33" i="7" s="1"/>
  <c r="H67" i="1"/>
  <c r="I67" i="1"/>
  <c r="I33" i="7" s="1"/>
  <c r="J67" i="1"/>
  <c r="J33" i="7" s="1"/>
  <c r="K67" i="1"/>
  <c r="K33" i="7" s="1"/>
  <c r="L67" i="1"/>
  <c r="L33" i="7" s="1"/>
  <c r="D68" i="1"/>
  <c r="E68" i="1"/>
  <c r="F68" i="1"/>
  <c r="G68" i="1"/>
  <c r="H68" i="1"/>
  <c r="I68" i="1"/>
  <c r="J68" i="1"/>
  <c r="K68" i="1"/>
  <c r="L68" i="1"/>
  <c r="C67" i="1"/>
  <c r="C68" i="1"/>
  <c r="C46" i="7" s="1"/>
  <c r="C66" i="1"/>
  <c r="D59" i="1"/>
  <c r="D34" i="7" s="1"/>
  <c r="E59" i="1"/>
  <c r="E34" i="7" s="1"/>
  <c r="F59" i="1"/>
  <c r="G59" i="1"/>
  <c r="G34" i="7" s="1"/>
  <c r="H59" i="1"/>
  <c r="H34" i="7" s="1"/>
  <c r="I59" i="1"/>
  <c r="I34" i="7" s="1"/>
  <c r="J59" i="1"/>
  <c r="J34" i="7" s="1"/>
  <c r="K59" i="1"/>
  <c r="L59" i="1"/>
  <c r="L34" i="7" s="1"/>
  <c r="D60" i="1"/>
  <c r="E60" i="1"/>
  <c r="F60" i="1"/>
  <c r="G60" i="1"/>
  <c r="H60" i="1"/>
  <c r="I60" i="1"/>
  <c r="J60" i="1"/>
  <c r="K60" i="1"/>
  <c r="L60" i="1"/>
  <c r="D61" i="1"/>
  <c r="E61" i="1"/>
  <c r="F61" i="1"/>
  <c r="G61" i="1"/>
  <c r="H61" i="1"/>
  <c r="I61" i="1"/>
  <c r="J61" i="1"/>
  <c r="K61" i="1"/>
  <c r="L61" i="1"/>
  <c r="C60" i="1"/>
  <c r="C61" i="1"/>
  <c r="C59" i="1"/>
  <c r="D53" i="1"/>
  <c r="E53" i="1"/>
  <c r="F53" i="1"/>
  <c r="G53" i="1"/>
  <c r="H53" i="1"/>
  <c r="I53" i="1"/>
  <c r="J53" i="1"/>
  <c r="K53" i="1"/>
  <c r="L53" i="1"/>
  <c r="D54" i="1"/>
  <c r="E54" i="1"/>
  <c r="F54" i="1"/>
  <c r="G54" i="1"/>
  <c r="H54" i="1"/>
  <c r="I54" i="1"/>
  <c r="J54" i="1"/>
  <c r="K54" i="1"/>
  <c r="L54" i="1"/>
  <c r="D55" i="1"/>
  <c r="E55" i="1"/>
  <c r="F55" i="1"/>
  <c r="G55" i="1"/>
  <c r="H55" i="1"/>
  <c r="I55" i="1"/>
  <c r="J55" i="1"/>
  <c r="K55" i="1"/>
  <c r="L55" i="1"/>
  <c r="D56" i="1"/>
  <c r="D24" i="9" s="1"/>
  <c r="E56" i="1"/>
  <c r="E24" i="9" s="1"/>
  <c r="F56" i="1"/>
  <c r="F24" i="9" s="1"/>
  <c r="G56" i="1"/>
  <c r="G24" i="9" s="1"/>
  <c r="H56" i="1"/>
  <c r="H24" i="9" s="1"/>
  <c r="I56" i="1"/>
  <c r="I24" i="9" s="1"/>
  <c r="J56" i="1"/>
  <c r="J24" i="9" s="1"/>
  <c r="K56" i="1"/>
  <c r="K24" i="9" s="1"/>
  <c r="L56" i="1"/>
  <c r="L24" i="9" s="1"/>
  <c r="C54" i="1"/>
  <c r="C55" i="1"/>
  <c r="C56" i="1"/>
  <c r="C24" i="9" s="1"/>
  <c r="C53" i="1"/>
  <c r="C21" i="9" s="1"/>
  <c r="D52" i="1"/>
  <c r="D20" i="9" s="1"/>
  <c r="E52" i="1"/>
  <c r="F52" i="1"/>
  <c r="F20" i="9" s="1"/>
  <c r="G52" i="1"/>
  <c r="G20" i="9" s="1"/>
  <c r="H52" i="1"/>
  <c r="I52" i="1"/>
  <c r="I20" i="9" s="1"/>
  <c r="J52" i="1"/>
  <c r="J20" i="9" s="1"/>
  <c r="K52" i="1"/>
  <c r="L52" i="1"/>
  <c r="L20" i="9" s="1"/>
  <c r="C52" i="1"/>
  <c r="M46" i="1"/>
  <c r="D46" i="1"/>
  <c r="E46" i="1"/>
  <c r="F46" i="1"/>
  <c r="G46" i="1"/>
  <c r="H46" i="1"/>
  <c r="H10" i="7" s="1"/>
  <c r="I46" i="1"/>
  <c r="J46" i="1"/>
  <c r="K46" i="1"/>
  <c r="L46" i="1"/>
  <c r="C41" i="1"/>
  <c r="C46" i="1" s="1"/>
  <c r="M35" i="1"/>
  <c r="D35" i="1"/>
  <c r="E35" i="1"/>
  <c r="F35" i="1"/>
  <c r="F16" i="9" s="1"/>
  <c r="G35" i="1"/>
  <c r="H35" i="1"/>
  <c r="I35" i="1"/>
  <c r="J35" i="1"/>
  <c r="K35" i="1"/>
  <c r="K16" i="9" s="1"/>
  <c r="L35" i="1"/>
  <c r="L16" i="9" s="1"/>
  <c r="C35" i="1"/>
  <c r="D9" i="1"/>
  <c r="E9" i="1"/>
  <c r="F9" i="1"/>
  <c r="F7" i="9" s="1"/>
  <c r="G9" i="1"/>
  <c r="G7" i="9" s="1"/>
  <c r="H9" i="1"/>
  <c r="H7" i="9" s="1"/>
  <c r="I9" i="1"/>
  <c r="J9" i="1"/>
  <c r="K9" i="1"/>
  <c r="L9" i="1"/>
  <c r="L7" i="9" s="1"/>
  <c r="C7" i="9"/>
  <c r="M23" i="1"/>
  <c r="M12" i="1"/>
  <c r="M20" i="1" s="1"/>
  <c r="D23" i="1"/>
  <c r="E23" i="1"/>
  <c r="F23" i="1"/>
  <c r="F12" i="9" s="1"/>
  <c r="G23" i="1"/>
  <c r="G12" i="9" s="1"/>
  <c r="H23" i="1"/>
  <c r="H12" i="9" s="1"/>
  <c r="I23" i="1"/>
  <c r="J23" i="1"/>
  <c r="K23" i="1"/>
  <c r="L23" i="1"/>
  <c r="L12" i="9" s="1"/>
  <c r="C23" i="1"/>
  <c r="D3" i="1"/>
  <c r="E3" i="1"/>
  <c r="F3" i="1"/>
  <c r="G3" i="1"/>
  <c r="H3" i="1"/>
  <c r="I3" i="1"/>
  <c r="J3" i="1"/>
  <c r="K3" i="1"/>
  <c r="L3" i="1"/>
  <c r="C3" i="1"/>
  <c r="B6" i="3"/>
  <c r="D35" i="23" s="1"/>
  <c r="Y35" i="23" s="1"/>
  <c r="E1" i="3"/>
  <c r="D46" i="7" l="1"/>
  <c r="L23" i="9"/>
  <c r="L32" i="7"/>
  <c r="L45" i="7"/>
  <c r="L46" i="7"/>
  <c r="D32" i="23"/>
  <c r="Y32" i="23" s="1"/>
  <c r="E32" i="7"/>
  <c r="E45" i="7"/>
  <c r="F21" i="9"/>
  <c r="C45" i="7"/>
  <c r="K45" i="7"/>
  <c r="K32" i="7"/>
  <c r="K39" i="7" s="1"/>
  <c r="K34" i="7"/>
  <c r="K46" i="7"/>
  <c r="H33" i="7"/>
  <c r="E31" i="7"/>
  <c r="E38" i="7" s="1"/>
  <c r="L22" i="9"/>
  <c r="Y33" i="23"/>
  <c r="J32" i="7"/>
  <c r="J45" i="7"/>
  <c r="J46" i="7"/>
  <c r="I45" i="7"/>
  <c r="I32" i="7"/>
  <c r="I39" i="7" s="1"/>
  <c r="I46" i="7"/>
  <c r="E46" i="7"/>
  <c r="H21" i="9"/>
  <c r="G21" i="9"/>
  <c r="G22" i="9"/>
  <c r="H23" i="9"/>
  <c r="H45" i="7"/>
  <c r="H32" i="7"/>
  <c r="E22" i="9"/>
  <c r="H46" i="7"/>
  <c r="D45" i="7"/>
  <c r="D32" i="7"/>
  <c r="D39" i="7" s="1"/>
  <c r="O46" i="7"/>
  <c r="G23" i="9"/>
  <c r="G45" i="7"/>
  <c r="G32" i="7"/>
  <c r="D22" i="9"/>
  <c r="G46" i="7"/>
  <c r="D33" i="7"/>
  <c r="D40" i="7" s="1"/>
  <c r="D31" i="7"/>
  <c r="D38" i="7" s="1"/>
  <c r="H20" i="9"/>
  <c r="F23" i="9"/>
  <c r="F45" i="7"/>
  <c r="F32" i="7"/>
  <c r="F39" i="7" s="1"/>
  <c r="L21" i="9"/>
  <c r="F34" i="7"/>
  <c r="F46" i="7"/>
  <c r="L31" i="7"/>
  <c r="I10" i="7"/>
  <c r="E10" i="7"/>
  <c r="D9" i="9"/>
  <c r="D6" i="9"/>
  <c r="D10" i="9"/>
  <c r="D14" i="9"/>
  <c r="J16" i="9"/>
  <c r="C6" i="9"/>
  <c r="C14" i="9"/>
  <c r="C9" i="9"/>
  <c r="C10" i="9"/>
  <c r="K12" i="9"/>
  <c r="K7" i="9"/>
  <c r="I16" i="9"/>
  <c r="E23" i="9"/>
  <c r="K21" i="9"/>
  <c r="C12" i="9"/>
  <c r="J12" i="9"/>
  <c r="J7" i="9"/>
  <c r="H16" i="9"/>
  <c r="D23" i="9"/>
  <c r="J21" i="9"/>
  <c r="L6" i="9"/>
  <c r="L14" i="9"/>
  <c r="L10" i="9"/>
  <c r="L9" i="9"/>
  <c r="I12" i="9"/>
  <c r="I7" i="9"/>
  <c r="G16" i="9"/>
  <c r="E20" i="9"/>
  <c r="I21" i="9"/>
  <c r="E10" i="9"/>
  <c r="E6" i="9"/>
  <c r="E14" i="9"/>
  <c r="E9" i="9"/>
  <c r="K6" i="9"/>
  <c r="K10" i="9"/>
  <c r="K14" i="9"/>
  <c r="K9" i="9"/>
  <c r="K22" i="9"/>
  <c r="J6" i="9"/>
  <c r="J14" i="9"/>
  <c r="J10" i="9"/>
  <c r="J9" i="9"/>
  <c r="E16" i="9"/>
  <c r="J22" i="9"/>
  <c r="I6" i="9"/>
  <c r="I10" i="9"/>
  <c r="I9" i="9"/>
  <c r="I14" i="9"/>
  <c r="D16" i="9"/>
  <c r="I22" i="9"/>
  <c r="H6" i="9"/>
  <c r="H10" i="9"/>
  <c r="H14" i="9"/>
  <c r="H9" i="9"/>
  <c r="E12" i="9"/>
  <c r="E7" i="9"/>
  <c r="C20" i="9"/>
  <c r="C23" i="9"/>
  <c r="K23" i="9"/>
  <c r="H22" i="9"/>
  <c r="E21" i="9"/>
  <c r="G6" i="9"/>
  <c r="G10" i="9"/>
  <c r="G14" i="9"/>
  <c r="G9" i="9"/>
  <c r="D12" i="9"/>
  <c r="D7" i="9"/>
  <c r="C22" i="9"/>
  <c r="J23" i="9"/>
  <c r="D21" i="9"/>
  <c r="F10" i="9"/>
  <c r="F6" i="9"/>
  <c r="F14" i="9"/>
  <c r="F9" i="9"/>
  <c r="M26" i="1"/>
  <c r="C16" i="9"/>
  <c r="L10" i="7"/>
  <c r="K20" i="9"/>
  <c r="I23" i="9"/>
  <c r="F22" i="9"/>
  <c r="H81" i="1"/>
  <c r="H48" i="7" s="1"/>
  <c r="L81" i="1"/>
  <c r="L14" i="10" s="1"/>
  <c r="F81" i="1"/>
  <c r="F14" i="10" s="1"/>
  <c r="L69" i="1"/>
  <c r="L44" i="7" s="1"/>
  <c r="D69" i="1"/>
  <c r="D44" i="7" s="1"/>
  <c r="G81" i="1"/>
  <c r="G14" i="10" s="1"/>
  <c r="C94" i="1"/>
  <c r="C15" i="10" s="1"/>
  <c r="F63" i="1"/>
  <c r="F69" i="1"/>
  <c r="F44" i="7" s="1"/>
  <c r="C63" i="1"/>
  <c r="I69" i="1"/>
  <c r="I44" i="7" s="1"/>
  <c r="E69" i="1"/>
  <c r="E44" i="7" s="1"/>
  <c r="K10" i="7"/>
  <c r="I81" i="1"/>
  <c r="J106" i="1"/>
  <c r="J17" i="10" s="1"/>
  <c r="K40" i="7"/>
  <c r="K35" i="7"/>
  <c r="K38" i="7"/>
  <c r="C81" i="1"/>
  <c r="I94" i="1"/>
  <c r="I15" i="10" s="1"/>
  <c r="L94" i="1"/>
  <c r="L15" i="10" s="1"/>
  <c r="K81" i="1"/>
  <c r="I40" i="7"/>
  <c r="I38" i="7"/>
  <c r="I35" i="7"/>
  <c r="J81" i="1"/>
  <c r="H35" i="7"/>
  <c r="H39" i="7"/>
  <c r="H38" i="7"/>
  <c r="H40" i="7"/>
  <c r="D18" i="1"/>
  <c r="D19" i="7" s="1"/>
  <c r="E94" i="1"/>
  <c r="E15" i="10" s="1"/>
  <c r="F38" i="7"/>
  <c r="F35" i="7"/>
  <c r="F40" i="7"/>
  <c r="D94" i="1"/>
  <c r="D15" i="10" s="1"/>
  <c r="F106" i="1"/>
  <c r="F17" i="10" s="1"/>
  <c r="M7" i="1"/>
  <c r="L38" i="7"/>
  <c r="L35" i="7"/>
  <c r="L40" i="7"/>
  <c r="L39" i="7"/>
  <c r="D81" i="1"/>
  <c r="J94" i="1"/>
  <c r="J15" i="10" s="1"/>
  <c r="J39" i="7"/>
  <c r="J38" i="7"/>
  <c r="J40" i="7"/>
  <c r="J35" i="7"/>
  <c r="H94" i="1"/>
  <c r="H15" i="10" s="1"/>
  <c r="K94" i="1"/>
  <c r="K15" i="10" s="1"/>
  <c r="G94" i="1"/>
  <c r="G15" i="10" s="1"/>
  <c r="I106" i="1"/>
  <c r="I17" i="10" s="1"/>
  <c r="F94" i="1"/>
  <c r="F15" i="10" s="1"/>
  <c r="H106" i="1"/>
  <c r="H17" i="10" s="1"/>
  <c r="D106" i="1"/>
  <c r="D17" i="10" s="1"/>
  <c r="L106" i="1"/>
  <c r="L17" i="10" s="1"/>
  <c r="G38" i="7"/>
  <c r="G40" i="7"/>
  <c r="G39" i="7"/>
  <c r="G35" i="7"/>
  <c r="G106" i="1"/>
  <c r="G17" i="10" s="1"/>
  <c r="K106" i="1"/>
  <c r="K17" i="10" s="1"/>
  <c r="E40" i="7"/>
  <c r="E39" i="7"/>
  <c r="E35" i="7"/>
  <c r="E106" i="1"/>
  <c r="E17" i="10" s="1"/>
  <c r="C106" i="1"/>
  <c r="C17" i="10" s="1"/>
  <c r="E81" i="1"/>
  <c r="C33" i="7"/>
  <c r="C31" i="7"/>
  <c r="C35" i="7"/>
  <c r="C34" i="7"/>
  <c r="C32" i="7"/>
  <c r="D35" i="7"/>
  <c r="E63" i="1"/>
  <c r="K69" i="1"/>
  <c r="K44" i="7" s="1"/>
  <c r="H69" i="1"/>
  <c r="H44" i="7" s="1"/>
  <c r="D10" i="7"/>
  <c r="D63" i="1"/>
  <c r="C69" i="1"/>
  <c r="C44" i="7" s="1"/>
  <c r="J69" i="1"/>
  <c r="J44" i="7" s="1"/>
  <c r="G69" i="1"/>
  <c r="G44" i="7" s="1"/>
  <c r="M21" i="1"/>
  <c r="M13" i="1"/>
  <c r="J10" i="7"/>
  <c r="G63" i="1"/>
  <c r="H63" i="1"/>
  <c r="L63" i="1"/>
  <c r="K63" i="1"/>
  <c r="G10" i="7"/>
  <c r="J63" i="1"/>
  <c r="F10" i="7"/>
  <c r="I63" i="1"/>
  <c r="G12" i="1"/>
  <c r="I12" i="1"/>
  <c r="H10" i="1"/>
  <c r="E24" i="1"/>
  <c r="E20" i="7" s="1"/>
  <c r="G10" i="1"/>
  <c r="C24" i="1"/>
  <c r="C20" i="7" s="1"/>
  <c r="G30" i="1"/>
  <c r="D24" i="1"/>
  <c r="D20" i="7" s="1"/>
  <c r="F24" i="1"/>
  <c r="F20" i="7" s="1"/>
  <c r="K12" i="1"/>
  <c r="J7" i="1"/>
  <c r="J5" i="7" s="1"/>
  <c r="H12" i="1"/>
  <c r="L24" i="1"/>
  <c r="L20" i="7" s="1"/>
  <c r="E12" i="1"/>
  <c r="C12" i="1"/>
  <c r="D10" i="1"/>
  <c r="G24" i="1"/>
  <c r="G20" i="7" s="1"/>
  <c r="I10" i="1"/>
  <c r="J10" i="1"/>
  <c r="J18" i="1"/>
  <c r="J19" i="7" s="1"/>
  <c r="F30" i="1"/>
  <c r="M24" i="1"/>
  <c r="E18" i="1"/>
  <c r="E19" i="7" s="1"/>
  <c r="K24" i="1"/>
  <c r="K20" i="7" s="1"/>
  <c r="I7" i="1"/>
  <c r="I5" i="7" s="1"/>
  <c r="I18" i="1"/>
  <c r="I19" i="7" s="1"/>
  <c r="I24" i="1"/>
  <c r="I20" i="7" s="1"/>
  <c r="C10" i="1"/>
  <c r="K10" i="1"/>
  <c r="I30" i="1"/>
  <c r="H7" i="1"/>
  <c r="H5" i="7" s="1"/>
  <c r="F18" i="1"/>
  <c r="F19" i="7" s="1"/>
  <c r="C30" i="1"/>
  <c r="J12" i="1"/>
  <c r="J24" i="1"/>
  <c r="J20" i="7" s="1"/>
  <c r="H24" i="1"/>
  <c r="H20" i="7" s="1"/>
  <c r="L12" i="1"/>
  <c r="K18" i="1"/>
  <c r="K19" i="7" s="1"/>
  <c r="D7" i="1"/>
  <c r="D5" i="7" s="1"/>
  <c r="E30" i="1"/>
  <c r="D30" i="1"/>
  <c r="G7" i="1"/>
  <c r="G5" i="7" s="1"/>
  <c r="C18" i="1"/>
  <c r="C19" i="7" s="1"/>
  <c r="L7" i="1"/>
  <c r="L5" i="7" s="1"/>
  <c r="F12" i="1"/>
  <c r="F10" i="1"/>
  <c r="L18" i="1"/>
  <c r="L19" i="7" s="1"/>
  <c r="F7" i="1"/>
  <c r="F5" i="7" s="1"/>
  <c r="E7" i="1"/>
  <c r="E5" i="7" s="1"/>
  <c r="D12" i="1"/>
  <c r="E10" i="1"/>
  <c r="H30" i="1"/>
  <c r="G18" i="1"/>
  <c r="G19" i="7" s="1"/>
  <c r="M30" i="1"/>
  <c r="M10" i="1"/>
  <c r="L30" i="1"/>
  <c r="K30" i="1"/>
  <c r="J30" i="1"/>
  <c r="H18" i="1"/>
  <c r="H19" i="7" s="1"/>
  <c r="K7" i="1"/>
  <c r="K5" i="7" s="1"/>
  <c r="L10" i="1"/>
  <c r="M18" i="1"/>
  <c r="N46" i="7" l="1"/>
  <c r="G19" i="10"/>
  <c r="O44" i="7"/>
  <c r="N44" i="7"/>
  <c r="I5" i="10"/>
  <c r="I9" i="10" s="1"/>
  <c r="I14" i="10"/>
  <c r="I19" i="10" s="1"/>
  <c r="H51" i="7"/>
  <c r="F19" i="10"/>
  <c r="J5" i="10"/>
  <c r="J9" i="10" s="1"/>
  <c r="J14" i="10"/>
  <c r="J19" i="10" s="1"/>
  <c r="O45" i="7"/>
  <c r="N45" i="7"/>
  <c r="E5" i="10"/>
  <c r="E9" i="10" s="1"/>
  <c r="E14" i="10"/>
  <c r="E19" i="10" s="1"/>
  <c r="L19" i="10"/>
  <c r="K5" i="10"/>
  <c r="K9" i="10" s="1"/>
  <c r="K14" i="10"/>
  <c r="K19" i="10" s="1"/>
  <c r="H5" i="10"/>
  <c r="H9" i="10" s="1"/>
  <c r="H14" i="10"/>
  <c r="H19" i="10" s="1"/>
  <c r="D5" i="10"/>
  <c r="D9" i="10" s="1"/>
  <c r="D14" i="10"/>
  <c r="D19" i="10" s="1"/>
  <c r="C5" i="10"/>
  <c r="C14" i="10"/>
  <c r="C19" i="10" s="1"/>
  <c r="L41" i="7"/>
  <c r="N10" i="7"/>
  <c r="O10" i="7"/>
  <c r="C8" i="9"/>
  <c r="C20" i="1"/>
  <c r="C24" i="7" s="1"/>
  <c r="I8" i="9"/>
  <c r="I20" i="1"/>
  <c r="I28" i="7" s="1"/>
  <c r="M32" i="1"/>
  <c r="M33" i="1" s="1"/>
  <c r="M27" i="1"/>
  <c r="L20" i="1"/>
  <c r="L8" i="9"/>
  <c r="G20" i="1"/>
  <c r="G24" i="7" s="1"/>
  <c r="G8" i="9"/>
  <c r="J8" i="9"/>
  <c r="J20" i="1"/>
  <c r="J24" i="7" s="1"/>
  <c r="K8" i="9"/>
  <c r="K20" i="1"/>
  <c r="K24" i="7" s="1"/>
  <c r="F8" i="9"/>
  <c r="F20" i="1"/>
  <c r="L71" i="1"/>
  <c r="L50" i="7" s="1"/>
  <c r="L30" i="9"/>
  <c r="F30" i="9"/>
  <c r="D20" i="1"/>
  <c r="D8" i="9"/>
  <c r="E8" i="9"/>
  <c r="E20" i="1"/>
  <c r="H8" i="9"/>
  <c r="H20" i="1"/>
  <c r="H24" i="7" s="1"/>
  <c r="K30" i="9"/>
  <c r="F51" i="7"/>
  <c r="F5" i="10"/>
  <c r="F9" i="10" s="1"/>
  <c r="L51" i="7"/>
  <c r="L5" i="10"/>
  <c r="G48" i="7"/>
  <c r="G5" i="10"/>
  <c r="G9" i="10" s="1"/>
  <c r="L48" i="7"/>
  <c r="J71" i="1"/>
  <c r="D71" i="1"/>
  <c r="G108" i="1"/>
  <c r="C108" i="1"/>
  <c r="I13" i="1"/>
  <c r="I13" i="7" s="1"/>
  <c r="F108" i="1"/>
  <c r="C71" i="1"/>
  <c r="C34" i="9" s="1"/>
  <c r="J108" i="1"/>
  <c r="E108" i="1"/>
  <c r="G51" i="7"/>
  <c r="G41" i="7"/>
  <c r="F48" i="7"/>
  <c r="K41" i="7"/>
  <c r="G71" i="1"/>
  <c r="G30" i="9" s="1"/>
  <c r="F71" i="1"/>
  <c r="F34" i="9" s="1"/>
  <c r="E71" i="1"/>
  <c r="E30" i="9" s="1"/>
  <c r="D41" i="7"/>
  <c r="L108" i="1"/>
  <c r="I71" i="1"/>
  <c r="I34" i="9" s="1"/>
  <c r="H108" i="1"/>
  <c r="C40" i="7"/>
  <c r="N33" i="7"/>
  <c r="O33" i="7"/>
  <c r="N20" i="7"/>
  <c r="J41" i="7"/>
  <c r="K108" i="1"/>
  <c r="K51" i="7"/>
  <c r="K48" i="7"/>
  <c r="E41" i="7"/>
  <c r="C39" i="7"/>
  <c r="N32" i="7"/>
  <c r="O32" i="7"/>
  <c r="C51" i="7"/>
  <c r="C48" i="7"/>
  <c r="G50" i="7"/>
  <c r="E48" i="7"/>
  <c r="E51" i="7"/>
  <c r="H13" i="1"/>
  <c r="H13" i="7" s="1"/>
  <c r="G13" i="1"/>
  <c r="G13" i="7" s="1"/>
  <c r="I41" i="7"/>
  <c r="J13" i="1"/>
  <c r="J13" i="7" s="1"/>
  <c r="D108" i="1"/>
  <c r="D51" i="7"/>
  <c r="D48" i="7"/>
  <c r="K71" i="1"/>
  <c r="H71" i="1"/>
  <c r="H34" i="9" s="1"/>
  <c r="O34" i="7"/>
  <c r="N34" i="7"/>
  <c r="H41" i="7"/>
  <c r="E13" i="1"/>
  <c r="E13" i="7" s="1"/>
  <c r="L13" i="1"/>
  <c r="L13" i="7" s="1"/>
  <c r="F41" i="7"/>
  <c r="I108" i="1"/>
  <c r="I51" i="7"/>
  <c r="I48" i="7"/>
  <c r="F13" i="1"/>
  <c r="F13" i="7" s="1"/>
  <c r="K13" i="1"/>
  <c r="K13" i="7" s="1"/>
  <c r="O35" i="7"/>
  <c r="N35" i="7"/>
  <c r="D13" i="1"/>
  <c r="D13" i="7" s="1"/>
  <c r="C13" i="1"/>
  <c r="C13" i="7" s="1"/>
  <c r="O20" i="7"/>
  <c r="C38" i="7"/>
  <c r="O31" i="7"/>
  <c r="N31" i="7"/>
  <c r="J51" i="7"/>
  <c r="J48" i="7"/>
  <c r="N19" i="7"/>
  <c r="O19" i="7"/>
  <c r="O5" i="7"/>
  <c r="N5" i="7"/>
  <c r="L9" i="10" l="1"/>
  <c r="M5" i="10"/>
  <c r="N5" i="10" s="1"/>
  <c r="O5" i="10" s="1"/>
  <c r="P5" i="10" s="1"/>
  <c r="Q5" i="10" s="1"/>
  <c r="H18" i="28"/>
  <c r="H17" i="28" s="1"/>
  <c r="H20" i="28" s="1"/>
  <c r="F18" i="28"/>
  <c r="F17" i="28" s="1"/>
  <c r="F20" i="28" s="1"/>
  <c r="G18" i="28"/>
  <c r="G17" i="28" s="1"/>
  <c r="G20" i="28" s="1"/>
  <c r="D6" i="7"/>
  <c r="D24" i="7"/>
  <c r="D21" i="1"/>
  <c r="D14" i="7" s="1"/>
  <c r="G34" i="9"/>
  <c r="L26" i="1"/>
  <c r="L11" i="9"/>
  <c r="D73" i="1"/>
  <c r="D35" i="9"/>
  <c r="D32" i="9"/>
  <c r="D29" i="9"/>
  <c r="D26" i="9"/>
  <c r="D31" i="9"/>
  <c r="D27" i="9"/>
  <c r="D33" i="9"/>
  <c r="D28" i="9"/>
  <c r="E26" i="1"/>
  <c r="E11" i="9"/>
  <c r="J73" i="1"/>
  <c r="J35" i="9"/>
  <c r="J32" i="9"/>
  <c r="J27" i="9"/>
  <c r="J31" i="9"/>
  <c r="J26" i="9"/>
  <c r="J33" i="9"/>
  <c r="J28" i="9"/>
  <c r="J29" i="9"/>
  <c r="D34" i="9"/>
  <c r="L24" i="7"/>
  <c r="I26" i="1"/>
  <c r="I11" i="9"/>
  <c r="D26" i="1"/>
  <c r="D11" i="9"/>
  <c r="J26" i="1"/>
  <c r="J11" i="9"/>
  <c r="E21" i="1"/>
  <c r="E14" i="7" s="1"/>
  <c r="D28" i="7"/>
  <c r="E24" i="7"/>
  <c r="I73" i="1"/>
  <c r="I35" i="9"/>
  <c r="I27" i="9"/>
  <c r="I28" i="9"/>
  <c r="I29" i="9"/>
  <c r="I31" i="9"/>
  <c r="I26" i="9"/>
  <c r="I33" i="9"/>
  <c r="I32" i="9"/>
  <c r="C26" i="1"/>
  <c r="C11" i="9"/>
  <c r="L21" i="1"/>
  <c r="L14" i="7" s="1"/>
  <c r="J30" i="9"/>
  <c r="C73" i="1"/>
  <c r="C35" i="9"/>
  <c r="C28" i="9"/>
  <c r="C26" i="9"/>
  <c r="C27" i="9"/>
  <c r="C31" i="9"/>
  <c r="C33" i="9"/>
  <c r="C32" i="9"/>
  <c r="C29" i="9"/>
  <c r="J34" i="9"/>
  <c r="C30" i="9"/>
  <c r="I30" i="9"/>
  <c r="G73" i="1"/>
  <c r="G35" i="9"/>
  <c r="G32" i="9"/>
  <c r="G28" i="9"/>
  <c r="G26" i="9"/>
  <c r="G33" i="9"/>
  <c r="G29" i="9"/>
  <c r="G31" i="9"/>
  <c r="G27" i="9"/>
  <c r="F26" i="1"/>
  <c r="F11" i="9"/>
  <c r="L28" i="7"/>
  <c r="D30" i="9"/>
  <c r="K26" i="1"/>
  <c r="K11" i="9"/>
  <c r="H11" i="9"/>
  <c r="H26" i="1"/>
  <c r="F24" i="7"/>
  <c r="H35" i="9"/>
  <c r="H31" i="9"/>
  <c r="H29" i="9"/>
  <c r="H26" i="9"/>
  <c r="H33" i="9"/>
  <c r="H28" i="9"/>
  <c r="H27" i="9"/>
  <c r="H32" i="9"/>
  <c r="E73" i="1"/>
  <c r="E35" i="9"/>
  <c r="E26" i="9"/>
  <c r="E33" i="9"/>
  <c r="E32" i="9"/>
  <c r="E27" i="9"/>
  <c r="E29" i="9"/>
  <c r="E28" i="9"/>
  <c r="E31" i="9"/>
  <c r="I24" i="7"/>
  <c r="L73" i="1"/>
  <c r="L35" i="9"/>
  <c r="L32" i="9"/>
  <c r="L33" i="9"/>
  <c r="L31" i="9"/>
  <c r="L29" i="9"/>
  <c r="L27" i="9"/>
  <c r="L28" i="9"/>
  <c r="L26" i="9"/>
  <c r="G26" i="1"/>
  <c r="G11" i="9"/>
  <c r="H30" i="9"/>
  <c r="K73" i="1"/>
  <c r="K35" i="9"/>
  <c r="K28" i="9"/>
  <c r="K26" i="9"/>
  <c r="K33" i="9"/>
  <c r="K31" i="9"/>
  <c r="K29" i="9"/>
  <c r="K32" i="9"/>
  <c r="K27" i="9"/>
  <c r="F73" i="1"/>
  <c r="F35" i="9"/>
  <c r="F26" i="9"/>
  <c r="F31" i="9"/>
  <c r="F29" i="9"/>
  <c r="F27" i="9"/>
  <c r="F28" i="9"/>
  <c r="F32" i="9"/>
  <c r="F33" i="9"/>
  <c r="L34" i="9"/>
  <c r="E34" i="9"/>
  <c r="K34" i="9"/>
  <c r="J50" i="7"/>
  <c r="E50" i="7"/>
  <c r="C50" i="7"/>
  <c r="I21" i="1"/>
  <c r="I14" i="7" s="1"/>
  <c r="D50" i="7"/>
  <c r="M38" i="1"/>
  <c r="M39" i="1" s="1"/>
  <c r="M36" i="1"/>
  <c r="J28" i="7"/>
  <c r="J6" i="7"/>
  <c r="J21" i="1"/>
  <c r="J14" i="7" s="1"/>
  <c r="C21" i="1"/>
  <c r="C14" i="7" s="1"/>
  <c r="E6" i="7"/>
  <c r="E28" i="7"/>
  <c r="K6" i="7"/>
  <c r="K21" i="1"/>
  <c r="K14" i="7" s="1"/>
  <c r="G21" i="1"/>
  <c r="G14" i="7" s="1"/>
  <c r="F21" i="1"/>
  <c r="F14" i="7" s="1"/>
  <c r="L6" i="7"/>
  <c r="K28" i="7"/>
  <c r="I50" i="7"/>
  <c r="F28" i="7"/>
  <c r="F50" i="7"/>
  <c r="O39" i="7"/>
  <c r="C41" i="7"/>
  <c r="N39" i="7"/>
  <c r="O38" i="7"/>
  <c r="N38" i="7"/>
  <c r="I6" i="7"/>
  <c r="O48" i="7"/>
  <c r="N48" i="7"/>
  <c r="O13" i="7"/>
  <c r="F6" i="7"/>
  <c r="H21" i="1"/>
  <c r="H14" i="7" s="1"/>
  <c r="H28" i="7"/>
  <c r="N13" i="7"/>
  <c r="O51" i="7"/>
  <c r="N51" i="7"/>
  <c r="H6" i="7"/>
  <c r="G28" i="7"/>
  <c r="H73" i="1"/>
  <c r="H50" i="7"/>
  <c r="K50" i="7"/>
  <c r="C28" i="7"/>
  <c r="G6" i="7"/>
  <c r="N40" i="7"/>
  <c r="O40" i="7"/>
  <c r="G21" i="28" l="1"/>
  <c r="G26" i="28"/>
  <c r="F21" i="28"/>
  <c r="F26" i="28"/>
  <c r="H26" i="28"/>
  <c r="H21" i="28"/>
  <c r="O24" i="7"/>
  <c r="N24" i="7"/>
  <c r="K13" i="9"/>
  <c r="K27" i="1"/>
  <c r="K15" i="7" s="1"/>
  <c r="K21" i="7" s="1"/>
  <c r="K32" i="1"/>
  <c r="K38" i="1" s="1"/>
  <c r="K49" i="7" s="1"/>
  <c r="I27" i="1"/>
  <c r="I15" i="7" s="1"/>
  <c r="I21" i="7" s="1"/>
  <c r="I13" i="9"/>
  <c r="I32" i="1"/>
  <c r="L13" i="9"/>
  <c r="L27" i="1"/>
  <c r="L15" i="7" s="1"/>
  <c r="L21" i="7" s="1"/>
  <c r="L32" i="1"/>
  <c r="L15" i="9" s="1"/>
  <c r="E13" i="9"/>
  <c r="E32" i="1"/>
  <c r="E33" i="1" s="1"/>
  <c r="E16" i="7" s="1"/>
  <c r="E27" i="1"/>
  <c r="E15" i="7" s="1"/>
  <c r="E21" i="7" s="1"/>
  <c r="G32" i="1"/>
  <c r="G33" i="1" s="1"/>
  <c r="G16" i="7" s="1"/>
  <c r="G13" i="9"/>
  <c r="G27" i="1"/>
  <c r="G15" i="7" s="1"/>
  <c r="G21" i="7" s="1"/>
  <c r="F13" i="9"/>
  <c r="F32" i="1"/>
  <c r="F38" i="1" s="1"/>
  <c r="F49" i="7" s="1"/>
  <c r="F27" i="1"/>
  <c r="F15" i="7" s="1"/>
  <c r="F21" i="7" s="1"/>
  <c r="C13" i="9"/>
  <c r="C27" i="1"/>
  <c r="C15" i="7" s="1"/>
  <c r="C21" i="7" s="1"/>
  <c r="C32" i="1"/>
  <c r="J27" i="1"/>
  <c r="J15" i="7" s="1"/>
  <c r="J21" i="7" s="1"/>
  <c r="J13" i="9"/>
  <c r="J32" i="1"/>
  <c r="H32" i="1"/>
  <c r="H36" i="1" s="1"/>
  <c r="H13" i="9"/>
  <c r="H27" i="1"/>
  <c r="H15" i="7" s="1"/>
  <c r="H21" i="7" s="1"/>
  <c r="D32" i="1"/>
  <c r="D13" i="9"/>
  <c r="D27" i="1"/>
  <c r="D15" i="7" s="1"/>
  <c r="D21" i="7" s="1"/>
  <c r="M43" i="1"/>
  <c r="M47" i="1" s="1"/>
  <c r="N28" i="7"/>
  <c r="N14" i="7"/>
  <c r="O50" i="7"/>
  <c r="O14" i="7"/>
  <c r="O6" i="7"/>
  <c r="N50" i="7"/>
  <c r="O28" i="7"/>
  <c r="N6" i="7"/>
  <c r="N41" i="7"/>
  <c r="O41" i="7"/>
  <c r="F36" i="1" l="1"/>
  <c r="H32" i="28"/>
  <c r="H27" i="28"/>
  <c r="F27" i="28"/>
  <c r="F32" i="28"/>
  <c r="G27" i="28"/>
  <c r="G32" i="28"/>
  <c r="L33" i="1"/>
  <c r="L16" i="7" s="1"/>
  <c r="J7" i="7"/>
  <c r="F7" i="7"/>
  <c r="E36" i="1"/>
  <c r="O21" i="7"/>
  <c r="L38" i="1"/>
  <c r="L49" i="7" s="1"/>
  <c r="K26" i="7"/>
  <c r="K17" i="9"/>
  <c r="K39" i="1"/>
  <c r="K17" i="7" s="1"/>
  <c r="D15" i="9"/>
  <c r="D38" i="1"/>
  <c r="D33" i="1"/>
  <c r="D16" i="7" s="1"/>
  <c r="D36" i="1"/>
  <c r="L7" i="7"/>
  <c r="H15" i="9"/>
  <c r="H33" i="1"/>
  <c r="H16" i="7" s="1"/>
  <c r="G15" i="9"/>
  <c r="G36" i="1"/>
  <c r="N21" i="7"/>
  <c r="G38" i="1"/>
  <c r="G49" i="7" s="1"/>
  <c r="J15" i="9"/>
  <c r="J33" i="1"/>
  <c r="J16" i="7" s="1"/>
  <c r="K7" i="7"/>
  <c r="E15" i="9"/>
  <c r="E38" i="1"/>
  <c r="E49" i="7" s="1"/>
  <c r="J36" i="1"/>
  <c r="K36" i="1"/>
  <c r="G7" i="7"/>
  <c r="C15" i="9"/>
  <c r="C38" i="1"/>
  <c r="C49" i="7" s="1"/>
  <c r="I7" i="7"/>
  <c r="C33" i="1"/>
  <c r="C16" i="7" s="1"/>
  <c r="N15" i="7"/>
  <c r="L36" i="1"/>
  <c r="E14" i="11" s="1"/>
  <c r="E15" i="11" s="1"/>
  <c r="K27" i="11" s="1"/>
  <c r="K30" i="11" s="1"/>
  <c r="Y16" i="23" s="1"/>
  <c r="Y21" i="23" s="1"/>
  <c r="O15" i="7"/>
  <c r="F26" i="7"/>
  <c r="F17" i="9"/>
  <c r="C36" i="1"/>
  <c r="I15" i="9"/>
  <c r="I33" i="1"/>
  <c r="I16" i="7" s="1"/>
  <c r="I38" i="1"/>
  <c r="I49" i="7" s="1"/>
  <c r="I36" i="1"/>
  <c r="H38" i="1"/>
  <c r="D7" i="7"/>
  <c r="F15" i="9"/>
  <c r="F33" i="1"/>
  <c r="F16" i="7" s="1"/>
  <c r="K15" i="9"/>
  <c r="K33" i="1"/>
  <c r="K16" i="7" s="1"/>
  <c r="H7" i="7"/>
  <c r="E7" i="7"/>
  <c r="J38" i="1"/>
  <c r="K43" i="1"/>
  <c r="M49" i="1"/>
  <c r="F43" i="1"/>
  <c r="F39" i="1"/>
  <c r="F17" i="7" s="1"/>
  <c r="G33" i="28" l="1"/>
  <c r="G35" i="28"/>
  <c r="G38" i="28" s="1"/>
  <c r="F38" i="28"/>
  <c r="F33" i="28"/>
  <c r="H35" i="28"/>
  <c r="H38" i="28" s="1"/>
  <c r="H33" i="28"/>
  <c r="D49" i="7"/>
  <c r="Q21" i="7"/>
  <c r="L39" i="1"/>
  <c r="L17" i="7" s="1"/>
  <c r="L26" i="7"/>
  <c r="C5" i="11" s="1"/>
  <c r="H8" i="7"/>
  <c r="H49" i="7"/>
  <c r="L8" i="7"/>
  <c r="J39" i="1"/>
  <c r="J17" i="7" s="1"/>
  <c r="J49" i="7"/>
  <c r="K47" i="1"/>
  <c r="K49" i="1" s="1"/>
  <c r="K25" i="7" s="1"/>
  <c r="K27" i="7" s="1"/>
  <c r="F47" i="1"/>
  <c r="F49" i="1" s="1"/>
  <c r="F25" i="7" s="1"/>
  <c r="F27" i="7" s="1"/>
  <c r="N7" i="7"/>
  <c r="J43" i="1"/>
  <c r="N16" i="7"/>
  <c r="L17" i="9"/>
  <c r="K8" i="7"/>
  <c r="H26" i="7"/>
  <c r="O16" i="7"/>
  <c r="L43" i="1"/>
  <c r="L9" i="7" s="1"/>
  <c r="D26" i="7"/>
  <c r="D17" i="9"/>
  <c r="D8" i="7"/>
  <c r="D43" i="1"/>
  <c r="D39" i="1"/>
  <c r="D17" i="7" s="1"/>
  <c r="O7" i="7"/>
  <c r="C26" i="7"/>
  <c r="C17" i="9"/>
  <c r="C39" i="1"/>
  <c r="C17" i="7" s="1"/>
  <c r="C43" i="1"/>
  <c r="C47" i="1" s="1"/>
  <c r="C49" i="1" s="1"/>
  <c r="C25" i="7" s="1"/>
  <c r="G26" i="7"/>
  <c r="G17" i="9"/>
  <c r="G43" i="1"/>
  <c r="G39" i="1"/>
  <c r="G17" i="7" s="1"/>
  <c r="H39" i="1"/>
  <c r="H17" i="7" s="1"/>
  <c r="H17" i="9"/>
  <c r="E26" i="7"/>
  <c r="E17" i="9"/>
  <c r="E8" i="7"/>
  <c r="E43" i="1"/>
  <c r="F9" i="7" s="1"/>
  <c r="E39" i="1"/>
  <c r="E17" i="7" s="1"/>
  <c r="F8" i="7"/>
  <c r="I8" i="7"/>
  <c r="J26" i="7"/>
  <c r="J17" i="9"/>
  <c r="H43" i="1"/>
  <c r="I17" i="9"/>
  <c r="I39" i="1"/>
  <c r="I17" i="7" s="1"/>
  <c r="I43" i="1"/>
  <c r="I26" i="7"/>
  <c r="J8" i="7"/>
  <c r="G8" i="7"/>
  <c r="H43" i="28" l="1"/>
  <c r="H39" i="28"/>
  <c r="G43" i="28"/>
  <c r="G39" i="28"/>
  <c r="C27" i="7"/>
  <c r="F43" i="28"/>
  <c r="F39" i="28"/>
  <c r="O49" i="7"/>
  <c r="N49" i="7"/>
  <c r="L44" i="1"/>
  <c r="G47" i="1"/>
  <c r="G49" i="1" s="1"/>
  <c r="G25" i="7" s="1"/>
  <c r="G27" i="7" s="1"/>
  <c r="G9" i="7"/>
  <c r="G44" i="1"/>
  <c r="H47" i="1"/>
  <c r="H49" i="1" s="1"/>
  <c r="H25" i="7" s="1"/>
  <c r="H27" i="7" s="1"/>
  <c r="H9" i="7"/>
  <c r="J47" i="1"/>
  <c r="J49" i="1" s="1"/>
  <c r="J25" i="7" s="1"/>
  <c r="J27" i="7" s="1"/>
  <c r="J9" i="7"/>
  <c r="K44" i="1"/>
  <c r="K9" i="7"/>
  <c r="I47" i="1"/>
  <c r="I49" i="1" s="1"/>
  <c r="I25" i="7" s="1"/>
  <c r="I27" i="7" s="1"/>
  <c r="I9" i="7"/>
  <c r="D9" i="7"/>
  <c r="E9" i="7"/>
  <c r="O8" i="7"/>
  <c r="I44" i="1"/>
  <c r="N8" i="7"/>
  <c r="O17" i="7"/>
  <c r="L47" i="1"/>
  <c r="L49" i="1" s="1"/>
  <c r="L25" i="7" s="1"/>
  <c r="M44" i="1"/>
  <c r="O26" i="7"/>
  <c r="E47" i="1"/>
  <c r="E49" i="1" s="1"/>
  <c r="E25" i="7" s="1"/>
  <c r="E27" i="7" s="1"/>
  <c r="E44" i="1"/>
  <c r="D47" i="1"/>
  <c r="D49" i="1" s="1"/>
  <c r="D25" i="7" s="1"/>
  <c r="D27" i="7" s="1"/>
  <c r="D44" i="1"/>
  <c r="N17" i="7"/>
  <c r="J44" i="1"/>
  <c r="N26" i="7"/>
  <c r="F44" i="1"/>
  <c r="H44" i="1"/>
  <c r="T32" i="12" l="1"/>
  <c r="K4" i="11"/>
  <c r="F47" i="28"/>
  <c r="F49" i="28" s="1"/>
  <c r="F44" i="28"/>
  <c r="G44" i="28"/>
  <c r="G47" i="28"/>
  <c r="G49" i="28" s="1"/>
  <c r="H47" i="28"/>
  <c r="H49" i="28" s="1"/>
  <c r="H44" i="28"/>
  <c r="AA12" i="23"/>
  <c r="O9" i="7"/>
  <c r="N9" i="7"/>
  <c r="L27" i="7"/>
  <c r="O27" i="7" s="1"/>
  <c r="B5" i="11"/>
  <c r="D5" i="11" s="1"/>
  <c r="O25" i="7"/>
  <c r="N25" i="7"/>
  <c r="N27" i="7" l="1"/>
  <c r="K5" i="11"/>
  <c r="K6" i="11" s="1"/>
  <c r="S37" i="12"/>
  <c r="W32" i="12"/>
  <c r="AB12" i="23"/>
  <c r="C9" i="10"/>
  <c r="S40" i="12" l="1"/>
  <c r="V32" i="12"/>
  <c r="AC12" i="23"/>
  <c r="Q37" i="12"/>
  <c r="Q40" i="12" l="1"/>
  <c r="AD8" i="23"/>
  <c r="AD12" i="23" s="1"/>
  <c r="AE8" i="23" l="1"/>
  <c r="Y20" i="23" l="1"/>
  <c r="Y24" i="23" s="1"/>
  <c r="Y29" i="23" s="1"/>
  <c r="AE12" i="23"/>
  <c r="Y28" i="23" s="1"/>
  <c r="AF8" i="23"/>
  <c r="AF12" i="23" s="1"/>
  <c r="Y30" i="23" l="1"/>
  <c r="AA19" i="23" s="1"/>
  <c r="AG8" i="23"/>
  <c r="AG12" i="23" s="1"/>
  <c r="Y34" i="23" l="1"/>
  <c r="Y37" i="23" s="1"/>
  <c r="Y40" i="23" s="1"/>
  <c r="AH8" i="23"/>
  <c r="AH12" i="23" s="1"/>
  <c r="AI8" i="23" l="1"/>
  <c r="AI12" i="23" s="1"/>
  <c r="AJ8" i="23" l="1"/>
  <c r="AJ12" i="23" s="1"/>
  <c r="AK8" i="23" l="1"/>
  <c r="AK12" i="23" s="1"/>
  <c r="AL8" i="23" l="1"/>
  <c r="AL12" i="23" s="1"/>
  <c r="AM8" i="23" l="1"/>
  <c r="AM12" i="23" s="1"/>
  <c r="AO8" i="23" l="1"/>
  <c r="AO12" i="23" s="1"/>
  <c r="AN8" i="23"/>
  <c r="AN12" i="23" s="1"/>
  <c r="I12" i="23" l="1"/>
  <c r="J12" i="23"/>
  <c r="N21" i="23" s="1"/>
  <c r="H12" i="23"/>
  <c r="K8" i="23"/>
  <c r="K12" i="23" s="1"/>
  <c r="L8" i="23"/>
  <c r="L12" i="23" s="1"/>
  <c r="N17" i="23"/>
  <c r="O17" i="23" s="1"/>
  <c r="G12" i="23"/>
  <c r="M17" i="23"/>
  <c r="F12" i="23" s="1"/>
  <c r="M8" i="23" l="1"/>
  <c r="N8" i="23" s="1"/>
  <c r="N12" i="23"/>
  <c r="O8" i="23"/>
  <c r="M12" i="23"/>
  <c r="M21" i="23"/>
  <c r="O21" i="23" s="1"/>
  <c r="D28" i="23"/>
  <c r="D20" i="23" l="1"/>
  <c r="D24" i="23" s="1"/>
  <c r="D29" i="23" s="1"/>
  <c r="D30" i="23" s="1"/>
  <c r="D34" i="23" s="1"/>
  <c r="D37" i="23" s="1"/>
  <c r="O12" i="23"/>
  <c r="D40" i="23" l="1"/>
  <c r="F27"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Navin Jangid </author>
  </authors>
  <commentList>
    <comment ref="B27" authorId="0" shapeId="0" xr:uid="{1D5C801B-E448-4019-A082-71402097FA1A}">
      <text>
        <r>
          <rPr>
            <b/>
            <sz val="9"/>
            <color indexed="81"/>
            <rFont val="Tahoma"/>
            <family val="2"/>
          </rPr>
          <t>Navin Jangid :</t>
        </r>
        <r>
          <rPr>
            <sz val="9"/>
            <color indexed="81"/>
            <rFont val="Tahoma"/>
            <family val="2"/>
          </rPr>
          <t xml:space="preserve">
Maximum growth without additional finance through equity and debt.</t>
        </r>
      </text>
    </comment>
    <comment ref="B41" authorId="0" shapeId="0" xr:uid="{9F6B20D2-3F70-44FA-9E95-2E87A86032FC}">
      <text>
        <r>
          <rPr>
            <b/>
            <sz val="9"/>
            <color indexed="81"/>
            <rFont val="Tahoma"/>
            <family val="2"/>
          </rPr>
          <t>Navin Jangid :</t>
        </r>
        <r>
          <rPr>
            <sz val="9"/>
            <color indexed="81"/>
            <rFont val="Tahoma"/>
            <family val="2"/>
          </rPr>
          <t xml:space="preserve">
Close Link to Liquidity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xml:space="preserve">Navin Jangid </author>
  </authors>
  <commentList>
    <comment ref="E5" authorId="0" shapeId="0" xr:uid="{BBFA50D5-A4A6-4D30-BBAC-EB6C66C57C63}">
      <text>
        <r>
          <rPr>
            <b/>
            <sz val="9"/>
            <color indexed="81"/>
            <rFont val="Tahoma"/>
            <family val="2"/>
          </rPr>
          <t>Navin Jangid :</t>
        </r>
        <r>
          <rPr>
            <sz val="9"/>
            <color indexed="81"/>
            <rFont val="Tahoma"/>
            <family val="2"/>
          </rPr>
          <t xml:space="preserve">
Till 14 Dec 2023 
Total Stores 341
Lets see what will happen till 31st Mar 2024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xml:space="preserve">Navin Jangid </author>
  </authors>
  <commentList>
    <comment ref="K15" authorId="0" shapeId="0" xr:uid="{CB5F4410-5F26-4547-8FFC-53CE99000989}">
      <text>
        <r>
          <rPr>
            <b/>
            <sz val="9"/>
            <color indexed="81"/>
            <rFont val="Tahoma"/>
            <family val="2"/>
          </rPr>
          <t>Navin Jangid :</t>
        </r>
        <r>
          <rPr>
            <sz val="9"/>
            <color indexed="81"/>
            <rFont val="Tahoma"/>
            <family val="2"/>
          </rPr>
          <t xml:space="preserve">
Use Comparable Company's Beta</t>
        </r>
      </text>
    </comment>
    <comment ref="K20" authorId="0" shapeId="0" xr:uid="{DB9D3A5D-A390-46CA-B989-83D7D4E909D4}">
      <text>
        <r>
          <rPr>
            <b/>
            <sz val="9"/>
            <color indexed="81"/>
            <rFont val="Tahoma"/>
            <family val="2"/>
          </rPr>
          <t>Navin Jangid :</t>
        </r>
        <r>
          <rPr>
            <sz val="9"/>
            <color indexed="81"/>
            <rFont val="Tahoma"/>
            <family val="2"/>
          </rPr>
          <t xml:space="preserve">
Targeted Debt/Equity Ratio help to account for the risk in the beta calculated from unlevered beta of comps. </t>
        </r>
      </text>
    </comment>
    <comment ref="E22" authorId="0" shapeId="0" xr:uid="{A6ECC5CE-84CA-4F0C-9306-55085EA2981E}">
      <text>
        <r>
          <rPr>
            <b/>
            <sz val="9"/>
            <color indexed="81"/>
            <rFont val="Tahoma"/>
            <family val="2"/>
          </rPr>
          <t>Navin Jangid :</t>
        </r>
        <r>
          <rPr>
            <sz val="9"/>
            <color indexed="81"/>
            <rFont val="Tahoma"/>
            <family val="2"/>
          </rPr>
          <t xml:space="preserve">
When Avenue Supermart will become big it will behave like industry.
It's debt will increase.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xml:space="preserve">Navin Jangid </author>
  </authors>
  <commentList>
    <comment ref="F9" authorId="0" shapeId="0" xr:uid="{8F405682-99AB-405F-8E1B-E08994F857DD}">
      <text>
        <r>
          <rPr>
            <b/>
            <sz val="9"/>
            <color indexed="81"/>
            <rFont val="Tahoma"/>
            <family val="2"/>
          </rPr>
          <t>Navin Jangid :</t>
        </r>
        <r>
          <rPr>
            <sz val="9"/>
            <color indexed="81"/>
            <rFont val="Tahoma"/>
            <family val="2"/>
          </rPr>
          <t xml:space="preserve">
It Shows a Company's Current and Potential Future Value.</t>
        </r>
      </text>
    </comment>
    <comment ref="O34" authorId="0" shapeId="0" xr:uid="{B6A77FD2-4F4F-452A-B2B6-EF3AB29F8380}">
      <text>
        <r>
          <rPr>
            <b/>
            <sz val="9"/>
            <color indexed="81"/>
            <rFont val="Tahoma"/>
            <family val="2"/>
          </rPr>
          <t>Navin Jangid :</t>
        </r>
        <r>
          <rPr>
            <sz val="9"/>
            <color indexed="81"/>
            <rFont val="Tahoma"/>
            <family val="2"/>
          </rPr>
          <t xml:space="preserve">
Adjusting for net debt - it provides a clearer picture of company's equity value without the impact of debt.
Accurate representation of its market value.</t>
        </r>
      </text>
    </comment>
    <comment ref="Q34" authorId="0" shapeId="0" xr:uid="{52326C32-48F5-4BB5-9DAA-F0462995F369}">
      <text>
        <r>
          <rPr>
            <b/>
            <sz val="9"/>
            <color indexed="81"/>
            <rFont val="Tahoma"/>
            <family val="2"/>
          </rPr>
          <t>Navin Jangid :</t>
        </r>
        <r>
          <rPr>
            <sz val="9"/>
            <color indexed="81"/>
            <rFont val="Tahoma"/>
            <family val="2"/>
          </rPr>
          <t xml:space="preserve">
What is the Implied Market Value based on median P/E.
</t>
        </r>
      </text>
    </comment>
    <comment ref="O48" authorId="0" shapeId="0" xr:uid="{52321B27-71DF-4CAA-9F4B-436B521CD426}">
      <text>
        <r>
          <rPr>
            <b/>
            <sz val="9"/>
            <color indexed="81"/>
            <rFont val="Tahoma"/>
            <family val="2"/>
          </rPr>
          <t>Navin Jangid :</t>
        </r>
        <r>
          <rPr>
            <sz val="9"/>
            <color indexed="81"/>
            <rFont val="Tahoma"/>
            <family val="2"/>
          </rPr>
          <t xml:space="preserve">
Adjusting for net debt - it provides a clearer picture of company's equity value without the impact of debt.
Accurate representation of its market value.</t>
        </r>
      </text>
    </comment>
    <comment ref="Q48" authorId="0" shapeId="0" xr:uid="{C4B7A939-4A37-46DF-9050-43FB6E71305E}">
      <text>
        <r>
          <rPr>
            <b/>
            <sz val="9"/>
            <color indexed="81"/>
            <rFont val="Tahoma"/>
            <family val="2"/>
          </rPr>
          <t>Navin Jangid :</t>
        </r>
        <r>
          <rPr>
            <sz val="9"/>
            <color indexed="81"/>
            <rFont val="Tahoma"/>
            <family val="2"/>
          </rPr>
          <t xml:space="preserve">
What is the Implied Market Value based on median P/E.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756B06-3D2F-4B64-8113-02ADE9B4BD64}" name="Query - Displayed Text" description="Connection to the 'Displayed Text' query in the workbook." type="100" refreshedVersion="8" minRefreshableVersion="5">
    <extLst>
      <ext xmlns:x15="http://schemas.microsoft.com/office/spreadsheetml/2010/11/main" uri="{DE250136-89BD-433C-8126-D09CA5730AF9}">
        <x15:connection id="509a5820-fc3e-474c-9fa0-a00432375806"/>
      </ext>
    </extLst>
  </connection>
  <connection id="2" xr16:uid="{8E6F50C4-4C3C-4F18-88E6-F9989C6DE8B1}"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3" xr16:uid="{3F04F171-0E89-4428-8915-5B78FAB78266}" name="Query - Table 1" description="Connection to the 'Table 1' query in the workbook." type="100" refreshedVersion="8" minRefreshableVersion="5">
    <extLst>
      <ext xmlns:x15="http://schemas.microsoft.com/office/spreadsheetml/2010/11/main" uri="{DE250136-89BD-433C-8126-D09CA5730AF9}">
        <x15:connection id="370eabff-42a9-4483-9cb5-f3f0aadd1387"/>
      </ext>
    </extLst>
  </connection>
  <connection id="4" xr16:uid="{76A29EC0-B993-4208-A7E2-9A1F843E5CFE}" keepAlive="1" name="Query - Table 1 (2)" description="Connection to the 'Table 1 (2)' query in the workbook." type="5" refreshedVersion="8" background="1" saveData="1">
    <dbPr connection="Provider=Microsoft.Mashup.OleDb.1;Data Source=$Workbook$;Location=&quot;Table 1 (2)&quot;;Extended Properties=&quot;&quot;" command="SELECT * FROM [Table 1 (2)]"/>
  </connection>
  <connection id="5" xr16:uid="{6D1C4BE9-CB8A-4E03-B98A-B1792500D0DC}" keepAlive="1" interval="1" name="Query - Table 1 (3)" description="Connection to the 'Table 1 (3)' query in the workbook." type="5" refreshedVersion="8" background="1" refreshOnLoad="1" saveData="1">
    <dbPr connection="Provider=Microsoft.Mashup.OleDb.1;Data Source=$Workbook$;Location=&quot;Table 1 (3)&quot;;Extended Properties=&quot;&quot;" command="SELECT * FROM [Table 1 (3)]"/>
  </connection>
  <connection id="6" xr16:uid="{7477F45D-5D9B-47C8-8219-AA55C8BB3DC1}" name="Query - Table 2" description="Connection to the 'Table 2' query in the workbook." type="100" refreshedVersion="8" minRefreshableVersion="5">
    <extLst>
      <ext xmlns:x15="http://schemas.microsoft.com/office/spreadsheetml/2010/11/main" uri="{DE250136-89BD-433C-8126-D09CA5730AF9}">
        <x15:connection id="3a7fa228-0f02-45d9-863f-a8a42651058d"/>
      </ext>
    </extLst>
  </connection>
  <connection id="7" xr16:uid="{107596C4-BF33-4167-9CC3-86106299B0D1}" name="Query - Table 3" description="Connection to the 'Table 3' query in the workbook." type="100" refreshedVersion="8" minRefreshableVersion="5">
    <extLst>
      <ext xmlns:x15="http://schemas.microsoft.com/office/spreadsheetml/2010/11/main" uri="{DE250136-89BD-433C-8126-D09CA5730AF9}">
        <x15:connection id="554c1548-bc37-46fa-9c01-f8466b0a109c"/>
      </ext>
    </extLst>
  </connection>
  <connection id="8" xr16:uid="{B7A26109-58AD-43EE-922F-27D5B88C93B6}" keepAlive="1" name="Query - Table 3 (2)" description="Connection to the 'Table 3 (2)' query in the workbook." type="5" refreshedVersion="8" background="1" saveData="1">
    <dbPr connection="Provider=Microsoft.Mashup.OleDb.1;Data Source=$Workbook$;Location=&quot;Table 3 (2)&quot;;Extended Properties=&quot;&quot;" command="SELECT * FROM [Table 3 (2)]"/>
  </connection>
  <connection id="9" xr16:uid="{D1C78879-1523-4770-B69B-3BD6CEE3761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<sst xmlns="http://schemas.openxmlformats.org/spreadsheetml/2006/main" count="1506" uniqueCount="510">
  <si>
    <t>Depreciation</t>
  </si>
  <si>
    <t>Interest</t>
  </si>
  <si>
    <t>COMPANY NAME</t>
  </si>
  <si>
    <t>AVENUE SUPERMARTS LTD</t>
  </si>
  <si>
    <t>LATEST VERSION</t>
  </si>
  <si>
    <t>PLEASE DO NOT MAKE ANY CHANGES TO THIS SHEET</t>
  </si>
  <si>
    <t>CURRENT VERSION</t>
  </si>
  <si>
    <t>META</t>
  </si>
  <si>
    <t>Number of shares</t>
  </si>
  <si>
    <t>Face Value</t>
  </si>
  <si>
    <t>Current Price</t>
  </si>
  <si>
    <t>Market Capitalization</t>
  </si>
  <si>
    <t>PROFIT &amp; LOSS</t>
  </si>
  <si>
    <t>Report Date</t>
  </si>
  <si>
    <t>Sales</t>
  </si>
  <si>
    <t>Raw Material Cost</t>
  </si>
  <si>
    <t>Change in Inventory</t>
  </si>
  <si>
    <t>Power and Fuel</t>
  </si>
  <si>
    <t>Other Mfr. Exp</t>
  </si>
  <si>
    <t>Employee Cost</t>
  </si>
  <si>
    <t>Selling and admin</t>
  </si>
  <si>
    <t>Other Expenses</t>
  </si>
  <si>
    <t>Other Income</t>
  </si>
  <si>
    <t>Profit before tax</t>
  </si>
  <si>
    <t>Tax</t>
  </si>
  <si>
    <t>Net profit</t>
  </si>
  <si>
    <t>Dividend Amount</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</si>
  <si>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</si>
  <si>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</si>
  <si>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</si>
  <si>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</si>
  <si>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</si>
  <si>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</si>
  <si>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</si>
  <si>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</si>
  <si>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</si>
  <si>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</si>
  <si>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</si>
  <si>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</si>
  <si>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</si>
  <si>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</si>
  <si>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</si>
  <si>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</si>
  <si>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</si>
  <si>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</si>
  <si>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</si>
  <si>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</si>
  <si>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</si>
  <si>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</si>
  <si>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</si>
  <si>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</si>
  <si>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</si>
  <si>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</si>
  <si>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</si>
  <si>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Years</t>
  </si>
  <si>
    <t>LTM</t>
  </si>
  <si>
    <t xml:space="preserve">Income Statement </t>
  </si>
  <si>
    <t>#</t>
  </si>
  <si>
    <t>Sales Growth</t>
  </si>
  <si>
    <t>-</t>
  </si>
  <si>
    <t>COGS</t>
  </si>
  <si>
    <t>COGS % Sales</t>
  </si>
  <si>
    <t xml:space="preserve">Gross Profit </t>
  </si>
  <si>
    <t>Selling &amp; General  Expenses</t>
  </si>
  <si>
    <t>S&amp;G Exp % Sales</t>
  </si>
  <si>
    <t>EBITDA</t>
  </si>
  <si>
    <t>EBITDA Margins</t>
  </si>
  <si>
    <t>Interest % Sales</t>
  </si>
  <si>
    <t xml:space="preserve">Depreciation </t>
  </si>
  <si>
    <t xml:space="preserve">Depreation % Sales </t>
  </si>
  <si>
    <t xml:space="preserve">EBT % Sales </t>
  </si>
  <si>
    <t xml:space="preserve">Effective Tax Rate </t>
  </si>
  <si>
    <t xml:space="preserve">Net Profit </t>
  </si>
  <si>
    <t xml:space="preserve">No. of Equity Shares </t>
  </si>
  <si>
    <t xml:space="preserve">Earnings Per Share </t>
  </si>
  <si>
    <t>Dividend Per Share</t>
  </si>
  <si>
    <t>EPS Growth %</t>
  </si>
  <si>
    <t>Dividend Payout Ratio</t>
  </si>
  <si>
    <t xml:space="preserve">Balance Sheet </t>
  </si>
  <si>
    <t xml:space="preserve">Total Liabilities </t>
  </si>
  <si>
    <t>Fixed Assets Net Block</t>
  </si>
  <si>
    <t xml:space="preserve">Total Non-Current Assets </t>
  </si>
  <si>
    <t xml:space="preserve">Total Current Assets </t>
  </si>
  <si>
    <t xml:space="preserve">Total Assets </t>
  </si>
  <si>
    <t xml:space="preserve">Equity Share Capital </t>
  </si>
  <si>
    <t>Check</t>
  </si>
  <si>
    <t>Cash from Operating Activity -</t>
  </si>
  <si>
    <t>Profit from operations</t>
  </si>
  <si>
    <t>Payables</t>
  </si>
  <si>
    <t>Loans Advances</t>
  </si>
  <si>
    <t>Operating investments</t>
  </si>
  <si>
    <t>Other WC items</t>
  </si>
  <si>
    <t>Working capital changes</t>
  </si>
  <si>
    <t>Direct taxes</t>
  </si>
  <si>
    <t>Cash from Investing Activity -</t>
  </si>
  <si>
    <t>Fixed assets purchased</t>
  </si>
  <si>
    <t>Fixed assets sold</t>
  </si>
  <si>
    <t>Investments purchased</t>
  </si>
  <si>
    <t>Investments sold</t>
  </si>
  <si>
    <t>Investment income</t>
  </si>
  <si>
    <t>Interest received</t>
  </si>
  <si>
    <t>Dividends received</t>
  </si>
  <si>
    <t>Investment in group cos</t>
  </si>
  <si>
    <t>Redemp n Canc of Shares</t>
  </si>
  <si>
    <t>Other investing items</t>
  </si>
  <si>
    <t>Cash from Financing Activity -</t>
  </si>
  <si>
    <t>Proceeds from shares</t>
  </si>
  <si>
    <t>Proceeds from debentures</t>
  </si>
  <si>
    <t>Redemption of debentures</t>
  </si>
  <si>
    <t>Proceeds from borrowings</t>
  </si>
  <si>
    <t>Repayment of borrowings</t>
  </si>
  <si>
    <t>Interest paid fin</t>
  </si>
  <si>
    <t>Financial liabilities</t>
  </si>
  <si>
    <t>Application money refund</t>
  </si>
  <si>
    <t>Other financing items</t>
  </si>
  <si>
    <t xml:space="preserve">Cash Flow Statement </t>
  </si>
  <si>
    <t xml:space="preserve">Cash From Operating Activities </t>
  </si>
  <si>
    <t xml:space="preserve">Operating Activities </t>
  </si>
  <si>
    <t xml:space="preserve">Investing Activities </t>
  </si>
  <si>
    <t xml:space="preserve">Cash From Investing  Activities </t>
  </si>
  <si>
    <t xml:space="preserve">Financing Activities </t>
  </si>
  <si>
    <t xml:space="preserve">Cash From Financing Activities </t>
  </si>
  <si>
    <t xml:space="preserve">Sales Growth </t>
  </si>
  <si>
    <t>EBITDA Growth</t>
  </si>
  <si>
    <t>EBIT Growth</t>
  </si>
  <si>
    <t xml:space="preserve">Net Profit Growth </t>
  </si>
  <si>
    <t xml:space="preserve">Dividend Growth </t>
  </si>
  <si>
    <t xml:space="preserve">Gross Margin </t>
  </si>
  <si>
    <t>EBITDA Margin</t>
  </si>
  <si>
    <t xml:space="preserve">Net Profit Margin </t>
  </si>
  <si>
    <t xml:space="preserve">Depreciation%Sales </t>
  </si>
  <si>
    <t xml:space="preserve">OperatingIncome%Sales </t>
  </si>
  <si>
    <t xml:space="preserve">Return on Capital Employed </t>
  </si>
  <si>
    <t>Retained Earning%</t>
  </si>
  <si>
    <t>Return on Equity%</t>
  </si>
  <si>
    <t xml:space="preserve">Self Sustained Growth Rate </t>
  </si>
  <si>
    <t>Interest Coverage Ratio</t>
  </si>
  <si>
    <t xml:space="preserve">Inventory Turnover </t>
  </si>
  <si>
    <t>Fixed Asset Turnover</t>
  </si>
  <si>
    <t>Capital Turnover Ratio</t>
  </si>
  <si>
    <t>Payable Day</t>
  </si>
  <si>
    <t>Inventory Day</t>
  </si>
  <si>
    <t>CFO/Sales</t>
  </si>
  <si>
    <t>CFO/Total Assets</t>
  </si>
  <si>
    <t>CFO/Total Debt</t>
  </si>
  <si>
    <t>Gross Margin</t>
  </si>
  <si>
    <t xml:space="preserve">If ROC &gt; WACC then they should Retain more in Business </t>
  </si>
  <si>
    <t xml:space="preserve">If WACC &gt; ROC then they should give more dividend's and should not retain in Business. That also mean that you don't know how to run a business. </t>
  </si>
  <si>
    <t>Cash Conversion Cycle (in days)</t>
  </si>
  <si>
    <t>Mean</t>
  </si>
  <si>
    <t>Median</t>
  </si>
  <si>
    <t>Trend</t>
  </si>
  <si>
    <t>EBIT</t>
  </si>
  <si>
    <t xml:space="preserve">EBIT % Sales </t>
  </si>
  <si>
    <t>Year</t>
  </si>
  <si>
    <t>EPS Growth</t>
  </si>
  <si>
    <t xml:space="preserve"> Historical Common-Size Financial Statement </t>
  </si>
  <si>
    <t xml:space="preserve">Net Interest Exp </t>
  </si>
  <si>
    <t>Cash Flow from Operations (CFO)</t>
  </si>
  <si>
    <t>Net Fixed Capital Investments (FCINV)</t>
  </si>
  <si>
    <t>FCFF</t>
  </si>
  <si>
    <t>Free Cash Flow to Firm (FCFF)</t>
  </si>
  <si>
    <t>Profit from operations (Adjusted for NCC)</t>
  </si>
  <si>
    <t>Free Cash Flow to Equity (FCFE)</t>
  </si>
  <si>
    <r>
      <t>I</t>
    </r>
    <r>
      <rPr>
        <b/>
        <sz val="11"/>
        <color theme="1"/>
        <rFont val="Calibri"/>
        <family val="2"/>
        <scheme val="minor"/>
      </rPr>
      <t xml:space="preserve">nterest Exp is not taken out from CFO, so no need to add it back. </t>
    </r>
  </si>
  <si>
    <t xml:space="preserve">Net Borrowing </t>
  </si>
  <si>
    <t>FCFE</t>
  </si>
  <si>
    <t xml:space="preserve">Growth Rate </t>
  </si>
  <si>
    <t xml:space="preserve">Retention Rate </t>
  </si>
  <si>
    <t>Return on Equity</t>
  </si>
  <si>
    <t>CFO/Net Profit</t>
  </si>
  <si>
    <t xml:space="preserve">Receivables Day </t>
  </si>
  <si>
    <t>Receivables Turnover Ratio</t>
  </si>
  <si>
    <t>NO. of Stores</t>
  </si>
  <si>
    <t>Retail Industry Size (Trillion)</t>
  </si>
  <si>
    <t>Organised Retail Size (Trillion)</t>
  </si>
  <si>
    <t>E-Retail Size (Trillion)</t>
  </si>
  <si>
    <t>Retail Business Area (mn sq. ft.)</t>
  </si>
  <si>
    <t>New Store Open</t>
  </si>
  <si>
    <t>(In days)</t>
  </si>
  <si>
    <t>D1</t>
  </si>
  <si>
    <t>g</t>
  </si>
  <si>
    <t>P0 (Price of the Stock)</t>
  </si>
  <si>
    <t>Cost of Equity Using the DDM</t>
  </si>
  <si>
    <t>New Equity Cost</t>
  </si>
  <si>
    <t>Weighted Average Cost of Capital</t>
  </si>
  <si>
    <t xml:space="preserve">Total Debt </t>
  </si>
  <si>
    <t>Tax Rate</t>
  </si>
  <si>
    <t xml:space="preserve">Average </t>
  </si>
  <si>
    <t>Cost of Debt</t>
  </si>
  <si>
    <t>Post Tax Cost of Debt</t>
  </si>
  <si>
    <t xml:space="preserve">Risk Free Rate </t>
  </si>
  <si>
    <t xml:space="preserve">Equity Risk Premium </t>
  </si>
  <si>
    <t xml:space="preserve">Cost of Equity </t>
  </si>
  <si>
    <t xml:space="preserve">Capital Structure </t>
  </si>
  <si>
    <t xml:space="preserve">Current </t>
  </si>
  <si>
    <t>Target</t>
  </si>
  <si>
    <t>Total Capital</t>
  </si>
  <si>
    <t>Levered Beta</t>
  </si>
  <si>
    <t>Weighted Average Cost of Capital (WACC)</t>
  </si>
  <si>
    <t>Comparable Company Valuations</t>
  </si>
  <si>
    <t>Company</t>
  </si>
  <si>
    <t xml:space="preserve">Ticker </t>
  </si>
  <si>
    <t xml:space="preserve">Share Price </t>
  </si>
  <si>
    <t xml:space="preserve">Shares Outstanding </t>
  </si>
  <si>
    <t xml:space="preserve">Net Debt </t>
  </si>
  <si>
    <t>Enterprise Value</t>
  </si>
  <si>
    <t>Market Data</t>
  </si>
  <si>
    <t>Revenue</t>
  </si>
  <si>
    <t>Net Income</t>
  </si>
  <si>
    <t>Valuation</t>
  </si>
  <si>
    <t>Financials</t>
  </si>
  <si>
    <t>S.No.</t>
  </si>
  <si>
    <t>Name</t>
  </si>
  <si>
    <t>CMP Rs.</t>
  </si>
  <si>
    <t>No. Eq. Shares Cr.</t>
  </si>
  <si>
    <t>Debt Rs.Cr.</t>
  </si>
  <si>
    <t>Cash End Rs.Cr.</t>
  </si>
  <si>
    <t>Sales Rs.Cr.</t>
  </si>
  <si>
    <t>NP 12M Rs.Cr.</t>
  </si>
  <si>
    <t>Avenue Super.</t>
  </si>
  <si>
    <t>Trent</t>
  </si>
  <si>
    <t>Aditya Bir. Fas.</t>
  </si>
  <si>
    <t>Medplus Health</t>
  </si>
  <si>
    <t>Electronics Mart</t>
  </si>
  <si>
    <t>Shoppers Stop</t>
  </si>
  <si>
    <t>Redtape</t>
  </si>
  <si>
    <t>Ethos Ltd</t>
  </si>
  <si>
    <t>V-Mart Retail</t>
  </si>
  <si>
    <t>Sai Silks</t>
  </si>
  <si>
    <t>Cartrade Tech</t>
  </si>
  <si>
    <t>Credo Brands</t>
  </si>
  <si>
    <t>V2 Retail</t>
  </si>
  <si>
    <t>Spencer's Retail</t>
  </si>
  <si>
    <t>Market Cap Cr.</t>
  </si>
  <si>
    <t>Net Debt</t>
  </si>
  <si>
    <t>NSE: DMART</t>
  </si>
  <si>
    <t>NSE: TRENT</t>
  </si>
  <si>
    <t>NSE: ABFRL</t>
  </si>
  <si>
    <t>NSE: MEDPLUS</t>
  </si>
  <si>
    <t>NSE: EMIL</t>
  </si>
  <si>
    <t>NSE: SHOPERSTOP</t>
  </si>
  <si>
    <t>NSE: REDTAPE</t>
  </si>
  <si>
    <t>NSE: ETHOSLTD</t>
  </si>
  <si>
    <t>NSE: VMART</t>
  </si>
  <si>
    <t>EV/Revenue</t>
  </si>
  <si>
    <t>EV/EBITDA</t>
  </si>
  <si>
    <t>P/E</t>
  </si>
  <si>
    <t>High</t>
  </si>
  <si>
    <t>Low</t>
  </si>
  <si>
    <t xml:space="preserve">75th Percentaile </t>
  </si>
  <si>
    <t>25th Percentaile</t>
  </si>
  <si>
    <t>Avenue Supermarts Limited Comparable Valuations</t>
  </si>
  <si>
    <t>Implied Enterprise Value</t>
  </si>
  <si>
    <t xml:space="preserve">Implied Market Value </t>
  </si>
  <si>
    <t xml:space="preserve">Implied Value Per Share </t>
  </si>
  <si>
    <t>Source - Screener.in</t>
  </si>
  <si>
    <t xml:space="preserve">Amount in crores </t>
  </si>
  <si>
    <t>Equity Value (Market Cap)</t>
  </si>
  <si>
    <t>Earnings Before Tax (EBT)</t>
  </si>
  <si>
    <t>Trent Comparable Valuations</t>
  </si>
  <si>
    <t>Date</t>
  </si>
  <si>
    <t>Avenue Supermarts Limited Weekly Returns</t>
  </si>
  <si>
    <t>Returns</t>
  </si>
  <si>
    <t>Return</t>
  </si>
  <si>
    <t>Closing Price</t>
  </si>
  <si>
    <t>Nifty Weekly Returns</t>
  </si>
  <si>
    <t>Beta 1</t>
  </si>
  <si>
    <t>Beta 2</t>
  </si>
  <si>
    <t>Beta 3</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</si>
  <si>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</si>
  <si>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</si>
  <si>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</si>
  <si>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</si>
  <si>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</si>
  <si>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</si>
  <si>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</si>
  <si>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</si>
  <si>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</si>
  <si>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</si>
  <si>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</si>
  <si>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</si>
  <si>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</si>
  <si>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</si>
  <si>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</si>
  <si>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</si>
  <si>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</si>
  <si>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</si>
  <si>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</si>
  <si>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</si>
  <si>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</si>
  <si>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</si>
  <si>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</si>
  <si>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Debt / Eq</t>
  </si>
  <si>
    <t>Debt / Equity</t>
  </si>
  <si>
    <t>Per-Tax Cost of Debt</t>
  </si>
  <si>
    <t>Cost of Equity (CAPM)</t>
  </si>
  <si>
    <t>Annual</t>
  </si>
  <si>
    <t>Return on Markets</t>
  </si>
  <si>
    <t>Equity Weight</t>
  </si>
  <si>
    <t>Debt Weight</t>
  </si>
  <si>
    <t xml:space="preserve">WACC </t>
  </si>
  <si>
    <t>Calculation of Long Term Growth Rate (g)</t>
  </si>
  <si>
    <t>Calculation of PV of FCFF</t>
  </si>
  <si>
    <t xml:space="preserve">Mid Year Convention </t>
  </si>
  <si>
    <t>Discounting Factor</t>
  </si>
  <si>
    <t>PV of FCFF</t>
  </si>
  <si>
    <t xml:space="preserve">Expected Growth </t>
  </si>
  <si>
    <t xml:space="preserve">Terminal Growth </t>
  </si>
  <si>
    <t>WACC</t>
  </si>
  <si>
    <t>Calculation of Terminal Value</t>
  </si>
  <si>
    <t>FCFF (n+1)</t>
  </si>
  <si>
    <t>Terminal Growth Rate</t>
  </si>
  <si>
    <t>Treminal Value</t>
  </si>
  <si>
    <t>PV of Treminal Value</t>
  </si>
  <si>
    <t>Value of Operating Assets</t>
  </si>
  <si>
    <t>Add: Cash</t>
  </si>
  <si>
    <t>Less: Debt</t>
  </si>
  <si>
    <t>Calculation of Equity Value Per Share</t>
  </si>
  <si>
    <t>Value of Equity</t>
  </si>
  <si>
    <t>No. of Shares</t>
  </si>
  <si>
    <t>Equity Value Per Share</t>
  </si>
  <si>
    <t>Share Price</t>
  </si>
  <si>
    <t>Discount/Premium</t>
  </si>
  <si>
    <t>Sensitivity Analysis</t>
  </si>
  <si>
    <t>Net Profit Margin</t>
  </si>
  <si>
    <t>Retained Earnings (RR)</t>
  </si>
  <si>
    <t xml:space="preserve">OperatingExpense%Sales </t>
  </si>
  <si>
    <t xml:space="preserve">Activity Ratio </t>
  </si>
  <si>
    <t>Payable Turnover Ratio</t>
  </si>
  <si>
    <t>Solvency Ratio are not a concern for Dmart, because they have very low debt.</t>
  </si>
  <si>
    <t>Over a period of time company has become almost debt-free.</t>
  </si>
  <si>
    <t>Company have a good amount of fixed assests.</t>
  </si>
  <si>
    <t xml:space="preserve">Return on Investment </t>
  </si>
  <si>
    <t xml:space="preserve">Profitability Ratios </t>
  </si>
  <si>
    <t xml:space="preserve">Liquidity Ratios </t>
  </si>
  <si>
    <t>Current Ratio</t>
  </si>
  <si>
    <t>Quick Ratio</t>
  </si>
  <si>
    <t xml:space="preserve">Cash Ratio </t>
  </si>
  <si>
    <t>EBT/Pretax Margin</t>
  </si>
  <si>
    <t xml:space="preserve">EBIT/Operating  Margin </t>
  </si>
  <si>
    <t>Column1</t>
  </si>
  <si>
    <t>Column2</t>
  </si>
  <si>
    <t>Column3</t>
  </si>
  <si>
    <t>BOM:500251</t>
  </si>
  <si>
    <t>BOM:535755</t>
  </si>
  <si>
    <t>BOM:543427</t>
  </si>
  <si>
    <t>BOM:543626</t>
  </si>
  <si>
    <t>BOM:532638</t>
  </si>
  <si>
    <t>BOM:543957</t>
  </si>
  <si>
    <t>BOM:534976</t>
  </si>
  <si>
    <t>Column4</t>
  </si>
  <si>
    <t>Column5</t>
  </si>
  <si>
    <t/>
  </si>
  <si>
    <t>Comapany</t>
  </si>
  <si>
    <t>Ticker</t>
  </si>
  <si>
    <t>Avenue Supermarts ltd.</t>
  </si>
  <si>
    <t>BOM:540376</t>
  </si>
  <si>
    <t>NSE:ETHOSLTD</t>
  </si>
  <si>
    <t>As a company matures and becomes more established in its industry, its beta might tend to move closer to 1. This is because its business becomes less volatile, and its stock price movements become more aligned with the broader market. However, this isn't always the case.</t>
  </si>
  <si>
    <t>Implied Market Value (Equity)</t>
  </si>
  <si>
    <t>Share application money</t>
  </si>
  <si>
    <t xml:space="preserve">3-Year CAGR </t>
  </si>
  <si>
    <t xml:space="preserve">5-Year CAGR </t>
  </si>
  <si>
    <t>Average CAGR</t>
  </si>
  <si>
    <t>Half of the Gross Profit is going in Operating Expenses.</t>
  </si>
  <si>
    <t>Subtracting Interest Exp from CFO as it has not been subtracted from CFO</t>
  </si>
  <si>
    <t>How to decide what would be the depreciation</t>
  </si>
  <si>
    <t>Shareholding pattern of the Company as on 31st March, 2024</t>
  </si>
  <si>
    <t>Shares</t>
  </si>
  <si>
    <t>B. PUBLIC SHAREHOLDING</t>
  </si>
  <si>
    <t>No. of shares</t>
  </si>
  <si>
    <t xml:space="preserve">Category of Shareholders </t>
  </si>
  <si>
    <t xml:space="preserve">Central Government </t>
  </si>
  <si>
    <t xml:space="preserve">A. PROMOTERS </t>
  </si>
  <si>
    <t xml:space="preserve">Mutual Funds </t>
  </si>
  <si>
    <t xml:space="preserve">Banks </t>
  </si>
  <si>
    <t xml:space="preserve">Insurance Companies </t>
  </si>
  <si>
    <t xml:space="preserve">Provident Funds/Pension Funds </t>
  </si>
  <si>
    <t xml:space="preserve">Sovereign Wealth Funds </t>
  </si>
  <si>
    <t xml:space="preserve">Individuals </t>
  </si>
  <si>
    <t xml:space="preserve">NBFCs </t>
  </si>
  <si>
    <t xml:space="preserve">Trust </t>
  </si>
  <si>
    <t xml:space="preserve">Hindu Undivided Family </t>
  </si>
  <si>
    <t xml:space="preserve">Non-Resident Indians </t>
  </si>
  <si>
    <t>Clearing Member</t>
  </si>
  <si>
    <t xml:space="preserve">Bodies Corporate </t>
  </si>
  <si>
    <t xml:space="preserve">Body Corporate - Ltd Liability Partnership </t>
  </si>
  <si>
    <t xml:space="preserve">Overseas Corporate Bodies </t>
  </si>
  <si>
    <t xml:space="preserve">Total(A+B) </t>
  </si>
  <si>
    <t>% of Total</t>
  </si>
  <si>
    <t xml:space="preserve">Foreign Portfolio Investor </t>
  </si>
  <si>
    <t xml:space="preserve">Alternate Investment Funds </t>
  </si>
  <si>
    <t>Figure 1)</t>
  </si>
  <si>
    <t xml:space="preserve">Graph </t>
  </si>
  <si>
    <t xml:space="preserve">PROMOTERS </t>
  </si>
  <si>
    <t xml:space="preserve">Financial Institutions/Banks </t>
  </si>
  <si>
    <t>FII</t>
  </si>
  <si>
    <t>Others</t>
  </si>
  <si>
    <t>Figure 2)</t>
  </si>
  <si>
    <t>Key Product Categories and Revenue Mix</t>
  </si>
  <si>
    <t xml:space="preserve">Food </t>
  </si>
  <si>
    <t>Non-Food (FMCG)</t>
  </si>
  <si>
    <t>General Merchandise &amp; Apparel</t>
  </si>
  <si>
    <t>Key Product Categories</t>
  </si>
  <si>
    <t xml:space="preserve">Source : Company Report </t>
  </si>
  <si>
    <t>Figure 3)</t>
  </si>
  <si>
    <t>Brainbees Solut.</t>
  </si>
  <si>
    <t>Aditya Vision</t>
  </si>
  <si>
    <t>Entero Healthcar</t>
  </si>
  <si>
    <t>Baazar Style</t>
  </si>
  <si>
    <t>EBIDT Ann Rs.Cr.</t>
  </si>
  <si>
    <t>Hindware Home In</t>
  </si>
  <si>
    <t>Landmark Cars</t>
  </si>
  <si>
    <t>Yamuna Syndicate</t>
  </si>
  <si>
    <t>Popular Vehicles</t>
  </si>
  <si>
    <t>Allcargo Gati</t>
  </si>
  <si>
    <t>Shankara Build.</t>
  </si>
  <si>
    <t>PNGS Gargi FJ</t>
  </si>
  <si>
    <t>EV Cr.</t>
  </si>
  <si>
    <t>NSE: FIRSTCRY</t>
  </si>
  <si>
    <t>BOM:544226</t>
  </si>
  <si>
    <t>NSE:DMART</t>
  </si>
  <si>
    <t>Price</t>
  </si>
  <si>
    <t>08/30/2024</t>
  </si>
  <si>
    <t>1</t>
  </si>
  <si>
    <t>Close</t>
  </si>
  <si>
    <t>8/30/2024 15:30:00</t>
  </si>
  <si>
    <t>4927.45</t>
  </si>
  <si>
    <t xml:space="preserve">Regression Beta - 3 Years weekly </t>
  </si>
  <si>
    <t>Column6</t>
  </si>
  <si>
    <t>Column7</t>
  </si>
  <si>
    <t>Column8</t>
  </si>
  <si>
    <t>Column9</t>
  </si>
  <si>
    <t>Column10</t>
  </si>
  <si>
    <t>Column11</t>
  </si>
  <si>
    <t>Column12</t>
  </si>
  <si>
    <t>Column13</t>
  </si>
  <si>
    <t>symbol</t>
  </si>
  <si>
    <t>Dmart</t>
  </si>
  <si>
    <t>attribute</t>
  </si>
  <si>
    <t>PRICE</t>
  </si>
  <si>
    <t>start_date</t>
  </si>
  <si>
    <t>num_days or end_date</t>
  </si>
  <si>
    <t>interval</t>
  </si>
  <si>
    <t>1 FOR "DAILY", 7 FOR "WEEKLY"</t>
  </si>
  <si>
    <t>Result</t>
  </si>
  <si>
    <t>Formula</t>
  </si>
  <si>
    <t>=GoogleFinance($B$1,$B$2,$B$3,$B$4,$B$5)</t>
  </si>
  <si>
    <t xml:space="preserve">Comapany </t>
  </si>
  <si>
    <t>symbol_1</t>
  </si>
  <si>
    <t xml:space="preserve">NSE:NIFTYBEES
</t>
  </si>
  <si>
    <t>Market (Index)</t>
  </si>
  <si>
    <t>=GoogleFinance($G$1,$G$2,$G$3,$G$4,$G$5)</t>
  </si>
  <si>
    <t xml:space="preserve">Cash Coversion Cycle </t>
  </si>
  <si>
    <t>Cash Cycle</t>
  </si>
  <si>
    <t>Inventory Days</t>
  </si>
  <si>
    <t>Days Payable</t>
  </si>
  <si>
    <t>Days Receivable</t>
  </si>
  <si>
    <t>Mar Cap Rs.Cr. </t>
  </si>
  <si>
    <t>Figure 4)</t>
  </si>
  <si>
    <t>Int Coverage</t>
  </si>
  <si>
    <t xml:space="preserve">ASL vs Peers Interest Coverage Ratio </t>
  </si>
  <si>
    <t>Reliance Retail</t>
  </si>
  <si>
    <t>Figure 5)</t>
  </si>
  <si>
    <t>P0=D1/r-g</t>
  </si>
  <si>
    <t xml:space="preserve">Formula </t>
  </si>
  <si>
    <t xml:space="preserve">10Year Government Bond Yield </t>
  </si>
  <si>
    <t>CAGR</t>
  </si>
  <si>
    <t>HPR</t>
  </si>
  <si>
    <t xml:space="preserve">Current Share Price </t>
  </si>
  <si>
    <t>Premium</t>
  </si>
  <si>
    <t xml:space="preserve">Forward P/E Estimates </t>
  </si>
  <si>
    <t>Forward Earnings</t>
  </si>
  <si>
    <t>Terminal Growth</t>
  </si>
  <si>
    <t xml:space="preserve">Estimates </t>
  </si>
  <si>
    <t>FY21-24</t>
  </si>
  <si>
    <t>FY19-24</t>
  </si>
  <si>
    <t>FY24-29</t>
  </si>
  <si>
    <t>FCFF Growth Rate FY29- 34</t>
  </si>
  <si>
    <t>FCFF Growth Rate FY24-29</t>
  </si>
  <si>
    <r>
      <t>Levered Beta</t>
    </r>
    <r>
      <rPr>
        <vertAlign val="superscript"/>
        <sz val="11"/>
        <color theme="1"/>
        <rFont val="Calibri"/>
        <family val="2"/>
        <scheme val="minor"/>
      </rPr>
      <t xml:space="preserve"> </t>
    </r>
  </si>
  <si>
    <t>Figure 6)</t>
  </si>
  <si>
    <t>Factor</t>
  </si>
  <si>
    <t>Makes Scaling Easier</t>
  </si>
  <si>
    <t>Makes Scaling Challenging</t>
  </si>
  <si>
    <t>Financial performance</t>
  </si>
  <si>
    <t>Yes</t>
  </si>
  <si>
    <t>Business model</t>
  </si>
  <si>
    <t>Brand reputation</t>
  </si>
  <si>
    <t>Store locations</t>
  </si>
  <si>
    <t>Management team</t>
  </si>
  <si>
    <t>Product variety</t>
  </si>
  <si>
    <t>Expansion speed</t>
  </si>
  <si>
    <t>Online presence</t>
  </si>
  <si>
    <t>Competition</t>
  </si>
  <si>
    <t>Reliance on physical stores</t>
  </si>
  <si>
    <t>Estimate</t>
  </si>
  <si>
    <t>Actual</t>
  </si>
  <si>
    <t>Retail Business Area Per Store (Mn sq. ft.)</t>
  </si>
  <si>
    <t>5308.85</t>
  </si>
  <si>
    <t>7170.05</t>
  </si>
  <si>
    <t>611.00</t>
  </si>
  <si>
    <t>315.00</t>
  </si>
  <si>
    <t>699.95</t>
  </si>
  <si>
    <t>830.30</t>
  </si>
  <si>
    <t>217.40</t>
  </si>
  <si>
    <t>724.65</t>
  </si>
  <si>
    <t>3400.00</t>
  </si>
  <si>
    <t>3591.45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</si>
</sst>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43" formatCode="_ * #,##0.00_ ;_ * \-#,##0.00_ ;_ * &quot;-&quot;??_ ;_ @_ "/>
    <numFmt numFmtId="164" formatCode="0&quot;A&quot;"/>
    <numFmt numFmtId="165" formatCode="0&quot;F&quot;"/>
    <numFmt numFmtId="166" formatCode="#,##0.0;\(#,##0.0\)"/>
    <numFmt numFmtId="167" formatCode="[$-409]mmm\-yy;@"/>
    <numFmt numFmtId="168" formatCode="_(* #,##0.00_);_(* \(#,##0.00\);_(* &quot;-&quot;??_);_(@_)"/>
    <numFmt numFmtId="169" formatCode="&quot;₹&quot;\ #,##0.0;&quot;₹&quot;\ \(#,##0.0\);\-"/>
    <numFmt numFmtId="170" formatCode="0.00&quot;x&quot;"/>
    <numFmt numFmtId="171" formatCode="_ [$₹-4009]\ * #,##0.00_ ;_ [$₹-4009]\ * \-#,##0.00_ ;_ [$₹-4009]\ * &quot;-&quot;??_ ;_ @_ "/>
    <numFmt numFmtId="172" formatCode="0.0\x"/>
    <numFmt numFmtId="173" formatCode="0.0"/>
    <numFmt numFmtId="174" formatCode="#,##0.00;\(#,##0.00\);\-"/>
    <numFmt numFmtId="175" formatCode="mmm/yy&quot;A&quot;"/>
    <numFmt numFmtId="176" formatCode="mmm/yy&quot;F&quot;"/>
    <numFmt numFmtId="177" formatCode="0.000"/>
    <numFmt numFmtId="178" formatCode="0.00\x"/>
    <numFmt numFmtId="179" formatCode="mmm/yy\A"/>
    <numFmt numFmtId="180" formatCode="mmm/yy\E"/>
    <numFmt numFmtId="181" formatCode="0.00000"/>
    <numFmt numFmtId="182" formatCode="&quot;FY&quot;#,##0"/>
    <numFmt numFmtId="183" formatCode="0.00&quot;Days&quot;\ "/>
    <numFmt numFmtId="184" formatCode="&quot;₹&quot;\ #,##0.000;&quot;₹&quot;\ \(#,##0.000\);\-"/>
    <numFmt numFmtId="185" formatCode="&quot;₹&quot;\ #,##0.00"/>
    <numFmt numFmtId="186" formatCode="&quot;₹&quot;\ #,##0.0000000"/>
    <numFmt numFmtId="187" formatCode="0.00000%"/>
    <numFmt numFmtId="188" formatCode="0.00000000000000%"/>
  </numFmts>
  <fonts count="31" x14ac:knownFonts="1">
    <font>
      <sz val="11"/>
      <color theme="1"/>
      <name val="Calibri"/>
      <family val="2"/>
      <scheme val="minor"/>
    </font>
    <font>
      <sz val="11"/>
      <color theme="1"/>
      <name val="Calibri"/>
      <family val="2"/>
    </font>
    <font>
      <b/>
      <sz val="11"/>
      <color theme="0"/>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sz val="11"/>
      <name val="Calibri"/>
      <family val="2"/>
      <scheme val="minor"/>
    </font>
    <font>
      <i/>
      <sz val="11"/>
      <color theme="0" tint="-0.499984740745262"/>
      <name val="Calibri"/>
      <family val="2"/>
      <scheme val="minor"/>
    </font>
    <font>
      <sz val="9"/>
      <color indexed="81"/>
      <name val="Tahoma"/>
      <family val="2"/>
    </font>
    <font>
      <b/>
      <sz val="9"/>
      <color indexed="81"/>
      <name val="Tahoma"/>
      <family val="2"/>
    </font>
    <font>
      <vertAlign val="superscript"/>
      <sz val="11"/>
      <color theme="1"/>
      <name val="Calibri"/>
      <family val="2"/>
      <scheme val="minor"/>
    </font>
    <font>
      <b/>
      <sz val="11"/>
      <color rgb="FF002060"/>
      <name val="Calibri"/>
      <family val="2"/>
      <scheme val="minor"/>
    </font>
    <font>
      <sz val="11"/>
      <color rgb="FF4D5156"/>
      <name val="Calibri"/>
      <family val="2"/>
      <scheme val="minor"/>
    </font>
    <font>
      <b/>
      <sz val="12"/>
      <color rgb="FF002060"/>
      <name val="Calibri"/>
      <family val="2"/>
      <scheme val="minor"/>
    </font>
    <font>
      <sz val="12"/>
      <color theme="1"/>
      <name val="Calibri"/>
      <family val="2"/>
      <scheme val="minor"/>
    </font>
    <font>
      <u/>
      <sz val="11"/>
      <color theme="10"/>
      <name val="Calibri"/>
      <family val="2"/>
      <scheme val="minor"/>
    </font>
    <font>
      <sz val="11"/>
      <color rgb="FF22222F"/>
      <name val="Arial"/>
      <family val="2"/>
    </font>
    <font>
      <sz val="11"/>
      <color rgb="FF0000FF"/>
      <name val="Calibri"/>
      <family val="2"/>
      <scheme val="minor"/>
    </font>
    <font>
      <i/>
      <sz val="9"/>
      <color theme="1"/>
      <name val="Calibri"/>
      <family val="2"/>
      <scheme val="minor"/>
    </font>
    <font>
      <b/>
      <sz val="14"/>
      <color theme="0"/>
      <name val="Calibri"/>
      <family val="2"/>
      <scheme val="minor"/>
    </font>
    <font>
      <b/>
      <sz val="8"/>
      <color rgb="FF1F1F1F"/>
      <name val="Arial"/>
      <family val="2"/>
    </font>
    <font>
      <b/>
      <sz val="12"/>
      <color theme="0"/>
      <name val="Calibri"/>
      <family val="2"/>
      <scheme val="minor"/>
    </font>
    <font>
      <b/>
      <sz val="14"/>
      <color theme="1"/>
      <name val="Calibri"/>
      <family val="2"/>
      <scheme val="minor"/>
    </font>
    <font>
      <i/>
      <sz val="11"/>
      <name val="Calibri"/>
      <family val="2"/>
      <scheme val="minor"/>
    </font>
    <font>
      <sz val="8"/>
      <name val="Calibri"/>
      <family val="2"/>
      <scheme val="minor"/>
    </font>
    <font>
      <sz val="11"/>
      <color rgb="FF000000"/>
      <name val="Calibri"/>
      <family val="2"/>
      <scheme val="minor"/>
    </font>
    <font>
      <b/>
      <sz val="8"/>
      <color theme="1"/>
      <name val="Calibri"/>
      <family val="2"/>
      <scheme val="minor"/>
    </font>
    <font>
      <b/>
      <sz val="10"/>
      <color theme="1"/>
      <name val="Arial"/>
      <family val="2"/>
    </font>
    <font>
      <b/>
      <sz val="10"/>
      <color theme="0"/>
      <name val="Arial"/>
      <family val="2"/>
    </font>
  </fonts>
  <fills count="12">
    <fill>
      <patternFill patternType="none"/>
    </fill>
    <fill>
      <patternFill patternType="gray125"/>
    </fill>
    <fill>
      <patternFill patternType="solid">
        <fgColor theme="9"/>
      </patternFill>
    </fill>
    <fill>
      <patternFill patternType="solid">
        <fgColor rgb="FF0275D8"/>
        <bgColor indexed="64"/>
      </patternFill>
    </fill>
    <fill>
      <patternFill patternType="solid">
        <fgColor rgb="FF00206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6" tint="0.59999389629810485"/>
        <bgColor indexed="64"/>
      </patternFill>
    </fill>
  </fills>
  <borders count="20">
    <border>
      <left/>
      <right/>
      <top/>
      <bottom/>
      <diagonal/>
    </border>
    <border>
      <left/>
      <right/>
      <top style="thin">
        <color rgb="FF002060"/>
      </top>
      <bottom style="thin">
        <color rgb="FF002060"/>
      </bottom>
      <diagonal/>
    </border>
    <border>
      <left/>
      <right/>
      <top style="hair">
        <color rgb="FF002060"/>
      </top>
      <bottom/>
      <diagonal/>
    </border>
    <border>
      <left/>
      <right/>
      <top/>
      <bottom style="hair">
        <color rgb="FF002060"/>
      </bottom>
      <diagonal/>
    </border>
    <border>
      <left/>
      <right/>
      <top style="hair">
        <color auto="1"/>
      </top>
      <bottom style="hair">
        <color auto="1"/>
      </bottom>
      <diagonal/>
    </border>
    <border>
      <left/>
      <right/>
      <top style="thin">
        <color theme="8" tint="-0.499984740745262"/>
      </top>
      <bottom style="thin">
        <color theme="8" tint="-0.499984740745262"/>
      </bottom>
      <diagonal/>
    </border>
    <border>
      <left/>
      <right/>
      <top style="thin">
        <color auto="1"/>
      </top>
      <bottom/>
      <diagonal/>
    </border>
    <border>
      <left/>
      <right/>
      <top/>
      <bottom style="thin">
        <color auto="1"/>
      </bottom>
      <diagonal/>
    </border>
    <border>
      <left/>
      <right/>
      <top style="dotted">
        <color auto="1"/>
      </top>
      <bottom/>
      <diagonal/>
    </border>
    <border>
      <left/>
      <right/>
      <top/>
      <bottom style="thin">
        <color rgb="FF002060"/>
      </bottom>
      <diagonal/>
    </border>
    <border>
      <left/>
      <right/>
      <top/>
      <bottom style="thin">
        <color theme="0" tint="-4.9989318521683403E-2"/>
      </bottom>
      <diagonal/>
    </border>
    <border>
      <left/>
      <right/>
      <top style="hair">
        <color rgb="FF002060"/>
      </top>
      <bottom style="hair">
        <color rgb="FF002060"/>
      </bottom>
      <diagonal/>
    </border>
    <border>
      <left/>
      <right/>
      <top/>
      <bottom style="thin">
        <color theme="8" tint="-0.499984740745262"/>
      </bottom>
      <diagonal/>
    </border>
    <border>
      <left/>
      <right/>
      <top/>
      <bottom style="medium">
        <color indexed="64"/>
      </bottom>
      <diagonal/>
    </border>
    <border>
      <left/>
      <right/>
      <top style="medium">
        <color indexed="64"/>
      </top>
      <bottom style="thin">
        <color indexed="64"/>
      </bottom>
      <diagonal/>
    </border>
    <border>
      <left/>
      <right/>
      <top style="hair">
        <color auto="1"/>
      </top>
      <bottom/>
      <diagonal/>
    </border>
    <border>
      <left/>
      <right/>
      <top style="thin">
        <color rgb="FF002060"/>
      </top>
      <bottom style="medium">
        <color rgb="FF002060"/>
      </bottom>
      <diagonal/>
    </border>
    <border>
      <left/>
      <right/>
      <top/>
      <bottom style="thin">
        <color rgb="FF000000"/>
      </bottom>
      <diagonal/>
    </border>
    <border>
      <left/>
      <right/>
      <top style="thin">
        <color rgb="FF000000"/>
      </top>
      <bottom/>
      <diagonal/>
    </border>
    <border>
      <left style="medium">
        <color rgb="FFCCCCCC"/>
      </left>
      <right style="medium">
        <color rgb="FFCCCCCC"/>
      </right>
      <top style="medium">
        <color rgb="FFCCCCCC"/>
      </top>
      <bottom style="medium">
        <color rgb="FFCCCCCC"/>
      </bottom>
      <diagonal/>
    </border>
  </borders>
  <cellStyleXfs count="8">
    <xf numFmtId="0" fontId="0" fillId="0" borderId="0"/>
    <xf numFmtId="43" fontId="5" fillId="0" borderId="0" applyFont="0" applyFill="0" applyBorder="0" applyAlignment="0" applyProtection="0"/>
    <xf numFmtId="0" fontId="6" fillId="0" borderId="0" applyNumberFormat="0" applyFill="0" applyBorder="0" applyAlignment="0" applyProtection="0">
      <alignment vertical="top"/>
      <protection locked="0"/>
    </xf>
    <xf numFmtId="0" fontId="7" fillId="2" borderId="0" applyNumberFormat="0" applyBorder="0" applyAlignment="0" applyProtection="0"/>
    <xf numFmtId="9" fontId="5" fillId="0" borderId="0" applyFont="0" applyFill="0" applyBorder="0" applyAlignment="0" applyProtection="0"/>
    <xf numFmtId="0" fontId="17" fillId="0" borderId="0" applyNumberFormat="0" applyFill="0" applyBorder="0" applyAlignment="0" applyProtection="0"/>
    <xf numFmtId="0" fontId="1" fillId="0" borderId="0"/>
    <xf numFmtId="9" fontId="1" fillId="0" borderId="0" applyFont="0" applyFill="0" applyBorder="0" applyAlignment="0" applyProtection="0"/>
  </cellStyleXfs>
  <cellXfs count="230">
    <xf numFmtId="0" fontId="0" fillId="0" borderId="0" xfId="0"/>
    <xf numFmtId="0" fontId="4" fillId="0" borderId="0" xfId="0" applyFont="1"/>
    <xf numFmtId="43" fontId="3" fillId="0" borderId="0" xfId="1" applyFont="1" applyBorder="1"/>
    <xf numFmtId="43" fontId="0" fillId="0" borderId="0" xfId="1" applyFont="1" applyBorder="1"/>
    <xf numFmtId="167" fontId="2" fillId="3" borderId="0" xfId="1" applyNumberFormat="1" applyFont="1" applyFill="1" applyBorder="1"/>
    <xf numFmtId="167" fontId="2" fillId="3" borderId="0" xfId="0" applyNumberFormat="1" applyFont="1" applyFill="1" applyAlignment="1">
      <alignment horizontal="center"/>
    </xf>
    <xf numFmtId="167" fontId="8" fillId="0" borderId="0" xfId="1" applyNumberFormat="1" applyFont="1" applyFill="1" applyBorder="1"/>
    <xf numFmtId="43" fontId="5" fillId="0" borderId="0" xfId="1" applyFont="1" applyBorder="1"/>
    <xf numFmtId="168" fontId="0" fillId="0" borderId="0" xfId="1" applyNumberFormat="1" applyFont="1" applyBorder="1"/>
    <xf numFmtId="0" fontId="2" fillId="0" borderId="0" xfId="0" applyFont="1"/>
    <xf numFmtId="164" fontId="2" fillId="0" borderId="0" xfId="0" applyNumberFormat="1" applyFont="1"/>
    <xf numFmtId="165" fontId="2" fillId="0" borderId="0" xfId="0" applyNumberFormat="1" applyFont="1"/>
    <xf numFmtId="0" fontId="3" fillId="0" borderId="0" xfId="0" applyFont="1"/>
    <xf numFmtId="0" fontId="0" fillId="0" borderId="0" xfId="0" applyAlignment="1">
      <alignment horizontal="right"/>
    </xf>
    <xf numFmtId="15" fontId="0" fillId="0" borderId="0" xfId="0" applyNumberFormat="1"/>
    <xf numFmtId="0" fontId="9" fillId="0" borderId="0" xfId="0" applyFont="1"/>
    <xf numFmtId="0" fontId="9" fillId="0" borderId="0" xfId="0" applyFont="1" applyAlignment="1">
      <alignment horizontal="right"/>
    </xf>
    <xf numFmtId="10" fontId="9" fillId="0" borderId="0" xfId="4" applyNumberFormat="1" applyFont="1"/>
    <xf numFmtId="169" fontId="3" fillId="0" borderId="0" xfId="0" applyNumberFormat="1" applyFont="1"/>
    <xf numFmtId="17" fontId="2" fillId="0" borderId="0" xfId="0" applyNumberFormat="1" applyFont="1"/>
    <xf numFmtId="17" fontId="2" fillId="0" borderId="0" xfId="0" applyNumberFormat="1" applyFont="1" applyAlignment="1">
      <alignment horizontal="right"/>
    </xf>
    <xf numFmtId="17" fontId="0" fillId="0" borderId="0" xfId="0" applyNumberFormat="1"/>
    <xf numFmtId="3" fontId="0" fillId="0" borderId="0" xfId="0" applyNumberFormat="1"/>
    <xf numFmtId="169" fontId="0" fillId="0" borderId="0" xfId="0" applyNumberFormat="1"/>
    <xf numFmtId="0" fontId="3" fillId="0" borderId="1" xfId="0" applyFont="1" applyBorder="1"/>
    <xf numFmtId="169" fontId="3" fillId="0" borderId="1" xfId="0" applyNumberFormat="1" applyFont="1" applyBorder="1"/>
    <xf numFmtId="166" fontId="3" fillId="0" borderId="1" xfId="0" applyNumberFormat="1" applyFont="1" applyBorder="1"/>
    <xf numFmtId="170" fontId="0" fillId="0" borderId="0" xfId="0" applyNumberFormat="1"/>
    <xf numFmtId="10" fontId="0" fillId="0" borderId="0" xfId="4" applyNumberFormat="1" applyFont="1" applyBorder="1"/>
    <xf numFmtId="1" fontId="0" fillId="0" borderId="0" xfId="0" applyNumberFormat="1"/>
    <xf numFmtId="0" fontId="0" fillId="0" borderId="2" xfId="0" applyBorder="1"/>
    <xf numFmtId="10" fontId="0" fillId="0" borderId="2" xfId="4" applyNumberFormat="1" applyFont="1" applyBorder="1"/>
    <xf numFmtId="0" fontId="0" fillId="0" borderId="3" xfId="0" applyBorder="1"/>
    <xf numFmtId="10" fontId="0" fillId="0" borderId="3" xfId="0" applyNumberFormat="1" applyBorder="1"/>
    <xf numFmtId="10" fontId="0" fillId="0" borderId="3" xfId="4" applyNumberFormat="1" applyFont="1" applyBorder="1"/>
    <xf numFmtId="170" fontId="0" fillId="0" borderId="3" xfId="0" applyNumberFormat="1" applyBorder="1"/>
    <xf numFmtId="170" fontId="0" fillId="0" borderId="2" xfId="0" applyNumberFormat="1" applyBorder="1"/>
    <xf numFmtId="1" fontId="0" fillId="0" borderId="2" xfId="0" applyNumberFormat="1" applyBorder="1"/>
    <xf numFmtId="1" fontId="0" fillId="0" borderId="3" xfId="0" applyNumberFormat="1" applyBorder="1"/>
    <xf numFmtId="0" fontId="3" fillId="0" borderId="4" xfId="0" applyFont="1" applyBorder="1"/>
    <xf numFmtId="169" fontId="3" fillId="0" borderId="4" xfId="0" applyNumberFormat="1" applyFont="1" applyBorder="1"/>
    <xf numFmtId="0" fontId="0" fillId="0" borderId="0" xfId="0" applyAlignment="1">
      <alignment wrapText="1"/>
    </xf>
    <xf numFmtId="0" fontId="0" fillId="0" borderId="0" xfId="0" applyAlignment="1">
      <alignment horizontal="left"/>
    </xf>
    <xf numFmtId="10" fontId="0" fillId="0" borderId="0" xfId="4" applyNumberFormat="1" applyFont="1"/>
    <xf numFmtId="10" fontId="0" fillId="5" borderId="0" xfId="4" applyNumberFormat="1" applyFont="1" applyFill="1"/>
    <xf numFmtId="171" fontId="0" fillId="0" borderId="0" xfId="0" applyNumberFormat="1"/>
    <xf numFmtId="0" fontId="3" fillId="0" borderId="0" xfId="0" applyFont="1" applyAlignment="1">
      <alignment wrapText="1"/>
    </xf>
    <xf numFmtId="171" fontId="3" fillId="0" borderId="0" xfId="0" applyNumberFormat="1" applyFont="1"/>
    <xf numFmtId="0" fontId="3" fillId="0" borderId="5" xfId="0" applyFont="1" applyBorder="1"/>
    <xf numFmtId="169" fontId="3" fillId="0" borderId="5" xfId="0" applyNumberFormat="1" applyFont="1" applyBorder="1"/>
    <xf numFmtId="10" fontId="0" fillId="0" borderId="0" xfId="0" applyNumberFormat="1"/>
    <xf numFmtId="9" fontId="0" fillId="0" borderId="0" xfId="4" applyFont="1"/>
    <xf numFmtId="0" fontId="3" fillId="0" borderId="0" xfId="0" applyFont="1" applyAlignment="1">
      <alignment horizontal="left"/>
    </xf>
    <xf numFmtId="10" fontId="3" fillId="0" borderId="0" xfId="4" applyNumberFormat="1" applyFont="1" applyBorder="1"/>
    <xf numFmtId="9" fontId="3" fillId="0" borderId="0" xfId="4" applyFont="1"/>
    <xf numFmtId="2" fontId="3" fillId="0" borderId="0" xfId="0" applyNumberFormat="1" applyFont="1"/>
    <xf numFmtId="2" fontId="0" fillId="0" borderId="0" xfId="0" applyNumberFormat="1"/>
    <xf numFmtId="9" fontId="0" fillId="0" borderId="0" xfId="0" applyNumberFormat="1"/>
    <xf numFmtId="0" fontId="0" fillId="0" borderId="0" xfId="0" applyAlignment="1">
      <alignment horizontal="left" vertical="top" wrapText="1"/>
    </xf>
    <xf numFmtId="0" fontId="0" fillId="0" borderId="7" xfId="0" applyBorder="1"/>
    <xf numFmtId="0" fontId="3" fillId="0" borderId="7" xfId="0" applyFont="1" applyBorder="1"/>
    <xf numFmtId="0" fontId="3" fillId="0" borderId="6" xfId="0" applyFont="1" applyBorder="1"/>
    <xf numFmtId="0" fontId="0" fillId="0" borderId="8" xfId="0" applyBorder="1"/>
    <xf numFmtId="0" fontId="3" fillId="0" borderId="7" xfId="0" applyFont="1" applyBorder="1" applyAlignment="1">
      <alignment horizontal="right"/>
    </xf>
    <xf numFmtId="0" fontId="7" fillId="4" borderId="0" xfId="0" applyFont="1" applyFill="1"/>
    <xf numFmtId="0" fontId="3" fillId="0" borderId="9" xfId="0" applyFont="1" applyBorder="1"/>
    <xf numFmtId="0" fontId="2" fillId="4" borderId="0" xfId="0" applyFont="1" applyFill="1"/>
    <xf numFmtId="0" fontId="2" fillId="4" borderId="0" xfId="0" applyFont="1" applyFill="1" applyAlignment="1">
      <alignment horizontal="left"/>
    </xf>
    <xf numFmtId="0" fontId="2" fillId="4" borderId="0" xfId="0" applyFont="1" applyFill="1" applyAlignment="1">
      <alignment horizontal="right" wrapText="1"/>
    </xf>
    <xf numFmtId="0" fontId="2" fillId="4" borderId="0" xfId="0" applyFont="1" applyFill="1" applyAlignment="1">
      <alignment horizontal="right"/>
    </xf>
    <xf numFmtId="0" fontId="2" fillId="0" borderId="0" xfId="0" applyFont="1" applyAlignment="1">
      <alignment horizontal="left"/>
    </xf>
    <xf numFmtId="0" fontId="2" fillId="0" borderId="0" xfId="0" applyFont="1" applyAlignment="1">
      <alignment horizontal="right" wrapText="1"/>
    </xf>
    <xf numFmtId="0" fontId="2" fillId="0" borderId="0" xfId="0" applyFont="1" applyAlignment="1">
      <alignment horizontal="right"/>
    </xf>
    <xf numFmtId="0" fontId="0" fillId="5" borderId="11" xfId="0" applyFill="1" applyBorder="1" applyAlignment="1">
      <alignment horizontal="left"/>
    </xf>
    <xf numFmtId="0" fontId="14" fillId="5" borderId="11" xfId="0" applyFont="1" applyFill="1" applyBorder="1"/>
    <xf numFmtId="3" fontId="0" fillId="5" borderId="11" xfId="0" applyNumberFormat="1" applyFill="1" applyBorder="1" applyAlignment="1">
      <alignment horizontal="right"/>
    </xf>
    <xf numFmtId="4" fontId="0" fillId="5" borderId="11" xfId="0" applyNumberFormat="1" applyFill="1" applyBorder="1" applyAlignment="1">
      <alignment horizontal="right"/>
    </xf>
    <xf numFmtId="0" fontId="0" fillId="5" borderId="11" xfId="0" applyFill="1" applyBorder="1" applyAlignment="1">
      <alignment horizontal="right"/>
    </xf>
    <xf numFmtId="172" fontId="0" fillId="5" borderId="11" xfId="0" applyNumberFormat="1" applyFill="1" applyBorder="1" applyAlignment="1">
      <alignment horizontal="right"/>
    </xf>
    <xf numFmtId="0" fontId="0" fillId="0" borderId="11" xfId="0" applyBorder="1" applyAlignment="1">
      <alignment horizontal="left"/>
    </xf>
    <xf numFmtId="0" fontId="14" fillId="0" borderId="11" xfId="0" applyFont="1" applyBorder="1" applyAlignment="1">
      <alignment horizontal="left" vertical="center"/>
    </xf>
    <xf numFmtId="3" fontId="0" fillId="0" borderId="11" xfId="0" applyNumberFormat="1" applyBorder="1" applyAlignment="1">
      <alignment horizontal="right"/>
    </xf>
    <xf numFmtId="4" fontId="0" fillId="0" borderId="11" xfId="0" applyNumberFormat="1" applyBorder="1" applyAlignment="1">
      <alignment horizontal="right"/>
    </xf>
    <xf numFmtId="0" fontId="0" fillId="0" borderId="11" xfId="0" applyBorder="1" applyAlignment="1">
      <alignment horizontal="right"/>
    </xf>
    <xf numFmtId="172" fontId="0" fillId="0" borderId="11" xfId="0" applyNumberFormat="1" applyBorder="1" applyAlignment="1">
      <alignment horizontal="right"/>
    </xf>
    <xf numFmtId="0" fontId="14" fillId="0" borderId="11" xfId="0" applyFont="1" applyBorder="1"/>
    <xf numFmtId="0" fontId="0" fillId="5" borderId="0" xfId="0" applyFill="1"/>
    <xf numFmtId="0" fontId="2" fillId="4" borderId="9" xfId="0" applyFont="1" applyFill="1" applyBorder="1"/>
    <xf numFmtId="0" fontId="13" fillId="5" borderId="1" xfId="0" applyFont="1" applyFill="1" applyBorder="1"/>
    <xf numFmtId="0" fontId="0" fillId="0" borderId="11" xfId="0" applyBorder="1"/>
    <xf numFmtId="3" fontId="0" fillId="0" borderId="11" xfId="0" applyNumberFormat="1" applyBorder="1"/>
    <xf numFmtId="4" fontId="0" fillId="0" borderId="11" xfId="0" applyNumberFormat="1" applyBorder="1"/>
    <xf numFmtId="0" fontId="0" fillId="5" borderId="11" xfId="0" applyFill="1" applyBorder="1"/>
    <xf numFmtId="172" fontId="0" fillId="5" borderId="11" xfId="0" applyNumberFormat="1" applyFill="1" applyBorder="1"/>
    <xf numFmtId="0" fontId="3" fillId="5" borderId="11" xfId="0" applyFont="1" applyFill="1" applyBorder="1"/>
    <xf numFmtId="172" fontId="3" fillId="5" borderId="11" xfId="0" applyNumberFormat="1" applyFont="1" applyFill="1" applyBorder="1"/>
    <xf numFmtId="0" fontId="13" fillId="0" borderId="0" xfId="0" applyFont="1"/>
    <xf numFmtId="3" fontId="13" fillId="0" borderId="0" xfId="0" applyNumberFormat="1" applyFont="1"/>
    <xf numFmtId="0" fontId="15" fillId="0" borderId="9" xfId="0" applyFont="1" applyBorder="1"/>
    <xf numFmtId="3" fontId="16" fillId="0" borderId="11" xfId="0" applyNumberFormat="1" applyFont="1" applyBorder="1"/>
    <xf numFmtId="173" fontId="13" fillId="5" borderId="1" xfId="0" applyNumberFormat="1" applyFont="1" applyFill="1" applyBorder="1"/>
    <xf numFmtId="3" fontId="0" fillId="5" borderId="11" xfId="0" applyNumberFormat="1" applyFill="1" applyBorder="1"/>
    <xf numFmtId="0" fontId="7" fillId="0" borderId="0" xfId="0" applyFont="1"/>
    <xf numFmtId="0" fontId="3" fillId="0" borderId="0" xfId="0" applyFont="1" applyAlignment="1">
      <alignment horizontal="right"/>
    </xf>
    <xf numFmtId="14" fontId="0" fillId="0" borderId="0" xfId="0" applyNumberFormat="1" applyAlignment="1">
      <alignment horizontal="left"/>
    </xf>
    <xf numFmtId="2" fontId="0" fillId="0" borderId="0" xfId="0" applyNumberFormat="1" applyAlignment="1">
      <alignment horizontal="right"/>
    </xf>
    <xf numFmtId="0" fontId="2" fillId="0" borderId="0" xfId="0" applyFont="1" applyAlignment="1">
      <alignment horizontal="center"/>
    </xf>
    <xf numFmtId="0" fontId="13" fillId="0" borderId="12" xfId="0" applyFont="1" applyBorder="1" applyAlignment="1">
      <alignment horizontal="right"/>
    </xf>
    <xf numFmtId="0" fontId="13" fillId="0" borderId="12" xfId="0" applyFont="1" applyBorder="1" applyAlignment="1">
      <alignment horizontal="left"/>
    </xf>
    <xf numFmtId="4" fontId="0" fillId="0" borderId="0" xfId="0" applyNumberFormat="1"/>
    <xf numFmtId="4" fontId="0" fillId="5" borderId="0" xfId="0" applyNumberFormat="1" applyFill="1"/>
    <xf numFmtId="0" fontId="18" fillId="6" borderId="0" xfId="0" applyFont="1" applyFill="1" applyAlignment="1">
      <alignment horizontal="right" vertical="center" wrapText="1"/>
    </xf>
    <xf numFmtId="10" fontId="0" fillId="0" borderId="0" xfId="4" applyNumberFormat="1" applyFont="1" applyAlignment="1">
      <alignment horizontal="right"/>
    </xf>
    <xf numFmtId="0" fontId="19" fillId="0" borderId="0" xfId="0" applyFont="1"/>
    <xf numFmtId="10" fontId="0" fillId="7" borderId="8" xfId="4" applyNumberFormat="1" applyFont="1" applyFill="1" applyBorder="1"/>
    <xf numFmtId="10" fontId="19" fillId="0" borderId="0" xfId="4" applyNumberFormat="1" applyFont="1" applyBorder="1" applyAlignment="1">
      <alignment horizontal="right"/>
    </xf>
    <xf numFmtId="0" fontId="0" fillId="0" borderId="15" xfId="0" applyBorder="1"/>
    <xf numFmtId="10" fontId="0" fillId="7" borderId="0" xfId="4" applyNumberFormat="1" applyFont="1" applyFill="1"/>
    <xf numFmtId="10" fontId="0" fillId="0" borderId="15" xfId="4" applyNumberFormat="1" applyFont="1" applyBorder="1"/>
    <xf numFmtId="10" fontId="0" fillId="7" borderId="8" xfId="0" applyNumberFormat="1" applyFill="1" applyBorder="1"/>
    <xf numFmtId="2" fontId="0" fillId="7" borderId="15" xfId="0" applyNumberFormat="1" applyFill="1" applyBorder="1"/>
    <xf numFmtId="10" fontId="3" fillId="0" borderId="6" xfId="4" applyNumberFormat="1" applyFont="1" applyBorder="1"/>
    <xf numFmtId="10" fontId="0" fillId="0" borderId="0" xfId="0" applyNumberFormat="1" applyAlignment="1">
      <alignment horizontal="right"/>
    </xf>
    <xf numFmtId="0" fontId="20" fillId="0" borderId="0" xfId="0" applyFont="1"/>
    <xf numFmtId="0" fontId="20" fillId="0" borderId="0" xfId="0" applyFont="1" applyAlignment="1">
      <alignment vertical="top"/>
    </xf>
    <xf numFmtId="10" fontId="8" fillId="0" borderId="0" xfId="4" applyNumberFormat="1" applyFont="1" applyBorder="1" applyAlignment="1">
      <alignment horizontal="right"/>
    </xf>
    <xf numFmtId="10" fontId="13" fillId="0" borderId="0" xfId="0" applyNumberFormat="1" applyFont="1"/>
    <xf numFmtId="0" fontId="3" fillId="7" borderId="0" xfId="0" applyFont="1" applyFill="1"/>
    <xf numFmtId="10" fontId="3" fillId="7" borderId="0" xfId="0" applyNumberFormat="1" applyFont="1" applyFill="1"/>
    <xf numFmtId="17" fontId="2" fillId="4" borderId="0" xfId="0" applyNumberFormat="1" applyFont="1" applyFill="1"/>
    <xf numFmtId="10" fontId="13" fillId="0" borderId="0" xfId="4" applyNumberFormat="1" applyFont="1"/>
    <xf numFmtId="17" fontId="2" fillId="4" borderId="0" xfId="0" applyNumberFormat="1" applyFont="1" applyFill="1" applyAlignment="1">
      <alignment horizontal="center"/>
    </xf>
    <xf numFmtId="17" fontId="2" fillId="4" borderId="0" xfId="0" applyNumberFormat="1" applyFont="1" applyFill="1" applyAlignment="1">
      <alignment horizontal="left" indent="4"/>
    </xf>
    <xf numFmtId="17" fontId="2" fillId="4" borderId="0" xfId="0" applyNumberFormat="1" applyFont="1" applyFill="1" applyAlignment="1">
      <alignment horizontal="right"/>
    </xf>
    <xf numFmtId="174" fontId="0" fillId="0" borderId="11" xfId="0" applyNumberFormat="1" applyBorder="1"/>
    <xf numFmtId="174" fontId="0" fillId="0" borderId="0" xfId="0" applyNumberFormat="1"/>
    <xf numFmtId="0" fontId="3" fillId="0" borderId="16" xfId="0" applyFont="1" applyBorder="1"/>
    <xf numFmtId="174" fontId="3" fillId="0" borderId="16" xfId="0" applyNumberFormat="1" applyFont="1" applyBorder="1"/>
    <xf numFmtId="174" fontId="3" fillId="0" borderId="0" xfId="0" applyNumberFormat="1" applyFont="1"/>
    <xf numFmtId="0" fontId="3" fillId="5" borderId="0" xfId="0" applyFont="1" applyFill="1"/>
    <xf numFmtId="10" fontId="3" fillId="5" borderId="0" xfId="0" applyNumberFormat="1" applyFont="1" applyFill="1"/>
    <xf numFmtId="175" fontId="2" fillId="4" borderId="0" xfId="0" applyNumberFormat="1" applyFont="1" applyFill="1"/>
    <xf numFmtId="176" fontId="2" fillId="4" borderId="0" xfId="0" applyNumberFormat="1" applyFont="1" applyFill="1"/>
    <xf numFmtId="0" fontId="0" fillId="7" borderId="0" xfId="0" applyFill="1"/>
    <xf numFmtId="0" fontId="19" fillId="0" borderId="11" xfId="0" applyFont="1" applyBorder="1"/>
    <xf numFmtId="0" fontId="0" fillId="7" borderId="11" xfId="0" applyFill="1" applyBorder="1"/>
    <xf numFmtId="177" fontId="0" fillId="0" borderId="11" xfId="0" applyNumberFormat="1" applyBorder="1"/>
    <xf numFmtId="178" fontId="0" fillId="0" borderId="0" xfId="4" applyNumberFormat="1" applyFont="1"/>
    <xf numFmtId="0" fontId="3" fillId="7" borderId="16" xfId="0" applyFont="1" applyFill="1" applyBorder="1"/>
    <xf numFmtId="2" fontId="3" fillId="0" borderId="16" xfId="0" applyNumberFormat="1" applyFont="1" applyBorder="1"/>
    <xf numFmtId="174" fontId="7" fillId="0" borderId="0" xfId="0" applyNumberFormat="1" applyFont="1"/>
    <xf numFmtId="0" fontId="0" fillId="4" borderId="0" xfId="0" applyFill="1"/>
    <xf numFmtId="10" fontId="3" fillId="0" borderId="0" xfId="4" applyNumberFormat="1" applyFont="1" applyAlignment="1">
      <alignment horizontal="left"/>
    </xf>
    <xf numFmtId="10" fontId="3" fillId="0" borderId="0" xfId="4" applyNumberFormat="1" applyFont="1"/>
    <xf numFmtId="4" fontId="0" fillId="8" borderId="0" xfId="0" applyNumberFormat="1" applyFill="1"/>
    <xf numFmtId="0" fontId="21" fillId="4" borderId="0" xfId="0" applyFont="1" applyFill="1"/>
    <xf numFmtId="4" fontId="7" fillId="0" borderId="0" xfId="0" applyNumberFormat="1" applyFont="1"/>
    <xf numFmtId="0" fontId="2" fillId="4" borderId="0" xfId="0" applyFont="1" applyFill="1" applyAlignment="1">
      <alignment horizontal="left" vertical="top"/>
    </xf>
    <xf numFmtId="0" fontId="2" fillId="4" borderId="0" xfId="0" applyFont="1" applyFill="1" applyAlignment="1">
      <alignment horizontal="right" vertical="top" wrapText="1"/>
    </xf>
    <xf numFmtId="0" fontId="2" fillId="0" borderId="0" xfId="0" applyFont="1" applyAlignment="1">
      <alignment horizontal="left" vertical="top"/>
    </xf>
    <xf numFmtId="0" fontId="2" fillId="0" borderId="0" xfId="0" applyFont="1" applyAlignment="1">
      <alignment horizontal="right" vertical="top" wrapText="1"/>
    </xf>
    <xf numFmtId="0" fontId="2" fillId="0" borderId="0" xfId="0" applyFont="1" applyAlignment="1">
      <alignment horizontal="right" vertical="top"/>
    </xf>
    <xf numFmtId="0" fontId="3" fillId="0" borderId="11" xfId="0" applyFont="1" applyBorder="1" applyAlignment="1">
      <alignment horizontal="left"/>
    </xf>
    <xf numFmtId="2" fontId="0" fillId="0" borderId="11" xfId="0" applyNumberFormat="1" applyBorder="1" applyAlignment="1">
      <alignment horizontal="right"/>
    </xf>
    <xf numFmtId="1" fontId="0" fillId="0" borderId="11" xfId="0" applyNumberFormat="1" applyBorder="1" applyAlignment="1">
      <alignment horizontal="right"/>
    </xf>
    <xf numFmtId="0" fontId="0" fillId="0" borderId="0" xfId="0" applyAlignment="1">
      <alignment vertical="top"/>
    </xf>
    <xf numFmtId="171" fontId="0" fillId="0" borderId="0" xfId="0" applyNumberFormat="1" applyAlignment="1">
      <alignment vertical="top"/>
    </xf>
    <xf numFmtId="173" fontId="24" fillId="0" borderId="0" xfId="0" applyNumberFormat="1" applyFont="1"/>
    <xf numFmtId="10" fontId="3" fillId="0" borderId="0" xfId="0" applyNumberFormat="1" applyFont="1"/>
    <xf numFmtId="10" fontId="3" fillId="9" borderId="0" xfId="0" applyNumberFormat="1" applyFont="1" applyFill="1"/>
    <xf numFmtId="179" fontId="2" fillId="4" borderId="0" xfId="0" applyNumberFormat="1" applyFont="1" applyFill="1"/>
    <xf numFmtId="180" fontId="2" fillId="4" borderId="0" xfId="0" applyNumberFormat="1" applyFont="1" applyFill="1"/>
    <xf numFmtId="10" fontId="25" fillId="9" borderId="0" xfId="4" applyNumberFormat="1" applyFont="1" applyFill="1"/>
    <xf numFmtId="0" fontId="3" fillId="9" borderId="0" xfId="0" applyFont="1" applyFill="1"/>
    <xf numFmtId="0" fontId="0" fillId="9" borderId="0" xfId="0" applyFill="1"/>
    <xf numFmtId="10" fontId="0" fillId="9" borderId="0" xfId="4" applyNumberFormat="1" applyFont="1" applyFill="1"/>
    <xf numFmtId="0" fontId="0" fillId="10" borderId="0" xfId="0" applyFill="1"/>
    <xf numFmtId="2" fontId="3" fillId="9" borderId="0" xfId="0" applyNumberFormat="1" applyFont="1" applyFill="1"/>
    <xf numFmtId="3" fontId="3" fillId="0" borderId="0" xfId="0" applyNumberFormat="1" applyFont="1"/>
    <xf numFmtId="10" fontId="5" fillId="0" borderId="0" xfId="4" applyNumberFormat="1" applyFont="1"/>
    <xf numFmtId="182" fontId="0" fillId="0" borderId="0" xfId="0" applyNumberFormat="1"/>
    <xf numFmtId="182" fontId="3" fillId="0" borderId="0" xfId="0" applyNumberFormat="1" applyFont="1"/>
    <xf numFmtId="181" fontId="0" fillId="0" borderId="0" xfId="0" applyNumberFormat="1" applyAlignment="1">
      <alignment horizontal="right"/>
    </xf>
    <xf numFmtId="0" fontId="0" fillId="0" borderId="13" xfId="0" applyBorder="1"/>
    <xf numFmtId="0" fontId="4" fillId="0" borderId="14" xfId="0" applyFont="1" applyBorder="1" applyAlignment="1">
      <alignment horizontal="center"/>
    </xf>
    <xf numFmtId="0" fontId="4" fillId="0" borderId="14" xfId="0" applyFont="1" applyBorder="1" applyAlignment="1">
      <alignment horizontal="centerContinuous"/>
    </xf>
    <xf numFmtId="0" fontId="2" fillId="4" borderId="0" xfId="0" applyFont="1" applyFill="1" applyAlignment="1">
      <alignment horizontal="center"/>
    </xf>
    <xf numFmtId="0" fontId="17" fillId="6" borderId="17" xfId="5" applyFill="1" applyBorder="1" applyAlignment="1">
      <alignment vertical="center" wrapText="1"/>
    </xf>
    <xf numFmtId="0" fontId="17" fillId="6" borderId="17" xfId="5" applyFill="1" applyBorder="1" applyAlignment="1">
      <alignment horizontal="right" vertical="center" wrapText="1"/>
    </xf>
    <xf numFmtId="0" fontId="18" fillId="6" borderId="18" xfId="0" applyFont="1" applyFill="1" applyBorder="1" applyAlignment="1">
      <alignment vertical="center" wrapText="1"/>
    </xf>
    <xf numFmtId="0" fontId="17" fillId="6" borderId="18" xfId="5" applyFill="1" applyBorder="1" applyAlignment="1">
      <alignment vertical="center" wrapText="1"/>
    </xf>
    <xf numFmtId="0" fontId="18" fillId="6" borderId="18" xfId="0" applyFont="1" applyFill="1" applyBorder="1" applyAlignment="1">
      <alignment horizontal="right" vertical="center" wrapText="1"/>
    </xf>
    <xf numFmtId="0" fontId="18" fillId="6" borderId="0" xfId="0" applyFont="1" applyFill="1" applyAlignment="1">
      <alignment vertical="center" wrapText="1"/>
    </xf>
    <xf numFmtId="0" fontId="17" fillId="6" borderId="0" xfId="5" applyFill="1" applyAlignment="1">
      <alignment vertical="center" wrapText="1"/>
    </xf>
    <xf numFmtId="0" fontId="0" fillId="6" borderId="0" xfId="0" applyFill="1" applyAlignment="1">
      <alignment vertical="top" wrapText="1"/>
    </xf>
    <xf numFmtId="183" fontId="18" fillId="6" borderId="18" xfId="0" applyNumberFormat="1" applyFont="1" applyFill="1" applyBorder="1" applyAlignment="1">
      <alignment horizontal="right" vertical="center" wrapText="1"/>
    </xf>
    <xf numFmtId="183" fontId="18" fillId="6" borderId="0" xfId="0" applyNumberFormat="1" applyFont="1" applyFill="1" applyAlignment="1">
      <alignment horizontal="right" vertical="center" wrapText="1"/>
    </xf>
    <xf numFmtId="0" fontId="27" fillId="0" borderId="0" xfId="0" applyFont="1" applyAlignment="1">
      <alignment horizontal="left" vertical="center" indent="2"/>
    </xf>
    <xf numFmtId="172" fontId="18" fillId="6" borderId="18" xfId="0" applyNumberFormat="1" applyFont="1" applyFill="1" applyBorder="1" applyAlignment="1">
      <alignment horizontal="right" vertical="center" wrapText="1"/>
    </xf>
    <xf numFmtId="172" fontId="0" fillId="0" borderId="0" xfId="0" applyNumberFormat="1"/>
    <xf numFmtId="172" fontId="18" fillId="6" borderId="0" xfId="0" applyNumberFormat="1" applyFont="1" applyFill="1" applyAlignment="1">
      <alignment horizontal="right" vertical="center" wrapText="1"/>
    </xf>
    <xf numFmtId="2" fontId="20" fillId="0" borderId="0" xfId="0" applyNumberFormat="1" applyFont="1" applyAlignment="1">
      <alignment vertical="top"/>
    </xf>
    <xf numFmtId="3" fontId="20" fillId="0" borderId="0" xfId="0" applyNumberFormat="1" applyFont="1" applyAlignment="1">
      <alignment vertical="top"/>
    </xf>
    <xf numFmtId="0" fontId="2" fillId="4" borderId="0" xfId="0" applyFont="1" applyFill="1" applyAlignment="1">
      <alignment horizontal="center" vertical="top" wrapText="1"/>
    </xf>
    <xf numFmtId="0" fontId="2" fillId="4" borderId="0" xfId="0" applyFont="1" applyFill="1" applyAlignment="1">
      <alignment horizontal="center" vertical="top"/>
    </xf>
    <xf numFmtId="10" fontId="3" fillId="0" borderId="0" xfId="4" applyNumberFormat="1" applyFont="1" applyFill="1"/>
    <xf numFmtId="10" fontId="3" fillId="0" borderId="0" xfId="4" applyNumberFormat="1" applyFont="1" applyFill="1" applyAlignment="1">
      <alignment horizontal="left"/>
    </xf>
    <xf numFmtId="173" fontId="7" fillId="0" borderId="0" xfId="0" applyNumberFormat="1" applyFont="1"/>
    <xf numFmtId="184" fontId="3" fillId="0" borderId="0" xfId="0" applyNumberFormat="1" applyFont="1"/>
    <xf numFmtId="0" fontId="28" fillId="0" borderId="0" xfId="0" applyFont="1"/>
    <xf numFmtId="4" fontId="3" fillId="0" borderId="0" xfId="0" applyNumberFormat="1" applyFont="1"/>
    <xf numFmtId="0" fontId="29" fillId="11" borderId="19" xfId="0" applyFont="1" applyFill="1" applyBorder="1" applyAlignment="1">
      <alignment vertical="top" wrapText="1"/>
    </xf>
    <xf numFmtId="0" fontId="30" fillId="4" borderId="19" xfId="0" applyFont="1" applyFill="1" applyBorder="1" applyAlignment="1">
      <alignment horizontal="left" vertical="top" wrapText="1"/>
    </xf>
    <xf numFmtId="0" fontId="29" fillId="0" borderId="19" xfId="0" applyFont="1" applyBorder="1" applyAlignment="1">
      <alignment horizontal="right" wrapText="1"/>
    </xf>
    <xf numFmtId="2" fontId="0" fillId="7" borderId="11" xfId="0" applyNumberFormat="1" applyFill="1" applyBorder="1" applyAlignment="1">
      <alignment horizontal="right"/>
    </xf>
    <xf numFmtId="0" fontId="0" fillId="7" borderId="11" xfId="0" applyFill="1" applyBorder="1" applyAlignment="1">
      <alignment horizontal="right"/>
    </xf>
    <xf numFmtId="1" fontId="0" fillId="7" borderId="11" xfId="0" applyNumberFormat="1" applyFill="1" applyBorder="1" applyAlignment="1">
      <alignment horizontal="right"/>
    </xf>
    <xf numFmtId="181" fontId="0" fillId="0" borderId="0" xfId="0" applyNumberFormat="1"/>
    <xf numFmtId="185" fontId="0" fillId="0" borderId="0" xfId="0" applyNumberFormat="1"/>
    <xf numFmtId="186" fontId="0" fillId="0" borderId="0" xfId="0" applyNumberFormat="1"/>
    <xf numFmtId="187" fontId="0" fillId="0" borderId="0" xfId="4" applyNumberFormat="1" applyFont="1"/>
    <xf numFmtId="188" fontId="0" fillId="0" borderId="0" xfId="0" applyNumberFormat="1"/>
    <xf numFmtId="0" fontId="2" fillId="4" borderId="0" xfId="0" applyFont="1" applyFill="1" applyAlignment="1">
      <alignment horizontal="center"/>
    </xf>
    <xf numFmtId="0" fontId="23" fillId="4" borderId="0" xfId="0" applyFont="1" applyFill="1" applyAlignment="1">
      <alignment horizontal="center"/>
    </xf>
    <xf numFmtId="0" fontId="2" fillId="0" borderId="0" xfId="0" applyFont="1" applyAlignment="1">
      <alignment horizontal="center"/>
    </xf>
    <xf numFmtId="0" fontId="2" fillId="4" borderId="0" xfId="0" applyFont="1" applyFill="1" applyAlignment="1">
      <alignment horizontal="left"/>
    </xf>
    <xf numFmtId="0" fontId="2" fillId="4" borderId="10" xfId="0" applyFont="1" applyFill="1" applyBorder="1" applyAlignment="1">
      <alignment horizontal="center"/>
    </xf>
    <xf numFmtId="0" fontId="22" fillId="0" borderId="0" xfId="0" applyFont="1" applyAlignment="1">
      <alignment horizontal="left" vertical="top" wrapText="1" indent="1"/>
    </xf>
    <xf numFmtId="43" fontId="6" fillId="0" borderId="0" xfId="2" applyNumberFormat="1" applyBorder="1" applyAlignment="1" applyProtection="1">
      <alignment horizontal="center"/>
    </xf>
    <xf numFmtId="43" fontId="2" fillId="2" borderId="0" xfId="3" applyNumberFormat="1" applyFont="1" applyBorder="1" applyAlignment="1">
      <alignment horizontal="center"/>
    </xf>
  </cellXfs>
  <cellStyles count="8">
    <cellStyle name="Accent6 2" xfId="3" xr:uid="{7386DD94-EA30-4FBE-965C-265BFFC5508E}"/>
    <cellStyle name="Comma" xfId="1" builtinId="3"/>
    <cellStyle name="Hyperlink" xfId="5" builtinId="8"/>
    <cellStyle name="Hyperlink 2" xfId="2" xr:uid="{8DCAD542-A837-4969-B13D-E1725A3540CC}"/>
    <cellStyle name="Normal" xfId="0" builtinId="0"/>
    <cellStyle name="Normal 2" xfId="6" xr:uid="{61823F3F-B02C-4B76-A461-E74C066AA5FD}"/>
    <cellStyle name="Percent" xfId="4" builtinId="5"/>
    <cellStyle name="Percent 2" xfId="7" xr:uid="{B0477756-CD9C-4F56-A5BD-BDC3AEFBC53B}"/>
  </cellStyles>
  <dxfs count="17">
    <dxf>
      <font>
        <b/>
        <i val="0"/>
        <color theme="0"/>
      </font>
      <fill>
        <patternFill>
          <bgColor theme="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5337889140034415"/>
          <c:y val="0.38749689273639104"/>
          <c:w val="0.41472466911232297"/>
          <c:h val="0.61069846110768466"/>
        </c:manualLayout>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5354-4AB2-B859-3F4DEDDF24C7}"/>
              </c:ext>
            </c:extLst>
          </c:dPt>
          <c:dPt>
            <c:idx val="1"/>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5354-4AB2-B859-3F4DEDDF24C7}"/>
              </c:ext>
            </c:extLst>
          </c:dPt>
          <c:dPt>
            <c:idx val="2"/>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5354-4AB2-B859-3F4DEDDF24C7}"/>
              </c:ext>
            </c:extLst>
          </c:dPt>
          <c:dPt>
            <c:idx val="3"/>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5354-4AB2-B859-3F4DEDDF24C7}"/>
              </c:ext>
            </c:extLst>
          </c:dPt>
          <c:dPt>
            <c:idx val="4"/>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5354-4AB2-B859-3F4DEDDF24C7}"/>
              </c:ext>
            </c:extLst>
          </c:dPt>
          <c:dPt>
            <c:idx val="5"/>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5354-4AB2-B859-3F4DEDDF24C7}"/>
              </c:ext>
            </c:extLst>
          </c:dPt>
          <c:dLbls>
            <c:dLbl>
              <c:idx val="0"/>
              <c:layout>
                <c:manualLayout>
                  <c:x val="-3.1643622053561443E-2"/>
                  <c:y val="-0.57772122413148719"/>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6B1659F6-02FA-4C8C-B565-959DD76EE590}" type="CATEGORYNAME">
                      <a:rPr lang="en-US">
                        <a:solidFill>
                          <a:sysClr val="windowText" lastClr="000000"/>
                        </a:solidFill>
                      </a:rPr>
                      <a:pPr>
                        <a:defRPr/>
                      </a:pPr>
                      <a:t>[CATEGORY NAME]</a:t>
                    </a:fld>
                    <a:fld id="{17BA036E-0F45-4C1B-A9E3-E540E9EFB785}" type="VALUE">
                      <a:rPr lang="en-US" baseline="0">
                        <a:solidFill>
                          <a:sysClr val="windowText" lastClr="000000"/>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354-4AB2-B859-3F4DEDDF24C7}"/>
                </c:ext>
              </c:extLst>
            </c:dLbl>
            <c:dLbl>
              <c:idx val="1"/>
              <c:layout>
                <c:manualLayout>
                  <c:x val="-0.16495396600478343"/>
                  <c:y val="5.3828757181472967E-2"/>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F00E7A95-898D-48F4-99C2-9D9A92D72683}" type="CATEGORYNAME">
                      <a:rPr lang="en-US">
                        <a:solidFill>
                          <a:sysClr val="windowText" lastClr="000000"/>
                        </a:solidFill>
                      </a:rPr>
                      <a:pPr>
                        <a:defRPr>
                          <a:solidFill>
                            <a:schemeClr val="accent1"/>
                          </a:solidFill>
                        </a:defRPr>
                      </a:pPr>
                      <a:t>[CATEGORY NAME]</a:t>
                    </a:fld>
                    <a:endParaRPr lang="en-US" baseline="0">
                      <a:solidFill>
                        <a:sysClr val="windowText" lastClr="000000"/>
                      </a:solidFill>
                    </a:endParaRPr>
                  </a:p>
                  <a:p>
                    <a:pPr>
                      <a:defRPr>
                        <a:solidFill>
                          <a:schemeClr val="accent1"/>
                        </a:solidFill>
                      </a:defRPr>
                    </a:pPr>
                    <a:fld id="{9B42FF66-5C54-479A-AE43-F1F9CC9ADE82}" type="VALUE">
                      <a:rPr lang="en-US" baseline="0">
                        <a:solidFill>
                          <a:sysClr val="windowText" lastClr="000000"/>
                        </a:solidFill>
                      </a:rPr>
                      <a:pPr>
                        <a:defRPr>
                          <a:solidFill>
                            <a:schemeClr val="accent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5354-4AB2-B859-3F4DEDDF24C7}"/>
                </c:ext>
              </c:extLst>
            </c:dLbl>
            <c:dLbl>
              <c:idx val="2"/>
              <c:layout>
                <c:manualLayout>
                  <c:x val="-0.20298013154278605"/>
                  <c:y val="-6.8589606529164862E-2"/>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CFD395D8-75F1-40B3-96AD-B0CDD3D4F53E}" type="CATEGORYNAME">
                      <a:rPr lang="en-US">
                        <a:solidFill>
                          <a:sysClr val="windowText" lastClr="000000"/>
                        </a:solidFill>
                      </a:rPr>
                      <a:pPr>
                        <a:defRPr>
                          <a:solidFill>
                            <a:schemeClr val="accent1"/>
                          </a:solidFill>
                        </a:defRPr>
                      </a:pPr>
                      <a:t>[CATEGORY NAME]</a:t>
                    </a:fld>
                    <a:r>
                      <a:rPr lang="en-US" baseline="0">
                        <a:solidFill>
                          <a:sysClr val="windowText" lastClr="000000"/>
                        </a:solidFill>
                      </a:rPr>
                      <a:t> </a:t>
                    </a:r>
                    <a:fld id="{4765249A-2953-42E7-830B-09700FAA2763}" type="VALUE">
                      <a:rPr lang="en-US" baseline="0">
                        <a:solidFill>
                          <a:sysClr val="windowText" lastClr="000000"/>
                        </a:solidFill>
                      </a:rPr>
                      <a:pPr>
                        <a:defRPr>
                          <a:solidFill>
                            <a:schemeClr val="accent1"/>
                          </a:solidFill>
                        </a:defRPr>
                      </a:pPr>
                      <a:t>[VALUE]</a:t>
                    </a:fld>
                    <a:endParaRPr lang="en-US"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5354-4AB2-B859-3F4DEDDF24C7}"/>
                </c:ext>
              </c:extLst>
            </c:dLbl>
            <c:dLbl>
              <c:idx val="3"/>
              <c:layout>
                <c:manualLayout>
                  <c:x val="-9.2741841928438956E-2"/>
                  <c:y val="-0.27990804054170576"/>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110F045E-0496-405D-9F67-1BFEBAC0AE7D}" type="CATEGORYNAME">
                      <a:rPr lang="en-US">
                        <a:solidFill>
                          <a:sysClr val="windowText" lastClr="000000"/>
                        </a:solidFill>
                      </a:rPr>
                      <a:pPr>
                        <a:defRPr>
                          <a:solidFill>
                            <a:schemeClr val="accent1"/>
                          </a:solidFill>
                        </a:defRPr>
                      </a:pPr>
                      <a:t>[CATEGORY NAME]</a:t>
                    </a:fld>
                    <a:r>
                      <a:rPr lang="en-US" baseline="0">
                        <a:solidFill>
                          <a:sysClr val="windowText" lastClr="000000"/>
                        </a:solidFill>
                      </a:rPr>
                      <a:t> </a:t>
                    </a:r>
                    <a:fld id="{6C036D1F-B39C-4363-A2DE-3D7F8C0D3557}" type="VALUE">
                      <a:rPr lang="en-US" baseline="0">
                        <a:solidFill>
                          <a:sysClr val="windowText" lastClr="000000"/>
                        </a:solidFill>
                      </a:rPr>
                      <a:pPr>
                        <a:defRPr>
                          <a:solidFill>
                            <a:schemeClr val="accent1"/>
                          </a:solidFill>
                        </a:defRPr>
                      </a:pPr>
                      <a:t>[VALUE]</a:t>
                    </a:fld>
                    <a:endParaRPr lang="en-US"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34291645062212106"/>
                      <c:h val="0.13597837518361103"/>
                    </c:manualLayout>
                  </c15:layout>
                  <c15:dlblFieldTable/>
                  <c15:showDataLabelsRange val="0"/>
                </c:ext>
                <c:ext xmlns:c16="http://schemas.microsoft.com/office/drawing/2014/chart" uri="{C3380CC4-5D6E-409C-BE32-E72D297353CC}">
                  <c16:uniqueId val="{00000002-5354-4AB2-B859-3F4DEDDF24C7}"/>
                </c:ext>
              </c:extLst>
            </c:dLbl>
            <c:dLbl>
              <c:idx val="4"/>
              <c:layout>
                <c:manualLayout>
                  <c:x val="-2.8323533361721293E-2"/>
                  <c:y val="-0.28311682442004987"/>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332EEFDC-B7F0-46B6-953F-699C9F436974}" type="CATEGORYNAME">
                      <a:rPr lang="en-US">
                        <a:solidFill>
                          <a:sysClr val="windowText" lastClr="000000"/>
                        </a:solidFill>
                      </a:rPr>
                      <a:pPr>
                        <a:defRPr>
                          <a:solidFill>
                            <a:schemeClr val="accent1"/>
                          </a:solidFill>
                        </a:defRPr>
                      </a:pPr>
                      <a:t>[CATEGORY NAME]</a:t>
                    </a:fld>
                    <a:endParaRPr lang="en-US" baseline="0">
                      <a:solidFill>
                        <a:sysClr val="windowText" lastClr="000000"/>
                      </a:solidFill>
                    </a:endParaRPr>
                  </a:p>
                  <a:p>
                    <a:pPr>
                      <a:defRPr>
                        <a:solidFill>
                          <a:schemeClr val="accent1"/>
                        </a:solidFill>
                      </a:defRPr>
                    </a:pPr>
                    <a:fld id="{9A5C929A-836B-4723-B31E-147F1B66197D}" type="VALUE">
                      <a:rPr lang="en-US" baseline="0">
                        <a:solidFill>
                          <a:sysClr val="windowText" lastClr="000000"/>
                        </a:solidFill>
                      </a:rPr>
                      <a:pPr>
                        <a:defRPr>
                          <a:solidFill>
                            <a:schemeClr val="accent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5354-4AB2-B859-3F4DEDDF24C7}"/>
                </c:ext>
              </c:extLst>
            </c:dLbl>
            <c:dLbl>
              <c:idx val="5"/>
              <c:layout>
                <c:manualLayout>
                  <c:x val="-6.314272992766567E-3"/>
                  <c:y val="-0.22315767515840526"/>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7FCA50F2-8C62-4132-B03A-B843F99FE7B0}" type="CATEGORYNAME">
                      <a:rPr lang="en-US">
                        <a:solidFill>
                          <a:sysClr val="windowText" lastClr="000000"/>
                        </a:solidFill>
                      </a:rPr>
                      <a:pPr>
                        <a:defRPr>
                          <a:solidFill>
                            <a:schemeClr val="accent1"/>
                          </a:solidFill>
                        </a:defRPr>
                      </a:pPr>
                      <a:t>[CATEGORY NAME]</a:t>
                    </a:fld>
                    <a:endParaRPr lang="en-US" baseline="0">
                      <a:solidFill>
                        <a:sysClr val="windowText" lastClr="000000"/>
                      </a:solidFill>
                    </a:endParaRPr>
                  </a:p>
                  <a:p>
                    <a:pPr>
                      <a:defRPr>
                        <a:solidFill>
                          <a:schemeClr val="accent1"/>
                        </a:solidFill>
                      </a:defRPr>
                    </a:pPr>
                    <a:r>
                      <a:rPr lang="en-US" baseline="0">
                        <a:solidFill>
                          <a:sysClr val="windowText" lastClr="000000"/>
                        </a:solidFill>
                      </a:rPr>
                      <a:t> </a:t>
                    </a:r>
                    <a:fld id="{E020C321-B6F1-4509-9656-98A4B24217C5}" type="VALUE">
                      <a:rPr lang="en-US" baseline="0">
                        <a:solidFill>
                          <a:sysClr val="windowText" lastClr="000000"/>
                        </a:solidFill>
                      </a:rPr>
                      <a:pPr>
                        <a:defRPr>
                          <a:solidFill>
                            <a:schemeClr val="accent1"/>
                          </a:solidFill>
                        </a:defRPr>
                      </a:pPr>
                      <a:t>[VALUE]</a:t>
                    </a:fld>
                    <a:endParaRPr lang="en-US"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354-4AB2-B859-3F4DEDDF24C7}"/>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strRef>
              <c:f>Graphs!$I$6:$I$11</c:f>
              <c:strCache>
                <c:ptCount val="6"/>
                <c:pt idx="0">
                  <c:v>PROMOTERS </c:v>
                </c:pt>
                <c:pt idx="1">
                  <c:v>Mutual Funds </c:v>
                </c:pt>
                <c:pt idx="2">
                  <c:v>Insurance Companies </c:v>
                </c:pt>
                <c:pt idx="3">
                  <c:v>Financial Institutions/Banks </c:v>
                </c:pt>
                <c:pt idx="4">
                  <c:v>FII</c:v>
                </c:pt>
                <c:pt idx="5">
                  <c:v>Others</c:v>
                </c:pt>
              </c:strCache>
            </c:strRef>
          </c:cat>
          <c:val>
            <c:numRef>
              <c:f>Graphs!$N$6:$N$11</c:f>
              <c:numCache>
                <c:formatCode>0.00%</c:formatCode>
                <c:ptCount val="6"/>
                <c:pt idx="0">
                  <c:v>0.74646145998530999</c:v>
                </c:pt>
                <c:pt idx="1">
                  <c:v>7.2934865821203357E-2</c:v>
                </c:pt>
                <c:pt idx="2">
                  <c:v>8.939869949870137E-3</c:v>
                </c:pt>
                <c:pt idx="3">
                  <c:v>1.5828302735031748E-6</c:v>
                </c:pt>
                <c:pt idx="4">
                  <c:v>8.2594482504460651E-2</c:v>
                </c:pt>
                <c:pt idx="5">
                  <c:v>8.906773890888238E-2</c:v>
                </c:pt>
              </c:numCache>
            </c:numRef>
          </c:val>
          <c:extLst>
            <c:ext xmlns:c16="http://schemas.microsoft.com/office/drawing/2014/chart" uri="{C3380CC4-5D6E-409C-BE32-E72D297353CC}">
              <c16:uniqueId val="{00000000-5354-4AB2-B859-3F4DEDDF24C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Graphs!$B$35</c:f>
              <c:strCache>
                <c:ptCount val="1"/>
                <c:pt idx="0">
                  <c:v>Food </c:v>
                </c:pt>
              </c:strCache>
            </c:strRef>
          </c:tx>
          <c:spPr>
            <a:solidFill>
              <a:schemeClr val="accent1"/>
            </a:solidFill>
            <a:ln>
              <a:noFill/>
            </a:ln>
            <a:effectLst/>
          </c:spPr>
          <c:invertIfNegative val="0"/>
          <c:dLbls>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w="9525">
                      <a:solidFill>
                        <a:schemeClr val="tx1">
                          <a:alpha val="23000"/>
                        </a:schemeClr>
                      </a:solidFill>
                    </a:ln>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Graphs!$C$34:$G$34</c:f>
              <c:numCache>
                <c:formatCode>"FY"#,##0</c:formatCode>
                <c:ptCount val="5"/>
                <c:pt idx="0">
                  <c:v>20</c:v>
                </c:pt>
                <c:pt idx="1">
                  <c:v>21</c:v>
                </c:pt>
                <c:pt idx="2">
                  <c:v>22</c:v>
                </c:pt>
                <c:pt idx="3">
                  <c:v>23</c:v>
                </c:pt>
                <c:pt idx="4">
                  <c:v>24</c:v>
                </c:pt>
              </c:numCache>
            </c:numRef>
          </c:cat>
          <c:val>
            <c:numRef>
              <c:f>Graphs!$C$35:$G$35</c:f>
              <c:numCache>
                <c:formatCode>0.00%</c:formatCode>
                <c:ptCount val="5"/>
                <c:pt idx="0">
                  <c:v>0.52400000000000002</c:v>
                </c:pt>
                <c:pt idx="1">
                  <c:v>0.57410000000000005</c:v>
                </c:pt>
                <c:pt idx="2">
                  <c:v>0.56859999999999999</c:v>
                </c:pt>
                <c:pt idx="3">
                  <c:v>0.56030000000000002</c:v>
                </c:pt>
                <c:pt idx="4">
                  <c:v>0.56950000000000001</c:v>
                </c:pt>
              </c:numCache>
            </c:numRef>
          </c:val>
          <c:extLst>
            <c:ext xmlns:c16="http://schemas.microsoft.com/office/drawing/2014/chart" uri="{C3380CC4-5D6E-409C-BE32-E72D297353CC}">
              <c16:uniqueId val="{00000000-3BE8-41C0-9455-7F8163E4FCFF}"/>
            </c:ext>
          </c:extLst>
        </c:ser>
        <c:ser>
          <c:idx val="1"/>
          <c:order val="1"/>
          <c:tx>
            <c:strRef>
              <c:f>Graphs!$B$36</c:f>
              <c:strCache>
                <c:ptCount val="1"/>
                <c:pt idx="0">
                  <c:v>Non-Food (FMCG)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alpha val="30000"/>
                        </a:schemeClr>
                      </a:solidFill>
                    </a:ln>
                    <a:solidFill>
                      <a:schemeClr val="tx1">
                        <a:lumMod val="75000"/>
                        <a:lumOff val="25000"/>
                        <a:alpha val="96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Graphs!$C$34:$G$34</c:f>
              <c:numCache>
                <c:formatCode>"FY"#,##0</c:formatCode>
                <c:ptCount val="5"/>
                <c:pt idx="0">
                  <c:v>20</c:v>
                </c:pt>
                <c:pt idx="1">
                  <c:v>21</c:v>
                </c:pt>
                <c:pt idx="2">
                  <c:v>22</c:v>
                </c:pt>
                <c:pt idx="3">
                  <c:v>23</c:v>
                </c:pt>
                <c:pt idx="4">
                  <c:v>24</c:v>
                </c:pt>
              </c:numCache>
            </c:numRef>
          </c:cat>
          <c:val>
            <c:numRef>
              <c:f>Graphs!$C$36:$G$36</c:f>
              <c:numCache>
                <c:formatCode>0.00%</c:formatCode>
                <c:ptCount val="5"/>
                <c:pt idx="0">
                  <c:v>0.2029</c:v>
                </c:pt>
                <c:pt idx="1">
                  <c:v>0.19689999999999999</c:v>
                </c:pt>
                <c:pt idx="2">
                  <c:v>0.19739999999999999</c:v>
                </c:pt>
                <c:pt idx="3">
                  <c:v>0.20930000000000001</c:v>
                </c:pt>
                <c:pt idx="4">
                  <c:v>0.20680000000000001</c:v>
                </c:pt>
              </c:numCache>
            </c:numRef>
          </c:val>
          <c:extLst>
            <c:ext xmlns:c16="http://schemas.microsoft.com/office/drawing/2014/chart" uri="{C3380CC4-5D6E-409C-BE32-E72D297353CC}">
              <c16:uniqueId val="{00000001-3BE8-41C0-9455-7F8163E4FCFF}"/>
            </c:ext>
          </c:extLst>
        </c:ser>
        <c:ser>
          <c:idx val="2"/>
          <c:order val="2"/>
          <c:tx>
            <c:strRef>
              <c:f>Graphs!$B$37</c:f>
              <c:strCache>
                <c:ptCount val="1"/>
                <c:pt idx="0">
                  <c:v>General Merchandise &amp; Apparel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alpha val="30000"/>
                        </a:schemeClr>
                      </a:solid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Graphs!$C$34:$G$34</c:f>
              <c:numCache>
                <c:formatCode>"FY"#,##0</c:formatCode>
                <c:ptCount val="5"/>
                <c:pt idx="0">
                  <c:v>20</c:v>
                </c:pt>
                <c:pt idx="1">
                  <c:v>21</c:v>
                </c:pt>
                <c:pt idx="2">
                  <c:v>22</c:v>
                </c:pt>
                <c:pt idx="3">
                  <c:v>23</c:v>
                </c:pt>
                <c:pt idx="4">
                  <c:v>24</c:v>
                </c:pt>
              </c:numCache>
            </c:numRef>
          </c:cat>
          <c:val>
            <c:numRef>
              <c:f>Graphs!$C$37:$G$37</c:f>
              <c:numCache>
                <c:formatCode>0.00%</c:formatCode>
                <c:ptCount val="5"/>
                <c:pt idx="0">
                  <c:v>0.27310000000000001</c:v>
                </c:pt>
                <c:pt idx="1">
                  <c:v>0.22900000000000001</c:v>
                </c:pt>
                <c:pt idx="2">
                  <c:v>0.23400000000000001</c:v>
                </c:pt>
                <c:pt idx="3">
                  <c:v>0.23039999999999999</c:v>
                </c:pt>
                <c:pt idx="4">
                  <c:v>0.22370000000000001</c:v>
                </c:pt>
              </c:numCache>
            </c:numRef>
          </c:val>
          <c:extLst>
            <c:ext xmlns:c16="http://schemas.microsoft.com/office/drawing/2014/chart" uri="{C3380CC4-5D6E-409C-BE32-E72D297353CC}">
              <c16:uniqueId val="{00000002-3BE8-41C0-9455-7F8163E4FCFF}"/>
            </c:ext>
          </c:extLst>
        </c:ser>
        <c:dLbls>
          <c:dLblPos val="ctr"/>
          <c:showLegendKey val="0"/>
          <c:showVal val="1"/>
          <c:showCatName val="0"/>
          <c:showSerName val="0"/>
          <c:showPercent val="0"/>
          <c:showBubbleSize val="0"/>
        </c:dLbls>
        <c:gapWidth val="150"/>
        <c:overlap val="100"/>
        <c:axId val="1929044816"/>
        <c:axId val="1929041456"/>
      </c:barChart>
      <c:catAx>
        <c:axId val="1929044816"/>
        <c:scaling>
          <c:orientation val="minMax"/>
        </c:scaling>
        <c:delete val="0"/>
        <c:axPos val="b"/>
        <c:numFmt formatCode="&quot;FY&quot;#,##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041456"/>
        <c:crosses val="autoZero"/>
        <c:auto val="1"/>
        <c:lblAlgn val="ctr"/>
        <c:lblOffset val="100"/>
        <c:noMultiLvlLbl val="0"/>
      </c:catAx>
      <c:valAx>
        <c:axId val="192904145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044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Cash Conversion</a:t>
            </a:r>
            <a:r>
              <a:rPr lang="en-IN" baseline="0"/>
              <a:t> </a:t>
            </a:r>
            <a:r>
              <a:rPr lang="en-IN"/>
              <a:t>Cycle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8290682414698166E-2"/>
          <c:y val="0.17171296296296298"/>
          <c:w val="0.89830161854768154"/>
          <c:h val="0.72088764946048411"/>
        </c:manualLayout>
      </c:layout>
      <c:barChart>
        <c:barDir val="bar"/>
        <c:grouping val="clustered"/>
        <c:varyColors val="0"/>
        <c:ser>
          <c:idx val="0"/>
          <c:order val="0"/>
          <c:tx>
            <c:strRef>
              <c:f>Graphs!$D$52</c:f>
              <c:strCache>
                <c:ptCount val="1"/>
                <c:pt idx="0">
                  <c:v>Cash Cycle</c:v>
                </c:pt>
              </c:strCache>
            </c:strRef>
          </c:tx>
          <c:spPr>
            <a:solidFill>
              <a:schemeClr val="accent1"/>
            </a:solidFill>
            <a:ln>
              <a:noFill/>
            </a:ln>
            <a:effectLst/>
          </c:spPr>
          <c:invertIfNegative val="0"/>
          <c:dLbls>
            <c:dLbl>
              <c:idx val="5"/>
              <c:layout>
                <c:manualLayout>
                  <c:x val="-0.24444422572178473"/>
                  <c:y val="-4.689996753931381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C2A-4C45-B087-06955B27E2B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Graphs!$C$53:$C$62</c:f>
              <c:strCache>
                <c:ptCount val="10"/>
                <c:pt idx="0">
                  <c:v>Avenue Super.</c:v>
                </c:pt>
                <c:pt idx="1">
                  <c:v>Trent</c:v>
                </c:pt>
                <c:pt idx="2">
                  <c:v>Brainbees Solut.</c:v>
                </c:pt>
                <c:pt idx="3">
                  <c:v>Aditya Bir. Fas.</c:v>
                </c:pt>
                <c:pt idx="4">
                  <c:v>Redtape</c:v>
                </c:pt>
                <c:pt idx="5">
                  <c:v>Shoppers Stop</c:v>
                </c:pt>
                <c:pt idx="6">
                  <c:v>Electronics Mart</c:v>
                </c:pt>
                <c:pt idx="7">
                  <c:v>Medplus Health</c:v>
                </c:pt>
                <c:pt idx="8">
                  <c:v>Ethos Ltd</c:v>
                </c:pt>
                <c:pt idx="9">
                  <c:v>V-Mart Retail</c:v>
                </c:pt>
              </c:strCache>
            </c:strRef>
          </c:cat>
          <c:val>
            <c:numRef>
              <c:f>Graphs!$D$53:$D$62</c:f>
              <c:numCache>
                <c:formatCode>0.00"Days"\ </c:formatCode>
                <c:ptCount val="10"/>
                <c:pt idx="0">
                  <c:v>26.01</c:v>
                </c:pt>
                <c:pt idx="1">
                  <c:v>44.83</c:v>
                </c:pt>
                <c:pt idx="2">
                  <c:v>75.56</c:v>
                </c:pt>
                <c:pt idx="3">
                  <c:v>54.88</c:v>
                </c:pt>
                <c:pt idx="4">
                  <c:v>205.71</c:v>
                </c:pt>
                <c:pt idx="5">
                  <c:v>-33.74</c:v>
                </c:pt>
                <c:pt idx="6">
                  <c:v>73.489999999999995</c:v>
                </c:pt>
                <c:pt idx="7">
                  <c:v>91.5</c:v>
                </c:pt>
                <c:pt idx="8">
                  <c:v>185.34</c:v>
                </c:pt>
                <c:pt idx="9">
                  <c:v>36.479999999999997</c:v>
                </c:pt>
              </c:numCache>
            </c:numRef>
          </c:val>
          <c:extLst>
            <c:ext xmlns:c16="http://schemas.microsoft.com/office/drawing/2014/chart" uri="{C3380CC4-5D6E-409C-BE32-E72D297353CC}">
              <c16:uniqueId val="{00000000-AC2A-4C45-B087-06955B27E2B3}"/>
            </c:ext>
          </c:extLst>
        </c:ser>
        <c:dLbls>
          <c:dLblPos val="outEnd"/>
          <c:showLegendKey val="0"/>
          <c:showVal val="1"/>
          <c:showCatName val="0"/>
          <c:showSerName val="0"/>
          <c:showPercent val="0"/>
          <c:showBubbleSize val="0"/>
        </c:dLbls>
        <c:gapWidth val="182"/>
        <c:axId val="1701007776"/>
        <c:axId val="1701008736"/>
      </c:barChart>
      <c:catAx>
        <c:axId val="17010077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008736"/>
        <c:crosses val="autoZero"/>
        <c:auto val="1"/>
        <c:lblAlgn val="ctr"/>
        <c:lblOffset val="100"/>
        <c:noMultiLvlLbl val="0"/>
      </c:catAx>
      <c:valAx>
        <c:axId val="1701008736"/>
        <c:scaling>
          <c:orientation val="minMax"/>
        </c:scaling>
        <c:delete val="0"/>
        <c:axPos val="b"/>
        <c:numFmt formatCode="0.00&quot;Days&quot;\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007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Graphs!$D$71</c:f>
              <c:strCache>
                <c:ptCount val="1"/>
                <c:pt idx="0">
                  <c:v>ASL vs Peers Interest Coverage Ratio </c:v>
                </c:pt>
              </c:strCache>
            </c:strRef>
          </c:tx>
          <c:spPr>
            <a:solidFill>
              <a:schemeClr val="accent1"/>
            </a:solidFill>
            <a:ln>
              <a:noFill/>
            </a:ln>
            <a:effectLst/>
          </c:spPr>
          <c:invertIfNegative val="0"/>
          <c:cat>
            <c:strRef>
              <c:f>Graphs!$C$72:$C$82</c:f>
              <c:strCache>
                <c:ptCount val="11"/>
                <c:pt idx="0">
                  <c:v>Avenue Super.</c:v>
                </c:pt>
                <c:pt idx="1">
                  <c:v>Reliance Retail</c:v>
                </c:pt>
                <c:pt idx="2">
                  <c:v>Trent</c:v>
                </c:pt>
                <c:pt idx="3">
                  <c:v>Brainbees Solut.</c:v>
                </c:pt>
                <c:pt idx="4">
                  <c:v>Aditya Bir. Fas.</c:v>
                </c:pt>
                <c:pt idx="5">
                  <c:v>Redtape</c:v>
                </c:pt>
                <c:pt idx="6">
                  <c:v>Shoppers Stop</c:v>
                </c:pt>
                <c:pt idx="7">
                  <c:v>Electronics Mart</c:v>
                </c:pt>
                <c:pt idx="8">
                  <c:v>Medplus Health</c:v>
                </c:pt>
                <c:pt idx="9">
                  <c:v>Ethos Ltd</c:v>
                </c:pt>
                <c:pt idx="10">
                  <c:v>V-Mart Retail</c:v>
                </c:pt>
              </c:strCache>
            </c:strRef>
          </c:cat>
          <c:val>
            <c:numRef>
              <c:f>Graphs!$D$72:$D$82</c:f>
              <c:numCache>
                <c:formatCode>0.0\x</c:formatCode>
                <c:ptCount val="11"/>
                <c:pt idx="0">
                  <c:v>61.79</c:v>
                </c:pt>
                <c:pt idx="1">
                  <c:v>3.35</c:v>
                </c:pt>
                <c:pt idx="2">
                  <c:v>7.32</c:v>
                </c:pt>
                <c:pt idx="3">
                  <c:v>-1.79</c:v>
                </c:pt>
                <c:pt idx="4">
                  <c:v>0.03</c:v>
                </c:pt>
                <c:pt idx="5">
                  <c:v>6.4</c:v>
                </c:pt>
                <c:pt idx="6">
                  <c:v>1.26</c:v>
                </c:pt>
                <c:pt idx="7">
                  <c:v>3.41</c:v>
                </c:pt>
                <c:pt idx="8">
                  <c:v>1.88</c:v>
                </c:pt>
                <c:pt idx="9">
                  <c:v>8.0299999999999994</c:v>
                </c:pt>
                <c:pt idx="10">
                  <c:v>0.37</c:v>
                </c:pt>
              </c:numCache>
            </c:numRef>
          </c:val>
          <c:extLst>
            <c:ext xmlns:c16="http://schemas.microsoft.com/office/drawing/2014/chart" uri="{C3380CC4-5D6E-409C-BE32-E72D297353CC}">
              <c16:uniqueId val="{00000000-DF52-4AB7-85D3-8A1FE7F993C5}"/>
            </c:ext>
          </c:extLst>
        </c:ser>
        <c:dLbls>
          <c:showLegendKey val="0"/>
          <c:showVal val="0"/>
          <c:showCatName val="0"/>
          <c:showSerName val="0"/>
          <c:showPercent val="0"/>
          <c:showBubbleSize val="0"/>
        </c:dLbls>
        <c:gapWidth val="219"/>
        <c:overlap val="-27"/>
        <c:axId val="1582086032"/>
        <c:axId val="1582088432"/>
      </c:barChart>
      <c:catAx>
        <c:axId val="158208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088432"/>
        <c:crosses val="autoZero"/>
        <c:auto val="1"/>
        <c:lblAlgn val="ctr"/>
        <c:lblOffset val="100"/>
        <c:noMultiLvlLbl val="0"/>
      </c:catAx>
      <c:valAx>
        <c:axId val="1582088432"/>
        <c:scaling>
          <c:orientation val="minMax"/>
        </c:scaling>
        <c:delete val="0"/>
        <c:axPos val="l"/>
        <c:majorGridlines>
          <c:spPr>
            <a:ln w="9525" cap="flat" cmpd="sng" algn="ctr">
              <a:solidFill>
                <a:schemeClr val="tx1">
                  <a:lumMod val="15000"/>
                  <a:lumOff val="85000"/>
                </a:schemeClr>
              </a:solidFill>
              <a:round/>
            </a:ln>
            <a:effectLst/>
          </c:spPr>
        </c:majorGridlines>
        <c:numFmt formatCode="0.0\x"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08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ASL vs Peers Debt/Equity Ratio</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Graphs!$D$91</c:f>
              <c:strCache>
                <c:ptCount val="1"/>
                <c:pt idx="0">
                  <c:v>Debt / Eq</c:v>
                </c:pt>
              </c:strCache>
            </c:strRef>
          </c:tx>
          <c:spPr>
            <a:solidFill>
              <a:schemeClr val="accent1"/>
            </a:solidFill>
            <a:ln>
              <a:noFill/>
            </a:ln>
            <a:effectLst/>
          </c:spPr>
          <c:invertIfNegative val="0"/>
          <c:cat>
            <c:strRef>
              <c:f>Graphs!$C$92:$C$102</c:f>
              <c:strCache>
                <c:ptCount val="11"/>
                <c:pt idx="0">
                  <c:v>Avenue Super.</c:v>
                </c:pt>
                <c:pt idx="1">
                  <c:v>Reliance Retail</c:v>
                </c:pt>
                <c:pt idx="2">
                  <c:v>Trent</c:v>
                </c:pt>
                <c:pt idx="3">
                  <c:v>Brainbees Solut.</c:v>
                </c:pt>
                <c:pt idx="4">
                  <c:v>Aditya Bir. Fas.</c:v>
                </c:pt>
                <c:pt idx="5">
                  <c:v>Redtape</c:v>
                </c:pt>
                <c:pt idx="6">
                  <c:v>Shoppers Stop</c:v>
                </c:pt>
                <c:pt idx="7">
                  <c:v>Electronics Mart</c:v>
                </c:pt>
                <c:pt idx="8">
                  <c:v>Medplus Health</c:v>
                </c:pt>
                <c:pt idx="9">
                  <c:v>Ethos Ltd</c:v>
                </c:pt>
                <c:pt idx="10">
                  <c:v>V-Mart Retail</c:v>
                </c:pt>
              </c:strCache>
            </c:strRef>
          </c:cat>
          <c:val>
            <c:numRef>
              <c:f>Graphs!$D$92:$D$102</c:f>
              <c:numCache>
                <c:formatCode>0.0\x</c:formatCode>
                <c:ptCount val="11"/>
                <c:pt idx="0">
                  <c:v>0.03</c:v>
                </c:pt>
                <c:pt idx="1">
                  <c:v>1.91</c:v>
                </c:pt>
                <c:pt idx="2">
                  <c:v>0.43</c:v>
                </c:pt>
                <c:pt idx="3">
                  <c:v>0.45</c:v>
                </c:pt>
                <c:pt idx="4">
                  <c:v>2.34</c:v>
                </c:pt>
                <c:pt idx="5">
                  <c:v>0.74</c:v>
                </c:pt>
                <c:pt idx="6">
                  <c:v>9.24</c:v>
                </c:pt>
                <c:pt idx="7">
                  <c:v>1.1499999999999999</c:v>
                </c:pt>
                <c:pt idx="8">
                  <c:v>0.64</c:v>
                </c:pt>
                <c:pt idx="9">
                  <c:v>0.16</c:v>
                </c:pt>
                <c:pt idx="10">
                  <c:v>1.86</c:v>
                </c:pt>
              </c:numCache>
            </c:numRef>
          </c:val>
          <c:extLst>
            <c:ext xmlns:c16="http://schemas.microsoft.com/office/drawing/2014/chart" uri="{C3380CC4-5D6E-409C-BE32-E72D297353CC}">
              <c16:uniqueId val="{00000000-C900-49F6-ACB2-8959D0A68661}"/>
            </c:ext>
          </c:extLst>
        </c:ser>
        <c:dLbls>
          <c:showLegendKey val="0"/>
          <c:showVal val="0"/>
          <c:showCatName val="0"/>
          <c:showSerName val="0"/>
          <c:showPercent val="0"/>
          <c:showBubbleSize val="0"/>
        </c:dLbls>
        <c:gapWidth val="219"/>
        <c:overlap val="-27"/>
        <c:axId val="1908464816"/>
        <c:axId val="1908462896"/>
      </c:barChart>
      <c:catAx>
        <c:axId val="190846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462896"/>
        <c:crosses val="autoZero"/>
        <c:auto val="1"/>
        <c:lblAlgn val="ctr"/>
        <c:lblOffset val="100"/>
        <c:noMultiLvlLbl val="0"/>
      </c:catAx>
      <c:valAx>
        <c:axId val="1908462896"/>
        <c:scaling>
          <c:orientation val="minMax"/>
        </c:scaling>
        <c:delete val="0"/>
        <c:axPos val="l"/>
        <c:majorGridlines>
          <c:spPr>
            <a:ln w="9525" cap="flat" cmpd="sng" algn="ctr">
              <a:solidFill>
                <a:schemeClr val="tx1">
                  <a:lumMod val="15000"/>
                  <a:lumOff val="85000"/>
                </a:schemeClr>
              </a:solidFill>
              <a:round/>
            </a:ln>
            <a:effectLst/>
          </c:spPr>
        </c:majorGridlines>
        <c:numFmt formatCode="0.0\x"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464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585680</xdr:colOff>
      <xdr:row>3</xdr:row>
      <xdr:rowOff>129468</xdr:rowOff>
    </xdr:from>
    <xdr:to>
      <xdr:col>21</xdr:col>
      <xdr:colOff>326749</xdr:colOff>
      <xdr:row>19</xdr:row>
      <xdr:rowOff>46569</xdr:rowOff>
    </xdr:to>
    <xdr:graphicFrame macro="">
      <xdr:nvGraphicFramePr>
        <xdr:cNvPr id="4" name="Chart 3">
          <a:extLst>
            <a:ext uri="{FF2B5EF4-FFF2-40B4-BE49-F238E27FC236}">
              <a16:creationId xmlns:a16="http://schemas.microsoft.com/office/drawing/2014/main" id="{92BADBF6-0252-9A1F-6FB1-CEB2F8172D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588434</xdr:colOff>
      <xdr:row>29</xdr:row>
      <xdr:rowOff>160866</xdr:rowOff>
    </xdr:from>
    <xdr:to>
      <xdr:col>15</xdr:col>
      <xdr:colOff>554567</xdr:colOff>
      <xdr:row>44</xdr:row>
      <xdr:rowOff>110066</xdr:rowOff>
    </xdr:to>
    <xdr:graphicFrame macro="">
      <xdr:nvGraphicFramePr>
        <xdr:cNvPr id="7" name="Chart 6">
          <a:extLst>
            <a:ext uri="{FF2B5EF4-FFF2-40B4-BE49-F238E27FC236}">
              <a16:creationId xmlns:a16="http://schemas.microsoft.com/office/drawing/2014/main" id="{37C24B4B-A60A-6051-50CE-DAC39E091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602901</xdr:colOff>
      <xdr:row>51</xdr:row>
      <xdr:rowOff>529911</xdr:rowOff>
    </xdr:from>
    <xdr:to>
      <xdr:col>17</xdr:col>
      <xdr:colOff>583362</xdr:colOff>
      <xdr:row>60</xdr:row>
      <xdr:rowOff>104670</xdr:rowOff>
    </xdr:to>
    <xdr:graphicFrame macro="">
      <xdr:nvGraphicFramePr>
        <xdr:cNvPr id="2" name="Chart 1">
          <a:extLst>
            <a:ext uri="{FF2B5EF4-FFF2-40B4-BE49-F238E27FC236}">
              <a16:creationId xmlns:a16="http://schemas.microsoft.com/office/drawing/2014/main" id="{D9418797-0693-91E8-AC83-6F187C12C6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267956</xdr:colOff>
      <xdr:row>70</xdr:row>
      <xdr:rowOff>369417</xdr:rowOff>
    </xdr:from>
    <xdr:to>
      <xdr:col>15</xdr:col>
      <xdr:colOff>248417</xdr:colOff>
      <xdr:row>79</xdr:row>
      <xdr:rowOff>160913</xdr:rowOff>
    </xdr:to>
    <xdr:graphicFrame macro="">
      <xdr:nvGraphicFramePr>
        <xdr:cNvPr id="3" name="Chart 2">
          <a:extLst>
            <a:ext uri="{FF2B5EF4-FFF2-40B4-BE49-F238E27FC236}">
              <a16:creationId xmlns:a16="http://schemas.microsoft.com/office/drawing/2014/main" id="{81F4CA38-2296-CA04-40A2-07F1DF0605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554055</xdr:colOff>
      <xdr:row>90</xdr:row>
      <xdr:rowOff>327548</xdr:rowOff>
    </xdr:from>
    <xdr:to>
      <xdr:col>16</xdr:col>
      <xdr:colOff>534516</xdr:colOff>
      <xdr:row>99</xdr:row>
      <xdr:rowOff>307452</xdr:rowOff>
    </xdr:to>
    <xdr:graphicFrame macro="">
      <xdr:nvGraphicFramePr>
        <xdr:cNvPr id="5" name="Chart 4">
          <a:extLst>
            <a:ext uri="{FF2B5EF4-FFF2-40B4-BE49-F238E27FC236}">
              <a16:creationId xmlns:a16="http://schemas.microsoft.com/office/drawing/2014/main" id="{47A0F374-CA99-E769-01EC-E2EABBC0A0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95AE1748-3086-4A14-9F05-6DEA17509212}" autoFormatId="16" applyNumberFormats="0" applyBorderFormats="0" applyFontFormats="0" applyPatternFormats="0" applyAlignmentFormats="0" applyWidthHeightFormats="0">
  <queryTableRefresh nextId="14">
    <queryTableFields count="13">
      <queryTableField id="1" name="Comapany " tableColumnId="1"/>
      <queryTableField id="2" name="Ticker " tableColumnId="2"/>
      <queryTableField id="3" name="Current Price" tableColumnId="3"/>
      <queryTableField id="4" name="Column4" tableColumnId="4"/>
      <queryTableField id="5" name="symbol" tableColumnId="5"/>
      <queryTableField id="6" name="NSE:DMART" tableColumnId="6"/>
      <queryTableField id="7" name="Dmart" tableColumnId="7"/>
      <queryTableField id="8" name="Column8" tableColumnId="8"/>
      <queryTableField id="9" name="Column9" tableColumnId="9"/>
      <queryTableField id="10" name="symbol_1" tableColumnId="10"/>
      <queryTableField id="11" name="NSE:NIFTYBEES_x000a_" tableColumnId="11"/>
      <queryTableField id="12" name="Market (Index)" tableColumnId="12"/>
      <queryTableField id="13" name="Column13"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7B99DEFC-F5E5-43F8-A212-EDA55DE25BC2}"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09911B-DB74-4ACB-9B2D-E474EFC7DC7C}" name="Sheet1" displayName="Sheet1" ref="A1:M162" tableType="queryTable" totalsRowShown="0">
  <autoFilter ref="A1:M162" xr:uid="{DC09911B-DB74-4ACB-9B2D-E474EFC7DC7C}"/>
  <tableColumns count="13">
    <tableColumn id="1" xr3:uid="{197B02E5-B368-4A38-BDF6-B57145C29236}" uniqueName="1" name="Comapany " queryTableFieldId="1" dataDxfId="16"/>
    <tableColumn id="2" xr3:uid="{963418F2-84C4-4828-A4FB-920BB4FD7854}" uniqueName="2" name="Ticker " queryTableFieldId="2" dataDxfId="15"/>
    <tableColumn id="3" xr3:uid="{409106D4-4733-4C41-B525-4325653C3B86}" uniqueName="3" name="Current Price" queryTableFieldId="3"/>
    <tableColumn id="4" xr3:uid="{6656BED3-8CF7-4BC9-9CE0-90BBBB979E98}" uniqueName="4" name="Column4" queryTableFieldId="4"/>
    <tableColumn id="5" xr3:uid="{B75A601E-6AD9-429C-AB61-F8B9691FEF0B}" uniqueName="5" name="symbol" queryTableFieldId="5"/>
    <tableColumn id="6" xr3:uid="{9B400417-5493-4A2F-B1BD-15946185FF21}" uniqueName="6" name="NSE:DMART" queryTableFieldId="6"/>
    <tableColumn id="7" xr3:uid="{B5EE8DA5-1576-44F5-98EC-D855ABD63A22}" uniqueName="7" name="Dmart" queryTableFieldId="7" dataDxfId="14"/>
    <tableColumn id="8" xr3:uid="{458E3DB2-6197-4637-AA1B-030D0B9B54CF}" uniqueName="8" name="Column8" queryTableFieldId="8"/>
    <tableColumn id="9" xr3:uid="{05B18863-7C0B-4B2D-AE74-379196F6E370}" uniqueName="9" name="Column9" queryTableFieldId="9"/>
    <tableColumn id="10" xr3:uid="{F8D633C1-33A4-434C-86EA-38416A151C60}" uniqueName="10" name="symbol_1" queryTableFieldId="10"/>
    <tableColumn id="11" xr3:uid="{EE75E77B-BF56-4B7F-B1DA-C17366FDE2B3}" uniqueName="11" name="NSE:NIFTYBEES_x000a_" queryTableFieldId="11"/>
    <tableColumn id="12" xr3:uid="{E9F24A5D-7C87-4709-BAB6-42C6F12CAD00}" uniqueName="12" name="Market (Index)" queryTableFieldId="12" dataDxfId="13"/>
    <tableColumn id="13" xr3:uid="{3441670E-A658-4F74-B748-0843304BCC22}" uniqueName="13" name="Column13" queryTableField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99EDEF-3293-4A0E-A65D-289FEAADF9F5}" name="Table_1__2" displayName="Table_1__2" ref="A1:M173" tableType="queryTable" totalsRowShown="0">
  <autoFilter ref="A1:M173" xr:uid="{2299EDEF-3293-4A0E-A65D-289FEAADF9F5}"/>
  <tableColumns count="13">
    <tableColumn id="1" xr3:uid="{62D62CD3-96B7-40A3-A081-25CC6FB7F71F}" uniqueName="1" name="Column1" queryTableFieldId="1"/>
    <tableColumn id="2" xr3:uid="{B9569849-21B4-44C9-A8C3-EE308EBE4F52}" uniqueName="2" name="Column2" queryTableFieldId="2" dataDxfId="12"/>
    <tableColumn id="3" xr3:uid="{45AB36D5-8C44-4A55-9553-C013E1346BAE}" uniqueName="3" name="Column3" queryTableFieldId="3" dataDxfId="11"/>
    <tableColumn id="4" xr3:uid="{1A284DD7-B4BD-4BFF-817C-9D60E8AF099D}" uniqueName="4" name="Column4" queryTableFieldId="4" dataDxfId="10"/>
    <tableColumn id="5" xr3:uid="{94B60BC9-9619-4B6C-8C88-124C061A1FDA}" uniqueName="5" name="Column5" queryTableFieldId="5" dataDxfId="9"/>
    <tableColumn id="6" xr3:uid="{40B814A5-4D3D-4CC7-A270-515A2FA6E0EB}" uniqueName="6" name="Column6" queryTableFieldId="6" dataDxfId="8"/>
    <tableColumn id="7" xr3:uid="{E3E23F97-8E01-47DC-947A-807A024EDD4A}" uniqueName="7" name="Column7" queryTableFieldId="7" dataDxfId="7"/>
    <tableColumn id="8" xr3:uid="{470490BF-82FA-4A3C-9E1D-E5C8715D0B1B}" uniqueName="8" name="Column8" queryTableFieldId="8" dataDxfId="6"/>
    <tableColumn id="9" xr3:uid="{87156BD3-C5E3-4332-9A2F-B8DCEBC5E357}" uniqueName="9" name="Column9" queryTableFieldId="9" dataDxfId="5"/>
    <tableColumn id="10" xr3:uid="{61A45BF8-F1F0-4E45-BCAB-FF6DDAB46E68}" uniqueName="10" name="Column10" queryTableFieldId="10" dataDxfId="4"/>
    <tableColumn id="11" xr3:uid="{077A34BE-C18D-4F35-9457-3CF42F73769E}" uniqueName="11" name="Column11" queryTableFieldId="11" dataDxfId="3"/>
    <tableColumn id="12" xr3:uid="{ACCB9156-BBAB-47DB-8548-7FFF62F6068A}" uniqueName="12" name="Column12" queryTableFieldId="12" dataDxfId="2"/>
    <tableColumn id="13" xr3:uid="{D7DF7881-A109-4F61-97D4-D2265B49A7BC}" uniqueName="13" name="Column13" queryTableFieldId="13"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screener.in/excel/" TargetMode="External"/></Relationships>
</file>

<file path=xl/worksheets/_rels/sheet1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8.xml.rels><?xml version="1.0" encoding="UTF-8" standalone="yes"?>
<Relationships xmlns="http://schemas.openxmlformats.org/package/2006/relationships"><Relationship Id="rId26" Type="http://schemas.openxmlformats.org/officeDocument/2006/relationships/hyperlink" Target="https://www.screener.in/company/compare/00000054/?sort=current+price&amp;order=desc" TargetMode="External"/><Relationship Id="rId21" Type="http://schemas.openxmlformats.org/officeDocument/2006/relationships/hyperlink" Target="https://www.screener.in/company/CARTRADE/consolidated/" TargetMode="External"/><Relationship Id="rId34" Type="http://schemas.openxmlformats.org/officeDocument/2006/relationships/hyperlink" Target="https://www.screener.in/company/SHOPERSTOP/consolidated/" TargetMode="External"/><Relationship Id="rId42" Type="http://schemas.openxmlformats.org/officeDocument/2006/relationships/hyperlink" Target="https://www.screener.in/company/V2RETAIL/" TargetMode="External"/><Relationship Id="rId47" Type="http://schemas.openxmlformats.org/officeDocument/2006/relationships/hyperlink" Target="https://www.screener.in/company/compare/00000054/?sort=debt&amp;order=desc" TargetMode="External"/><Relationship Id="rId50" Type="http://schemas.openxmlformats.org/officeDocument/2006/relationships/hyperlink" Target="https://www.screener.in/company/compare/00000054/?sort=market+capitalization&amp;order=desc" TargetMode="External"/><Relationship Id="rId55" Type="http://schemas.openxmlformats.org/officeDocument/2006/relationships/hyperlink" Target="https://www.screener.in/company/REDTAPE/consolidated/" TargetMode="External"/><Relationship Id="rId63" Type="http://schemas.openxmlformats.org/officeDocument/2006/relationships/hyperlink" Target="https://www.screener.in/company/CARTRADE/consolidated/" TargetMode="External"/><Relationship Id="rId7" Type="http://schemas.openxmlformats.org/officeDocument/2006/relationships/hyperlink" Target="https://www.screener.in/company/compare/00000054/?sort=days+receivable+outstanding&amp;order=desc" TargetMode="External"/><Relationship Id="rId2" Type="http://schemas.openxmlformats.org/officeDocument/2006/relationships/hyperlink" Target="https://www.screener.in/company/compare/00000054/?sort=name&amp;order=desc" TargetMode="External"/><Relationship Id="rId16" Type="http://schemas.openxmlformats.org/officeDocument/2006/relationships/hyperlink" Target="https://www.screener.in/company/MEDPLUS/consolidated/" TargetMode="External"/><Relationship Id="rId29" Type="http://schemas.openxmlformats.org/officeDocument/2006/relationships/hyperlink" Target="https://www.screener.in/company/DMART/consolidated/" TargetMode="External"/><Relationship Id="rId11" Type="http://schemas.openxmlformats.org/officeDocument/2006/relationships/hyperlink" Target="https://www.screener.in/company/FIRSTCRY/consolidated/" TargetMode="External"/><Relationship Id="rId24" Type="http://schemas.openxmlformats.org/officeDocument/2006/relationships/hyperlink" Target="https://www.screener.in/company/compare/00000054/?order=asc" TargetMode="External"/><Relationship Id="rId32" Type="http://schemas.openxmlformats.org/officeDocument/2006/relationships/hyperlink" Target="https://www.screener.in/company/ABFRL/consolidated/" TargetMode="External"/><Relationship Id="rId37" Type="http://schemas.openxmlformats.org/officeDocument/2006/relationships/hyperlink" Target="https://www.screener.in/company/ETHOSLTD/consolidated/" TargetMode="External"/><Relationship Id="rId40" Type="http://schemas.openxmlformats.org/officeDocument/2006/relationships/hyperlink" Target="https://www.screener.in/company/ENTERO/consolidated/" TargetMode="External"/><Relationship Id="rId45" Type="http://schemas.openxmlformats.org/officeDocument/2006/relationships/hyperlink" Target="https://www.screener.in/company/compare/00000054/?sort=name&amp;order=desc" TargetMode="External"/><Relationship Id="rId53" Type="http://schemas.openxmlformats.org/officeDocument/2006/relationships/hyperlink" Target="https://www.screener.in/company/FIRSTCRY/consolidated/" TargetMode="External"/><Relationship Id="rId58" Type="http://schemas.openxmlformats.org/officeDocument/2006/relationships/hyperlink" Target="https://www.screener.in/company/MEDPLUS/consolidated/" TargetMode="External"/><Relationship Id="rId66" Type="http://schemas.openxmlformats.org/officeDocument/2006/relationships/drawing" Target="../drawings/drawing1.xml"/><Relationship Id="rId5" Type="http://schemas.openxmlformats.org/officeDocument/2006/relationships/hyperlink" Target="https://www.screener.in/company/compare/00000054/?sort=days+inventory+outstanding&amp;order=desc" TargetMode="External"/><Relationship Id="rId61" Type="http://schemas.openxmlformats.org/officeDocument/2006/relationships/hyperlink" Target="https://www.screener.in/company/540205/" TargetMode="External"/><Relationship Id="rId19" Type="http://schemas.openxmlformats.org/officeDocument/2006/relationships/hyperlink" Target="https://www.screener.in/company/540205/" TargetMode="External"/><Relationship Id="rId14" Type="http://schemas.openxmlformats.org/officeDocument/2006/relationships/hyperlink" Target="https://www.screener.in/company/SHOPERSTOP/consolidated/" TargetMode="External"/><Relationship Id="rId22" Type="http://schemas.openxmlformats.org/officeDocument/2006/relationships/hyperlink" Target="https://www.screener.in/company/V2RETAIL/" TargetMode="External"/><Relationship Id="rId27" Type="http://schemas.openxmlformats.org/officeDocument/2006/relationships/hyperlink" Target="https://www.screener.in/company/compare/00000054/?sort=interest+coverage+ratio&amp;order=desc" TargetMode="External"/><Relationship Id="rId30" Type="http://schemas.openxmlformats.org/officeDocument/2006/relationships/hyperlink" Target="https://www.screener.in/company/TRENT/consolidated/" TargetMode="External"/><Relationship Id="rId35" Type="http://schemas.openxmlformats.org/officeDocument/2006/relationships/hyperlink" Target="https://www.screener.in/company/EMIL/" TargetMode="External"/><Relationship Id="rId43" Type="http://schemas.openxmlformats.org/officeDocument/2006/relationships/hyperlink" Target="https://www.screener.in/company/" TargetMode="External"/><Relationship Id="rId48" Type="http://schemas.openxmlformats.org/officeDocument/2006/relationships/hyperlink" Target="https://www.screener.in/company/compare/00000054/?sort=debt+to+equity&amp;order=desc" TargetMode="External"/><Relationship Id="rId56" Type="http://schemas.openxmlformats.org/officeDocument/2006/relationships/hyperlink" Target="https://www.screener.in/company/SHOPERSTOP/consolidated/" TargetMode="External"/><Relationship Id="rId64" Type="http://schemas.openxmlformats.org/officeDocument/2006/relationships/hyperlink" Target="https://www.screener.in/company/V2RETAIL/" TargetMode="External"/><Relationship Id="rId8" Type="http://schemas.openxmlformats.org/officeDocument/2006/relationships/hyperlink" Target="https://www.screener.in/company/compare/00000054/?sort=market+capitalization&amp;order=desc" TargetMode="External"/><Relationship Id="rId51" Type="http://schemas.openxmlformats.org/officeDocument/2006/relationships/hyperlink" Target="https://www.screener.in/company/DMART/consolidated/" TargetMode="External"/><Relationship Id="rId3" Type="http://schemas.openxmlformats.org/officeDocument/2006/relationships/hyperlink" Target="https://www.screener.in/company/compare/00000054/?sort=current+price&amp;order=desc" TargetMode="External"/><Relationship Id="rId12" Type="http://schemas.openxmlformats.org/officeDocument/2006/relationships/hyperlink" Target="https://www.screener.in/company/ABFRL/consolidated/" TargetMode="External"/><Relationship Id="rId17" Type="http://schemas.openxmlformats.org/officeDocument/2006/relationships/hyperlink" Target="https://www.screener.in/company/ETHOSLTD/consolidated/" TargetMode="External"/><Relationship Id="rId25" Type="http://schemas.openxmlformats.org/officeDocument/2006/relationships/hyperlink" Target="https://www.screener.in/company/compare/00000054/?sort=name&amp;order=desc" TargetMode="External"/><Relationship Id="rId33" Type="http://schemas.openxmlformats.org/officeDocument/2006/relationships/hyperlink" Target="https://www.screener.in/company/REDTAPE/consolidated/" TargetMode="External"/><Relationship Id="rId38" Type="http://schemas.openxmlformats.org/officeDocument/2006/relationships/hyperlink" Target="https://www.screener.in/company/VMART/" TargetMode="External"/><Relationship Id="rId46" Type="http://schemas.openxmlformats.org/officeDocument/2006/relationships/hyperlink" Target="https://www.screener.in/company/compare/00000054/?sort=current+price&amp;order=desc" TargetMode="External"/><Relationship Id="rId59" Type="http://schemas.openxmlformats.org/officeDocument/2006/relationships/hyperlink" Target="https://www.screener.in/company/ETHOSLTD/consolidated/" TargetMode="External"/><Relationship Id="rId20" Type="http://schemas.openxmlformats.org/officeDocument/2006/relationships/hyperlink" Target="https://www.screener.in/company/ENTERO/consolidated/" TargetMode="External"/><Relationship Id="rId41" Type="http://schemas.openxmlformats.org/officeDocument/2006/relationships/hyperlink" Target="https://www.screener.in/company/CARTRADE/consolidated/" TargetMode="External"/><Relationship Id="rId54" Type="http://schemas.openxmlformats.org/officeDocument/2006/relationships/hyperlink" Target="https://www.screener.in/company/ABFRL/consolidated/" TargetMode="External"/><Relationship Id="rId62" Type="http://schemas.openxmlformats.org/officeDocument/2006/relationships/hyperlink" Target="https://www.screener.in/company/ENTERO/consolidated/" TargetMode="External"/><Relationship Id="rId1" Type="http://schemas.openxmlformats.org/officeDocument/2006/relationships/hyperlink" Target="https://www.screener.in/company/compare/00000054/?order=asc" TargetMode="External"/><Relationship Id="rId6" Type="http://schemas.openxmlformats.org/officeDocument/2006/relationships/hyperlink" Target="https://www.screener.in/company/compare/00000054/?sort=days+payable+outstanding&amp;order=desc" TargetMode="External"/><Relationship Id="rId15" Type="http://schemas.openxmlformats.org/officeDocument/2006/relationships/hyperlink" Target="https://www.screener.in/company/EMIL/" TargetMode="External"/><Relationship Id="rId23" Type="http://schemas.openxmlformats.org/officeDocument/2006/relationships/hyperlink" Target="https://www.screener.in/company/" TargetMode="External"/><Relationship Id="rId28" Type="http://schemas.openxmlformats.org/officeDocument/2006/relationships/hyperlink" Target="https://www.screener.in/company/compare/00000054/?sort=market+capitalization&amp;order=desc" TargetMode="External"/><Relationship Id="rId36" Type="http://schemas.openxmlformats.org/officeDocument/2006/relationships/hyperlink" Target="https://www.screener.in/company/MEDPLUS/consolidated/" TargetMode="External"/><Relationship Id="rId49" Type="http://schemas.openxmlformats.org/officeDocument/2006/relationships/hyperlink" Target="https://www.screener.in/company/compare/00000054/?sort=interest+coverage+ratio&amp;order=desc" TargetMode="External"/><Relationship Id="rId57" Type="http://schemas.openxmlformats.org/officeDocument/2006/relationships/hyperlink" Target="https://www.screener.in/company/EMIL/" TargetMode="External"/><Relationship Id="rId10" Type="http://schemas.openxmlformats.org/officeDocument/2006/relationships/hyperlink" Target="https://www.screener.in/company/TRENT/consolidated/" TargetMode="External"/><Relationship Id="rId31" Type="http://schemas.openxmlformats.org/officeDocument/2006/relationships/hyperlink" Target="https://www.screener.in/company/FIRSTCRY/consolidated/" TargetMode="External"/><Relationship Id="rId44" Type="http://schemas.openxmlformats.org/officeDocument/2006/relationships/hyperlink" Target="https://www.screener.in/company/compare/00000054/?order=asc" TargetMode="External"/><Relationship Id="rId52" Type="http://schemas.openxmlformats.org/officeDocument/2006/relationships/hyperlink" Target="https://www.screener.in/company/TRENT/consolidated/" TargetMode="External"/><Relationship Id="rId60" Type="http://schemas.openxmlformats.org/officeDocument/2006/relationships/hyperlink" Target="https://www.screener.in/company/VMART/" TargetMode="External"/><Relationship Id="rId65" Type="http://schemas.openxmlformats.org/officeDocument/2006/relationships/hyperlink" Target="https://www.screener.in/company/" TargetMode="External"/><Relationship Id="rId4" Type="http://schemas.openxmlformats.org/officeDocument/2006/relationships/hyperlink" Target="https://www.screener.in/company/compare/00000054/?sort=cash+conversion+cycle&amp;order=desc" TargetMode="External"/><Relationship Id="rId9" Type="http://schemas.openxmlformats.org/officeDocument/2006/relationships/hyperlink" Target="https://www.screener.in/company/DMART/consolidated/" TargetMode="External"/><Relationship Id="rId13" Type="http://schemas.openxmlformats.org/officeDocument/2006/relationships/hyperlink" Target="https://www.screener.in/company/REDTAPE/consolidated/" TargetMode="External"/><Relationship Id="rId18" Type="http://schemas.openxmlformats.org/officeDocument/2006/relationships/hyperlink" Target="https://www.screener.in/company/VMART/" TargetMode="External"/><Relationship Id="rId39" Type="http://schemas.openxmlformats.org/officeDocument/2006/relationships/hyperlink" Target="https://www.screener.in/company/5402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24C4A-7870-41F6-B19C-65FCE8546676}">
  <dimension ref="A1:Q108"/>
  <sheetViews>
    <sheetView showGridLines="0" zoomScale="88" zoomScaleNormal="107" workbookViewId="0">
      <pane ySplit="3" topLeftCell="A4" activePane="bottomLeft" state="frozen"/>
      <selection pane="bottomLeft" activeCell="L54" sqref="L54"/>
    </sheetView>
  </sheetViews>
  <sheetFormatPr defaultRowHeight="14.5" outlineLevelRow="1" x14ac:dyDescent="0.35"/>
  <cols>
    <col min="1" max="1" width="1.81640625" customWidth="1"/>
    <col min="2" max="2" width="28" customWidth="1"/>
    <col min="3" max="13" width="15.453125" customWidth="1"/>
    <col min="14" max="14" width="12.36328125" customWidth="1"/>
    <col min="15" max="15" width="12.08984375" customWidth="1"/>
    <col min="16" max="16" width="11.7265625" bestFit="1" customWidth="1"/>
    <col min="17" max="17" width="12.90625" bestFit="1" customWidth="1"/>
  </cols>
  <sheetData>
    <row r="1" spans="1:17" x14ac:dyDescent="0.35">
      <c r="B1" s="14"/>
    </row>
    <row r="2" spans="1:17" x14ac:dyDescent="0.35">
      <c r="B2" s="222"/>
      <c r="C2" s="222"/>
      <c r="D2" s="222"/>
      <c r="E2" s="222"/>
      <c r="F2" s="222"/>
      <c r="G2" s="222"/>
      <c r="H2" s="222"/>
      <c r="I2" s="222"/>
      <c r="J2" s="222"/>
      <c r="K2" s="222"/>
      <c r="L2" s="222"/>
      <c r="M2" s="222"/>
      <c r="O2" s="222"/>
      <c r="P2" s="222"/>
      <c r="Q2" s="222"/>
    </row>
    <row r="3" spans="1:17" x14ac:dyDescent="0.35">
      <c r="B3" s="66" t="s">
        <v>54</v>
      </c>
      <c r="C3" s="129">
        <f>'Data Sheet'!B16</f>
        <v>42094</v>
      </c>
      <c r="D3" s="129">
        <f>'Data Sheet'!C16</f>
        <v>42460</v>
      </c>
      <c r="E3" s="129">
        <f>'Data Sheet'!D16</f>
        <v>42825</v>
      </c>
      <c r="F3" s="129">
        <f>'Data Sheet'!E16</f>
        <v>43190</v>
      </c>
      <c r="G3" s="129">
        <f>'Data Sheet'!F16</f>
        <v>43555</v>
      </c>
      <c r="H3" s="129">
        <f>'Data Sheet'!G16</f>
        <v>43921</v>
      </c>
      <c r="I3" s="129">
        <f>'Data Sheet'!H16</f>
        <v>44286</v>
      </c>
      <c r="J3" s="129">
        <f>'Data Sheet'!I16</f>
        <v>44651</v>
      </c>
      <c r="K3" s="129">
        <f>'Data Sheet'!J16</f>
        <v>45016</v>
      </c>
      <c r="L3" s="129">
        <f>'Data Sheet'!K16</f>
        <v>45382</v>
      </c>
      <c r="M3" s="133" t="s">
        <v>55</v>
      </c>
      <c r="O3" s="133" t="s">
        <v>362</v>
      </c>
      <c r="P3" s="133" t="s">
        <v>363</v>
      </c>
      <c r="Q3" s="133" t="s">
        <v>364</v>
      </c>
    </row>
    <row r="4" spans="1:17" x14ac:dyDescent="0.35">
      <c r="B4" s="9"/>
      <c r="C4" s="9"/>
      <c r="D4" s="9"/>
      <c r="E4" s="9"/>
      <c r="F4" s="9"/>
      <c r="G4" s="9"/>
      <c r="H4" s="9"/>
      <c r="I4" s="9"/>
      <c r="J4" s="19"/>
      <c r="K4" s="19"/>
      <c r="L4" s="19"/>
      <c r="M4" s="20"/>
    </row>
    <row r="5" spans="1:17" x14ac:dyDescent="0.35">
      <c r="A5" s="1" t="s">
        <v>57</v>
      </c>
      <c r="B5" s="66" t="s">
        <v>56</v>
      </c>
      <c r="C5" s="64"/>
      <c r="D5" s="64"/>
      <c r="E5" s="64"/>
      <c r="F5" s="64"/>
      <c r="G5" s="64"/>
      <c r="H5" s="64"/>
      <c r="I5" s="64"/>
      <c r="J5" s="64"/>
      <c r="K5" s="64"/>
      <c r="L5" s="64"/>
      <c r="M5" s="64"/>
      <c r="O5" s="64"/>
      <c r="P5" s="64"/>
      <c r="Q5" s="64"/>
    </row>
    <row r="6" spans="1:17" x14ac:dyDescent="0.35">
      <c r="B6" s="12" t="s">
        <v>14</v>
      </c>
      <c r="C6" s="18">
        <f>IFERROR('Data Sheet'!B17,0)</f>
        <v>6439.43</v>
      </c>
      <c r="D6" s="18">
        <f>IFERROR('Data Sheet'!C17,0)</f>
        <v>8583.76</v>
      </c>
      <c r="E6" s="18">
        <f>IFERROR('Data Sheet'!D17,0)</f>
        <v>11897.7</v>
      </c>
      <c r="F6" s="18">
        <f>IFERROR('Data Sheet'!E17,0)</f>
        <v>15033.2</v>
      </c>
      <c r="G6" s="18">
        <f>IFERROR('Data Sheet'!F17,0)</f>
        <v>20004.52</v>
      </c>
      <c r="H6" s="18">
        <f>IFERROR('Data Sheet'!G17,0)</f>
        <v>24870.2</v>
      </c>
      <c r="I6" s="18">
        <f>IFERROR('Data Sheet'!H17,0)</f>
        <v>24143.06</v>
      </c>
      <c r="J6" s="18">
        <f>IFERROR('Data Sheet'!I17,0)</f>
        <v>30976.27</v>
      </c>
      <c r="K6" s="18">
        <f>IFERROR('Data Sheet'!J17,0)</f>
        <v>42839.56</v>
      </c>
      <c r="L6" s="18">
        <f>IFERROR('Data Sheet'!K17,0)</f>
        <v>50788.83</v>
      </c>
      <c r="M6" s="18">
        <f>IFERROR(SUM('Data Sheet'!H42:K42),0)</f>
        <v>52992.53</v>
      </c>
      <c r="O6" s="169">
        <f>(L6/I6)^(1/3)-1</f>
        <v>0.28132302846412705</v>
      </c>
      <c r="P6" s="169">
        <f>(L6/G6)^(1/5)-1</f>
        <v>0.20483621928533635</v>
      </c>
      <c r="Q6" s="169">
        <f>AVERAGE(O6:P6)</f>
        <v>0.2430796238747317</v>
      </c>
    </row>
    <row r="7" spans="1:17" x14ac:dyDescent="0.35">
      <c r="B7" s="15" t="s">
        <v>58</v>
      </c>
      <c r="C7" s="16" t="s">
        <v>59</v>
      </c>
      <c r="D7" s="17">
        <f>D6/C6-1</f>
        <v>0.33299997049428276</v>
      </c>
      <c r="E7" s="17">
        <f t="shared" ref="E7:M7" si="0">E6/D6-1</f>
        <v>0.38607090598991589</v>
      </c>
      <c r="F7" s="17">
        <f t="shared" si="0"/>
        <v>0.26353833093791246</v>
      </c>
      <c r="G7" s="17">
        <f t="shared" si="0"/>
        <v>0.33068940744485542</v>
      </c>
      <c r="H7" s="17">
        <f t="shared" si="0"/>
        <v>0.24322903023916598</v>
      </c>
      <c r="I7" s="17">
        <f t="shared" si="0"/>
        <v>-2.9237400583831175E-2</v>
      </c>
      <c r="J7" s="17">
        <f t="shared" si="0"/>
        <v>0.28302998874210639</v>
      </c>
      <c r="K7" s="17">
        <f t="shared" si="0"/>
        <v>0.38297993915987938</v>
      </c>
      <c r="L7" s="17">
        <f t="shared" si="0"/>
        <v>0.18555909537819737</v>
      </c>
      <c r="M7" s="17">
        <f t="shared" si="0"/>
        <v>4.3389461816702557E-2</v>
      </c>
    </row>
    <row r="8" spans="1:17" x14ac:dyDescent="0.35">
      <c r="A8" s="1"/>
      <c r="B8" s="9"/>
      <c r="C8" s="9"/>
      <c r="D8" s="10"/>
      <c r="E8" s="10"/>
      <c r="F8" s="11"/>
      <c r="G8" s="11"/>
      <c r="H8" s="11"/>
      <c r="I8" s="11"/>
      <c r="J8" s="11"/>
      <c r="K8" s="11"/>
      <c r="L8" s="11"/>
      <c r="M8" s="11"/>
      <c r="O8" s="168"/>
    </row>
    <row r="9" spans="1:17" x14ac:dyDescent="0.35">
      <c r="B9" s="12" t="s">
        <v>60</v>
      </c>
      <c r="C9" s="18">
        <f>IFERROR(SUM('Data Sheet'!B18,-1*'Data Sheet'!B19),0)</f>
        <v>5487.1900000000005</v>
      </c>
      <c r="D9" s="18">
        <f>IFERROR(SUM('Data Sheet'!C18,-1*'Data Sheet'!C19),0)</f>
        <v>7303.54</v>
      </c>
      <c r="E9" s="18">
        <f>IFERROR(SUM('Data Sheet'!D18,-1*'Data Sheet'!D19),0)</f>
        <v>10081.030000000001</v>
      </c>
      <c r="F9" s="18">
        <f>IFERROR(SUM('Data Sheet'!E18,-1*'Data Sheet'!E19),0)</f>
        <v>12635.640000000001</v>
      </c>
      <c r="G9" s="18">
        <f>IFERROR(SUM('Data Sheet'!F18,-1*'Data Sheet'!F19),0)</f>
        <v>17000.84</v>
      </c>
      <c r="H9" s="18">
        <f>IFERROR(SUM('Data Sheet'!G18,-1*'Data Sheet'!G19),0)</f>
        <v>21102.93</v>
      </c>
      <c r="I9" s="18">
        <f>IFERROR(SUM('Data Sheet'!H18,-1*'Data Sheet'!H19),0)</f>
        <v>20554.68</v>
      </c>
      <c r="J9" s="18">
        <f>IFERROR(SUM('Data Sheet'!I18,-1*'Data Sheet'!I19),0)</f>
        <v>26397.39</v>
      </c>
      <c r="K9" s="18">
        <f>IFERROR(SUM('Data Sheet'!J18,-1*'Data Sheet'!J19),0)</f>
        <v>36383.949999999997</v>
      </c>
      <c r="L9" s="18">
        <f>IFERROR(SUM('Data Sheet'!K18,-1*'Data Sheet'!K19),0)</f>
        <v>43274.54</v>
      </c>
      <c r="M9" s="18">
        <f>IFERROR(SUM('Data Sheet'!H43:K43),0)</f>
        <v>48702.78</v>
      </c>
    </row>
    <row r="10" spans="1:17" x14ac:dyDescent="0.35">
      <c r="A10" s="1"/>
      <c r="B10" s="15" t="s">
        <v>61</v>
      </c>
      <c r="C10" s="17">
        <f>C9/C6</f>
        <v>0.85212355751984259</v>
      </c>
      <c r="D10" s="17">
        <f t="shared" ref="D10:M10" si="1">D9/D6</f>
        <v>0.85085556912122429</v>
      </c>
      <c r="E10" s="17">
        <f t="shared" si="1"/>
        <v>0.84730914378409272</v>
      </c>
      <c r="F10" s="17">
        <f t="shared" si="1"/>
        <v>0.84051565867546496</v>
      </c>
      <c r="G10" s="17">
        <f t="shared" si="1"/>
        <v>0.84984993391493524</v>
      </c>
      <c r="H10" s="17">
        <f t="shared" si="1"/>
        <v>0.84852273001423384</v>
      </c>
      <c r="I10" s="17">
        <f t="shared" si="1"/>
        <v>0.85137012458238515</v>
      </c>
      <c r="J10" s="17">
        <f t="shared" si="1"/>
        <v>0.85218104051908117</v>
      </c>
      <c r="K10" s="17">
        <f t="shared" si="1"/>
        <v>0.84930727579835086</v>
      </c>
      <c r="L10" s="17">
        <f t="shared" si="1"/>
        <v>0.85204837362861086</v>
      </c>
      <c r="M10" s="17">
        <f t="shared" si="1"/>
        <v>0.91904991137430125</v>
      </c>
    </row>
    <row r="11" spans="1:17" outlineLevel="1" x14ac:dyDescent="0.35">
      <c r="B11" s="12"/>
      <c r="C11" s="12"/>
      <c r="D11" s="12"/>
      <c r="E11" s="12"/>
      <c r="F11" s="12"/>
      <c r="G11" s="12"/>
      <c r="H11" s="12"/>
      <c r="I11" s="12"/>
      <c r="J11" s="12"/>
      <c r="K11" s="12"/>
      <c r="L11" s="12"/>
      <c r="M11" s="12"/>
      <c r="O11" s="219"/>
    </row>
    <row r="12" spans="1:17" outlineLevel="1" x14ac:dyDescent="0.35">
      <c r="B12" s="24" t="s">
        <v>62</v>
      </c>
      <c r="C12" s="25">
        <f>C6-C9</f>
        <v>952.23999999999978</v>
      </c>
      <c r="D12" s="25">
        <f t="shared" ref="D12:M12" si="2">D6-D9</f>
        <v>1280.2200000000003</v>
      </c>
      <c r="E12" s="25">
        <f t="shared" si="2"/>
        <v>1816.67</v>
      </c>
      <c r="F12" s="25">
        <f t="shared" si="2"/>
        <v>2397.5599999999995</v>
      </c>
      <c r="G12" s="25">
        <f t="shared" si="2"/>
        <v>3003.6800000000003</v>
      </c>
      <c r="H12" s="25">
        <f t="shared" si="2"/>
        <v>3767.2700000000004</v>
      </c>
      <c r="I12" s="25">
        <f t="shared" si="2"/>
        <v>3588.380000000001</v>
      </c>
      <c r="J12" s="25">
        <f t="shared" si="2"/>
        <v>4578.880000000001</v>
      </c>
      <c r="K12" s="25">
        <f t="shared" si="2"/>
        <v>6455.6100000000006</v>
      </c>
      <c r="L12" s="25">
        <f t="shared" si="2"/>
        <v>7514.2900000000009</v>
      </c>
      <c r="M12" s="25">
        <f t="shared" si="2"/>
        <v>4289.75</v>
      </c>
    </row>
    <row r="13" spans="1:17" outlineLevel="1" x14ac:dyDescent="0.35">
      <c r="B13" s="15" t="s">
        <v>145</v>
      </c>
      <c r="C13" s="17">
        <f>IFERROR(C12/C6,0)</f>
        <v>0.14787644248015736</v>
      </c>
      <c r="D13" s="17">
        <f t="shared" ref="D13:J13" si="3">IFERROR(D12/D6,0)</f>
        <v>0.14914443087877577</v>
      </c>
      <c r="E13" s="17">
        <f t="shared" si="3"/>
        <v>0.15269085621590728</v>
      </c>
      <c r="F13" s="17">
        <f t="shared" si="3"/>
        <v>0.15948434132453498</v>
      </c>
      <c r="G13" s="17">
        <f t="shared" si="3"/>
        <v>0.15015006608506479</v>
      </c>
      <c r="H13" s="17">
        <f t="shared" si="3"/>
        <v>0.15147726998576611</v>
      </c>
      <c r="I13" s="17">
        <f t="shared" si="3"/>
        <v>0.14862987541761488</v>
      </c>
      <c r="J13" s="17">
        <f t="shared" si="3"/>
        <v>0.1478189594809188</v>
      </c>
      <c r="K13" s="17">
        <f>IFERROR(K12/K6,0)</f>
        <v>0.15069272420164914</v>
      </c>
      <c r="L13" s="17">
        <f t="shared" ref="L13" si="4">IFERROR(L12/L6,0)</f>
        <v>0.14795162637138914</v>
      </c>
      <c r="M13" s="17">
        <f t="shared" ref="M13" si="5">IFERROR(M12/M6,0)</f>
        <v>8.095008862569876E-2</v>
      </c>
      <c r="O13" s="220"/>
    </row>
    <row r="14" spans="1:17" outlineLevel="1" x14ac:dyDescent="0.35">
      <c r="Q14" s="217"/>
    </row>
    <row r="15" spans="1:17" outlineLevel="1" x14ac:dyDescent="0.35">
      <c r="B15" s="12" t="s">
        <v>22</v>
      </c>
      <c r="C15" s="18">
        <f>IFERROR('Data Sheet'!B25,0)</f>
        <v>20.27</v>
      </c>
      <c r="D15" s="18">
        <f>IFERROR('Data Sheet'!C25,0)</f>
        <v>17.02</v>
      </c>
      <c r="E15" s="18">
        <f>IFERROR('Data Sheet'!D25,0)</f>
        <v>27.7</v>
      </c>
      <c r="F15" s="18">
        <f>IFERROR('Data Sheet'!E25,0)</f>
        <v>87.75</v>
      </c>
      <c r="G15" s="18">
        <f>IFERROR('Data Sheet'!F25,0)</f>
        <v>48.33</v>
      </c>
      <c r="H15" s="18">
        <f>IFERROR('Data Sheet'!G25,0)</f>
        <v>59.99</v>
      </c>
      <c r="I15" s="18">
        <f>IFERROR('Data Sheet'!H25,0)</f>
        <v>194.43</v>
      </c>
      <c r="J15" s="18">
        <f>IFERROR('Data Sheet'!I25,0)</f>
        <v>113.64</v>
      </c>
      <c r="K15" s="18">
        <f>IFERROR('Data Sheet'!J25,0)</f>
        <v>127.6</v>
      </c>
      <c r="L15" s="18">
        <f>IFERROR('Data Sheet'!K25,0)</f>
        <v>144.58000000000001</v>
      </c>
      <c r="M15" s="18">
        <f>IFERROR(SUM('Data Sheet'!H44:K44),0)</f>
        <v>149.31</v>
      </c>
    </row>
    <row r="16" spans="1:17" outlineLevel="1" x14ac:dyDescent="0.35"/>
    <row r="17" spans="2:14" outlineLevel="1" x14ac:dyDescent="0.35">
      <c r="B17" s="12" t="s">
        <v>63</v>
      </c>
      <c r="C17" s="18">
        <f>IFERROR(SUM('Data Sheet'!B23:B24:'Data Sheet'!B20:B22),0)</f>
        <v>495.97999999999996</v>
      </c>
      <c r="D17" s="18">
        <f>IFERROR(SUM('Data Sheet'!C23:C24:'Data Sheet'!C20:C22),0)</f>
        <v>615.76</v>
      </c>
      <c r="E17" s="18">
        <f>IFERROR(SUM('Data Sheet'!D23:D24:'Data Sheet'!D20:D22),0)</f>
        <v>847.4899999999999</v>
      </c>
      <c r="F17" s="18">
        <f>IFERROR(SUM('Data Sheet'!E23:E24:'Data Sheet'!E20:E22),0)</f>
        <v>1044.7</v>
      </c>
      <c r="G17" s="18">
        <f>IFERROR(SUM('Data Sheet'!F23:F24:'Data Sheet'!F20:F22),0)</f>
        <v>1370.37</v>
      </c>
      <c r="H17" s="18">
        <f>IFERROR(SUM('Data Sheet'!G23:G24:'Data Sheet'!G20:G22),0)</f>
        <v>1638.96</v>
      </c>
      <c r="I17" s="18">
        <f>IFERROR(SUM('Data Sheet'!H23:H24:'Data Sheet'!H20:H22),0)</f>
        <v>1843.5500000000002</v>
      </c>
      <c r="J17" s="18">
        <f>IFERROR(SUM('Data Sheet'!I23:I24:'Data Sheet'!I20:I22),0)</f>
        <v>2076.5300000000002</v>
      </c>
      <c r="K17" s="18">
        <f>IFERROR(SUM('Data Sheet'!J23:J24:'Data Sheet'!J20:J22),0)</f>
        <v>2816.8399999999997</v>
      </c>
      <c r="L17" s="18">
        <f>IFERROR(SUM('Data Sheet'!K23:K24:'Data Sheet'!K20:K22),0)</f>
        <v>3408.65</v>
      </c>
      <c r="M17" s="18"/>
    </row>
    <row r="18" spans="2:14" outlineLevel="1" x14ac:dyDescent="0.35">
      <c r="B18" s="15" t="s">
        <v>64</v>
      </c>
      <c r="C18" s="17">
        <f t="shared" ref="C18:M18" si="6">C17/C6</f>
        <v>7.7022345145455418E-2</v>
      </c>
      <c r="D18" s="17">
        <f t="shared" si="6"/>
        <v>7.1735463246875492E-2</v>
      </c>
      <c r="E18" s="17">
        <f t="shared" si="6"/>
        <v>7.123141447506659E-2</v>
      </c>
      <c r="F18" s="17">
        <f t="shared" si="6"/>
        <v>6.9492855812468404E-2</v>
      </c>
      <c r="G18" s="17">
        <f t="shared" si="6"/>
        <v>6.8503018317860154E-2</v>
      </c>
      <c r="H18" s="17">
        <f t="shared" si="6"/>
        <v>6.5900555685117129E-2</v>
      </c>
      <c r="I18" s="17">
        <f t="shared" si="6"/>
        <v>7.6359417571757682E-2</v>
      </c>
      <c r="J18" s="17">
        <f t="shared" si="6"/>
        <v>6.7036153804186246E-2</v>
      </c>
      <c r="K18" s="17">
        <f t="shared" si="6"/>
        <v>6.5753243030507308E-2</v>
      </c>
      <c r="L18" s="17">
        <f t="shared" si="6"/>
        <v>6.7114166638609321E-2</v>
      </c>
      <c r="M18" s="17">
        <f t="shared" si="6"/>
        <v>0</v>
      </c>
    </row>
    <row r="19" spans="2:14" outlineLevel="1" x14ac:dyDescent="0.35"/>
    <row r="20" spans="2:14" outlineLevel="1" x14ac:dyDescent="0.35">
      <c r="B20" s="26" t="s">
        <v>65</v>
      </c>
      <c r="C20" s="25">
        <f>IFERROR(SUM(C12,C15)-C17,0)</f>
        <v>476.5299999999998</v>
      </c>
      <c r="D20" s="25">
        <f>IFERROR(SUM(D12,D15)-D17,0)</f>
        <v>681.48000000000025</v>
      </c>
      <c r="E20" s="25">
        <f t="shared" ref="E20:M20" si="7">IFERROR(SUM(E12,E15)-E17,0)</f>
        <v>996.88000000000022</v>
      </c>
      <c r="F20" s="25">
        <f t="shared" si="7"/>
        <v>1440.6099999999994</v>
      </c>
      <c r="G20" s="25">
        <f t="shared" si="7"/>
        <v>1681.6400000000003</v>
      </c>
      <c r="H20" s="25">
        <f t="shared" si="7"/>
        <v>2188.3000000000002</v>
      </c>
      <c r="I20" s="25">
        <f t="shared" si="7"/>
        <v>1939.2600000000007</v>
      </c>
      <c r="J20" s="25">
        <f t="shared" si="7"/>
        <v>2615.9900000000011</v>
      </c>
      <c r="K20" s="25">
        <f t="shared" si="7"/>
        <v>3766.3700000000013</v>
      </c>
      <c r="L20" s="25">
        <f t="shared" si="7"/>
        <v>4250.2200000000012</v>
      </c>
      <c r="M20" s="25">
        <f t="shared" si="7"/>
        <v>4439.0600000000004</v>
      </c>
    </row>
    <row r="21" spans="2:14" outlineLevel="1" x14ac:dyDescent="0.35">
      <c r="B21" s="15" t="s">
        <v>66</v>
      </c>
      <c r="C21" s="17">
        <f>C20/C6</f>
        <v>7.4001891471760659E-2</v>
      </c>
      <c r="D21" s="17">
        <f t="shared" ref="D21:M21" si="8">D20/D6</f>
        <v>7.9391781690075242E-2</v>
      </c>
      <c r="E21" s="17">
        <f t="shared" si="8"/>
        <v>8.3787622817855567E-2</v>
      </c>
      <c r="F21" s="17">
        <f t="shared" si="8"/>
        <v>9.5828566107016427E-2</v>
      </c>
      <c r="G21" s="17">
        <f t="shared" si="8"/>
        <v>8.4063001761601891E-2</v>
      </c>
      <c r="H21" s="17">
        <f t="shared" si="8"/>
        <v>8.7988838047140763E-2</v>
      </c>
      <c r="I21" s="17">
        <f t="shared" si="8"/>
        <v>8.0323703788997766E-2</v>
      </c>
      <c r="J21" s="17">
        <f t="shared" si="8"/>
        <v>8.4451420393740151E-2</v>
      </c>
      <c r="K21" s="17">
        <f t="shared" si="8"/>
        <v>8.7918036506444072E-2</v>
      </c>
      <c r="L21" s="17">
        <f t="shared" si="8"/>
        <v>8.3684148660246774E-2</v>
      </c>
      <c r="M21" s="17">
        <f t="shared" si="8"/>
        <v>8.3767655554471548E-2</v>
      </c>
    </row>
    <row r="22" spans="2:14" outlineLevel="1" x14ac:dyDescent="0.35"/>
    <row r="23" spans="2:14" outlineLevel="1" x14ac:dyDescent="0.35">
      <c r="B23" s="12" t="s">
        <v>68</v>
      </c>
      <c r="C23" s="18">
        <f>IFERROR('Data Sheet'!B26,0)</f>
        <v>81.540000000000006</v>
      </c>
      <c r="D23" s="18">
        <f>IFERROR('Data Sheet'!C26,0)</f>
        <v>98.43</v>
      </c>
      <c r="E23" s="18">
        <f>IFERROR('Data Sheet'!D26,0)</f>
        <v>127.82</v>
      </c>
      <c r="F23" s="18">
        <f>IFERROR('Data Sheet'!E26,0)</f>
        <v>159</v>
      </c>
      <c r="G23" s="18">
        <f>IFERROR('Data Sheet'!F26,0)</f>
        <v>212.49</v>
      </c>
      <c r="H23" s="18">
        <f>IFERROR('Data Sheet'!G26,0)</f>
        <v>374.41</v>
      </c>
      <c r="I23" s="18">
        <f>IFERROR('Data Sheet'!H26,0)</f>
        <v>414.16</v>
      </c>
      <c r="J23" s="18">
        <f>IFERROR('Data Sheet'!I26,0)</f>
        <v>498.08</v>
      </c>
      <c r="K23" s="18">
        <f>IFERROR('Data Sheet'!J26,0)</f>
        <v>638.87</v>
      </c>
      <c r="L23" s="18">
        <f>IFERROR('Data Sheet'!K26,0)</f>
        <v>730.76</v>
      </c>
      <c r="M23" s="18">
        <f>IFERROR(SUM('Data Sheet'!H45:K45),0)</f>
        <v>761.34</v>
      </c>
    </row>
    <row r="24" spans="2:14" outlineLevel="1" x14ac:dyDescent="0.35">
      <c r="B24" s="15" t="s">
        <v>69</v>
      </c>
      <c r="C24" s="17">
        <f t="shared" ref="C24:M24" si="9">C23/C6</f>
        <v>1.26626114423171E-2</v>
      </c>
      <c r="D24" s="17">
        <f t="shared" si="9"/>
        <v>1.1467002805297445E-2</v>
      </c>
      <c r="E24" s="17">
        <f t="shared" si="9"/>
        <v>1.0743252897618866E-2</v>
      </c>
      <c r="F24" s="17">
        <f t="shared" si="9"/>
        <v>1.0576590479738178E-2</v>
      </c>
      <c r="G24" s="17">
        <f t="shared" si="9"/>
        <v>1.062209940553435E-2</v>
      </c>
      <c r="H24" s="17">
        <f t="shared" si="9"/>
        <v>1.5054563292615258E-2</v>
      </c>
      <c r="I24" s="17">
        <f t="shared" si="9"/>
        <v>1.7154412075354161E-2</v>
      </c>
      <c r="J24" s="17">
        <f t="shared" si="9"/>
        <v>1.6079405299605148E-2</v>
      </c>
      <c r="K24" s="17">
        <f t="shared" si="9"/>
        <v>1.4913085008342757E-2</v>
      </c>
      <c r="L24" s="17">
        <f t="shared" si="9"/>
        <v>1.4388203075361254E-2</v>
      </c>
      <c r="M24" s="17">
        <f t="shared" si="9"/>
        <v>1.436693058436727E-2</v>
      </c>
    </row>
    <row r="25" spans="2:14" outlineLevel="1" x14ac:dyDescent="0.35">
      <c r="B25" s="15"/>
      <c r="C25" s="17"/>
      <c r="D25" s="17"/>
      <c r="E25" s="17"/>
      <c r="F25" s="17"/>
      <c r="G25" s="17"/>
      <c r="H25" s="17"/>
      <c r="I25" s="17"/>
      <c r="J25" s="17"/>
      <c r="K25" s="17"/>
      <c r="L25" s="17"/>
      <c r="M25" s="17"/>
    </row>
    <row r="26" spans="2:14" outlineLevel="1" x14ac:dyDescent="0.35">
      <c r="B26" s="39" t="s">
        <v>152</v>
      </c>
      <c r="C26" s="40">
        <f>IFERROR(C20-C23,0)</f>
        <v>394.98999999999978</v>
      </c>
      <c r="D26" s="40">
        <f t="shared" ref="D26:M26" si="10">IFERROR(D20-D23,0)</f>
        <v>583.05000000000018</v>
      </c>
      <c r="E26" s="40">
        <f t="shared" si="10"/>
        <v>869.06000000000017</v>
      </c>
      <c r="F26" s="40">
        <f t="shared" si="10"/>
        <v>1281.6099999999994</v>
      </c>
      <c r="G26" s="40">
        <f t="shared" si="10"/>
        <v>1469.1500000000003</v>
      </c>
      <c r="H26" s="40">
        <f t="shared" si="10"/>
        <v>1813.89</v>
      </c>
      <c r="I26" s="40">
        <f t="shared" si="10"/>
        <v>1525.1000000000006</v>
      </c>
      <c r="J26" s="40">
        <f t="shared" si="10"/>
        <v>2117.9100000000012</v>
      </c>
      <c r="K26" s="40">
        <f t="shared" si="10"/>
        <v>3127.5000000000014</v>
      </c>
      <c r="L26" s="40">
        <f t="shared" si="10"/>
        <v>3519.4600000000009</v>
      </c>
      <c r="M26" s="40">
        <f t="shared" si="10"/>
        <v>3677.7200000000003</v>
      </c>
    </row>
    <row r="27" spans="2:14" outlineLevel="1" x14ac:dyDescent="0.35">
      <c r="B27" s="15" t="s">
        <v>153</v>
      </c>
      <c r="C27" s="17">
        <f>IFERROR(C26/C6,0)</f>
        <v>6.1339280029443562E-2</v>
      </c>
      <c r="D27" s="17">
        <f>IFERROR(D26/D6,0)</f>
        <v>6.7924778884777784E-2</v>
      </c>
      <c r="E27" s="17">
        <f t="shared" ref="E27:M27" si="11">IFERROR(E26/E6,0)</f>
        <v>7.304436992023669E-2</v>
      </c>
      <c r="F27" s="17">
        <f t="shared" si="11"/>
        <v>8.5251975627278251E-2</v>
      </c>
      <c r="G27" s="17">
        <f t="shared" si="11"/>
        <v>7.3440902356067539E-2</v>
      </c>
      <c r="H27" s="17">
        <f t="shared" si="11"/>
        <v>7.2934274754525505E-2</v>
      </c>
      <c r="I27" s="17">
        <f t="shared" si="11"/>
        <v>6.3169291713643605E-2</v>
      </c>
      <c r="J27" s="17">
        <f t="shared" si="11"/>
        <v>6.8372015094135E-2</v>
      </c>
      <c r="K27" s="17">
        <f t="shared" si="11"/>
        <v>7.3004951498101323E-2</v>
      </c>
      <c r="L27" s="17">
        <f t="shared" si="11"/>
        <v>6.9295945584885513E-2</v>
      </c>
      <c r="M27" s="17">
        <f t="shared" si="11"/>
        <v>6.9400724970104286E-2</v>
      </c>
    </row>
    <row r="29" spans="2:14" x14ac:dyDescent="0.35">
      <c r="B29" s="12" t="s">
        <v>1</v>
      </c>
      <c r="C29" s="18">
        <f>IFERROR('Data Sheet'!B27,0)</f>
        <v>72.36</v>
      </c>
      <c r="D29" s="18">
        <f>IFERROR('Data Sheet'!C27,0)</f>
        <v>91.34</v>
      </c>
      <c r="E29" s="18">
        <f>IFERROR('Data Sheet'!D27,0)</f>
        <v>121.98</v>
      </c>
      <c r="F29" s="18">
        <f>IFERROR('Data Sheet'!E27,0)</f>
        <v>59.54</v>
      </c>
      <c r="G29" s="18">
        <f>IFERROR('Data Sheet'!F27,0)</f>
        <v>47.21</v>
      </c>
      <c r="H29" s="18">
        <f>IFERROR('Data Sheet'!G27,0)</f>
        <v>69.12</v>
      </c>
      <c r="I29" s="18">
        <f>IFERROR('Data Sheet'!H27,0)</f>
        <v>41.65</v>
      </c>
      <c r="J29" s="18">
        <f>IFERROR('Data Sheet'!I27,0)</f>
        <v>53.79</v>
      </c>
      <c r="K29" s="18">
        <f>IFERROR('Data Sheet'!J27,0)</f>
        <v>67.41</v>
      </c>
      <c r="L29" s="18">
        <f>IFERROR('Data Sheet'!K27,0)</f>
        <v>58.13</v>
      </c>
      <c r="M29" s="18">
        <f>IFERROR(SUM('Data Sheet'!H46:K46),0)</f>
        <v>59.52</v>
      </c>
      <c r="N29" s="18"/>
    </row>
    <row r="30" spans="2:14" x14ac:dyDescent="0.35">
      <c r="B30" s="15" t="s">
        <v>67</v>
      </c>
      <c r="C30" s="17">
        <f t="shared" ref="C30:M30" si="12">C29/C6</f>
        <v>1.1237019425632393E-2</v>
      </c>
      <c r="D30" s="17">
        <f t="shared" si="12"/>
        <v>1.0641024446163452E-2</v>
      </c>
      <c r="E30" s="17">
        <f t="shared" si="12"/>
        <v>1.0252401724703094E-2</v>
      </c>
      <c r="F30" s="17">
        <f t="shared" si="12"/>
        <v>3.9605672777585609E-3</v>
      </c>
      <c r="G30" s="17">
        <f t="shared" si="12"/>
        <v>2.3599666475376565E-3</v>
      </c>
      <c r="H30" s="17">
        <f t="shared" si="12"/>
        <v>2.7792297609186899E-3</v>
      </c>
      <c r="I30" s="17">
        <f t="shared" si="12"/>
        <v>1.7251334337900829E-3</v>
      </c>
      <c r="J30" s="17">
        <f t="shared" si="12"/>
        <v>1.7364905458274996E-3</v>
      </c>
      <c r="K30" s="17">
        <f t="shared" si="12"/>
        <v>1.5735455732972048E-3</v>
      </c>
      <c r="L30" s="17">
        <f t="shared" si="12"/>
        <v>1.1445430028610621E-3</v>
      </c>
      <c r="M30" s="17">
        <f t="shared" si="12"/>
        <v>1.1231771723297604E-3</v>
      </c>
    </row>
    <row r="31" spans="2:14" outlineLevel="1" x14ac:dyDescent="0.35">
      <c r="D31" s="13"/>
      <c r="E31" s="13"/>
      <c r="F31" s="13"/>
      <c r="G31" s="13"/>
      <c r="H31" s="13"/>
      <c r="I31" s="13"/>
      <c r="J31" s="13"/>
      <c r="K31" s="13"/>
      <c r="L31" s="13"/>
      <c r="M31" s="13"/>
    </row>
    <row r="32" spans="2:14" outlineLevel="1" x14ac:dyDescent="0.35">
      <c r="B32" s="24" t="s">
        <v>259</v>
      </c>
      <c r="C32" s="25">
        <f>IFERROR(C26-C29,0)</f>
        <v>322.62999999999977</v>
      </c>
      <c r="D32" s="25">
        <f t="shared" ref="D32:M32" si="13">IFERROR(D26-D29,0)</f>
        <v>491.71000000000015</v>
      </c>
      <c r="E32" s="25">
        <f t="shared" si="13"/>
        <v>747.08000000000015</v>
      </c>
      <c r="F32" s="25">
        <f t="shared" si="13"/>
        <v>1222.0699999999995</v>
      </c>
      <c r="G32" s="25">
        <f t="shared" si="13"/>
        <v>1421.9400000000003</v>
      </c>
      <c r="H32" s="25">
        <f t="shared" si="13"/>
        <v>1744.77</v>
      </c>
      <c r="I32" s="25">
        <f t="shared" si="13"/>
        <v>1483.4500000000005</v>
      </c>
      <c r="J32" s="25">
        <f t="shared" si="13"/>
        <v>2064.1200000000013</v>
      </c>
      <c r="K32" s="25">
        <f t="shared" si="13"/>
        <v>3060.0900000000015</v>
      </c>
      <c r="L32" s="25">
        <f t="shared" si="13"/>
        <v>3461.3300000000008</v>
      </c>
      <c r="M32" s="25">
        <f t="shared" si="13"/>
        <v>3618.2000000000003</v>
      </c>
    </row>
    <row r="33" spans="2:13" outlineLevel="1" x14ac:dyDescent="0.35">
      <c r="B33" s="15" t="s">
        <v>70</v>
      </c>
      <c r="C33" s="17">
        <f>C32/C6</f>
        <v>5.010226060381117E-2</v>
      </c>
      <c r="D33" s="17">
        <f t="shared" ref="D33:M33" si="14">D32/D6</f>
        <v>5.7283754438614332E-2</v>
      </c>
      <c r="E33" s="17">
        <f t="shared" si="14"/>
        <v>6.2791968195533593E-2</v>
      </c>
      <c r="F33" s="17">
        <f t="shared" si="14"/>
        <v>8.1291408349519687E-2</v>
      </c>
      <c r="G33" s="17">
        <f t="shared" si="14"/>
        <v>7.1080935708529885E-2</v>
      </c>
      <c r="H33" s="17">
        <f t="shared" si="14"/>
        <v>7.0155044993606808E-2</v>
      </c>
      <c r="I33" s="17">
        <f t="shared" si="14"/>
        <v>6.1444158279853521E-2</v>
      </c>
      <c r="J33" s="17">
        <f t="shared" si="14"/>
        <v>6.6635524548307498E-2</v>
      </c>
      <c r="K33" s="17">
        <f t="shared" si="14"/>
        <v>7.1431405924804126E-2</v>
      </c>
      <c r="L33" s="17">
        <f t="shared" si="14"/>
        <v>6.8151402582024442E-2</v>
      </c>
      <c r="M33" s="17">
        <f t="shared" si="14"/>
        <v>6.8277547797774521E-2</v>
      </c>
    </row>
    <row r="34" spans="2:13" outlineLevel="1" x14ac:dyDescent="0.35">
      <c r="D34" s="13"/>
      <c r="E34" s="13"/>
      <c r="F34" s="13"/>
      <c r="G34" s="13"/>
      <c r="H34" s="13"/>
      <c r="I34" s="13"/>
      <c r="J34" s="13"/>
      <c r="K34" s="13"/>
      <c r="L34" s="13"/>
      <c r="M34" s="13"/>
    </row>
    <row r="35" spans="2:13" outlineLevel="1" x14ac:dyDescent="0.35">
      <c r="B35" s="12" t="s">
        <v>24</v>
      </c>
      <c r="C35" s="18">
        <f>IFERROR('Data Sheet'!B29,0)</f>
        <v>110.92</v>
      </c>
      <c r="D35" s="18">
        <f>IFERROR('Data Sheet'!C29,0)</f>
        <v>171.47</v>
      </c>
      <c r="E35" s="18">
        <f>IFERROR('Data Sheet'!D29,0)</f>
        <v>268.27999999999997</v>
      </c>
      <c r="F35" s="18">
        <f>IFERROR('Data Sheet'!E29,0)</f>
        <v>415.79</v>
      </c>
      <c r="G35" s="18">
        <f>IFERROR('Data Sheet'!F29,0)</f>
        <v>519.48</v>
      </c>
      <c r="H35" s="18">
        <f>IFERROR('Data Sheet'!G29,0)</f>
        <v>443.79</v>
      </c>
      <c r="I35" s="18">
        <f>IFERROR('Data Sheet'!H29,0)</f>
        <v>384.02</v>
      </c>
      <c r="J35" s="18">
        <f>IFERROR('Data Sheet'!I29,0)</f>
        <v>571.72</v>
      </c>
      <c r="K35" s="18">
        <f>IFERROR('Data Sheet'!J29,0)</f>
        <v>681.75</v>
      </c>
      <c r="L35" s="18">
        <f>IFERROR('Data Sheet'!K29,0)</f>
        <v>925.72</v>
      </c>
      <c r="M35" s="18">
        <f>IFERROR(SUM('Data Sheet'!H48:K48),0)</f>
        <v>967.62000000000012</v>
      </c>
    </row>
    <row r="36" spans="2:13" outlineLevel="1" x14ac:dyDescent="0.35">
      <c r="B36" s="15" t="s">
        <v>71</v>
      </c>
      <c r="C36" s="17">
        <f>C35/C32</f>
        <v>0.34379939869200038</v>
      </c>
      <c r="D36" s="17">
        <f t="shared" ref="D36:M36" si="15">D35/D32</f>
        <v>0.34872180756950222</v>
      </c>
      <c r="E36" s="17">
        <f t="shared" si="15"/>
        <v>0.35910478128179035</v>
      </c>
      <c r="F36" s="17">
        <f t="shared" si="15"/>
        <v>0.34023419280401301</v>
      </c>
      <c r="G36" s="17">
        <f t="shared" si="15"/>
        <v>0.36533187054306082</v>
      </c>
      <c r="H36" s="17">
        <f t="shared" si="15"/>
        <v>0.25435444213277397</v>
      </c>
      <c r="I36" s="17">
        <f t="shared" si="15"/>
        <v>0.25886952711584471</v>
      </c>
      <c r="J36" s="17">
        <f t="shared" si="15"/>
        <v>0.27698002054144122</v>
      </c>
      <c r="K36" s="17">
        <f t="shared" si="15"/>
        <v>0.22278756507161543</v>
      </c>
      <c r="L36" s="17">
        <f t="shared" si="15"/>
        <v>0.26744632843444566</v>
      </c>
      <c r="M36" s="17">
        <f t="shared" si="15"/>
        <v>0.26743131944060583</v>
      </c>
    </row>
    <row r="38" spans="2:13" x14ac:dyDescent="0.35">
      <c r="B38" s="24" t="s">
        <v>72</v>
      </c>
      <c r="C38" s="25">
        <f>C32-C35</f>
        <v>211.70999999999975</v>
      </c>
      <c r="D38" s="25">
        <f t="shared" ref="D38:M38" si="16">D32-D35</f>
        <v>320.24000000000012</v>
      </c>
      <c r="E38" s="25">
        <f t="shared" si="16"/>
        <v>478.80000000000018</v>
      </c>
      <c r="F38" s="25">
        <f t="shared" si="16"/>
        <v>806.27999999999952</v>
      </c>
      <c r="G38" s="25">
        <f t="shared" si="16"/>
        <v>902.46000000000026</v>
      </c>
      <c r="H38" s="25">
        <f t="shared" si="16"/>
        <v>1300.98</v>
      </c>
      <c r="I38" s="25">
        <f t="shared" si="16"/>
        <v>1099.4300000000005</v>
      </c>
      <c r="J38" s="25">
        <f t="shared" si="16"/>
        <v>1492.4000000000012</v>
      </c>
      <c r="K38" s="25">
        <f t="shared" si="16"/>
        <v>2378.3400000000015</v>
      </c>
      <c r="L38" s="25">
        <f t="shared" si="16"/>
        <v>2535.6100000000006</v>
      </c>
      <c r="M38" s="25">
        <f t="shared" si="16"/>
        <v>2650.58</v>
      </c>
    </row>
    <row r="39" spans="2:13" x14ac:dyDescent="0.35">
      <c r="B39" s="15" t="s">
        <v>325</v>
      </c>
      <c r="C39" s="17">
        <f>C38/C6</f>
        <v>3.2877133535110986E-2</v>
      </c>
      <c r="D39" s="17">
        <f t="shared" ref="D39:M39" si="17">D38/D6</f>
        <v>3.7307660046413241E-2</v>
      </c>
      <c r="E39" s="17">
        <f t="shared" si="17"/>
        <v>4.0243072190423369E-2</v>
      </c>
      <c r="F39" s="17">
        <f t="shared" si="17"/>
        <v>5.3633291647819457E-2</v>
      </c>
      <c r="G39" s="17">
        <f t="shared" si="17"/>
        <v>4.5112804506181617E-2</v>
      </c>
      <c r="H39" s="17">
        <f t="shared" si="17"/>
        <v>5.231079766145829E-2</v>
      </c>
      <c r="I39" s="17">
        <f t="shared" si="17"/>
        <v>4.5538138081916729E-2</v>
      </c>
      <c r="J39" s="17">
        <f t="shared" si="17"/>
        <v>4.8178815590127579E-2</v>
      </c>
      <c r="K39" s="17">
        <f t="shared" si="17"/>
        <v>5.5517376929174848E-2</v>
      </c>
      <c r="L39" s="17">
        <f t="shared" si="17"/>
        <v>4.9924560183804208E-2</v>
      </c>
      <c r="M39" s="17">
        <f t="shared" si="17"/>
        <v>5.0017993102046646E-2</v>
      </c>
    </row>
    <row r="40" spans="2:13" outlineLevel="1" x14ac:dyDescent="0.35"/>
    <row r="41" spans="2:13" outlineLevel="1" x14ac:dyDescent="0.35">
      <c r="B41" s="12" t="s">
        <v>73</v>
      </c>
      <c r="C41" s="55">
        <f>IFERROR('Data Sheet'!B93,0)</f>
        <v>56.15</v>
      </c>
      <c r="D41" s="55">
        <f>IFERROR('Data Sheet'!C93,0)</f>
        <v>56.15</v>
      </c>
      <c r="E41" s="55">
        <f>IFERROR('Data Sheet'!D93,0)</f>
        <v>62.41</v>
      </c>
      <c r="F41" s="55">
        <f>IFERROR('Data Sheet'!E93,0)</f>
        <v>62.41</v>
      </c>
      <c r="G41" s="55">
        <f>IFERROR('Data Sheet'!F93,0)</f>
        <v>62.41</v>
      </c>
      <c r="H41" s="55">
        <f>IFERROR('Data Sheet'!G93,0)</f>
        <v>64.78</v>
      </c>
      <c r="I41" s="55">
        <f>IFERROR('Data Sheet'!H93,0)</f>
        <v>64.78</v>
      </c>
      <c r="J41" s="55">
        <f>IFERROR('Data Sheet'!I93,0)</f>
        <v>64.78</v>
      </c>
      <c r="K41" s="55">
        <f>IFERROR('Data Sheet'!J93,0)</f>
        <v>64.83</v>
      </c>
      <c r="L41" s="55">
        <f>IFERROR('Data Sheet'!K93,0)</f>
        <v>65.069999999999993</v>
      </c>
      <c r="M41" s="55">
        <f>IFERROR('Data Sheet'!L93,0)</f>
        <v>0</v>
      </c>
    </row>
    <row r="42" spans="2:13" outlineLevel="1" x14ac:dyDescent="0.35"/>
    <row r="43" spans="2:13" outlineLevel="1" x14ac:dyDescent="0.35">
      <c r="B43" s="12" t="s">
        <v>74</v>
      </c>
      <c r="C43" s="18">
        <f t="shared" ref="C43:M43" si="18">IFERROR(C38/C41,0)</f>
        <v>3.7704363312555613</v>
      </c>
      <c r="D43" s="18">
        <f t="shared" si="18"/>
        <v>5.7032947462154961</v>
      </c>
      <c r="E43" s="18">
        <f t="shared" si="18"/>
        <v>7.6718474603428968</v>
      </c>
      <c r="F43" s="18">
        <f t="shared" si="18"/>
        <v>12.919083480211498</v>
      </c>
      <c r="G43" s="18">
        <f t="shared" si="18"/>
        <v>14.460182663034775</v>
      </c>
      <c r="H43" s="18">
        <f t="shared" si="18"/>
        <v>20.083050324174128</v>
      </c>
      <c r="I43" s="18">
        <f t="shared" si="18"/>
        <v>16.97175054029022</v>
      </c>
      <c r="J43" s="18">
        <f t="shared" si="18"/>
        <v>23.037974683544324</v>
      </c>
      <c r="K43" s="18">
        <f t="shared" si="18"/>
        <v>36.685793614067585</v>
      </c>
      <c r="L43" s="18">
        <f t="shared" si="18"/>
        <v>38.967419701859548</v>
      </c>
      <c r="M43" s="18">
        <f t="shared" si="18"/>
        <v>0</v>
      </c>
    </row>
    <row r="44" spans="2:13" outlineLevel="1" x14ac:dyDescent="0.35">
      <c r="B44" s="15" t="s">
        <v>76</v>
      </c>
      <c r="C44" s="18"/>
      <c r="D44" s="17">
        <f>IFERROR(D43/C43-1,0)</f>
        <v>0.51263520853998612</v>
      </c>
      <c r="E44" s="17">
        <f t="shared" ref="E44:M44" si="19">IFERROR(E43/D43-1,0)</f>
        <v>0.34516061359684458</v>
      </c>
      <c r="F44" s="17">
        <f t="shared" si="19"/>
        <v>0.68395989974937188</v>
      </c>
      <c r="G44" s="17">
        <f t="shared" si="19"/>
        <v>0.11928858461080627</v>
      </c>
      <c r="H44" s="17">
        <f t="shared" si="19"/>
        <v>0.38885177263447335</v>
      </c>
      <c r="I44" s="17">
        <f t="shared" si="19"/>
        <v>-0.15492167443004468</v>
      </c>
      <c r="J44" s="17">
        <f t="shared" si="19"/>
        <v>0.35743066861919415</v>
      </c>
      <c r="K44" s="17">
        <f t="shared" si="19"/>
        <v>0.59240532720403105</v>
      </c>
      <c r="L44" s="17">
        <f t="shared" si="19"/>
        <v>6.2193723046979343E-2</v>
      </c>
      <c r="M44" s="17">
        <f t="shared" si="19"/>
        <v>-1</v>
      </c>
    </row>
    <row r="45" spans="2:13" outlineLevel="1" x14ac:dyDescent="0.35"/>
    <row r="46" spans="2:13" outlineLevel="1" x14ac:dyDescent="0.35">
      <c r="B46" s="12" t="s">
        <v>75</v>
      </c>
      <c r="C46" s="18">
        <f>IFERROR('Data Sheet'!B31/'Historical Financial Statement '!C41,0)</f>
        <v>0</v>
      </c>
      <c r="D46" s="18">
        <f>IFERROR('Data Sheet'!C31/'Historical Financial Statement '!D41,0)</f>
        <v>0</v>
      </c>
      <c r="E46" s="18">
        <f>IFERROR('Data Sheet'!D31/'Historical Financial Statement '!E41,0)</f>
        <v>0</v>
      </c>
      <c r="F46" s="18">
        <f>IFERROR('Data Sheet'!E31/'Historical Financial Statement '!F41,0)</f>
        <v>0</v>
      </c>
      <c r="G46" s="18">
        <f>IFERROR('Data Sheet'!F31/'Historical Financial Statement '!G41,0)</f>
        <v>0</v>
      </c>
      <c r="H46" s="18">
        <f>IFERROR('Data Sheet'!G31/'Historical Financial Statement '!H41,0)</f>
        <v>0</v>
      </c>
      <c r="I46" s="18">
        <f>IFERROR('Data Sheet'!H31/'Historical Financial Statement '!I41,0)</f>
        <v>0</v>
      </c>
      <c r="J46" s="18">
        <f>IFERROR('Data Sheet'!I31/'Historical Financial Statement '!J41,0)</f>
        <v>0</v>
      </c>
      <c r="K46" s="18">
        <f>IFERROR('Data Sheet'!J31/'Historical Financial Statement '!K41,0)</f>
        <v>0</v>
      </c>
      <c r="L46" s="18">
        <f>IFERROR('Data Sheet'!K31/'Historical Financial Statement '!L41,0)</f>
        <v>0</v>
      </c>
      <c r="M46" s="18">
        <f>IFERROR('Data Sheet'!L31/'Historical Financial Statement '!M41,0)</f>
        <v>0</v>
      </c>
    </row>
    <row r="47" spans="2:13" outlineLevel="1" x14ac:dyDescent="0.35">
      <c r="B47" s="15" t="s">
        <v>77</v>
      </c>
      <c r="C47" s="18">
        <f>IFERROR(C46/C43,0)</f>
        <v>0</v>
      </c>
      <c r="D47" s="18">
        <f t="shared" ref="D47:M47" si="20">IFERROR(D46/D43,0)</f>
        <v>0</v>
      </c>
      <c r="E47" s="18">
        <f t="shared" si="20"/>
        <v>0</v>
      </c>
      <c r="F47" s="18">
        <f t="shared" si="20"/>
        <v>0</v>
      </c>
      <c r="G47" s="18">
        <f t="shared" si="20"/>
        <v>0</v>
      </c>
      <c r="H47" s="18">
        <f t="shared" si="20"/>
        <v>0</v>
      </c>
      <c r="I47" s="18">
        <f t="shared" si="20"/>
        <v>0</v>
      </c>
      <c r="J47" s="18">
        <f t="shared" si="20"/>
        <v>0</v>
      </c>
      <c r="K47" s="18">
        <f t="shared" si="20"/>
        <v>0</v>
      </c>
      <c r="L47" s="18">
        <f t="shared" si="20"/>
        <v>0</v>
      </c>
      <c r="M47" s="18">
        <f t="shared" si="20"/>
        <v>0</v>
      </c>
    </row>
    <row r="48" spans="2:13" outlineLevel="1" x14ac:dyDescent="0.35"/>
    <row r="49" spans="1:13" outlineLevel="1" x14ac:dyDescent="0.35">
      <c r="B49" s="12" t="s">
        <v>326</v>
      </c>
      <c r="C49" s="17">
        <f>IFERROR(IF(C43&gt;C46,1-C47,0),0)</f>
        <v>1</v>
      </c>
      <c r="D49" s="17">
        <f t="shared" ref="D49:M49" si="21">IFERROR(IF(D43&gt;D46,1-D47,0),0)</f>
        <v>1</v>
      </c>
      <c r="E49" s="17">
        <f t="shared" si="21"/>
        <v>1</v>
      </c>
      <c r="F49" s="17">
        <f t="shared" si="21"/>
        <v>1</v>
      </c>
      <c r="G49" s="17">
        <f t="shared" si="21"/>
        <v>1</v>
      </c>
      <c r="H49" s="17">
        <f t="shared" si="21"/>
        <v>1</v>
      </c>
      <c r="I49" s="17">
        <f t="shared" si="21"/>
        <v>1</v>
      </c>
      <c r="J49" s="17">
        <f t="shared" si="21"/>
        <v>1</v>
      </c>
      <c r="K49" s="17">
        <f t="shared" si="21"/>
        <v>1</v>
      </c>
      <c r="L49" s="17">
        <f t="shared" si="21"/>
        <v>1</v>
      </c>
      <c r="M49" s="17">
        <f t="shared" si="21"/>
        <v>0</v>
      </c>
    </row>
    <row r="50" spans="1:13" outlineLevel="1" x14ac:dyDescent="0.35"/>
    <row r="51" spans="1:13" x14ac:dyDescent="0.35">
      <c r="A51" s="1" t="s">
        <v>57</v>
      </c>
      <c r="B51" s="66" t="s">
        <v>78</v>
      </c>
      <c r="C51" s="64"/>
      <c r="D51" s="64"/>
      <c r="E51" s="64"/>
      <c r="F51" s="64"/>
      <c r="G51" s="64"/>
      <c r="H51" s="64"/>
      <c r="I51" s="64"/>
      <c r="J51" s="64"/>
      <c r="K51" s="64"/>
      <c r="L51" s="64"/>
      <c r="M51" s="64"/>
    </row>
    <row r="52" spans="1:13" x14ac:dyDescent="0.35">
      <c r="A52" s="1"/>
      <c r="B52" t="s">
        <v>84</v>
      </c>
      <c r="C52" s="23">
        <f>IFERROR('Data Sheet'!B57,0)</f>
        <v>561.54</v>
      </c>
      <c r="D52" s="23">
        <f>IFERROR('Data Sheet'!C57,0)</f>
        <v>561.54</v>
      </c>
      <c r="E52" s="23">
        <f>IFERROR('Data Sheet'!D57,0)</f>
        <v>624.08000000000004</v>
      </c>
      <c r="F52" s="23">
        <f>IFERROR('Data Sheet'!E57,0)</f>
        <v>624.08000000000004</v>
      </c>
      <c r="G52" s="23">
        <f>IFERROR('Data Sheet'!F57,0)</f>
        <v>624.08000000000004</v>
      </c>
      <c r="H52" s="23">
        <f>IFERROR('Data Sheet'!G57,0)</f>
        <v>647.77</v>
      </c>
      <c r="I52" s="23">
        <f>IFERROR('Data Sheet'!H57,0)</f>
        <v>647.77</v>
      </c>
      <c r="J52" s="23">
        <f>IFERROR('Data Sheet'!I57,0)</f>
        <v>647.77</v>
      </c>
      <c r="K52" s="23">
        <f>IFERROR('Data Sheet'!J57,0)</f>
        <v>648.26</v>
      </c>
      <c r="L52" s="23">
        <f>IFERROR('Data Sheet'!K57,0)</f>
        <v>650.73</v>
      </c>
      <c r="M52" s="18"/>
    </row>
    <row r="53" spans="1:13" x14ac:dyDescent="0.35">
      <c r="B53" t="s">
        <v>32</v>
      </c>
      <c r="C53" s="23">
        <f>IFERROR('Data Sheet'!B58,0)</f>
        <v>637.65</v>
      </c>
      <c r="D53" s="23">
        <f>IFERROR('Data Sheet'!C58,0)</f>
        <v>958.9</v>
      </c>
      <c r="E53" s="23">
        <f>IFERROR('Data Sheet'!D58,0)</f>
        <v>3217.7</v>
      </c>
      <c r="F53" s="23">
        <f>IFERROR('Data Sheet'!E58,0)</f>
        <v>4044.97</v>
      </c>
      <c r="G53" s="23">
        <f>IFERROR('Data Sheet'!F58,0)</f>
        <v>4963.37</v>
      </c>
      <c r="H53" s="23">
        <f>IFERROR('Data Sheet'!G58,0)</f>
        <v>10431.969999999999</v>
      </c>
      <c r="I53" s="23">
        <f>IFERROR('Data Sheet'!H58,0)</f>
        <v>11535.94</v>
      </c>
      <c r="J53" s="23">
        <f>IFERROR('Data Sheet'!I58,0)</f>
        <v>13029.87</v>
      </c>
      <c r="K53" s="23">
        <f>IFERROR('Data Sheet'!J58,0)</f>
        <v>15430.44</v>
      </c>
      <c r="L53" s="23">
        <f>IFERROR('Data Sheet'!K58,0)</f>
        <v>18047.09</v>
      </c>
      <c r="M53" s="18"/>
    </row>
    <row r="54" spans="1:13" x14ac:dyDescent="0.35">
      <c r="B54" t="s">
        <v>33</v>
      </c>
      <c r="C54" s="23">
        <f>IFERROR('Data Sheet'!B59,0)</f>
        <v>904.26</v>
      </c>
      <c r="D54" s="23">
        <f>IFERROR('Data Sheet'!C59,0)</f>
        <v>1192.3399999999999</v>
      </c>
      <c r="E54" s="23">
        <f>IFERROR('Data Sheet'!D59,0)</f>
        <v>1497.32</v>
      </c>
      <c r="F54" s="23">
        <f>IFERROR('Data Sheet'!E59,0)</f>
        <v>439.25</v>
      </c>
      <c r="G54" s="23">
        <f>IFERROR('Data Sheet'!F59,0)</f>
        <v>700.15</v>
      </c>
      <c r="H54" s="23">
        <f>IFERROR('Data Sheet'!G59,0)</f>
        <v>333.19</v>
      </c>
      <c r="I54" s="23">
        <f>IFERROR('Data Sheet'!H59,0)</f>
        <v>392.71</v>
      </c>
      <c r="J54" s="23">
        <f>IFERROR('Data Sheet'!I59,0)</f>
        <v>646.94000000000005</v>
      </c>
      <c r="K54" s="23">
        <f>IFERROR('Data Sheet'!J59,0)</f>
        <v>642.98</v>
      </c>
      <c r="L54" s="23">
        <f>IFERROR('Data Sheet'!K59,0)</f>
        <v>592.16</v>
      </c>
      <c r="M54" s="18"/>
    </row>
    <row r="55" spans="1:13" x14ac:dyDescent="0.35">
      <c r="B55" t="s">
        <v>34</v>
      </c>
      <c r="C55" s="23">
        <f>IFERROR('Data Sheet'!B60,0)</f>
        <v>251.36</v>
      </c>
      <c r="D55" s="23">
        <f>IFERROR('Data Sheet'!C60,0)</f>
        <v>388.78</v>
      </c>
      <c r="E55" s="23">
        <f>IFERROR('Data Sheet'!D60,0)</f>
        <v>480.18</v>
      </c>
      <c r="F55" s="23">
        <f>IFERROR('Data Sheet'!E60,0)</f>
        <v>539.91999999999996</v>
      </c>
      <c r="G55" s="23">
        <f>IFERROR('Data Sheet'!F60,0)</f>
        <v>717.9</v>
      </c>
      <c r="H55" s="23">
        <f>IFERROR('Data Sheet'!G60,0)</f>
        <v>663.23</v>
      </c>
      <c r="I55" s="23">
        <f>IFERROR('Data Sheet'!H60,0)</f>
        <v>1078.6300000000001</v>
      </c>
      <c r="J55" s="23">
        <f>IFERROR('Data Sheet'!I60,0)</f>
        <v>1146.4000000000001</v>
      </c>
      <c r="K55" s="23">
        <f>IFERROR('Data Sheet'!J60,0)</f>
        <v>1382.84</v>
      </c>
      <c r="L55" s="23">
        <f>IFERROR('Data Sheet'!K60,0)</f>
        <v>1882.5</v>
      </c>
      <c r="M55" s="18"/>
    </row>
    <row r="56" spans="1:13" x14ac:dyDescent="0.35">
      <c r="B56" s="24" t="s">
        <v>79</v>
      </c>
      <c r="C56" s="25">
        <f>IFERROR('Data Sheet'!B61,0)</f>
        <v>2354.81</v>
      </c>
      <c r="D56" s="25">
        <f>IFERROR('Data Sheet'!C61,0)</f>
        <v>3101.56</v>
      </c>
      <c r="E56" s="25">
        <f>IFERROR('Data Sheet'!D61,0)</f>
        <v>5819.28</v>
      </c>
      <c r="F56" s="25">
        <f>IFERROR('Data Sheet'!E61,0)</f>
        <v>5648.22</v>
      </c>
      <c r="G56" s="25">
        <f>IFERROR('Data Sheet'!F61,0)</f>
        <v>7005.5</v>
      </c>
      <c r="H56" s="25">
        <f>IFERROR('Data Sheet'!G61,0)</f>
        <v>12076.16</v>
      </c>
      <c r="I56" s="25">
        <f>IFERROR('Data Sheet'!H61,0)</f>
        <v>13655.05</v>
      </c>
      <c r="J56" s="25">
        <f>IFERROR('Data Sheet'!I61,0)</f>
        <v>15470.98</v>
      </c>
      <c r="K56" s="25">
        <f>IFERROR('Data Sheet'!J61,0)</f>
        <v>18104.52</v>
      </c>
      <c r="L56" s="25">
        <f>IFERROR('Data Sheet'!K61,0)</f>
        <v>21172.48</v>
      </c>
      <c r="M56" s="208"/>
    </row>
    <row r="57" spans="1:13" x14ac:dyDescent="0.35">
      <c r="B57" s="12"/>
      <c r="C57" s="12"/>
      <c r="D57" s="12"/>
      <c r="E57" s="12"/>
      <c r="F57" s="12"/>
      <c r="G57" s="12"/>
      <c r="H57" s="12"/>
      <c r="I57" s="12"/>
      <c r="J57" s="12"/>
      <c r="K57" s="12"/>
      <c r="L57" s="12"/>
      <c r="M57" s="12"/>
    </row>
    <row r="58" spans="1:13" x14ac:dyDescent="0.35">
      <c r="B58" s="12"/>
      <c r="C58" s="12"/>
      <c r="D58" s="12"/>
      <c r="E58" s="12"/>
      <c r="F58" s="12"/>
      <c r="G58" s="12"/>
      <c r="H58" s="12"/>
      <c r="I58" s="12"/>
      <c r="J58" s="12"/>
      <c r="K58" s="12"/>
      <c r="L58" s="12"/>
      <c r="M58" s="12"/>
    </row>
    <row r="59" spans="1:13" x14ac:dyDescent="0.35">
      <c r="B59" t="s">
        <v>80</v>
      </c>
      <c r="C59" s="23">
        <f>IFERROR('Data Sheet'!B62,0)</f>
        <v>1528.08</v>
      </c>
      <c r="D59" s="23">
        <f>IFERROR('Data Sheet'!C62,0)</f>
        <v>2093.52</v>
      </c>
      <c r="E59" s="23">
        <f>IFERROR('Data Sheet'!D62,0)</f>
        <v>2577.75</v>
      </c>
      <c r="F59" s="23">
        <f>IFERROR('Data Sheet'!E62,0)</f>
        <v>3399.97</v>
      </c>
      <c r="G59" s="23">
        <f>IFERROR('Data Sheet'!F62,0)</f>
        <v>4400.37</v>
      </c>
      <c r="H59" s="23">
        <f>IFERROR('Data Sheet'!G62,0)</f>
        <v>5948.03</v>
      </c>
      <c r="I59" s="23">
        <f>IFERROR('Data Sheet'!H62,0)</f>
        <v>7008.8</v>
      </c>
      <c r="J59" s="23">
        <f>IFERROR('Data Sheet'!I62,0)</f>
        <v>9260.02</v>
      </c>
      <c r="K59" s="23">
        <f>IFERROR('Data Sheet'!J62,0)</f>
        <v>11340.48</v>
      </c>
      <c r="L59" s="23">
        <f>IFERROR('Data Sheet'!K62,0)</f>
        <v>13415</v>
      </c>
    </row>
    <row r="60" spans="1:13" x14ac:dyDescent="0.35">
      <c r="B60" t="s">
        <v>37</v>
      </c>
      <c r="C60" s="23">
        <f>IFERROR('Data Sheet'!B63,0)</f>
        <v>98.12</v>
      </c>
      <c r="D60" s="23">
        <f>IFERROR('Data Sheet'!C63,0)</f>
        <v>81.69</v>
      </c>
      <c r="E60" s="23">
        <f>IFERROR('Data Sheet'!D63,0)</f>
        <v>152.88999999999999</v>
      </c>
      <c r="F60" s="23">
        <f>IFERROR('Data Sheet'!E63,0)</f>
        <v>147.07</v>
      </c>
      <c r="G60" s="23">
        <f>IFERROR('Data Sheet'!F63,0)</f>
        <v>376.84</v>
      </c>
      <c r="H60" s="23">
        <f>IFERROR('Data Sheet'!G63,0)</f>
        <v>364.4</v>
      </c>
      <c r="I60" s="23">
        <f>IFERROR('Data Sheet'!H63,0)</f>
        <v>1019.59</v>
      </c>
      <c r="J60" s="23">
        <f>IFERROR('Data Sheet'!I63,0)</f>
        <v>1129.3399999999999</v>
      </c>
      <c r="K60" s="23">
        <f>IFERROR('Data Sheet'!J63,0)</f>
        <v>829.16</v>
      </c>
      <c r="L60" s="23">
        <f>IFERROR('Data Sheet'!K63,0)</f>
        <v>935.22</v>
      </c>
    </row>
    <row r="61" spans="1:13" x14ac:dyDescent="0.35">
      <c r="B61" t="s">
        <v>38</v>
      </c>
      <c r="C61" s="23">
        <f>IFERROR('Data Sheet'!B64,0)</f>
        <v>15.23</v>
      </c>
      <c r="D61" s="23">
        <f>IFERROR('Data Sheet'!C64,0)</f>
        <v>29.33</v>
      </c>
      <c r="E61" s="23">
        <f>IFERROR('Data Sheet'!D64,0)</f>
        <v>25.69</v>
      </c>
      <c r="F61" s="23">
        <f>IFERROR('Data Sheet'!E64,0)</f>
        <v>68.180000000000007</v>
      </c>
      <c r="G61" s="23">
        <f>IFERROR('Data Sheet'!F64,0)</f>
        <v>16.53</v>
      </c>
      <c r="H61" s="23">
        <f>IFERROR('Data Sheet'!G64,0)</f>
        <v>14.68</v>
      </c>
      <c r="I61" s="23">
        <f>IFERROR('Data Sheet'!H64,0)</f>
        <v>2.95</v>
      </c>
      <c r="J61" s="23">
        <f>IFERROR('Data Sheet'!I64,0)</f>
        <v>5.94</v>
      </c>
      <c r="K61" s="23">
        <f>IFERROR('Data Sheet'!J64,0)</f>
        <v>202.2</v>
      </c>
      <c r="L61" s="23">
        <f>IFERROR('Data Sheet'!K64,0)</f>
        <v>106.67</v>
      </c>
    </row>
    <row r="62" spans="1:13" x14ac:dyDescent="0.35">
      <c r="B62" t="s">
        <v>39</v>
      </c>
      <c r="C62" s="23">
        <f>IFERROR('Data Sheet'!B65-SUM('Data Sheet'!B67:B69),0)</f>
        <v>128.65999999999997</v>
      </c>
      <c r="D62" s="23">
        <f>IFERROR('Data Sheet'!C65-SUM('Data Sheet'!C67:C69),0)</f>
        <v>181.80999999999995</v>
      </c>
      <c r="E62" s="23">
        <f>IFERROR('Data Sheet'!D65-SUM('Data Sheet'!D67:D69),0)</f>
        <v>209.75999999999976</v>
      </c>
      <c r="F62" s="23">
        <f>IFERROR('Data Sheet'!E65-SUM('Data Sheet'!E67:E69),0)</f>
        <v>275.84999999999991</v>
      </c>
      <c r="G62" s="23">
        <f>IFERROR('Data Sheet'!F65-SUM('Data Sheet'!F67:F69),0)</f>
        <v>319.6700000000003</v>
      </c>
      <c r="H62" s="23">
        <f>IFERROR('Data Sheet'!G65-SUM('Data Sheet'!G67:G69),0)</f>
        <v>3674.2200000000003</v>
      </c>
      <c r="I62" s="23">
        <f>IFERROR('Data Sheet'!H65-SUM('Data Sheet'!H67:H69),0)</f>
        <v>1886.27</v>
      </c>
      <c r="J62" s="23">
        <f>IFERROR('Data Sheet'!I65-SUM('Data Sheet'!I67:I69),0)</f>
        <v>1967.5500000000006</v>
      </c>
      <c r="K62" s="23">
        <f>IFERROR('Data Sheet'!J65-SUM('Data Sheet'!J67:J69),0)</f>
        <v>1018.7100000000009</v>
      </c>
      <c r="L62" s="23">
        <f>IFERROR('Data Sheet'!K65-SUM('Data Sheet'!K67:K69),0)</f>
        <v>1983.7300000000005</v>
      </c>
    </row>
    <row r="63" spans="1:13" x14ac:dyDescent="0.35">
      <c r="B63" s="24" t="s">
        <v>81</v>
      </c>
      <c r="C63" s="25">
        <f>SUM(C59:C62)</f>
        <v>1770.0899999999997</v>
      </c>
      <c r="D63" s="25">
        <f>SUM(D59:D62)</f>
        <v>2386.35</v>
      </c>
      <c r="E63" s="25">
        <f t="shared" ref="E63:L63" si="22">SUM(E59:E62)</f>
        <v>2966.0899999999997</v>
      </c>
      <c r="F63" s="25">
        <f t="shared" si="22"/>
        <v>3891.0699999999997</v>
      </c>
      <c r="G63" s="25">
        <f t="shared" si="22"/>
        <v>5113.41</v>
      </c>
      <c r="H63" s="25">
        <f t="shared" si="22"/>
        <v>10001.33</v>
      </c>
      <c r="I63" s="25">
        <f t="shared" si="22"/>
        <v>9917.61</v>
      </c>
      <c r="J63" s="25">
        <f t="shared" si="22"/>
        <v>12362.850000000002</v>
      </c>
      <c r="K63" s="25">
        <f t="shared" si="22"/>
        <v>13390.550000000001</v>
      </c>
      <c r="L63" s="25">
        <f t="shared" si="22"/>
        <v>16440.62</v>
      </c>
      <c r="M63" s="12"/>
    </row>
    <row r="64" spans="1:13" x14ac:dyDescent="0.35">
      <c r="B64" s="12"/>
      <c r="C64" s="12"/>
      <c r="D64" s="12"/>
      <c r="E64" s="12"/>
      <c r="F64" s="12"/>
      <c r="G64" s="12"/>
      <c r="H64" s="12"/>
      <c r="I64" s="12"/>
      <c r="J64" s="12"/>
      <c r="K64" s="12"/>
      <c r="L64" s="12"/>
      <c r="M64" s="12"/>
    </row>
    <row r="65" spans="1:13" x14ac:dyDescent="0.35">
      <c r="B65" s="12"/>
      <c r="C65" s="12"/>
      <c r="D65" s="12"/>
      <c r="E65" s="12"/>
      <c r="F65" s="12"/>
      <c r="G65" s="12"/>
      <c r="H65" s="12"/>
      <c r="I65" s="12"/>
      <c r="J65" s="12"/>
      <c r="K65" s="12"/>
      <c r="L65" s="12"/>
      <c r="M65" s="12"/>
    </row>
    <row r="66" spans="1:13" x14ac:dyDescent="0.35">
      <c r="B66" t="s">
        <v>40</v>
      </c>
      <c r="C66" s="23">
        <f>IFERROR('Data Sheet'!B67,0)</f>
        <v>7.07</v>
      </c>
      <c r="D66" s="23">
        <f>IFERROR('Data Sheet'!C67,0)</f>
        <v>8.42</v>
      </c>
      <c r="E66" s="23">
        <f>IFERROR('Data Sheet'!D67,0)</f>
        <v>21</v>
      </c>
      <c r="F66" s="23">
        <f>IFERROR('Data Sheet'!E67,0)</f>
        <v>33.520000000000003</v>
      </c>
      <c r="G66" s="23">
        <f>IFERROR('Data Sheet'!F67,0)</f>
        <v>64.37</v>
      </c>
      <c r="H66" s="23">
        <f>IFERROR('Data Sheet'!G67,0)</f>
        <v>19.55</v>
      </c>
      <c r="I66" s="23">
        <f>IFERROR('Data Sheet'!H67,0)</f>
        <v>43.58</v>
      </c>
      <c r="J66" s="23">
        <f>IFERROR('Data Sheet'!I67,0)</f>
        <v>66.89</v>
      </c>
      <c r="K66" s="23">
        <f>IFERROR('Data Sheet'!J67,0)</f>
        <v>62.16</v>
      </c>
      <c r="L66" s="23">
        <f>IFERROR('Data Sheet'!K67,0)</f>
        <v>166.37</v>
      </c>
    </row>
    <row r="67" spans="1:13" x14ac:dyDescent="0.35">
      <c r="B67" t="s">
        <v>41</v>
      </c>
      <c r="C67" s="23">
        <f>IFERROR('Data Sheet'!B68,0)</f>
        <v>539.61</v>
      </c>
      <c r="D67" s="23">
        <f>IFERROR('Data Sheet'!C68,0)</f>
        <v>671.69</v>
      </c>
      <c r="E67" s="23">
        <f>IFERROR('Data Sheet'!D68,0)</f>
        <v>947.9</v>
      </c>
      <c r="F67" s="23">
        <f>IFERROR('Data Sheet'!E68,0)</f>
        <v>1163.45</v>
      </c>
      <c r="G67" s="23">
        <f>IFERROR('Data Sheet'!F68,0)</f>
        <v>1608.65</v>
      </c>
      <c r="H67" s="23">
        <f>IFERROR('Data Sheet'!G68,0)</f>
        <v>1947.4</v>
      </c>
      <c r="I67" s="23">
        <f>IFERROR('Data Sheet'!H68,0)</f>
        <v>2248.2800000000002</v>
      </c>
      <c r="J67" s="23">
        <f>IFERROR('Data Sheet'!I68,0)</f>
        <v>2742.66</v>
      </c>
      <c r="K67" s="23">
        <f>IFERROR('Data Sheet'!J68,0)</f>
        <v>3243.48</v>
      </c>
      <c r="L67" s="23">
        <f>IFERROR('Data Sheet'!K68,0)</f>
        <v>3927.31</v>
      </c>
    </row>
    <row r="68" spans="1:13" x14ac:dyDescent="0.35">
      <c r="B68" t="s">
        <v>42</v>
      </c>
      <c r="C68" s="23">
        <f>IFERROR('Data Sheet'!B69,0)</f>
        <v>38.04</v>
      </c>
      <c r="D68" s="23">
        <f>IFERROR('Data Sheet'!C69,0)</f>
        <v>35.1</v>
      </c>
      <c r="E68" s="23">
        <f>IFERROR('Data Sheet'!D69,0)</f>
        <v>1884.29</v>
      </c>
      <c r="F68" s="23">
        <f>IFERROR('Data Sheet'!E69,0)</f>
        <v>560.17999999999995</v>
      </c>
      <c r="G68" s="23">
        <f>IFERROR('Data Sheet'!F69,0)</f>
        <v>219.07</v>
      </c>
      <c r="H68" s="23">
        <f>IFERROR('Data Sheet'!G69,0)</f>
        <v>107.88</v>
      </c>
      <c r="I68" s="23">
        <f>IFERROR('Data Sheet'!H69,0)</f>
        <v>1445.58</v>
      </c>
      <c r="J68" s="23">
        <f>IFERROR('Data Sheet'!I69,0)</f>
        <v>298.58</v>
      </c>
      <c r="K68" s="23">
        <f>IFERROR('Data Sheet'!J69,0)</f>
        <v>1408.33</v>
      </c>
      <c r="L68" s="23">
        <f>IFERROR('Data Sheet'!K69,0)</f>
        <v>638.17999999999995</v>
      </c>
    </row>
    <row r="69" spans="1:13" x14ac:dyDescent="0.35">
      <c r="B69" s="24" t="s">
        <v>82</v>
      </c>
      <c r="C69" s="25">
        <f>SUM(C66:C68)</f>
        <v>584.72</v>
      </c>
      <c r="D69" s="25">
        <f t="shared" ref="D69:I69" si="23">SUM(D66:D68)</f>
        <v>715.21</v>
      </c>
      <c r="E69" s="25">
        <f t="shared" si="23"/>
        <v>2853.19</v>
      </c>
      <c r="F69" s="25">
        <f t="shared" si="23"/>
        <v>1757.15</v>
      </c>
      <c r="G69" s="25">
        <f t="shared" si="23"/>
        <v>1892.09</v>
      </c>
      <c r="H69" s="25">
        <f t="shared" si="23"/>
        <v>2074.83</v>
      </c>
      <c r="I69" s="25">
        <f t="shared" si="23"/>
        <v>3737.44</v>
      </c>
      <c r="J69" s="25">
        <f>SUM(J66:J68)</f>
        <v>3108.1299999999997</v>
      </c>
      <c r="K69" s="25">
        <f t="shared" ref="K69" si="24">SUM(K66:K68)</f>
        <v>4713.9699999999993</v>
      </c>
      <c r="L69" s="25">
        <f t="shared" ref="L69" si="25">SUM(L66:L68)</f>
        <v>4731.8599999999997</v>
      </c>
    </row>
    <row r="71" spans="1:13" x14ac:dyDescent="0.35">
      <c r="B71" s="24" t="s">
        <v>83</v>
      </c>
      <c r="C71" s="25">
        <f>IFERROR(C69+C63,0)</f>
        <v>2354.8099999999995</v>
      </c>
      <c r="D71" s="25">
        <f t="shared" ref="D71:L71" si="26">IFERROR(D69+D63,0)</f>
        <v>3101.56</v>
      </c>
      <c r="E71" s="25">
        <f t="shared" si="26"/>
        <v>5819.28</v>
      </c>
      <c r="F71" s="25">
        <f t="shared" si="26"/>
        <v>5648.2199999999993</v>
      </c>
      <c r="G71" s="25">
        <f t="shared" si="26"/>
        <v>7005.5</v>
      </c>
      <c r="H71" s="25">
        <f t="shared" si="26"/>
        <v>12076.16</v>
      </c>
      <c r="I71" s="25">
        <f t="shared" si="26"/>
        <v>13655.050000000001</v>
      </c>
      <c r="J71" s="25">
        <f t="shared" si="26"/>
        <v>15470.980000000001</v>
      </c>
      <c r="K71" s="25">
        <f t="shared" si="26"/>
        <v>18104.52</v>
      </c>
      <c r="L71" s="25">
        <f t="shared" si="26"/>
        <v>21172.48</v>
      </c>
    </row>
    <row r="73" spans="1:13" x14ac:dyDescent="0.35">
      <c r="B73" t="s">
        <v>85</v>
      </c>
      <c r="C73" t="b">
        <f>C71=C56</f>
        <v>1</v>
      </c>
      <c r="D73" t="b">
        <f t="shared" ref="D73:L73" si="27">D71=D56</f>
        <v>1</v>
      </c>
      <c r="E73" t="b">
        <f t="shared" si="27"/>
        <v>1</v>
      </c>
      <c r="F73" t="b">
        <f t="shared" si="27"/>
        <v>1</v>
      </c>
      <c r="G73" t="b">
        <f t="shared" si="27"/>
        <v>1</v>
      </c>
      <c r="H73" t="b">
        <f t="shared" si="27"/>
        <v>1</v>
      </c>
      <c r="I73" t="b">
        <f t="shared" si="27"/>
        <v>1</v>
      </c>
      <c r="J73" t="b">
        <f t="shared" si="27"/>
        <v>1</v>
      </c>
      <c r="K73" t="b">
        <f t="shared" si="27"/>
        <v>1</v>
      </c>
      <c r="L73" t="b">
        <f t="shared" si="27"/>
        <v>1</v>
      </c>
    </row>
    <row r="76" spans="1:13" x14ac:dyDescent="0.35">
      <c r="A76" s="1" t="s">
        <v>57</v>
      </c>
      <c r="B76" s="66" t="s">
        <v>115</v>
      </c>
      <c r="C76" s="64"/>
      <c r="D76" s="64"/>
      <c r="E76" s="64"/>
      <c r="F76" s="64"/>
      <c r="G76" s="64"/>
      <c r="H76" s="64"/>
      <c r="I76" s="64"/>
      <c r="J76" s="64"/>
      <c r="K76" s="64"/>
      <c r="L76" s="64"/>
      <c r="M76" s="64"/>
    </row>
    <row r="77" spans="1:13" x14ac:dyDescent="0.35">
      <c r="B77" s="12" t="s">
        <v>117</v>
      </c>
    </row>
    <row r="78" spans="1:13" ht="29" x14ac:dyDescent="0.35">
      <c r="B78" s="41" t="s">
        <v>162</v>
      </c>
      <c r="C78" s="23">
        <f>IFERROR('Cash Flow Data '!E4,0)</f>
        <v>474</v>
      </c>
      <c r="D78" s="23">
        <f>IFERROR('Cash Flow Data '!F4,0)</f>
        <v>666</v>
      </c>
      <c r="E78" s="23">
        <f>IFERROR('Cash Flow Data '!G4,0)</f>
        <v>984</v>
      </c>
      <c r="F78" s="23">
        <f>IFERROR('Cash Flow Data '!H4,0)</f>
        <v>1375</v>
      </c>
      <c r="G78" s="23">
        <f>IFERROR('Cash Flow Data '!I4,0)</f>
        <v>1659</v>
      </c>
      <c r="H78" s="23">
        <f>IFERROR('Cash Flow Data '!J4,0)</f>
        <v>2149</v>
      </c>
      <c r="I78" s="23">
        <f>IFERROR('Cash Flow Data '!K4,0)</f>
        <v>1764</v>
      </c>
      <c r="J78" s="23">
        <f>IFERROR('Cash Flow Data '!L4,0)</f>
        <v>2515</v>
      </c>
      <c r="K78" s="23">
        <f>IFERROR('Cash Flow Data '!M4,0)</f>
        <v>3659</v>
      </c>
      <c r="L78" s="23">
        <f>IFERROR('Cash Flow Data '!N4,0)</f>
        <v>4131</v>
      </c>
    </row>
    <row r="79" spans="1:13" x14ac:dyDescent="0.35">
      <c r="B79" t="s">
        <v>92</v>
      </c>
      <c r="C79" s="23">
        <f>IFERROR('Cash Flow Data '!E11,0)</f>
        <v>-152</v>
      </c>
      <c r="D79" s="23">
        <f>IFERROR('Cash Flow Data '!F11,0)</f>
        <v>-69</v>
      </c>
      <c r="E79" s="23">
        <f>IFERROR('Cash Flow Data '!G11,0)</f>
        <v>-270</v>
      </c>
      <c r="F79" s="23">
        <f>IFERROR('Cash Flow Data '!H11,0)</f>
        <v>-243</v>
      </c>
      <c r="G79" s="23">
        <f>IFERROR('Cash Flow Data '!I11,0)</f>
        <v>-351</v>
      </c>
      <c r="H79" s="23">
        <f>IFERROR('Cash Flow Data '!J11,0)</f>
        <v>-376</v>
      </c>
      <c r="I79" s="23">
        <f>IFERROR('Cash Flow Data '!K11,0)</f>
        <v>-127</v>
      </c>
      <c r="J79" s="23">
        <f>IFERROR('Cash Flow Data '!L11,0)</f>
        <v>-582</v>
      </c>
      <c r="K79" s="23">
        <f>IFERROR('Cash Flow Data '!M11,0)</f>
        <v>-320</v>
      </c>
      <c r="L79" s="23">
        <f>IFERROR('Cash Flow Data '!N11,0)</f>
        <v>-644</v>
      </c>
    </row>
    <row r="80" spans="1:13" x14ac:dyDescent="0.35">
      <c r="B80" t="s">
        <v>93</v>
      </c>
      <c r="C80" s="23">
        <f>IFERROR('Cash Flow Data '!E12,0)</f>
        <v>-100</v>
      </c>
      <c r="D80" s="23">
        <f>IFERROR('Cash Flow Data '!F12,0)</f>
        <v>-164</v>
      </c>
      <c r="E80" s="23">
        <f>IFERROR('Cash Flow Data '!G12,0)</f>
        <v>-258</v>
      </c>
      <c r="F80" s="23">
        <f>IFERROR('Cash Flow Data '!H12,0)</f>
        <v>-403</v>
      </c>
      <c r="G80" s="23">
        <f>IFERROR('Cash Flow Data '!I12,0)</f>
        <v>-502</v>
      </c>
      <c r="H80" s="23">
        <f>IFERROR('Cash Flow Data '!J12,0)</f>
        <v>-492</v>
      </c>
      <c r="I80" s="23">
        <f>IFERROR('Cash Flow Data '!K12,0)</f>
        <v>-262</v>
      </c>
      <c r="J80" s="23">
        <f>IFERROR('Cash Flow Data '!L12,0)</f>
        <v>-560</v>
      </c>
      <c r="K80" s="23">
        <f>IFERROR('Cash Flow Data '!M12,0)</f>
        <v>-709</v>
      </c>
      <c r="L80" s="23">
        <f>IFERROR('Cash Flow Data '!N12,0)</f>
        <v>-742</v>
      </c>
    </row>
    <row r="81" spans="2:17" x14ac:dyDescent="0.35">
      <c r="B81" s="48" t="s">
        <v>116</v>
      </c>
      <c r="C81" s="49">
        <f t="shared" ref="C81:L81" si="28">SUM(C78:C80)</f>
        <v>222</v>
      </c>
      <c r="D81" s="49">
        <f t="shared" si="28"/>
        <v>433</v>
      </c>
      <c r="E81" s="49">
        <f t="shared" si="28"/>
        <v>456</v>
      </c>
      <c r="F81" s="49">
        <f t="shared" si="28"/>
        <v>729</v>
      </c>
      <c r="G81" s="49">
        <f t="shared" si="28"/>
        <v>806</v>
      </c>
      <c r="H81" s="49">
        <f t="shared" si="28"/>
        <v>1281</v>
      </c>
      <c r="I81" s="49">
        <f t="shared" si="28"/>
        <v>1375</v>
      </c>
      <c r="J81" s="49">
        <f t="shared" si="28"/>
        <v>1373</v>
      </c>
      <c r="K81" s="49">
        <f t="shared" si="28"/>
        <v>2630</v>
      </c>
      <c r="L81" s="49">
        <f t="shared" si="28"/>
        <v>2745</v>
      </c>
      <c r="O81" s="169">
        <f>(L81/I81)^(1/3)-1</f>
        <v>0.25915699813084436</v>
      </c>
      <c r="P81" s="169">
        <f>(L81/G81)^(1/5)-1</f>
        <v>0.27773697164334377</v>
      </c>
      <c r="Q81" s="169">
        <f>AVERAGE(O81:P81)</f>
        <v>0.26844698488709406</v>
      </c>
    </row>
    <row r="83" spans="2:17" x14ac:dyDescent="0.35">
      <c r="B83" s="12" t="s">
        <v>118</v>
      </c>
    </row>
    <row r="84" spans="2:17" x14ac:dyDescent="0.35">
      <c r="B84" t="s">
        <v>95</v>
      </c>
      <c r="C84" s="23">
        <f>IFERROR('Cash Flow Data '!E14,0)</f>
        <v>-477</v>
      </c>
      <c r="D84" s="23">
        <f>IFERROR('Cash Flow Data '!F14,0)</f>
        <v>0</v>
      </c>
      <c r="E84" s="23">
        <f>IFERROR('Cash Flow Data '!G14,0)</f>
        <v>-645</v>
      </c>
      <c r="F84" s="23">
        <f>IFERROR('Cash Flow Data '!H14,0)</f>
        <v>-916</v>
      </c>
      <c r="G84" s="23">
        <f>IFERROR('Cash Flow Data '!I14,0)</f>
        <v>-1417</v>
      </c>
      <c r="H84" s="23">
        <f>IFERROR('Cash Flow Data '!J14,0)</f>
        <v>-1712</v>
      </c>
      <c r="I84" s="23">
        <f>IFERROR('Cash Flow Data '!K14,0)</f>
        <v>-2029</v>
      </c>
      <c r="J84" s="23">
        <f>IFERROR('Cash Flow Data '!L14,0)</f>
        <v>-2410</v>
      </c>
      <c r="K84" s="23">
        <f>IFERROR('Cash Flow Data '!M14,0)</f>
        <v>-2212</v>
      </c>
      <c r="L84" s="23">
        <f>IFERROR('Cash Flow Data '!N14,0)</f>
        <v>-2731</v>
      </c>
    </row>
    <row r="85" spans="2:17" x14ac:dyDescent="0.35">
      <c r="B85" t="s">
        <v>96</v>
      </c>
      <c r="C85" s="23">
        <f>IFERROR('Cash Flow Data '!E15,0)</f>
        <v>0</v>
      </c>
      <c r="D85" s="23">
        <f>IFERROR('Cash Flow Data '!F15,0)</f>
        <v>2</v>
      </c>
      <c r="E85" s="23">
        <f>IFERROR('Cash Flow Data '!G15,0)</f>
        <v>10</v>
      </c>
      <c r="F85" s="23">
        <f>IFERROR('Cash Flow Data '!H15,0)</f>
        <v>7</v>
      </c>
      <c r="G85" s="23">
        <f>IFERROR('Cash Flow Data '!I15,0)</f>
        <v>8</v>
      </c>
      <c r="H85" s="23">
        <f>IFERROR('Cash Flow Data '!J15,0)</f>
        <v>6</v>
      </c>
      <c r="I85" s="23">
        <f>IFERROR('Cash Flow Data '!K15,0)</f>
        <v>2</v>
      </c>
      <c r="J85" s="23">
        <f>IFERROR('Cash Flow Data '!L15,0)</f>
        <v>21</v>
      </c>
      <c r="K85" s="23">
        <f>IFERROR('Cash Flow Data '!M15,0)</f>
        <v>5</v>
      </c>
      <c r="L85" s="23">
        <f>IFERROR('Cash Flow Data '!N15,0)</f>
        <v>9</v>
      </c>
    </row>
    <row r="86" spans="2:17" x14ac:dyDescent="0.35">
      <c r="B86" t="s">
        <v>97</v>
      </c>
      <c r="C86" s="23">
        <f>IFERROR('Cash Flow Data '!E16,0)</f>
        <v>-2901</v>
      </c>
      <c r="D86" s="23">
        <f>IFERROR('Cash Flow Data '!F16,0)</f>
        <v>-638</v>
      </c>
      <c r="E86" s="23">
        <f>IFERROR('Cash Flow Data '!G16,0)</f>
        <v>0</v>
      </c>
      <c r="F86" s="23">
        <f>IFERROR('Cash Flow Data '!H16,0)</f>
        <v>0</v>
      </c>
      <c r="G86" s="23">
        <f>IFERROR('Cash Flow Data '!I16,0)</f>
        <v>0</v>
      </c>
      <c r="H86" s="23">
        <f>IFERROR('Cash Flow Data '!J16,0)</f>
        <v>0</v>
      </c>
      <c r="I86" s="23">
        <f>IFERROR('Cash Flow Data '!K16,0)</f>
        <v>0</v>
      </c>
      <c r="J86" s="23">
        <f>IFERROR('Cash Flow Data '!L16,0)</f>
        <v>0</v>
      </c>
      <c r="K86" s="23">
        <f>IFERROR('Cash Flow Data '!M16,0)</f>
        <v>-193</v>
      </c>
      <c r="L86" s="23">
        <f>IFERROR('Cash Flow Data '!N16,0)</f>
        <v>0</v>
      </c>
    </row>
    <row r="87" spans="2:17" x14ac:dyDescent="0.35">
      <c r="B87" t="s">
        <v>98</v>
      </c>
      <c r="C87" s="23">
        <f>IFERROR('Cash Flow Data '!E17,0)</f>
        <v>2904</v>
      </c>
      <c r="D87" s="23">
        <f>IFERROR('Cash Flow Data '!F17,0)</f>
        <v>0</v>
      </c>
      <c r="E87" s="23">
        <f>IFERROR('Cash Flow Data '!G17,0)</f>
        <v>0</v>
      </c>
      <c r="F87" s="23">
        <f>IFERROR('Cash Flow Data '!H17,0)</f>
        <v>1376</v>
      </c>
      <c r="G87" s="23">
        <f>IFERROR('Cash Flow Data '!I17,0)</f>
        <v>410</v>
      </c>
      <c r="H87" s="23">
        <f>IFERROR('Cash Flow Data '!J17,0)</f>
        <v>232</v>
      </c>
      <c r="I87" s="23">
        <f>IFERROR('Cash Flow Data '!K17,0)</f>
        <v>3</v>
      </c>
      <c r="J87" s="23">
        <f>IFERROR('Cash Flow Data '!L17,0)</f>
        <v>4</v>
      </c>
      <c r="K87" s="23">
        <f>IFERROR('Cash Flow Data '!M17,0)</f>
        <v>6</v>
      </c>
      <c r="L87" s="23">
        <f>IFERROR('Cash Flow Data '!N17,0)</f>
        <v>123</v>
      </c>
    </row>
    <row r="88" spans="2:17" x14ac:dyDescent="0.35">
      <c r="B88" t="s">
        <v>99</v>
      </c>
      <c r="C88" s="23">
        <f>IFERROR('Cash Flow Data '!E18,0)</f>
        <v>0</v>
      </c>
      <c r="D88" s="23">
        <f>IFERROR('Cash Flow Data '!F18,0)</f>
        <v>3</v>
      </c>
      <c r="E88" s="23">
        <f>IFERROR('Cash Flow Data '!G18,0)</f>
        <v>8</v>
      </c>
      <c r="F88" s="23">
        <f>IFERROR('Cash Flow Data '!H18,0)</f>
        <v>0</v>
      </c>
      <c r="G88" s="23">
        <f>IFERROR('Cash Flow Data '!I18,0)</f>
        <v>0</v>
      </c>
      <c r="H88" s="23">
        <f>IFERROR('Cash Flow Data '!J18,0)</f>
        <v>0</v>
      </c>
      <c r="I88" s="23">
        <f>IFERROR('Cash Flow Data '!K18,0)</f>
        <v>0</v>
      </c>
      <c r="J88" s="23">
        <f>IFERROR('Cash Flow Data '!L18,0)</f>
        <v>0</v>
      </c>
      <c r="K88" s="23">
        <f>IFERROR('Cash Flow Data '!M18,0)</f>
        <v>0</v>
      </c>
      <c r="L88" s="23">
        <f>IFERROR('Cash Flow Data '!N18,0)</f>
        <v>0</v>
      </c>
    </row>
    <row r="89" spans="2:17" x14ac:dyDescent="0.35">
      <c r="B89" t="s">
        <v>100</v>
      </c>
      <c r="C89" s="23">
        <f>IFERROR('Cash Flow Data '!E19,0)</f>
        <v>0</v>
      </c>
      <c r="D89" s="23">
        <f>IFERROR('Cash Flow Data '!F19,0)</f>
        <v>1</v>
      </c>
      <c r="E89" s="23">
        <f>IFERROR('Cash Flow Data '!G19,0)</f>
        <v>1</v>
      </c>
      <c r="F89" s="23">
        <f>IFERROR('Cash Flow Data '!H19,0)</f>
        <v>31</v>
      </c>
      <c r="G89" s="23">
        <f>IFERROR('Cash Flow Data '!I19,0)</f>
        <v>36</v>
      </c>
      <c r="H89" s="23">
        <f>IFERROR('Cash Flow Data '!J19,0)</f>
        <v>12</v>
      </c>
      <c r="I89" s="23">
        <f>IFERROR('Cash Flow Data '!K19,0)</f>
        <v>129</v>
      </c>
      <c r="J89" s="23">
        <f>IFERROR('Cash Flow Data '!L19,0)</f>
        <v>43</v>
      </c>
      <c r="K89" s="23">
        <f>IFERROR('Cash Flow Data '!M19,0)</f>
        <v>39</v>
      </c>
      <c r="L89" s="23">
        <f>IFERROR('Cash Flow Data '!N19,0)</f>
        <v>262</v>
      </c>
    </row>
    <row r="90" spans="2:17" x14ac:dyDescent="0.35">
      <c r="B90" t="s">
        <v>101</v>
      </c>
      <c r="C90" s="23">
        <f>IFERROR('Cash Flow Data '!E20,0)</f>
        <v>0</v>
      </c>
      <c r="D90" s="23">
        <f>IFERROR('Cash Flow Data '!F20,0)</f>
        <v>0</v>
      </c>
      <c r="E90" s="23">
        <f>IFERROR('Cash Flow Data '!G20,0)</f>
        <v>0</v>
      </c>
      <c r="F90" s="23">
        <f>IFERROR('Cash Flow Data '!H20,0)</f>
        <v>0</v>
      </c>
      <c r="G90" s="23">
        <f>IFERROR('Cash Flow Data '!I20,0)</f>
        <v>0</v>
      </c>
      <c r="H90" s="23">
        <f>IFERROR('Cash Flow Data '!J20,0)</f>
        <v>0</v>
      </c>
      <c r="I90" s="23">
        <f>IFERROR('Cash Flow Data '!K20,0)</f>
        <v>0</v>
      </c>
      <c r="J90" s="23">
        <f>IFERROR('Cash Flow Data '!L20,0)</f>
        <v>0</v>
      </c>
      <c r="K90" s="23">
        <f>IFERROR('Cash Flow Data '!M20,0)</f>
        <v>0</v>
      </c>
      <c r="L90" s="23">
        <f>IFERROR('Cash Flow Data '!N20,0)</f>
        <v>0</v>
      </c>
    </row>
    <row r="91" spans="2:17" x14ac:dyDescent="0.35">
      <c r="B91" t="s">
        <v>102</v>
      </c>
      <c r="C91" s="23">
        <f>IFERROR('Cash Flow Data '!E21,0)</f>
        <v>0</v>
      </c>
      <c r="D91" s="23">
        <f>IFERROR('Cash Flow Data '!F21,0)</f>
        <v>-14</v>
      </c>
      <c r="E91" s="23">
        <f>IFERROR('Cash Flow Data '!G21,0)</f>
        <v>-21</v>
      </c>
      <c r="F91" s="23">
        <f>IFERROR('Cash Flow Data '!H21,0)</f>
        <v>-49</v>
      </c>
      <c r="G91" s="23">
        <f>IFERROR('Cash Flow Data '!I21,0)</f>
        <v>0</v>
      </c>
      <c r="H91" s="23">
        <f>IFERROR('Cash Flow Data '!J21,0)</f>
        <v>0</v>
      </c>
      <c r="I91" s="23">
        <f>IFERROR('Cash Flow Data '!K21,0)</f>
        <v>0</v>
      </c>
      <c r="J91" s="23">
        <f>IFERROR('Cash Flow Data '!L21,0)</f>
        <v>0</v>
      </c>
      <c r="K91" s="23">
        <f>IFERROR('Cash Flow Data '!M21,0)</f>
        <v>0</v>
      </c>
      <c r="L91" s="23">
        <f>IFERROR('Cash Flow Data '!N21,0)</f>
        <v>0</v>
      </c>
    </row>
    <row r="92" spans="2:17" x14ac:dyDescent="0.35">
      <c r="B92" t="s">
        <v>103</v>
      </c>
      <c r="C92" s="23">
        <f>IFERROR('Cash Flow Data '!E22,0)</f>
        <v>0</v>
      </c>
      <c r="D92" s="23">
        <f>IFERROR('Cash Flow Data '!F22,0)</f>
        <v>0</v>
      </c>
      <c r="E92" s="23">
        <f>IFERROR('Cash Flow Data '!G22,0)</f>
        <v>0</v>
      </c>
      <c r="F92" s="23">
        <f>IFERROR('Cash Flow Data '!H22,0)</f>
        <v>8</v>
      </c>
      <c r="G92" s="23">
        <f>IFERROR('Cash Flow Data '!I22,0)</f>
        <v>0</v>
      </c>
      <c r="H92" s="23">
        <f>IFERROR('Cash Flow Data '!J22,0)</f>
        <v>0</v>
      </c>
      <c r="I92" s="23">
        <f>IFERROR('Cash Flow Data '!K22,0)</f>
        <v>0</v>
      </c>
      <c r="J92" s="23">
        <f>IFERROR('Cash Flow Data '!L22,0)</f>
        <v>0</v>
      </c>
      <c r="K92" s="23">
        <f>IFERROR('Cash Flow Data '!M22,0)</f>
        <v>0</v>
      </c>
      <c r="L92" s="23">
        <f>IFERROR('Cash Flow Data '!N22,0)</f>
        <v>0</v>
      </c>
    </row>
    <row r="93" spans="2:17" x14ac:dyDescent="0.35">
      <c r="B93" t="s">
        <v>104</v>
      </c>
      <c r="C93" s="23">
        <f>IFERROR('Cash Flow Data '!E23,0)</f>
        <v>0</v>
      </c>
      <c r="D93" s="23">
        <f>IFERROR('Cash Flow Data '!F23,0)</f>
        <v>14</v>
      </c>
      <c r="E93" s="23">
        <f>IFERROR('Cash Flow Data '!G23,0)</f>
        <v>-1835</v>
      </c>
      <c r="F93" s="23">
        <f>IFERROR('Cash Flow Data '!H23,0)</f>
        <v>7</v>
      </c>
      <c r="G93" s="23">
        <f>IFERROR('Cash Flow Data '!I23,0)</f>
        <v>3</v>
      </c>
      <c r="H93" s="23">
        <f>IFERROR('Cash Flow Data '!J23,0)</f>
        <v>-3194</v>
      </c>
      <c r="I93" s="23">
        <f>IFERROR('Cash Flow Data '!K23,0)</f>
        <v>786</v>
      </c>
      <c r="J93" s="23">
        <f>IFERROR('Cash Flow Data '!L23,0)</f>
        <v>1054</v>
      </c>
      <c r="K93" s="23">
        <f>IFERROR('Cash Flow Data '!M23,0)</f>
        <v>42</v>
      </c>
      <c r="L93" s="23">
        <f>IFERROR('Cash Flow Data '!N23,0)</f>
        <v>-131</v>
      </c>
    </row>
    <row r="94" spans="2:17" x14ac:dyDescent="0.35">
      <c r="B94" s="48" t="s">
        <v>119</v>
      </c>
      <c r="C94" s="49">
        <f>SUM(C84:C93)</f>
        <v>-474</v>
      </c>
      <c r="D94" s="49">
        <f t="shared" ref="D94:L94" si="29">SUM(D84:D93)</f>
        <v>-632</v>
      </c>
      <c r="E94" s="49">
        <f t="shared" si="29"/>
        <v>-2482</v>
      </c>
      <c r="F94" s="49">
        <f t="shared" si="29"/>
        <v>464</v>
      </c>
      <c r="G94" s="49">
        <f t="shared" si="29"/>
        <v>-960</v>
      </c>
      <c r="H94" s="49">
        <f t="shared" si="29"/>
        <v>-4656</v>
      </c>
      <c r="I94" s="49">
        <f t="shared" si="29"/>
        <v>-1109</v>
      </c>
      <c r="J94" s="49">
        <f t="shared" si="29"/>
        <v>-1288</v>
      </c>
      <c r="K94" s="49">
        <f t="shared" si="29"/>
        <v>-2313</v>
      </c>
      <c r="L94" s="49">
        <f t="shared" si="29"/>
        <v>-2468</v>
      </c>
    </row>
    <row r="96" spans="2:17" x14ac:dyDescent="0.35">
      <c r="B96" s="12" t="s">
        <v>120</v>
      </c>
    </row>
    <row r="97" spans="2:12" x14ac:dyDescent="0.35">
      <c r="B97" t="s">
        <v>106</v>
      </c>
      <c r="C97" s="23">
        <f>IFERROR('Cash Flow Data '!E25,0)</f>
        <v>33</v>
      </c>
      <c r="D97" s="23">
        <f>IFERROR('Cash Flow Data '!F25,0)</f>
        <v>0</v>
      </c>
      <c r="E97" s="23">
        <f>IFERROR('Cash Flow Data '!G25,0)</f>
        <v>1841</v>
      </c>
      <c r="F97" s="23">
        <f>IFERROR('Cash Flow Data '!H25,0)</f>
        <v>0</v>
      </c>
      <c r="G97" s="23">
        <f>IFERROR('Cash Flow Data '!I25,0)</f>
        <v>0</v>
      </c>
      <c r="H97" s="23">
        <f>IFERROR('Cash Flow Data '!J25,0)</f>
        <v>110</v>
      </c>
      <c r="I97" s="23">
        <f>IFERROR('Cash Flow Data '!K25,0)</f>
        <v>0</v>
      </c>
      <c r="J97" s="23">
        <f>IFERROR('Cash Flow Data '!L25,0)</f>
        <v>0</v>
      </c>
      <c r="K97" s="23">
        <f>IFERROR('Cash Flow Data '!M25,0)</f>
        <v>15</v>
      </c>
      <c r="L97" s="23">
        <f>IFERROR('Cash Flow Data '!N25,0)</f>
        <v>75</v>
      </c>
    </row>
    <row r="98" spans="2:12" x14ac:dyDescent="0.35">
      <c r="B98" t="s">
        <v>107</v>
      </c>
      <c r="C98" s="23">
        <f>IFERROR('Cash Flow Data '!E26,0)</f>
        <v>200</v>
      </c>
      <c r="D98" s="23">
        <f>IFERROR('Cash Flow Data '!F26,0)</f>
        <v>350</v>
      </c>
      <c r="E98" s="23">
        <f>IFERROR('Cash Flow Data '!G26,0)</f>
        <v>250</v>
      </c>
      <c r="F98" s="23">
        <f>IFERROR('Cash Flow Data '!H26,0)</f>
        <v>0</v>
      </c>
      <c r="G98" s="23">
        <f>IFERROR('Cash Flow Data '!I26,0)</f>
        <v>0</v>
      </c>
      <c r="H98" s="23">
        <f>IFERROR('Cash Flow Data '!J26,0)</f>
        <v>300</v>
      </c>
      <c r="I98" s="23">
        <f>IFERROR('Cash Flow Data '!K26,0)</f>
        <v>0</v>
      </c>
      <c r="J98" s="23">
        <f>IFERROR('Cash Flow Data '!L26,0)</f>
        <v>0</v>
      </c>
      <c r="K98" s="23">
        <f>IFERROR('Cash Flow Data '!M26,0)</f>
        <v>0</v>
      </c>
      <c r="L98" s="23">
        <f>IFERROR('Cash Flow Data '!N26,0)</f>
        <v>0</v>
      </c>
    </row>
    <row r="99" spans="2:12" x14ac:dyDescent="0.35">
      <c r="B99" t="s">
        <v>108</v>
      </c>
      <c r="C99" s="23">
        <f>IFERROR('Cash Flow Data '!E27,0)</f>
        <v>0</v>
      </c>
      <c r="D99" s="23">
        <f>IFERROR('Cash Flow Data '!F27,0)</f>
        <v>0</v>
      </c>
      <c r="E99" s="23">
        <f>IFERROR('Cash Flow Data '!G27,0)</f>
        <v>0</v>
      </c>
      <c r="F99" s="23">
        <f>IFERROR('Cash Flow Data '!H27,0)</f>
        <v>-384</v>
      </c>
      <c r="G99" s="23">
        <f>IFERROR('Cash Flow Data '!I27,0)</f>
        <v>-170</v>
      </c>
      <c r="H99" s="23">
        <f>IFERROR('Cash Flow Data '!J27,0)</f>
        <v>-512</v>
      </c>
      <c r="I99" s="23">
        <f>IFERROR('Cash Flow Data '!K27,0)</f>
        <v>-34</v>
      </c>
      <c r="J99" s="23">
        <f>IFERROR('Cash Flow Data '!L27,0)</f>
        <v>0</v>
      </c>
      <c r="K99" s="23">
        <f>IFERROR('Cash Flow Data '!M27,0)</f>
        <v>0</v>
      </c>
      <c r="L99" s="23">
        <f>IFERROR('Cash Flow Data '!N27,0)</f>
        <v>0</v>
      </c>
    </row>
    <row r="100" spans="2:12" x14ac:dyDescent="0.35">
      <c r="B100" t="s">
        <v>109</v>
      </c>
      <c r="C100" s="23">
        <f>IFERROR('Cash Flow Data '!E28,0)</f>
        <v>295</v>
      </c>
      <c r="D100" s="23">
        <f>IFERROR('Cash Flow Data '!F28,0)</f>
        <v>-60</v>
      </c>
      <c r="E100" s="23">
        <f>IFERROR('Cash Flow Data '!G28,0)</f>
        <v>260</v>
      </c>
      <c r="F100" s="23">
        <f>IFERROR('Cash Flow Data '!H28,0)</f>
        <v>0</v>
      </c>
      <c r="G100" s="23">
        <f>IFERROR('Cash Flow Data '!I28,0)</f>
        <v>992</v>
      </c>
      <c r="H100" s="23">
        <f>IFERROR('Cash Flow Data '!J28,0)</f>
        <v>1100</v>
      </c>
      <c r="I100" s="23">
        <f>IFERROR('Cash Flow Data '!K28,0)</f>
        <v>200</v>
      </c>
      <c r="J100" s="23">
        <f>IFERROR('Cash Flow Data '!L28,0)</f>
        <v>248</v>
      </c>
      <c r="K100" s="23">
        <f>IFERROR('Cash Flow Data '!M28,0)</f>
        <v>0</v>
      </c>
      <c r="L100" s="23">
        <f>IFERROR('Cash Flow Data '!N28,0)</f>
        <v>0</v>
      </c>
    </row>
    <row r="101" spans="2:12" x14ac:dyDescent="0.35">
      <c r="B101" t="s">
        <v>110</v>
      </c>
      <c r="C101" s="23">
        <f>IFERROR('Cash Flow Data '!E29,0)</f>
        <v>-232</v>
      </c>
      <c r="D101" s="23">
        <f>IFERROR('Cash Flow Data '!F29,0)</f>
        <v>0</v>
      </c>
      <c r="E101" s="23">
        <f>IFERROR('Cash Flow Data '!G29,0)</f>
        <v>-155</v>
      </c>
      <c r="F101" s="23">
        <f>IFERROR('Cash Flow Data '!H29,0)</f>
        <v>-695</v>
      </c>
      <c r="G101" s="23">
        <f>IFERROR('Cash Flow Data '!I29,0)</f>
        <v>-562</v>
      </c>
      <c r="H101" s="23">
        <f>IFERROR('Cash Flow Data '!J29,0)</f>
        <v>-1550</v>
      </c>
      <c r="I101" s="23">
        <f>IFERROR('Cash Flow Data '!K29,0)</f>
        <v>-204</v>
      </c>
      <c r="J101" s="23">
        <f>IFERROR('Cash Flow Data '!L29,0)</f>
        <v>-248</v>
      </c>
      <c r="K101" s="23">
        <f>IFERROR('Cash Flow Data '!M29,0)</f>
        <v>0</v>
      </c>
      <c r="L101" s="23">
        <f>IFERROR('Cash Flow Data '!N29,0)</f>
        <v>0</v>
      </c>
    </row>
    <row r="102" spans="2:12" x14ac:dyDescent="0.35">
      <c r="B102" t="s">
        <v>111</v>
      </c>
      <c r="C102" s="23">
        <f>IFERROR('Cash Flow Data '!E30,0)</f>
        <v>-62</v>
      </c>
      <c r="D102" s="23">
        <f>IFERROR('Cash Flow Data '!F30,0)</f>
        <v>-93</v>
      </c>
      <c r="E102" s="23">
        <f>IFERROR('Cash Flow Data '!G30,0)</f>
        <v>-120</v>
      </c>
      <c r="F102" s="23">
        <f>IFERROR('Cash Flow Data '!H30,0)</f>
        <v>-80</v>
      </c>
      <c r="G102" s="23">
        <f>IFERROR('Cash Flow Data '!I30,0)</f>
        <v>-51</v>
      </c>
      <c r="H102" s="23">
        <f>IFERROR('Cash Flow Data '!J30,0)</f>
        <v>-98</v>
      </c>
      <c r="I102" s="23">
        <f>IFERROR('Cash Flow Data '!K30,0)</f>
        <v>-44</v>
      </c>
      <c r="J102" s="23">
        <f>IFERROR('Cash Flow Data '!L30,0)</f>
        <v>-54</v>
      </c>
      <c r="K102" s="23">
        <f>IFERROR('Cash Flow Data '!M30,0)</f>
        <v>-67</v>
      </c>
      <c r="L102" s="23">
        <f>IFERROR('Cash Flow Data '!N30,0)</f>
        <v>-58</v>
      </c>
    </row>
    <row r="103" spans="2:12" x14ac:dyDescent="0.35">
      <c r="B103" t="s">
        <v>112</v>
      </c>
      <c r="C103" s="23">
        <f>IFERROR('Cash Flow Data '!E31,0)</f>
        <v>0</v>
      </c>
      <c r="D103" s="23">
        <f>IFERROR('Cash Flow Data '!F31,0)</f>
        <v>0</v>
      </c>
      <c r="E103" s="23">
        <f>IFERROR('Cash Flow Data '!G31,0)</f>
        <v>0</v>
      </c>
      <c r="F103" s="23">
        <f>IFERROR('Cash Flow Data '!H31,0)</f>
        <v>0</v>
      </c>
      <c r="G103" s="23">
        <f>IFERROR('Cash Flow Data '!I31,0)</f>
        <v>0</v>
      </c>
      <c r="H103" s="23">
        <f>IFERROR('Cash Flow Data '!J31,0)</f>
        <v>-70</v>
      </c>
      <c r="I103" s="23">
        <f>IFERROR('Cash Flow Data '!K31,0)</f>
        <v>-98</v>
      </c>
      <c r="J103" s="23">
        <f>IFERROR('Cash Flow Data '!L31,0)</f>
        <v>-125</v>
      </c>
      <c r="K103" s="23">
        <f>IFERROR('Cash Flow Data '!M31,0)</f>
        <v>-153</v>
      </c>
      <c r="L103" s="23">
        <f>IFERROR('Cash Flow Data '!N31,0)</f>
        <v>-164</v>
      </c>
    </row>
    <row r="104" spans="2:12" x14ac:dyDescent="0.35">
      <c r="B104" t="s">
        <v>113</v>
      </c>
      <c r="C104" s="23">
        <f>IFERROR('Cash Flow Data '!E32,0)</f>
        <v>0</v>
      </c>
      <c r="D104" s="23">
        <f>IFERROR('Cash Flow Data '!F32,0)</f>
        <v>0</v>
      </c>
      <c r="E104" s="23">
        <f>IFERROR('Cash Flow Data '!G32,0)</f>
        <v>0</v>
      </c>
      <c r="F104" s="23">
        <f>IFERROR('Cash Flow Data '!H32,0)</f>
        <v>0</v>
      </c>
      <c r="G104" s="23">
        <f>IFERROR('Cash Flow Data '!I32,0)</f>
        <v>0</v>
      </c>
      <c r="H104" s="23">
        <f>IFERROR('Cash Flow Data '!J32,0)</f>
        <v>0</v>
      </c>
      <c r="I104" s="23">
        <f>IFERROR('Cash Flow Data '!K32,0)</f>
        <v>0</v>
      </c>
      <c r="J104" s="23">
        <f>IFERROR('Cash Flow Data '!L32,0)</f>
        <v>0</v>
      </c>
      <c r="K104" s="23">
        <f>IFERROR('Cash Flow Data '!M32,0)</f>
        <v>1</v>
      </c>
      <c r="L104" s="23">
        <f>IFERROR('Cash Flow Data '!N32,0)</f>
        <v>0</v>
      </c>
    </row>
    <row r="105" spans="2:12" x14ac:dyDescent="0.35">
      <c r="B105" t="s">
        <v>114</v>
      </c>
      <c r="C105" s="23">
        <f>IFERROR('Cash Flow Data '!E33,0)</f>
        <v>0</v>
      </c>
      <c r="D105" s="23">
        <f>IFERROR('Cash Flow Data '!F33,0)</f>
        <v>0</v>
      </c>
      <c r="E105" s="23">
        <f>IFERROR('Cash Flow Data '!G33,0)</f>
        <v>-50</v>
      </c>
      <c r="F105" s="23">
        <f>IFERROR('Cash Flow Data '!H33,0)</f>
        <v>0</v>
      </c>
      <c r="G105" s="23">
        <f>IFERROR('Cash Flow Data '!I33,0)</f>
        <v>0</v>
      </c>
      <c r="H105" s="23">
        <f>IFERROR('Cash Flow Data '!J33,0)</f>
        <v>4077</v>
      </c>
      <c r="I105" s="23">
        <f>IFERROR('Cash Flow Data '!K33,0)</f>
        <v>0</v>
      </c>
      <c r="J105" s="23">
        <f>IFERROR('Cash Flow Data '!L33,0)</f>
        <v>0</v>
      </c>
      <c r="K105" s="23">
        <f>IFERROR('Cash Flow Data '!M33,0)</f>
        <v>0</v>
      </c>
      <c r="L105" s="23">
        <f>IFERROR('Cash Flow Data '!N33,0)</f>
        <v>0</v>
      </c>
    </row>
    <row r="106" spans="2:12" x14ac:dyDescent="0.35">
      <c r="B106" s="48" t="s">
        <v>121</v>
      </c>
      <c r="C106" s="49">
        <f>SUM(C97:C105)</f>
        <v>234</v>
      </c>
      <c r="D106" s="49">
        <f t="shared" ref="D106:K106" si="30">SUM(D97:D105)</f>
        <v>197</v>
      </c>
      <c r="E106" s="49">
        <f t="shared" si="30"/>
        <v>2026</v>
      </c>
      <c r="F106" s="49">
        <f t="shared" si="30"/>
        <v>-1159</v>
      </c>
      <c r="G106" s="49">
        <f t="shared" si="30"/>
        <v>209</v>
      </c>
      <c r="H106" s="49">
        <f t="shared" si="30"/>
        <v>3357</v>
      </c>
      <c r="I106" s="49">
        <f t="shared" si="30"/>
        <v>-180</v>
      </c>
      <c r="J106" s="49">
        <f t="shared" si="30"/>
        <v>-179</v>
      </c>
      <c r="K106" s="49">
        <f t="shared" si="30"/>
        <v>-204</v>
      </c>
      <c r="L106" s="49">
        <f>SUM(L97:L105)</f>
        <v>-147</v>
      </c>
    </row>
    <row r="108" spans="2:12" x14ac:dyDescent="0.35">
      <c r="B108" s="48" t="s">
        <v>50</v>
      </c>
      <c r="C108" s="48">
        <f>IFERROR(C81+C94+C106,0)</f>
        <v>-18</v>
      </c>
      <c r="D108" s="48">
        <f t="shared" ref="D108:L108" si="31">IFERROR(D81+D94+D106,0)</f>
        <v>-2</v>
      </c>
      <c r="E108" s="48">
        <f t="shared" si="31"/>
        <v>0</v>
      </c>
      <c r="F108" s="48">
        <f t="shared" si="31"/>
        <v>34</v>
      </c>
      <c r="G108" s="48">
        <f t="shared" si="31"/>
        <v>55</v>
      </c>
      <c r="H108" s="48">
        <f t="shared" si="31"/>
        <v>-18</v>
      </c>
      <c r="I108" s="48">
        <f t="shared" si="31"/>
        <v>86</v>
      </c>
      <c r="J108" s="48">
        <f t="shared" si="31"/>
        <v>-94</v>
      </c>
      <c r="K108" s="48">
        <f t="shared" si="31"/>
        <v>113</v>
      </c>
      <c r="L108" s="48">
        <f t="shared" si="31"/>
        <v>130</v>
      </c>
    </row>
  </sheetData>
  <mergeCells count="2">
    <mergeCell ref="B2:M2"/>
    <mergeCell ref="O2:Q2"/>
  </mergeCells>
  <pageMargins left="0.7" right="0.7" top="0.75" bottom="0.75" header="0.3" footer="0.3"/>
  <pageSetup orientation="portrait" r:id="rId1"/>
  <ignoredErrors>
    <ignoredError sqref="M35 M6 M9 M15 M23 M29"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B2627-F72C-4972-B348-9AC70C413B5D}">
  <sheetPr>
    <tabColor rgb="FF002060"/>
  </sheetPr>
  <dimension ref="A1:M108"/>
  <sheetViews>
    <sheetView tabSelected="1" zoomScale="94" workbookViewId="0">
      <selection activeCell="K11" sqref="K11"/>
    </sheetView>
  </sheetViews>
  <sheetFormatPr defaultRowHeight="14.5" outlineLevelRow="1" x14ac:dyDescent="0.35"/>
  <cols>
    <col min="1" max="1" width="1.81640625" customWidth="1"/>
    <col min="2" max="2" width="28" customWidth="1"/>
    <col min="3" max="6" width="15.453125" customWidth="1"/>
    <col min="7" max="7" width="12.36328125" customWidth="1"/>
    <col min="8" max="8" width="12.08984375" customWidth="1"/>
    <col min="9" max="9" width="12.08984375" bestFit="1" customWidth="1"/>
    <col min="10" max="10" width="13.6328125" customWidth="1"/>
    <col min="11" max="11" width="13" customWidth="1"/>
  </cols>
  <sheetData>
    <row r="1" spans="1:12" x14ac:dyDescent="0.35">
      <c r="B1" s="14"/>
    </row>
    <row r="2" spans="1:12" x14ac:dyDescent="0.35">
      <c r="B2" s="222"/>
      <c r="C2" s="222"/>
      <c r="D2" s="222"/>
      <c r="E2" s="222"/>
      <c r="F2" s="222"/>
      <c r="G2" s="222"/>
      <c r="H2" s="222"/>
    </row>
    <row r="3" spans="1:12" x14ac:dyDescent="0.35">
      <c r="B3" s="66" t="s">
        <v>54</v>
      </c>
      <c r="C3" s="170">
        <f>'Data Sheet'!I16</f>
        <v>44651</v>
      </c>
      <c r="D3" s="170">
        <f>'Data Sheet'!J16</f>
        <v>45016</v>
      </c>
      <c r="E3" s="170">
        <f>'Data Sheet'!K16</f>
        <v>45382</v>
      </c>
      <c r="F3" s="171">
        <f>E3+365</f>
        <v>45747</v>
      </c>
      <c r="G3" s="171">
        <f t="shared" ref="G3:H3" si="0">F3+365</f>
        <v>46112</v>
      </c>
      <c r="H3" s="171">
        <f t="shared" si="0"/>
        <v>46477</v>
      </c>
      <c r="J3" s="20"/>
      <c r="K3" s="20"/>
    </row>
    <row r="4" spans="1:12" x14ac:dyDescent="0.35">
      <c r="B4" s="9"/>
      <c r="C4" s="19"/>
      <c r="D4" s="19"/>
      <c r="E4" s="19"/>
      <c r="F4" s="20"/>
    </row>
    <row r="5" spans="1:12" x14ac:dyDescent="0.35">
      <c r="A5" s="1" t="s">
        <v>57</v>
      </c>
      <c r="B5" s="66" t="s">
        <v>56</v>
      </c>
      <c r="C5" s="64"/>
      <c r="D5" s="64"/>
      <c r="E5" s="64"/>
      <c r="F5" s="64"/>
      <c r="G5" s="64"/>
      <c r="H5" s="64"/>
    </row>
    <row r="6" spans="1:12" x14ac:dyDescent="0.35">
      <c r="B6" s="12" t="s">
        <v>14</v>
      </c>
      <c r="C6" s="18">
        <f>IFERROR('Data Sheet'!I17,0)</f>
        <v>30976.27</v>
      </c>
      <c r="D6" s="18">
        <f>IFERROR('Data Sheet'!J17,0)</f>
        <v>42839.56</v>
      </c>
      <c r="E6" s="18">
        <f>IFERROR('Data Sheet'!K17,0)</f>
        <v>50788.83</v>
      </c>
      <c r="F6" s="18">
        <f>FV(F7,1,,-E6)</f>
        <v>63134.559693437688</v>
      </c>
      <c r="G6" s="18">
        <f>FV(G7,1,,-F6)</f>
        <v>78481.284717215312</v>
      </c>
      <c r="H6" s="18">
        <f>FV(H7,1,,-G6)</f>
        <v>97558.485887481744</v>
      </c>
      <c r="J6" s="168"/>
      <c r="K6" s="168"/>
    </row>
    <row r="7" spans="1:12" x14ac:dyDescent="0.35">
      <c r="B7" s="15" t="s">
        <v>58</v>
      </c>
      <c r="C7" s="17">
        <f>'Historical Financial Statement '!J7</f>
        <v>0.28302998874210639</v>
      </c>
      <c r="D7" s="17">
        <f t="shared" ref="D7:E7" si="1">D6/C6-1</f>
        <v>0.38297993915987938</v>
      </c>
      <c r="E7" s="17">
        <f t="shared" si="1"/>
        <v>0.18555909537819737</v>
      </c>
      <c r="F7" s="172">
        <f>'Historical Financial Statement '!$Q$6</f>
        <v>0.2430796238747317</v>
      </c>
      <c r="G7" s="172">
        <f>'Historical Financial Statement '!$Q$6</f>
        <v>0.2430796238747317</v>
      </c>
      <c r="H7" s="172">
        <f>'Historical Financial Statement '!$Q$6</f>
        <v>0.2430796238747317</v>
      </c>
    </row>
    <row r="8" spans="1:12" x14ac:dyDescent="0.35">
      <c r="A8" s="1"/>
      <c r="B8" s="9"/>
      <c r="C8" s="11"/>
      <c r="D8" s="11"/>
      <c r="E8" s="11"/>
      <c r="F8" s="11"/>
    </row>
    <row r="9" spans="1:12" x14ac:dyDescent="0.35">
      <c r="B9" s="12" t="s">
        <v>60</v>
      </c>
      <c r="C9" s="18">
        <f>IFERROR(SUM('Data Sheet'!I18,-1*'Data Sheet'!I19),0)</f>
        <v>26397.39</v>
      </c>
      <c r="D9" s="18">
        <f>IFERROR(SUM('Data Sheet'!J18,-1*'Data Sheet'!J19),0)</f>
        <v>36383.949999999997</v>
      </c>
      <c r="E9" s="18">
        <f>IFERROR(SUM('Data Sheet'!K18,-1*'Data Sheet'!K19),0)</f>
        <v>43274.54</v>
      </c>
      <c r="F9" s="18">
        <f>F6-F12</f>
        <v>53686.646551197191</v>
      </c>
      <c r="G9" s="18">
        <f t="shared" ref="G9:H9" si="2">G6-G12</f>
        <v>66736.776401957861</v>
      </c>
      <c r="H9" s="18">
        <f t="shared" si="2"/>
        <v>82959.126908357852</v>
      </c>
    </row>
    <row r="10" spans="1:12" x14ac:dyDescent="0.35">
      <c r="A10" s="1"/>
      <c r="B10" s="15" t="s">
        <v>61</v>
      </c>
      <c r="C10" s="17">
        <f t="shared" ref="C10:H10" si="3">C9/C6</f>
        <v>0.85218104051908117</v>
      </c>
      <c r="D10" s="17">
        <f t="shared" si="3"/>
        <v>0.84930727579835086</v>
      </c>
      <c r="E10" s="17">
        <f t="shared" si="3"/>
        <v>0.85204837362861086</v>
      </c>
      <c r="F10" s="17">
        <f t="shared" si="3"/>
        <v>0.85035275151807976</v>
      </c>
      <c r="G10" s="17">
        <f t="shared" si="3"/>
        <v>0.85035275151807976</v>
      </c>
      <c r="H10" s="17">
        <f t="shared" si="3"/>
        <v>0.85035275151807976</v>
      </c>
    </row>
    <row r="11" spans="1:12" outlineLevel="1" x14ac:dyDescent="0.35">
      <c r="B11" s="12"/>
      <c r="C11" s="12"/>
      <c r="D11" s="12"/>
      <c r="E11" s="12"/>
      <c r="F11" s="12"/>
      <c r="K11">
        <v>944.34</v>
      </c>
    </row>
    <row r="12" spans="1:12" outlineLevel="1" x14ac:dyDescent="0.35">
      <c r="B12" s="24" t="s">
        <v>62</v>
      </c>
      <c r="C12" s="25">
        <f t="shared" ref="C12:E12" si="4">C6-C9</f>
        <v>4578.880000000001</v>
      </c>
      <c r="D12" s="25">
        <f t="shared" si="4"/>
        <v>6455.6100000000006</v>
      </c>
      <c r="E12" s="25">
        <f t="shared" si="4"/>
        <v>7514.2900000000009</v>
      </c>
      <c r="F12" s="25">
        <f>F6*F13</f>
        <v>9447.9131422404989</v>
      </c>
      <c r="G12" s="25">
        <f t="shared" ref="G12:H12" si="5">G6*G13</f>
        <v>11744.508315257453</v>
      </c>
      <c r="H12" s="25">
        <f t="shared" si="5"/>
        <v>14599.358979123894</v>
      </c>
      <c r="K12">
        <v>785.71</v>
      </c>
    </row>
    <row r="13" spans="1:12" outlineLevel="1" x14ac:dyDescent="0.35">
      <c r="B13" s="15" t="s">
        <v>145</v>
      </c>
      <c r="C13" s="17">
        <f t="shared" ref="C13" si="6">IFERROR(C12/C6,0)</f>
        <v>0.1478189594809188</v>
      </c>
      <c r="D13" s="17">
        <f>IFERROR(D12/D6,0)</f>
        <v>0.15069272420164914</v>
      </c>
      <c r="E13" s="17">
        <f t="shared" ref="E13" si="7">IFERROR(E12/E6,0)</f>
        <v>0.14795162637138914</v>
      </c>
      <c r="F13" s="172">
        <f>'Ratio Analysis'!$O$13</f>
        <v>0.14964724848192029</v>
      </c>
      <c r="G13" s="172">
        <f>'Ratio Analysis'!$O$13</f>
        <v>0.14964724848192029</v>
      </c>
      <c r="H13" s="172">
        <f>'Ratio Analysis'!$O$13</f>
        <v>0.14964724848192029</v>
      </c>
      <c r="K13">
        <f>K11+K12</f>
        <v>1730.0500000000002</v>
      </c>
      <c r="L13" s="56">
        <f>K13/E6</f>
        <v>3.4063592329258228E-2</v>
      </c>
    </row>
    <row r="14" spans="1:12" outlineLevel="1" x14ac:dyDescent="0.35"/>
    <row r="15" spans="1:12" outlineLevel="1" x14ac:dyDescent="0.35">
      <c r="B15" s="12" t="s">
        <v>22</v>
      </c>
      <c r="C15" s="18">
        <f>IFERROR('Data Sheet'!I25,0)</f>
        <v>113.64</v>
      </c>
      <c r="D15" s="18">
        <f>IFERROR('Data Sheet'!J25,0)</f>
        <v>127.6</v>
      </c>
      <c r="E15" s="18">
        <f>IFERROR('Data Sheet'!K25,0)</f>
        <v>144.58000000000001</v>
      </c>
      <c r="F15" s="18">
        <f>F6*'Common Size Analysis'!$L$9</f>
        <v>179.72445201980869</v>
      </c>
      <c r="G15" s="18">
        <f>G6*'Common Size Analysis'!$L$9</f>
        <v>223.41180421787607</v>
      </c>
      <c r="H15" s="18">
        <f>H6*'Common Size Analysis'!$L$9</f>
        <v>277.71866155633256</v>
      </c>
      <c r="K15" s="218"/>
    </row>
    <row r="16" spans="1:12" outlineLevel="1" x14ac:dyDescent="0.35">
      <c r="L16">
        <f>L13*100</f>
        <v>3.4063592329258228</v>
      </c>
    </row>
    <row r="17" spans="2:13" outlineLevel="1" x14ac:dyDescent="0.35">
      <c r="B17" s="12" t="s">
        <v>63</v>
      </c>
      <c r="C17" s="18">
        <f>IFERROR(SUM('Data Sheet'!I23:I24:'Data Sheet'!I20:I22),0)</f>
        <v>2076.5300000000002</v>
      </c>
      <c r="D17" s="18">
        <f>IFERROR(SUM('Data Sheet'!J23:J24:'Data Sheet'!J20:J22),0)</f>
        <v>2816.8399999999997</v>
      </c>
      <c r="E17" s="18">
        <f>IFERROR(SUM('Data Sheet'!K23:K24:'Data Sheet'!K20:K22),0)</f>
        <v>3408.65</v>
      </c>
      <c r="F17" s="18">
        <f>F6*F18</f>
        <v>4420.3575710373179</v>
      </c>
      <c r="G17" s="18">
        <f t="shared" ref="G17:H17" si="8">G6*G18</f>
        <v>5494.8564267968914</v>
      </c>
      <c r="H17" s="18">
        <f t="shared" si="8"/>
        <v>6830.5440602683329</v>
      </c>
    </row>
    <row r="18" spans="2:13" outlineLevel="1" x14ac:dyDescent="0.35">
      <c r="B18" s="15" t="s">
        <v>64</v>
      </c>
      <c r="C18" s="17">
        <f t="shared" ref="C18:E18" si="9">C17/C6</f>
        <v>6.7036153804186246E-2</v>
      </c>
      <c r="D18" s="17">
        <f t="shared" si="9"/>
        <v>6.5753243030507308E-2</v>
      </c>
      <c r="E18" s="17">
        <f t="shared" si="9"/>
        <v>6.7114166638609321E-2</v>
      </c>
      <c r="F18" s="172">
        <f>'Ratio Analysis'!$N$19</f>
        <v>7.0014863372790379E-2</v>
      </c>
      <c r="G18" s="172">
        <f>'Ratio Analysis'!$N$19</f>
        <v>7.0014863372790379E-2</v>
      </c>
      <c r="H18" s="172">
        <f>'Ratio Analysis'!$N$19</f>
        <v>7.0014863372790379E-2</v>
      </c>
    </row>
    <row r="19" spans="2:13" outlineLevel="1" x14ac:dyDescent="0.35"/>
    <row r="20" spans="2:13" outlineLevel="1" x14ac:dyDescent="0.35">
      <c r="B20" s="26" t="s">
        <v>65</v>
      </c>
      <c r="C20" s="25">
        <f t="shared" ref="C20:H20" si="10">IFERROR(SUM(C12,C15)-C17,0)</f>
        <v>2615.9900000000011</v>
      </c>
      <c r="D20" s="25">
        <f t="shared" si="10"/>
        <v>3766.3700000000013</v>
      </c>
      <c r="E20" s="25">
        <f t="shared" si="10"/>
        <v>4250.2200000000012</v>
      </c>
      <c r="F20" s="25">
        <f t="shared" si="10"/>
        <v>5207.2800232229902</v>
      </c>
      <c r="G20" s="25">
        <f t="shared" si="10"/>
        <v>6473.0636926784382</v>
      </c>
      <c r="H20" s="25">
        <f t="shared" si="10"/>
        <v>8046.533580411894</v>
      </c>
    </row>
    <row r="21" spans="2:13" outlineLevel="1" x14ac:dyDescent="0.35">
      <c r="B21" s="15" t="s">
        <v>66</v>
      </c>
      <c r="C21" s="17">
        <f t="shared" ref="C21:H21" si="11">C20/C6</f>
        <v>8.4451420393740151E-2</v>
      </c>
      <c r="D21" s="17">
        <f t="shared" si="11"/>
        <v>8.7918036506444072E-2</v>
      </c>
      <c r="E21" s="17">
        <f t="shared" si="11"/>
        <v>8.3684148660246774E-2</v>
      </c>
      <c r="F21" s="17">
        <f t="shared" si="11"/>
        <v>8.247907403659685E-2</v>
      </c>
      <c r="G21" s="17">
        <f t="shared" si="11"/>
        <v>8.247907403659685E-2</v>
      </c>
      <c r="H21" s="17">
        <f t="shared" si="11"/>
        <v>8.2479074036596836E-2</v>
      </c>
    </row>
    <row r="22" spans="2:13" outlineLevel="1" x14ac:dyDescent="0.35"/>
    <row r="23" spans="2:13" outlineLevel="1" x14ac:dyDescent="0.35">
      <c r="B23" s="12" t="s">
        <v>68</v>
      </c>
      <c r="C23" s="18">
        <f>IFERROR('Data Sheet'!I26,0)</f>
        <v>498.08</v>
      </c>
      <c r="D23" s="18">
        <f>IFERROR('Data Sheet'!J26,0)</f>
        <v>638.87</v>
      </c>
      <c r="E23" s="18">
        <f>IFERROR('Data Sheet'!K26,0)</f>
        <v>730.76</v>
      </c>
      <c r="F23" s="18">
        <f>F6*F24</f>
        <v>908.39286594269879</v>
      </c>
      <c r="G23" s="18">
        <f t="shared" ref="G23:H23" si="12">G6*G24</f>
        <v>1129.2046621265395</v>
      </c>
      <c r="H23" s="18">
        <f t="shared" si="12"/>
        <v>1403.6913066738523</v>
      </c>
    </row>
    <row r="24" spans="2:13" outlineLevel="1" x14ac:dyDescent="0.35">
      <c r="B24" s="15" t="s">
        <v>69</v>
      </c>
      <c r="C24" s="17">
        <f t="shared" ref="C24:E24" si="13">C23/C6</f>
        <v>1.6079405299605148E-2</v>
      </c>
      <c r="D24" s="17">
        <f t="shared" si="13"/>
        <v>1.4913085008342757E-2</v>
      </c>
      <c r="E24" s="17">
        <f t="shared" si="13"/>
        <v>1.4388203075361254E-2</v>
      </c>
      <c r="F24" s="172">
        <f>'Forcasted Financial Statement'!E24</f>
        <v>1.4388203075361254E-2</v>
      </c>
      <c r="G24" s="172">
        <f>'Forcasted Financial Statement'!F24</f>
        <v>1.4388203075361254E-2</v>
      </c>
      <c r="H24" s="172">
        <f>'Forcasted Financial Statement'!G24</f>
        <v>1.4388203075361254E-2</v>
      </c>
      <c r="J24" s="176" t="s">
        <v>367</v>
      </c>
      <c r="K24" s="176"/>
      <c r="L24" s="176"/>
      <c r="M24" s="176"/>
    </row>
    <row r="25" spans="2:13" outlineLevel="1" x14ac:dyDescent="0.35">
      <c r="B25" s="15"/>
      <c r="C25" s="17"/>
      <c r="D25" s="17"/>
      <c r="E25" s="17"/>
      <c r="F25" s="17"/>
    </row>
    <row r="26" spans="2:13" outlineLevel="1" x14ac:dyDescent="0.35">
      <c r="B26" s="39" t="s">
        <v>152</v>
      </c>
      <c r="C26" s="40">
        <f t="shared" ref="C26:H26" si="14">IFERROR(C20-C23,0)</f>
        <v>2117.9100000000012</v>
      </c>
      <c r="D26" s="40">
        <f t="shared" si="14"/>
        <v>3127.5000000000014</v>
      </c>
      <c r="E26" s="40">
        <f t="shared" si="14"/>
        <v>3519.4600000000009</v>
      </c>
      <c r="F26" s="40">
        <f t="shared" si="14"/>
        <v>4298.8871572802909</v>
      </c>
      <c r="G26" s="40">
        <f t="shared" si="14"/>
        <v>5343.8590305518992</v>
      </c>
      <c r="H26" s="40">
        <f t="shared" si="14"/>
        <v>6642.8422737380415</v>
      </c>
    </row>
    <row r="27" spans="2:13" outlineLevel="1" x14ac:dyDescent="0.35">
      <c r="B27" s="15" t="s">
        <v>153</v>
      </c>
      <c r="C27" s="17">
        <f t="shared" ref="C27:H27" si="15">IFERROR(C26/C6,0)</f>
        <v>6.8372015094135E-2</v>
      </c>
      <c r="D27" s="17">
        <f t="shared" si="15"/>
        <v>7.3004951498101323E-2</v>
      </c>
      <c r="E27" s="17">
        <f t="shared" si="15"/>
        <v>6.9295945584885513E-2</v>
      </c>
      <c r="F27" s="17">
        <f t="shared" si="15"/>
        <v>6.8090870961235589E-2</v>
      </c>
      <c r="G27" s="17">
        <f t="shared" si="15"/>
        <v>6.8090870961235603E-2</v>
      </c>
      <c r="H27" s="17">
        <f t="shared" si="15"/>
        <v>6.8090870961235575E-2</v>
      </c>
    </row>
    <row r="29" spans="2:13" x14ac:dyDescent="0.35">
      <c r="B29" s="12" t="s">
        <v>1</v>
      </c>
      <c r="C29" s="18">
        <f>IFERROR('Data Sheet'!I27,0)</f>
        <v>53.79</v>
      </c>
      <c r="D29" s="18">
        <f>IFERROR('Data Sheet'!J27,0)</f>
        <v>67.41</v>
      </c>
      <c r="E29" s="18">
        <f>IFERROR('Data Sheet'!K27,0)</f>
        <v>58.13</v>
      </c>
      <c r="F29" s="18">
        <f>F6*F30</f>
        <v>63.134559693437687</v>
      </c>
      <c r="G29" s="18">
        <f t="shared" ref="G29:H29" si="16">G6*G30</f>
        <v>70.63315624549378</v>
      </c>
      <c r="H29" s="18">
        <f t="shared" si="16"/>
        <v>78.046788709985393</v>
      </c>
    </row>
    <row r="30" spans="2:13" x14ac:dyDescent="0.35">
      <c r="B30" s="15" t="s">
        <v>67</v>
      </c>
      <c r="C30" s="17">
        <f t="shared" ref="C30:E30" si="17">C29/C6</f>
        <v>1.7364905458274996E-3</v>
      </c>
      <c r="D30" s="17">
        <f t="shared" si="17"/>
        <v>1.5735455732972048E-3</v>
      </c>
      <c r="E30" s="17">
        <f t="shared" si="17"/>
        <v>1.1445430028610621E-3</v>
      </c>
      <c r="F30" s="172">
        <v>1E-3</v>
      </c>
      <c r="G30" s="172">
        <v>8.9999999999999998E-4</v>
      </c>
      <c r="H30" s="172">
        <v>8.0000000000000004E-4</v>
      </c>
    </row>
    <row r="31" spans="2:13" outlineLevel="1" x14ac:dyDescent="0.35">
      <c r="C31" s="13"/>
      <c r="D31" s="13"/>
      <c r="E31" s="13"/>
      <c r="F31" s="13"/>
    </row>
    <row r="32" spans="2:13" outlineLevel="1" x14ac:dyDescent="0.35">
      <c r="B32" s="24" t="s">
        <v>259</v>
      </c>
      <c r="C32" s="25">
        <f t="shared" ref="C32:H32" si="18">IFERROR(C26-C29,0)</f>
        <v>2064.1200000000013</v>
      </c>
      <c r="D32" s="25">
        <f t="shared" si="18"/>
        <v>3060.0900000000015</v>
      </c>
      <c r="E32" s="25">
        <f t="shared" si="18"/>
        <v>3461.3300000000008</v>
      </c>
      <c r="F32" s="25">
        <f t="shared" si="18"/>
        <v>4235.752597586853</v>
      </c>
      <c r="G32" s="25">
        <f t="shared" si="18"/>
        <v>5273.2258743064058</v>
      </c>
      <c r="H32" s="25">
        <f t="shared" si="18"/>
        <v>6564.7954850280557</v>
      </c>
    </row>
    <row r="33" spans="2:8" outlineLevel="1" x14ac:dyDescent="0.35">
      <c r="B33" s="15" t="s">
        <v>70</v>
      </c>
      <c r="C33" s="17">
        <f t="shared" ref="C33:H33" si="19">C32/C6</f>
        <v>6.6635524548307498E-2</v>
      </c>
      <c r="D33" s="17">
        <f t="shared" si="19"/>
        <v>7.1431405924804126E-2</v>
      </c>
      <c r="E33" s="17">
        <f t="shared" si="19"/>
        <v>6.8151402582024442E-2</v>
      </c>
      <c r="F33" s="17">
        <f t="shared" si="19"/>
        <v>6.7090870961235588E-2</v>
      </c>
      <c r="G33" s="17">
        <f t="shared" si="19"/>
        <v>6.7190870961235605E-2</v>
      </c>
      <c r="H33" s="17">
        <f t="shared" si="19"/>
        <v>6.729087096123558E-2</v>
      </c>
    </row>
    <row r="34" spans="2:8" outlineLevel="1" x14ac:dyDescent="0.35">
      <c r="C34" s="13"/>
      <c r="D34" s="13"/>
      <c r="E34" s="13"/>
      <c r="F34" s="13"/>
    </row>
    <row r="35" spans="2:8" outlineLevel="1" x14ac:dyDescent="0.35">
      <c r="B35" s="12" t="s">
        <v>24</v>
      </c>
      <c r="C35" s="18">
        <f>IFERROR('Data Sheet'!I29,0)</f>
        <v>571.72</v>
      </c>
      <c r="D35" s="18">
        <f>IFERROR('Data Sheet'!J29,0)</f>
        <v>681.75</v>
      </c>
      <c r="E35" s="18">
        <f>IFERROR('Data Sheet'!K29,0)</f>
        <v>925.72</v>
      </c>
      <c r="F35" s="18">
        <f>IFERROR(SUM('Data Sheet'!H48:K48),0)</f>
        <v>967.62000000000012</v>
      </c>
      <c r="G35" s="18">
        <f>G32*G36</f>
        <v>1410.3048990887678</v>
      </c>
      <c r="H35" s="18">
        <f>H32*H36</f>
        <v>1755.7304493937793</v>
      </c>
    </row>
    <row r="36" spans="2:8" outlineLevel="1" x14ac:dyDescent="0.35">
      <c r="B36" s="15" t="s">
        <v>71</v>
      </c>
      <c r="C36" s="17">
        <f t="shared" ref="C36:E36" si="20">C35/C32</f>
        <v>0.27698002054144122</v>
      </c>
      <c r="D36" s="17">
        <f t="shared" si="20"/>
        <v>0.22278756507161543</v>
      </c>
      <c r="E36" s="17">
        <f t="shared" si="20"/>
        <v>0.26744632843444566</v>
      </c>
      <c r="F36" s="172">
        <f>E36</f>
        <v>0.26744632843444566</v>
      </c>
      <c r="G36" s="172">
        <f t="shared" ref="G36:H36" si="21">F36</f>
        <v>0.26744632843444566</v>
      </c>
      <c r="H36" s="172">
        <f t="shared" si="21"/>
        <v>0.26744632843444566</v>
      </c>
    </row>
    <row r="38" spans="2:8" x14ac:dyDescent="0.35">
      <c r="B38" s="24" t="s">
        <v>72</v>
      </c>
      <c r="C38" s="25">
        <f t="shared" ref="C38:H38" si="22">C32-C35</f>
        <v>1492.4000000000012</v>
      </c>
      <c r="D38" s="25">
        <f t="shared" si="22"/>
        <v>2378.3400000000015</v>
      </c>
      <c r="E38" s="25">
        <f t="shared" si="22"/>
        <v>2535.6100000000006</v>
      </c>
      <c r="F38" s="25">
        <f t="shared" si="22"/>
        <v>3268.1325975868531</v>
      </c>
      <c r="G38" s="25">
        <f t="shared" si="22"/>
        <v>3862.920975217638</v>
      </c>
      <c r="H38" s="25">
        <f t="shared" si="22"/>
        <v>4809.0650356342767</v>
      </c>
    </row>
    <row r="39" spans="2:8" x14ac:dyDescent="0.35">
      <c r="B39" s="15" t="s">
        <v>325</v>
      </c>
      <c r="C39" s="17">
        <f t="shared" ref="C39:H39" si="23">C38/C6</f>
        <v>4.8178815590127579E-2</v>
      </c>
      <c r="D39" s="17">
        <f t="shared" si="23"/>
        <v>5.5517376929174848E-2</v>
      </c>
      <c r="E39" s="17">
        <f t="shared" si="23"/>
        <v>4.9924560183804208E-2</v>
      </c>
      <c r="F39" s="17">
        <f t="shared" si="23"/>
        <v>5.1764558325201215E-2</v>
      </c>
      <c r="G39" s="17">
        <f t="shared" si="23"/>
        <v>4.9220919218340528E-2</v>
      </c>
      <c r="H39" s="17">
        <f t="shared" si="23"/>
        <v>4.9294174585497064E-2</v>
      </c>
    </row>
    <row r="40" spans="2:8" outlineLevel="1" x14ac:dyDescent="0.35"/>
    <row r="41" spans="2:8" outlineLevel="1" x14ac:dyDescent="0.35">
      <c r="B41" s="12" t="s">
        <v>73</v>
      </c>
      <c r="C41" s="55">
        <f>IFERROR('Data Sheet'!I93,0)</f>
        <v>64.78</v>
      </c>
      <c r="D41" s="55">
        <f>IFERROR('Data Sheet'!J93,0)</f>
        <v>64.83</v>
      </c>
      <c r="E41" s="55">
        <f>IFERROR('Data Sheet'!K93,0)</f>
        <v>65.069999999999993</v>
      </c>
      <c r="F41" s="177">
        <f>E41</f>
        <v>65.069999999999993</v>
      </c>
      <c r="G41" s="177">
        <f t="shared" ref="G41:H41" si="24">F41</f>
        <v>65.069999999999993</v>
      </c>
      <c r="H41" s="177">
        <f t="shared" si="24"/>
        <v>65.069999999999993</v>
      </c>
    </row>
    <row r="42" spans="2:8" outlineLevel="1" x14ac:dyDescent="0.35"/>
    <row r="43" spans="2:8" outlineLevel="1" x14ac:dyDescent="0.35">
      <c r="B43" s="12" t="s">
        <v>74</v>
      </c>
      <c r="C43" s="18">
        <f t="shared" ref="C43:H43" si="25">IFERROR(C38/C41,0)</f>
        <v>23.037974683544324</v>
      </c>
      <c r="D43" s="18">
        <f t="shared" si="25"/>
        <v>36.685793614067585</v>
      </c>
      <c r="E43" s="18">
        <f t="shared" si="25"/>
        <v>38.967419701859548</v>
      </c>
      <c r="F43" s="18">
        <f t="shared" si="25"/>
        <v>50.224874713183546</v>
      </c>
      <c r="G43" s="18">
        <f t="shared" si="25"/>
        <v>59.365621257378798</v>
      </c>
      <c r="H43" s="18">
        <f t="shared" si="25"/>
        <v>73.90602482917285</v>
      </c>
    </row>
    <row r="44" spans="2:8" outlineLevel="1" x14ac:dyDescent="0.35">
      <c r="B44" s="15" t="s">
        <v>76</v>
      </c>
      <c r="C44" s="17">
        <f>IFERROR(C43/#REF!-1,0)</f>
        <v>0</v>
      </c>
      <c r="D44" s="17">
        <f t="shared" ref="D44:F44" si="26">IFERROR(D43/C43-1,0)</f>
        <v>0.59240532720403105</v>
      </c>
      <c r="E44" s="17">
        <f t="shared" si="26"/>
        <v>6.2193723046979343E-2</v>
      </c>
      <c r="F44" s="17">
        <f t="shared" si="26"/>
        <v>0.28889403243671241</v>
      </c>
      <c r="G44" s="17">
        <f t="shared" ref="G44" si="27">IFERROR(G43/F43-1,0)</f>
        <v>0.18199640310493193</v>
      </c>
      <c r="H44" s="17">
        <f t="shared" ref="H44" si="28">IFERROR(H43/G43-1,0)</f>
        <v>0.24492969607366422</v>
      </c>
    </row>
    <row r="45" spans="2:8" outlineLevel="1" x14ac:dyDescent="0.35"/>
    <row r="46" spans="2:8" outlineLevel="1" x14ac:dyDescent="0.35">
      <c r="B46" s="12" t="s">
        <v>75</v>
      </c>
      <c r="C46" s="18">
        <f>IFERROR('Data Sheet'!I31/'Historical Financial Statement '!J41,0)</f>
        <v>0</v>
      </c>
      <c r="D46" s="18">
        <f>IFERROR('Data Sheet'!J31/'Historical Financial Statement '!K41,0)</f>
        <v>0</v>
      </c>
      <c r="E46" s="18">
        <f>IFERROR('Data Sheet'!K31/'Historical Financial Statement '!L41,0)</f>
        <v>0</v>
      </c>
      <c r="F46" s="18">
        <f>IFERROR('Data Sheet'!L31/'Historical Financial Statement '!M41,0)</f>
        <v>0</v>
      </c>
      <c r="G46" s="18">
        <f>IFERROR('Data Sheet'!M31/'Historical Financial Statement '!N41,0)</f>
        <v>0</v>
      </c>
      <c r="H46" s="18">
        <f>IFERROR('Data Sheet'!N31/'Historical Financial Statement '!O41,0)</f>
        <v>0</v>
      </c>
    </row>
    <row r="47" spans="2:8" outlineLevel="1" x14ac:dyDescent="0.35">
      <c r="B47" s="15" t="s">
        <v>77</v>
      </c>
      <c r="C47" s="18">
        <f t="shared" ref="C47:H47" si="29">IFERROR(C46/C43,0)</f>
        <v>0</v>
      </c>
      <c r="D47" s="18">
        <f t="shared" si="29"/>
        <v>0</v>
      </c>
      <c r="E47" s="18">
        <f t="shared" si="29"/>
        <v>0</v>
      </c>
      <c r="F47" s="18">
        <f t="shared" si="29"/>
        <v>0</v>
      </c>
      <c r="G47" s="18">
        <f t="shared" si="29"/>
        <v>0</v>
      </c>
      <c r="H47" s="18">
        <f t="shared" si="29"/>
        <v>0</v>
      </c>
    </row>
    <row r="48" spans="2:8" outlineLevel="1" x14ac:dyDescent="0.35"/>
    <row r="49" spans="1:8" outlineLevel="1" x14ac:dyDescent="0.35">
      <c r="B49" s="12" t="s">
        <v>326</v>
      </c>
      <c r="C49" s="17">
        <f t="shared" ref="C49:H49" si="30">IFERROR(IF(C43&gt;C46,1-C47,0),0)</f>
        <v>1</v>
      </c>
      <c r="D49" s="17">
        <f t="shared" si="30"/>
        <v>1</v>
      </c>
      <c r="E49" s="17">
        <f t="shared" si="30"/>
        <v>1</v>
      </c>
      <c r="F49" s="17">
        <f t="shared" si="30"/>
        <v>1</v>
      </c>
      <c r="G49" s="17">
        <f t="shared" si="30"/>
        <v>1</v>
      </c>
      <c r="H49" s="17">
        <f t="shared" si="30"/>
        <v>1</v>
      </c>
    </row>
    <row r="50" spans="1:8" outlineLevel="1" x14ac:dyDescent="0.35"/>
    <row r="51" spans="1:8" x14ac:dyDescent="0.35">
      <c r="A51" s="1" t="s">
        <v>57</v>
      </c>
      <c r="B51" s="66" t="s">
        <v>78</v>
      </c>
      <c r="C51" s="64"/>
      <c r="D51" s="64"/>
      <c r="E51" s="64"/>
      <c r="F51" s="102"/>
      <c r="G51" s="102"/>
      <c r="H51" s="102"/>
    </row>
    <row r="52" spans="1:8" x14ac:dyDescent="0.35">
      <c r="A52" s="1"/>
      <c r="B52" t="s">
        <v>84</v>
      </c>
      <c r="C52" s="23">
        <f>IFERROR('Data Sheet'!I57,0)</f>
        <v>647.77</v>
      </c>
      <c r="D52" s="23">
        <f>IFERROR('Data Sheet'!J57,0)</f>
        <v>648.26</v>
      </c>
      <c r="E52" s="23">
        <f>IFERROR('Data Sheet'!K57,0)</f>
        <v>650.73</v>
      </c>
      <c r="F52" s="18"/>
    </row>
    <row r="53" spans="1:8" x14ac:dyDescent="0.35">
      <c r="B53" t="s">
        <v>32</v>
      </c>
      <c r="C53" s="23">
        <f>IFERROR('Data Sheet'!I58,0)</f>
        <v>13029.87</v>
      </c>
      <c r="D53" s="23">
        <f>IFERROR('Data Sheet'!J58,0)</f>
        <v>15430.44</v>
      </c>
      <c r="E53" s="23">
        <f>IFERROR('Data Sheet'!K58,0)</f>
        <v>18047.09</v>
      </c>
      <c r="F53" s="18"/>
    </row>
    <row r="54" spans="1:8" x14ac:dyDescent="0.35">
      <c r="B54" t="s">
        <v>33</v>
      </c>
      <c r="C54" s="23">
        <f>IFERROR('Data Sheet'!I59,0)</f>
        <v>646.94000000000005</v>
      </c>
      <c r="D54" s="23">
        <f>IFERROR('Data Sheet'!J59,0)</f>
        <v>642.98</v>
      </c>
      <c r="E54" s="23">
        <f>IFERROR('Data Sheet'!K59,0)</f>
        <v>592.16</v>
      </c>
      <c r="F54" s="18"/>
    </row>
    <row r="55" spans="1:8" x14ac:dyDescent="0.35">
      <c r="B55" t="s">
        <v>34</v>
      </c>
      <c r="C55" s="23">
        <f>IFERROR('Data Sheet'!I60,0)</f>
        <v>1146.4000000000001</v>
      </c>
      <c r="D55" s="23">
        <f>IFERROR('Data Sheet'!J60,0)</f>
        <v>1382.84</v>
      </c>
      <c r="E55" s="23">
        <f>IFERROR('Data Sheet'!K60,0)</f>
        <v>1882.5</v>
      </c>
      <c r="F55" s="18"/>
    </row>
    <row r="56" spans="1:8" x14ac:dyDescent="0.35">
      <c r="B56" s="24" t="s">
        <v>79</v>
      </c>
      <c r="C56" s="25">
        <f>IFERROR('Data Sheet'!I61,0)</f>
        <v>15470.98</v>
      </c>
      <c r="D56" s="25">
        <f>IFERROR('Data Sheet'!J61,0)</f>
        <v>18104.52</v>
      </c>
      <c r="E56" s="25">
        <f>IFERROR('Data Sheet'!K61,0)</f>
        <v>21172.48</v>
      </c>
      <c r="F56" s="18"/>
    </row>
    <row r="57" spans="1:8" x14ac:dyDescent="0.35">
      <c r="B57" s="12"/>
      <c r="C57" s="12"/>
      <c r="D57" s="12"/>
      <c r="E57" s="12"/>
      <c r="F57" s="12"/>
    </row>
    <row r="58" spans="1:8" x14ac:dyDescent="0.35">
      <c r="B58" s="12"/>
      <c r="C58" s="12"/>
      <c r="D58" s="12"/>
      <c r="E58" s="12"/>
      <c r="F58" s="12"/>
    </row>
    <row r="59" spans="1:8" x14ac:dyDescent="0.35">
      <c r="B59" t="s">
        <v>80</v>
      </c>
      <c r="C59" s="23">
        <f>IFERROR('Data Sheet'!I62,0)</f>
        <v>9260.02</v>
      </c>
      <c r="D59" s="23">
        <f>IFERROR('Data Sheet'!J62,0)</f>
        <v>11340.48</v>
      </c>
      <c r="E59" s="23">
        <f>IFERROR('Data Sheet'!K62,0)</f>
        <v>13415</v>
      </c>
    </row>
    <row r="60" spans="1:8" x14ac:dyDescent="0.35">
      <c r="B60" t="s">
        <v>37</v>
      </c>
      <c r="C60" s="23">
        <f>IFERROR('Data Sheet'!I63,0)</f>
        <v>1129.3399999999999</v>
      </c>
      <c r="D60" s="23">
        <f>IFERROR('Data Sheet'!J63,0)</f>
        <v>829.16</v>
      </c>
      <c r="E60" s="23">
        <f>IFERROR('Data Sheet'!K63,0)</f>
        <v>935.22</v>
      </c>
    </row>
    <row r="61" spans="1:8" x14ac:dyDescent="0.35">
      <c r="B61" t="s">
        <v>38</v>
      </c>
      <c r="C61" s="23">
        <f>IFERROR('Data Sheet'!I64,0)</f>
        <v>5.94</v>
      </c>
      <c r="D61" s="23">
        <f>IFERROR('Data Sheet'!J64,0)</f>
        <v>202.2</v>
      </c>
      <c r="E61" s="23">
        <f>IFERROR('Data Sheet'!K64,0)</f>
        <v>106.67</v>
      </c>
    </row>
    <row r="62" spans="1:8" x14ac:dyDescent="0.35">
      <c r="B62" t="s">
        <v>39</v>
      </c>
      <c r="C62" s="23">
        <f>IFERROR('Data Sheet'!I65-SUM('Data Sheet'!I67:I69),0)</f>
        <v>1967.5500000000006</v>
      </c>
      <c r="D62" s="23">
        <f>IFERROR('Data Sheet'!J65-SUM('Data Sheet'!J67:J69),0)</f>
        <v>1018.7100000000009</v>
      </c>
      <c r="E62" s="23">
        <f>IFERROR('Data Sheet'!K65-SUM('Data Sheet'!K67:K69),0)</f>
        <v>1983.7300000000005</v>
      </c>
    </row>
    <row r="63" spans="1:8" x14ac:dyDescent="0.35">
      <c r="B63" s="24" t="s">
        <v>81</v>
      </c>
      <c r="C63" s="25">
        <f t="shared" ref="C63:E63" si="31">SUM(C59:C62)</f>
        <v>12362.850000000002</v>
      </c>
      <c r="D63" s="25">
        <f t="shared" si="31"/>
        <v>13390.550000000001</v>
      </c>
      <c r="E63" s="25">
        <f t="shared" si="31"/>
        <v>16440.62</v>
      </c>
      <c r="F63" s="12"/>
    </row>
    <row r="64" spans="1:8" x14ac:dyDescent="0.35">
      <c r="B64" s="12"/>
      <c r="C64" s="12"/>
      <c r="D64" s="12"/>
      <c r="E64" s="12"/>
      <c r="F64" s="12"/>
    </row>
    <row r="65" spans="1:6" x14ac:dyDescent="0.35">
      <c r="B65" s="12"/>
      <c r="C65" s="12"/>
      <c r="D65" s="12"/>
      <c r="E65" s="12"/>
      <c r="F65" s="12"/>
    </row>
    <row r="66" spans="1:6" x14ac:dyDescent="0.35">
      <c r="B66" t="s">
        <v>40</v>
      </c>
      <c r="C66" s="23">
        <f>IFERROR('Data Sheet'!I67,0)</f>
        <v>66.89</v>
      </c>
      <c r="D66" s="23">
        <f>IFERROR('Data Sheet'!J67,0)</f>
        <v>62.16</v>
      </c>
      <c r="E66" s="23">
        <f>IFERROR('Data Sheet'!K67,0)</f>
        <v>166.37</v>
      </c>
    </row>
    <row r="67" spans="1:6" x14ac:dyDescent="0.35">
      <c r="B67" t="s">
        <v>41</v>
      </c>
      <c r="C67" s="23">
        <f>IFERROR('Data Sheet'!I68,0)</f>
        <v>2742.66</v>
      </c>
      <c r="D67" s="23">
        <f>IFERROR('Data Sheet'!J68,0)</f>
        <v>3243.48</v>
      </c>
      <c r="E67" s="23">
        <f>IFERROR('Data Sheet'!K68,0)</f>
        <v>3927.31</v>
      </c>
    </row>
    <row r="68" spans="1:6" x14ac:dyDescent="0.35">
      <c r="B68" t="s">
        <v>42</v>
      </c>
      <c r="C68" s="23">
        <f>IFERROR('Data Sheet'!I69,0)</f>
        <v>298.58</v>
      </c>
      <c r="D68" s="23">
        <f>IFERROR('Data Sheet'!J69,0)</f>
        <v>1408.33</v>
      </c>
      <c r="E68" s="23">
        <f>IFERROR('Data Sheet'!K69,0)</f>
        <v>638.17999999999995</v>
      </c>
    </row>
    <row r="69" spans="1:6" x14ac:dyDescent="0.35">
      <c r="B69" s="24" t="s">
        <v>82</v>
      </c>
      <c r="C69" s="25">
        <f>SUM(C66:C68)</f>
        <v>3108.1299999999997</v>
      </c>
      <c r="D69" s="25">
        <f t="shared" ref="D69:E69" si="32">SUM(D66:D68)</f>
        <v>4713.9699999999993</v>
      </c>
      <c r="E69" s="25">
        <f t="shared" si="32"/>
        <v>4731.8599999999997</v>
      </c>
    </row>
    <row r="71" spans="1:6" x14ac:dyDescent="0.35">
      <c r="B71" s="24" t="s">
        <v>83</v>
      </c>
      <c r="C71" s="25">
        <f t="shared" ref="C71:E71" si="33">IFERROR(C69+C63,0)</f>
        <v>15470.980000000001</v>
      </c>
      <c r="D71" s="25">
        <f t="shared" si="33"/>
        <v>18104.52</v>
      </c>
      <c r="E71" s="25">
        <f t="shared" si="33"/>
        <v>21172.48</v>
      </c>
    </row>
    <row r="73" spans="1:6" x14ac:dyDescent="0.35">
      <c r="B73" t="s">
        <v>85</v>
      </c>
      <c r="C73" t="b">
        <f t="shared" ref="C73:E73" si="34">C71=C56</f>
        <v>1</v>
      </c>
      <c r="D73" t="b">
        <f t="shared" si="34"/>
        <v>1</v>
      </c>
      <c r="E73" t="b">
        <f t="shared" si="34"/>
        <v>1</v>
      </c>
    </row>
    <row r="76" spans="1:6" x14ac:dyDescent="0.35">
      <c r="A76" s="1" t="s">
        <v>57</v>
      </c>
      <c r="B76" s="66" t="s">
        <v>115</v>
      </c>
      <c r="C76" s="64"/>
      <c r="D76" s="64"/>
      <c r="E76" s="64"/>
      <c r="F76" s="102"/>
    </row>
    <row r="77" spans="1:6" x14ac:dyDescent="0.35">
      <c r="B77" s="12" t="s">
        <v>117</v>
      </c>
    </row>
    <row r="78" spans="1:6" ht="29" x14ac:dyDescent="0.35">
      <c r="B78" s="41" t="s">
        <v>162</v>
      </c>
      <c r="C78" s="23">
        <f>IFERROR('Cash Flow Data '!L4,0)</f>
        <v>2515</v>
      </c>
      <c r="D78" s="23">
        <f>IFERROR('Cash Flow Data '!M4,0)</f>
        <v>3659</v>
      </c>
      <c r="E78" s="23">
        <f>IFERROR('Cash Flow Data '!N4,0)</f>
        <v>4131</v>
      </c>
    </row>
    <row r="79" spans="1:6" x14ac:dyDescent="0.35">
      <c r="B79" t="s">
        <v>92</v>
      </c>
      <c r="C79" s="23">
        <f>IFERROR('Cash Flow Data '!L11,0)</f>
        <v>-582</v>
      </c>
      <c r="D79" s="23">
        <f>IFERROR('Cash Flow Data '!M11,0)</f>
        <v>-320</v>
      </c>
      <c r="E79" s="23">
        <f>IFERROR('Cash Flow Data '!N11,0)</f>
        <v>-644</v>
      </c>
    </row>
    <row r="80" spans="1:6" x14ac:dyDescent="0.35">
      <c r="B80" t="s">
        <v>93</v>
      </c>
      <c r="C80" s="23">
        <f>IFERROR('Cash Flow Data '!L12,0)</f>
        <v>-560</v>
      </c>
      <c r="D80" s="23">
        <f>IFERROR('Cash Flow Data '!M12,0)</f>
        <v>-709</v>
      </c>
      <c r="E80" s="23">
        <f>IFERROR('Cash Flow Data '!N12,0)</f>
        <v>-742</v>
      </c>
    </row>
    <row r="81" spans="2:5" x14ac:dyDescent="0.35">
      <c r="B81" s="48" t="s">
        <v>116</v>
      </c>
      <c r="C81" s="49">
        <f t="shared" ref="C81:E81" si="35">SUM(C78:C80)</f>
        <v>1373</v>
      </c>
      <c r="D81" s="49">
        <f t="shared" si="35"/>
        <v>2630</v>
      </c>
      <c r="E81" s="49">
        <f t="shared" si="35"/>
        <v>2745</v>
      </c>
    </row>
    <row r="83" spans="2:5" x14ac:dyDescent="0.35">
      <c r="B83" s="12" t="s">
        <v>118</v>
      </c>
    </row>
    <row r="84" spans="2:5" x14ac:dyDescent="0.35">
      <c r="B84" t="s">
        <v>95</v>
      </c>
      <c r="C84" s="23">
        <f>IFERROR('Cash Flow Data '!L14,0)</f>
        <v>-2410</v>
      </c>
      <c r="D84" s="23">
        <f>IFERROR('Cash Flow Data '!M14,0)</f>
        <v>-2212</v>
      </c>
      <c r="E84" s="23">
        <f>IFERROR('Cash Flow Data '!N14,0)</f>
        <v>-2731</v>
      </c>
    </row>
    <row r="85" spans="2:5" x14ac:dyDescent="0.35">
      <c r="B85" t="s">
        <v>96</v>
      </c>
      <c r="C85" s="23">
        <f>IFERROR('Cash Flow Data '!L15,0)</f>
        <v>21</v>
      </c>
      <c r="D85" s="23">
        <f>IFERROR('Cash Flow Data '!M15,0)</f>
        <v>5</v>
      </c>
      <c r="E85" s="23">
        <f>IFERROR('Cash Flow Data '!N15,0)</f>
        <v>9</v>
      </c>
    </row>
    <row r="86" spans="2:5" x14ac:dyDescent="0.35">
      <c r="B86" t="s">
        <v>97</v>
      </c>
      <c r="C86" s="23">
        <f>IFERROR('Cash Flow Data '!L16,0)</f>
        <v>0</v>
      </c>
      <c r="D86" s="23">
        <f>IFERROR('Cash Flow Data '!M16,0)</f>
        <v>-193</v>
      </c>
      <c r="E86" s="23">
        <f>IFERROR('Cash Flow Data '!N16,0)</f>
        <v>0</v>
      </c>
    </row>
    <row r="87" spans="2:5" x14ac:dyDescent="0.35">
      <c r="B87" t="s">
        <v>98</v>
      </c>
      <c r="C87" s="23">
        <f>IFERROR('Cash Flow Data '!L17,0)</f>
        <v>4</v>
      </c>
      <c r="D87" s="23">
        <f>IFERROR('Cash Flow Data '!M17,0)</f>
        <v>6</v>
      </c>
      <c r="E87" s="23">
        <f>IFERROR('Cash Flow Data '!N17,0)</f>
        <v>123</v>
      </c>
    </row>
    <row r="88" spans="2:5" x14ac:dyDescent="0.35">
      <c r="B88" t="s">
        <v>99</v>
      </c>
      <c r="C88" s="23">
        <f>IFERROR('Cash Flow Data '!L18,0)</f>
        <v>0</v>
      </c>
      <c r="D88" s="23">
        <f>IFERROR('Cash Flow Data '!M18,0)</f>
        <v>0</v>
      </c>
      <c r="E88" s="23">
        <f>IFERROR('Cash Flow Data '!N18,0)</f>
        <v>0</v>
      </c>
    </row>
    <row r="89" spans="2:5" x14ac:dyDescent="0.35">
      <c r="B89" t="s">
        <v>100</v>
      </c>
      <c r="C89" s="23">
        <f>IFERROR('Cash Flow Data '!L19,0)</f>
        <v>43</v>
      </c>
      <c r="D89" s="23">
        <f>IFERROR('Cash Flow Data '!M19,0)</f>
        <v>39</v>
      </c>
      <c r="E89" s="23">
        <f>IFERROR('Cash Flow Data '!N19,0)</f>
        <v>262</v>
      </c>
    </row>
    <row r="90" spans="2:5" x14ac:dyDescent="0.35">
      <c r="B90" t="s">
        <v>101</v>
      </c>
      <c r="C90" s="23">
        <f>IFERROR('Cash Flow Data '!L20,0)</f>
        <v>0</v>
      </c>
      <c r="D90" s="23">
        <f>IFERROR('Cash Flow Data '!M20,0)</f>
        <v>0</v>
      </c>
      <c r="E90" s="23">
        <f>IFERROR('Cash Flow Data '!N20,0)</f>
        <v>0</v>
      </c>
    </row>
    <row r="91" spans="2:5" x14ac:dyDescent="0.35">
      <c r="B91" t="s">
        <v>102</v>
      </c>
      <c r="C91" s="23">
        <f>IFERROR('Cash Flow Data '!L21,0)</f>
        <v>0</v>
      </c>
      <c r="D91" s="23">
        <f>IFERROR('Cash Flow Data '!M21,0)</f>
        <v>0</v>
      </c>
      <c r="E91" s="23">
        <f>IFERROR('Cash Flow Data '!N21,0)</f>
        <v>0</v>
      </c>
    </row>
    <row r="92" spans="2:5" x14ac:dyDescent="0.35">
      <c r="B92" t="s">
        <v>103</v>
      </c>
      <c r="C92" s="23">
        <f>IFERROR('Cash Flow Data '!L22,0)</f>
        <v>0</v>
      </c>
      <c r="D92" s="23">
        <f>IFERROR('Cash Flow Data '!M22,0)</f>
        <v>0</v>
      </c>
      <c r="E92" s="23">
        <f>IFERROR('Cash Flow Data '!N22,0)</f>
        <v>0</v>
      </c>
    </row>
    <row r="93" spans="2:5" x14ac:dyDescent="0.35">
      <c r="B93" t="s">
        <v>104</v>
      </c>
      <c r="C93" s="23">
        <f>IFERROR('Cash Flow Data '!L23,0)</f>
        <v>1054</v>
      </c>
      <c r="D93" s="23">
        <f>IFERROR('Cash Flow Data '!M23,0)</f>
        <v>42</v>
      </c>
      <c r="E93" s="23">
        <f>IFERROR('Cash Flow Data '!N23,0)</f>
        <v>-131</v>
      </c>
    </row>
    <row r="94" spans="2:5" x14ac:dyDescent="0.35">
      <c r="B94" s="48" t="s">
        <v>119</v>
      </c>
      <c r="C94" s="49">
        <f t="shared" ref="C94:E94" si="36">SUM(C84:C93)</f>
        <v>-1288</v>
      </c>
      <c r="D94" s="49">
        <f t="shared" si="36"/>
        <v>-2313</v>
      </c>
      <c r="E94" s="49">
        <f t="shared" si="36"/>
        <v>-2468</v>
      </c>
    </row>
    <row r="96" spans="2:5" x14ac:dyDescent="0.35">
      <c r="B96" s="12" t="s">
        <v>120</v>
      </c>
    </row>
    <row r="97" spans="2:5" x14ac:dyDescent="0.35">
      <c r="B97" t="s">
        <v>106</v>
      </c>
      <c r="C97" s="23">
        <f>IFERROR('Cash Flow Data '!L25,0)</f>
        <v>0</v>
      </c>
      <c r="D97" s="23">
        <f>IFERROR('Cash Flow Data '!M25,0)</f>
        <v>15</v>
      </c>
      <c r="E97" s="23">
        <f>IFERROR('Cash Flow Data '!N25,0)</f>
        <v>75</v>
      </c>
    </row>
    <row r="98" spans="2:5" x14ac:dyDescent="0.35">
      <c r="B98" t="s">
        <v>107</v>
      </c>
      <c r="C98" s="23">
        <f>IFERROR('Cash Flow Data '!L26,0)</f>
        <v>0</v>
      </c>
      <c r="D98" s="23">
        <f>IFERROR('Cash Flow Data '!M26,0)</f>
        <v>0</v>
      </c>
      <c r="E98" s="23">
        <f>IFERROR('Cash Flow Data '!N26,0)</f>
        <v>0</v>
      </c>
    </row>
    <row r="99" spans="2:5" x14ac:dyDescent="0.35">
      <c r="B99" t="s">
        <v>108</v>
      </c>
      <c r="C99" s="23">
        <f>IFERROR('Cash Flow Data '!L27,0)</f>
        <v>0</v>
      </c>
      <c r="D99" s="23">
        <f>IFERROR('Cash Flow Data '!M27,0)</f>
        <v>0</v>
      </c>
      <c r="E99" s="23">
        <f>IFERROR('Cash Flow Data '!N27,0)</f>
        <v>0</v>
      </c>
    </row>
    <row r="100" spans="2:5" x14ac:dyDescent="0.35">
      <c r="B100" t="s">
        <v>109</v>
      </c>
      <c r="C100" s="23">
        <f>IFERROR('Cash Flow Data '!L28,0)</f>
        <v>248</v>
      </c>
      <c r="D100" s="23">
        <f>IFERROR('Cash Flow Data '!M28,0)</f>
        <v>0</v>
      </c>
      <c r="E100" s="23">
        <f>IFERROR('Cash Flow Data '!N28,0)</f>
        <v>0</v>
      </c>
    </row>
    <row r="101" spans="2:5" x14ac:dyDescent="0.35">
      <c r="B101" t="s">
        <v>110</v>
      </c>
      <c r="C101" s="23">
        <f>IFERROR('Cash Flow Data '!L29,0)</f>
        <v>-248</v>
      </c>
      <c r="D101" s="23">
        <f>IFERROR('Cash Flow Data '!M29,0)</f>
        <v>0</v>
      </c>
      <c r="E101" s="23">
        <f>IFERROR('Cash Flow Data '!N29,0)</f>
        <v>0</v>
      </c>
    </row>
    <row r="102" spans="2:5" x14ac:dyDescent="0.35">
      <c r="B102" t="s">
        <v>111</v>
      </c>
      <c r="C102" s="23">
        <f>IFERROR('Cash Flow Data '!L30,0)</f>
        <v>-54</v>
      </c>
      <c r="D102" s="23">
        <f>IFERROR('Cash Flow Data '!M30,0)</f>
        <v>-67</v>
      </c>
      <c r="E102" s="23">
        <f>IFERROR('Cash Flow Data '!N30,0)</f>
        <v>-58</v>
      </c>
    </row>
    <row r="103" spans="2:5" x14ac:dyDescent="0.35">
      <c r="B103" t="s">
        <v>112</v>
      </c>
      <c r="C103" s="23">
        <f>IFERROR('Cash Flow Data '!L31,0)</f>
        <v>-125</v>
      </c>
      <c r="D103" s="23">
        <f>IFERROR('Cash Flow Data '!M31,0)</f>
        <v>-153</v>
      </c>
      <c r="E103" s="23">
        <f>IFERROR('Cash Flow Data '!N31,0)</f>
        <v>-164</v>
      </c>
    </row>
    <row r="104" spans="2:5" x14ac:dyDescent="0.35">
      <c r="B104" t="s">
        <v>113</v>
      </c>
      <c r="C104" s="23">
        <f>IFERROR('Cash Flow Data '!L32,0)</f>
        <v>0</v>
      </c>
      <c r="D104" s="23">
        <f>IFERROR('Cash Flow Data '!M32,0)</f>
        <v>1</v>
      </c>
      <c r="E104" s="23">
        <f>IFERROR('Cash Flow Data '!N32,0)</f>
        <v>0</v>
      </c>
    </row>
    <row r="105" spans="2:5" x14ac:dyDescent="0.35">
      <c r="B105" t="s">
        <v>114</v>
      </c>
      <c r="C105" s="23">
        <f>IFERROR('Cash Flow Data '!L33,0)</f>
        <v>0</v>
      </c>
      <c r="D105" s="23">
        <f>IFERROR('Cash Flow Data '!M33,0)</f>
        <v>0</v>
      </c>
      <c r="E105" s="23">
        <f>IFERROR('Cash Flow Data '!N33,0)</f>
        <v>0</v>
      </c>
    </row>
    <row r="106" spans="2:5" x14ac:dyDescent="0.35">
      <c r="B106" s="48" t="s">
        <v>121</v>
      </c>
      <c r="C106" s="49">
        <f t="shared" ref="C106:D106" si="37">SUM(C97:C105)</f>
        <v>-179</v>
      </c>
      <c r="D106" s="49">
        <f t="shared" si="37"/>
        <v>-204</v>
      </c>
      <c r="E106" s="49">
        <f>SUM(E97:E105)</f>
        <v>-147</v>
      </c>
    </row>
    <row r="108" spans="2:5" x14ac:dyDescent="0.35">
      <c r="B108" s="48" t="s">
        <v>50</v>
      </c>
      <c r="C108" s="48">
        <f t="shared" ref="C108:E108" si="38">IFERROR(C81+C94+C106,0)</f>
        <v>-94</v>
      </c>
      <c r="D108" s="48">
        <f t="shared" si="38"/>
        <v>113</v>
      </c>
      <c r="E108" s="48">
        <f t="shared" si="38"/>
        <v>130</v>
      </c>
    </row>
  </sheetData>
  <mergeCells count="1">
    <mergeCell ref="B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8EBF9-A65B-4CB3-B856-DA1AC614B153}">
  <dimension ref="B2:Q53"/>
  <sheetViews>
    <sheetView showGridLines="0" zoomScale="95" workbookViewId="0">
      <pane ySplit="3" topLeftCell="A41" activePane="bottomLeft" state="frozen"/>
      <selection pane="bottomLeft" activeCell="E55" sqref="E55"/>
    </sheetView>
  </sheetViews>
  <sheetFormatPr defaultRowHeight="14.5" x14ac:dyDescent="0.35"/>
  <cols>
    <col min="1" max="1" width="2.1796875" customWidth="1"/>
    <col min="2" max="2" width="29.6328125" customWidth="1"/>
    <col min="13" max="13" width="19.36328125" customWidth="1"/>
    <col min="14" max="14" width="11.08984375" bestFit="1" customWidth="1"/>
    <col min="15" max="15" width="8.453125" bestFit="1" customWidth="1"/>
    <col min="16" max="16" width="9.26953125" bestFit="1" customWidth="1"/>
  </cols>
  <sheetData>
    <row r="2" spans="2:16" x14ac:dyDescent="0.35">
      <c r="B2" s="222" t="str">
        <f>"Ratio Analysis - "&amp;'Data Sheet'!B1</f>
        <v>Ratio Analysis - AVENUE SUPERMARTS LTD</v>
      </c>
      <c r="C2" s="222"/>
      <c r="D2" s="222"/>
      <c r="E2" s="222"/>
      <c r="F2" s="222"/>
      <c r="G2" s="222"/>
      <c r="H2" s="222"/>
      <c r="I2" s="222"/>
      <c r="J2" s="222"/>
      <c r="K2" s="222"/>
      <c r="L2" s="222"/>
      <c r="M2" s="222"/>
      <c r="N2" s="222"/>
      <c r="O2" s="222"/>
    </row>
    <row r="3" spans="2:16" x14ac:dyDescent="0.35">
      <c r="B3" s="66" t="s">
        <v>54</v>
      </c>
      <c r="C3" s="129">
        <f>'Data Sheet'!B16</f>
        <v>42094</v>
      </c>
      <c r="D3" s="129">
        <f>'Data Sheet'!C16</f>
        <v>42460</v>
      </c>
      <c r="E3" s="129">
        <f>'Data Sheet'!D16</f>
        <v>42825</v>
      </c>
      <c r="F3" s="129">
        <f>'Data Sheet'!E16</f>
        <v>43190</v>
      </c>
      <c r="G3" s="129">
        <f>'Data Sheet'!F16</f>
        <v>43555</v>
      </c>
      <c r="H3" s="129">
        <f>'Data Sheet'!G16</f>
        <v>43921</v>
      </c>
      <c r="I3" s="129">
        <f>'Data Sheet'!H16</f>
        <v>44286</v>
      </c>
      <c r="J3" s="129">
        <f>'Data Sheet'!I16</f>
        <v>44651</v>
      </c>
      <c r="K3" s="129">
        <f>'Data Sheet'!J16</f>
        <v>45016</v>
      </c>
      <c r="L3" s="129">
        <f>'Data Sheet'!K16</f>
        <v>45382</v>
      </c>
      <c r="M3" s="131" t="s">
        <v>151</v>
      </c>
      <c r="N3" s="132" t="s">
        <v>149</v>
      </c>
      <c r="O3" s="133" t="s">
        <v>150</v>
      </c>
    </row>
    <row r="5" spans="2:16" x14ac:dyDescent="0.35">
      <c r="B5" s="30" t="s">
        <v>122</v>
      </c>
      <c r="C5" s="30"/>
      <c r="D5" s="31">
        <f>IFERROR('Historical Financial Statement '!D7,0)</f>
        <v>0.33299997049428276</v>
      </c>
      <c r="E5" s="31">
        <f>IFERROR('Historical Financial Statement '!E7,0)</f>
        <v>0.38607090598991589</v>
      </c>
      <c r="F5" s="31">
        <f>IFERROR('Historical Financial Statement '!F7,0)</f>
        <v>0.26353833093791246</v>
      </c>
      <c r="G5" s="31">
        <f>IFERROR('Historical Financial Statement '!G7,0)</f>
        <v>0.33068940744485542</v>
      </c>
      <c r="H5" s="31">
        <f>IFERROR('Historical Financial Statement '!H7,0)</f>
        <v>0.24322903023916598</v>
      </c>
      <c r="I5" s="31">
        <f>IFERROR('Historical Financial Statement '!I7,0)</f>
        <v>-2.9237400583831175E-2</v>
      </c>
      <c r="J5" s="31">
        <f>IFERROR('Historical Financial Statement '!J7,0)</f>
        <v>0.28302998874210639</v>
      </c>
      <c r="K5" s="31">
        <f>IFERROR('Historical Financial Statement '!K7,0)</f>
        <v>0.38297993915987938</v>
      </c>
      <c r="L5" s="31">
        <f>IFERROR('Historical Financial Statement '!L7,0)</f>
        <v>0.18555909537819737</v>
      </c>
      <c r="M5" s="31"/>
      <c r="N5" s="31">
        <f t="shared" ref="N5:N10" si="0">IFERROR(AVERAGE(D5:L5),0)</f>
        <v>0.26431769642249825</v>
      </c>
      <c r="O5" s="31">
        <f t="shared" ref="O5:O10" si="1">IFERROR(MEDIAN(C5:L5),0)</f>
        <v>0.28302998874210639</v>
      </c>
      <c r="P5" s="51"/>
    </row>
    <row r="6" spans="2:16" x14ac:dyDescent="0.35">
      <c r="B6" t="s">
        <v>123</v>
      </c>
      <c r="D6" s="28">
        <f>IFERROR('Historical Financial Statement '!D20/'Historical Financial Statement '!C20-1,0)</f>
        <v>0.43008834700858389</v>
      </c>
      <c r="E6" s="28">
        <f>IFERROR('Historical Financial Statement '!E20/'Historical Financial Statement '!D20-1,0)</f>
        <v>0.46281622351352913</v>
      </c>
      <c r="F6" s="28">
        <f>IFERROR('Historical Financial Statement '!F20/'Historical Financial Statement '!E20-1,0)</f>
        <v>0.44511877056415927</v>
      </c>
      <c r="G6" s="28">
        <f>IFERROR('Historical Financial Statement '!G20/'Historical Financial Statement '!F20-1,0)</f>
        <v>0.16731106961634379</v>
      </c>
      <c r="H6" s="28">
        <f>IFERROR('Historical Financial Statement '!H20/'Historical Financial Statement '!G20-1,0)</f>
        <v>0.30128921766846628</v>
      </c>
      <c r="I6" s="28">
        <f>IFERROR('Historical Financial Statement '!I20/'Historical Financial Statement '!H20-1,0)</f>
        <v>-0.11380523694191813</v>
      </c>
      <c r="J6" s="28">
        <f>IFERROR('Historical Financial Statement '!J20/'Historical Financial Statement '!I20-1,0)</f>
        <v>0.34896300650763701</v>
      </c>
      <c r="K6" s="28">
        <f>IFERROR('Historical Financial Statement '!K20/'Historical Financial Statement '!J20-1,0)</f>
        <v>0.43974938742120551</v>
      </c>
      <c r="L6" s="28">
        <f>IFERROR('Historical Financial Statement '!L20/'Historical Financial Statement '!K20-1,0)</f>
        <v>0.12846587032075973</v>
      </c>
      <c r="M6" s="28"/>
      <c r="N6" s="28">
        <f t="shared" si="0"/>
        <v>0.28999962840875182</v>
      </c>
      <c r="O6" s="28">
        <f t="shared" si="1"/>
        <v>0.34896300650763701</v>
      </c>
      <c r="P6" s="51"/>
    </row>
    <row r="7" spans="2:16" x14ac:dyDescent="0.35">
      <c r="B7" t="s">
        <v>124</v>
      </c>
      <c r="D7" s="28">
        <f>IFERROR('Historical Financial Statement '!D32/'Historical Financial Statement '!C32-1,0)</f>
        <v>0.52406781762390509</v>
      </c>
      <c r="E7" s="28">
        <f>IFERROR('Historical Financial Statement '!E32/'Historical Financial Statement '!D32-1,0)</f>
        <v>0.51935083687539385</v>
      </c>
      <c r="F7" s="28">
        <f>IFERROR('Historical Financial Statement '!F32/'Historical Financial Statement '!E32-1,0)</f>
        <v>0.6357953632810398</v>
      </c>
      <c r="G7" s="28">
        <f>IFERROR('Historical Financial Statement '!G32/'Historical Financial Statement '!F32-1,0)</f>
        <v>0.16355036945510548</v>
      </c>
      <c r="H7" s="28">
        <f>IFERROR('Historical Financial Statement '!H32/'Historical Financial Statement '!G32-1,0)</f>
        <v>0.22703489598717219</v>
      </c>
      <c r="I7" s="28">
        <f>IFERROR('Historical Financial Statement '!I32/'Historical Financial Statement '!H32-1,0)</f>
        <v>-0.14977332255827391</v>
      </c>
      <c r="J7" s="28">
        <f>IFERROR('Historical Financial Statement '!J32/'Historical Financial Statement '!I32-1,0)</f>
        <v>0.3914321345512155</v>
      </c>
      <c r="K7" s="28">
        <f>IFERROR('Historical Financial Statement '!K32/'Historical Financial Statement '!J32-1,0)</f>
        <v>0.48251555142142877</v>
      </c>
      <c r="L7" s="28">
        <f>IFERROR('Historical Financial Statement '!L32/'Historical Financial Statement '!K32-1,0)</f>
        <v>0.13112032652634364</v>
      </c>
      <c r="M7" s="28"/>
      <c r="N7" s="28">
        <f t="shared" si="0"/>
        <v>0.32501044146259228</v>
      </c>
      <c r="O7" s="28">
        <f t="shared" si="1"/>
        <v>0.3914321345512155</v>
      </c>
    </row>
    <row r="8" spans="2:16" x14ac:dyDescent="0.35">
      <c r="B8" t="s">
        <v>125</v>
      </c>
      <c r="D8" s="28">
        <f>IFERROR('Historical Financial Statement '!D38/'Historical Financial Statement '!C38-1,0)</f>
        <v>0.51263520853998634</v>
      </c>
      <c r="E8" s="28">
        <f>IFERROR('Historical Financial Statement '!E38/'Historical Financial Statement '!D38-1,0)</f>
        <v>0.49512865350986757</v>
      </c>
      <c r="F8" s="28">
        <f>IFERROR('Historical Financial Statement '!F38/'Historical Financial Statement '!E38-1,0)</f>
        <v>0.68395989974937188</v>
      </c>
      <c r="G8" s="28">
        <f>IFERROR('Historical Financial Statement '!G38/'Historical Financial Statement '!F38-1,0)</f>
        <v>0.11928858461080627</v>
      </c>
      <c r="H8" s="28">
        <f>IFERROR('Historical Financial Statement '!H38/'Historical Financial Statement '!G38-1,0)</f>
        <v>0.44159297919021312</v>
      </c>
      <c r="I8" s="28">
        <f>IFERROR('Historical Financial Statement '!I38/'Historical Financial Statement '!H38-1,0)</f>
        <v>-0.15492167443004468</v>
      </c>
      <c r="J8" s="28">
        <f>IFERROR('Historical Financial Statement '!J38/'Historical Financial Statement '!I38-1,0)</f>
        <v>0.35743066861919415</v>
      </c>
      <c r="K8" s="28">
        <f>IFERROR('Historical Financial Statement '!K38/'Historical Financial Statement '!J38-1,0)</f>
        <v>0.59363441436612141</v>
      </c>
      <c r="L8" s="28">
        <f>IFERROR('Historical Financial Statement '!L38/'Historical Financial Statement '!K38-1,0)</f>
        <v>6.612595339606564E-2</v>
      </c>
      <c r="M8" s="28"/>
      <c r="N8" s="28">
        <f t="shared" si="0"/>
        <v>0.34609718750573137</v>
      </c>
      <c r="O8" s="28">
        <f t="shared" si="1"/>
        <v>0.44159297919021312</v>
      </c>
    </row>
    <row r="9" spans="2:16" x14ac:dyDescent="0.35">
      <c r="B9" t="s">
        <v>155</v>
      </c>
      <c r="D9" s="43">
        <f>IFERROR('Historical Financial Statement '!D43/'Historical Financial Statement '!C43-1,0)</f>
        <v>0.51263520853998612</v>
      </c>
      <c r="E9" s="43">
        <f>IFERROR('Historical Financial Statement '!E43/'Historical Financial Statement '!D43-1,0)</f>
        <v>0.34516061359684458</v>
      </c>
      <c r="F9" s="43">
        <f>IFERROR('Historical Financial Statement '!F43/'Historical Financial Statement '!E43-1,0)</f>
        <v>0.68395989974937188</v>
      </c>
      <c r="G9" s="43">
        <f>IFERROR('Historical Financial Statement '!G43/'Historical Financial Statement '!F43-1,0)</f>
        <v>0.11928858461080627</v>
      </c>
      <c r="H9" s="43">
        <f>IFERROR('Historical Financial Statement '!H43/'Historical Financial Statement '!G43-1,0)</f>
        <v>0.38885177263447335</v>
      </c>
      <c r="I9" s="43">
        <f>IFERROR('Historical Financial Statement '!I43/'Historical Financial Statement '!H43-1,0)</f>
        <v>-0.15492167443004468</v>
      </c>
      <c r="J9" s="43">
        <f>IFERROR('Historical Financial Statement '!J43/'Historical Financial Statement '!I43-1,0)</f>
        <v>0.35743066861919415</v>
      </c>
      <c r="K9" s="43">
        <f>IFERROR('Historical Financial Statement '!K43/'Historical Financial Statement '!J43-1,0)</f>
        <v>0.59240532720403105</v>
      </c>
      <c r="L9" s="43">
        <f>IFERROR('Historical Financial Statement '!L43/'Historical Financial Statement '!K43-1,0)</f>
        <v>6.2193723046979343E-2</v>
      </c>
      <c r="M9" s="28"/>
      <c r="N9" s="28">
        <f t="shared" si="0"/>
        <v>0.32300045817462691</v>
      </c>
      <c r="O9" s="28">
        <f t="shared" si="1"/>
        <v>0.35743066861919415</v>
      </c>
    </row>
    <row r="10" spans="2:16" x14ac:dyDescent="0.35">
      <c r="B10" s="32" t="s">
        <v>126</v>
      </c>
      <c r="C10" s="32"/>
      <c r="D10" s="34">
        <f>IFERROR('Historical Financial Statement '!D46/'Historical Financial Statement '!C46-1,0)</f>
        <v>0</v>
      </c>
      <c r="E10" s="34">
        <f>IFERROR('Historical Financial Statement '!E46/'Historical Financial Statement '!D46-1,0)</f>
        <v>0</v>
      </c>
      <c r="F10" s="34">
        <f>IFERROR('Historical Financial Statement '!F46/'Historical Financial Statement '!E46-1,0)</f>
        <v>0</v>
      </c>
      <c r="G10" s="34">
        <f>IFERROR('Historical Financial Statement '!G46/'Historical Financial Statement '!F46-1,0)</f>
        <v>0</v>
      </c>
      <c r="H10" s="34">
        <f>IFERROR('Historical Financial Statement '!H46/'Historical Financial Statement '!G46-1,0)</f>
        <v>0</v>
      </c>
      <c r="I10" s="34">
        <f>IFERROR('Historical Financial Statement '!I46/'Historical Financial Statement '!H46-1,0)</f>
        <v>0</v>
      </c>
      <c r="J10" s="34">
        <f>IFERROR('Historical Financial Statement '!J46/'Historical Financial Statement '!I46-1,0)</f>
        <v>0</v>
      </c>
      <c r="K10" s="34">
        <f>IFERROR('Historical Financial Statement '!K46/'Historical Financial Statement '!J46-1,0)</f>
        <v>0</v>
      </c>
      <c r="L10" s="34">
        <f>IFERROR('Historical Financial Statement '!L46/'Historical Financial Statement '!K46-1,0)</f>
        <v>0</v>
      </c>
      <c r="M10" s="34"/>
      <c r="N10" s="28">
        <f t="shared" si="0"/>
        <v>0</v>
      </c>
      <c r="O10" s="28">
        <f t="shared" si="1"/>
        <v>0</v>
      </c>
    </row>
    <row r="12" spans="2:16" x14ac:dyDescent="0.35">
      <c r="B12" s="12" t="s">
        <v>334</v>
      </c>
    </row>
    <row r="13" spans="2:16" x14ac:dyDescent="0.35">
      <c r="B13" s="30" t="s">
        <v>127</v>
      </c>
      <c r="C13" s="31">
        <f>IFERROR('Historical Financial Statement '!C13,0)</f>
        <v>0.14787644248015736</v>
      </c>
      <c r="D13" s="31">
        <f>IFERROR('Historical Financial Statement '!D13,0)</f>
        <v>0.14914443087877577</v>
      </c>
      <c r="E13" s="31">
        <f>IFERROR('Historical Financial Statement '!E13,0)</f>
        <v>0.15269085621590728</v>
      </c>
      <c r="F13" s="31">
        <f>IFERROR('Historical Financial Statement '!F13,0)</f>
        <v>0.15948434132453498</v>
      </c>
      <c r="G13" s="31">
        <f>IFERROR('Historical Financial Statement '!G13,0)</f>
        <v>0.15015006608506479</v>
      </c>
      <c r="H13" s="31">
        <f>IFERROR('Historical Financial Statement '!H13,0)</f>
        <v>0.15147726998576611</v>
      </c>
      <c r="I13" s="31">
        <f>IFERROR('Historical Financial Statement '!I13,0)</f>
        <v>0.14862987541761488</v>
      </c>
      <c r="J13" s="31">
        <f>IFERROR('Historical Financial Statement '!J13,0)</f>
        <v>0.1478189594809188</v>
      </c>
      <c r="K13" s="31">
        <f>IFERROR('Historical Financial Statement '!K13,0)</f>
        <v>0.15069272420164914</v>
      </c>
      <c r="L13" s="31">
        <f>IFERROR('Historical Financial Statement '!L13,0)</f>
        <v>0.14795162637138914</v>
      </c>
      <c r="M13" s="30"/>
      <c r="N13" s="31">
        <f>IFERROR(AVERAGE(C13:L13),0)</f>
        <v>0.15059165924417781</v>
      </c>
      <c r="O13" s="31">
        <f>IFERROR(MEDIAN(C13:L13),0)</f>
        <v>0.14964724848192029</v>
      </c>
      <c r="P13" s="43"/>
    </row>
    <row r="14" spans="2:16" x14ac:dyDescent="0.35">
      <c r="B14" t="s">
        <v>128</v>
      </c>
      <c r="C14" s="28">
        <f>IFERROR('Historical Financial Statement '!C21,0)</f>
        <v>7.4001891471760659E-2</v>
      </c>
      <c r="D14" s="28">
        <f>IFERROR('Historical Financial Statement '!D21,0)</f>
        <v>7.9391781690075242E-2</v>
      </c>
      <c r="E14" s="28">
        <f>IFERROR('Historical Financial Statement '!E21,0)</f>
        <v>8.3787622817855567E-2</v>
      </c>
      <c r="F14" s="28">
        <f>IFERROR('Historical Financial Statement '!F21,0)</f>
        <v>9.5828566107016427E-2</v>
      </c>
      <c r="G14" s="28">
        <f>IFERROR('Historical Financial Statement '!G21,0)</f>
        <v>8.4063001761601891E-2</v>
      </c>
      <c r="H14" s="28">
        <f>IFERROR('Historical Financial Statement '!H21,0)</f>
        <v>8.7988838047140763E-2</v>
      </c>
      <c r="I14" s="28">
        <f>IFERROR('Historical Financial Statement '!I21,0)</f>
        <v>8.0323703788997766E-2</v>
      </c>
      <c r="J14" s="28">
        <f>IFERROR('Historical Financial Statement '!J21,0)</f>
        <v>8.4451420393740151E-2</v>
      </c>
      <c r="K14" s="28">
        <f>IFERROR('Historical Financial Statement '!K21,0)</f>
        <v>8.7918036506444072E-2</v>
      </c>
      <c r="L14" s="28">
        <f>IFERROR('Historical Financial Statement '!L21,0)</f>
        <v>8.3684148660246774E-2</v>
      </c>
      <c r="N14" s="28">
        <f>IFERROR(AVERAGE(C14:L14),0)</f>
        <v>8.4143901124487913E-2</v>
      </c>
      <c r="O14" s="28">
        <f>IFERROR(MEDIAN(C14:L14),0)</f>
        <v>8.3925312289728729E-2</v>
      </c>
    </row>
    <row r="15" spans="2:16" x14ac:dyDescent="0.35">
      <c r="B15" t="s">
        <v>340</v>
      </c>
      <c r="C15" s="28">
        <f>IFERROR('Historical Financial Statement '!C27,0)</f>
        <v>6.1339280029443562E-2</v>
      </c>
      <c r="D15" s="28">
        <f>IFERROR('Historical Financial Statement '!D27,0)</f>
        <v>6.7924778884777784E-2</v>
      </c>
      <c r="E15" s="28">
        <f>IFERROR('Historical Financial Statement '!E27,0)</f>
        <v>7.304436992023669E-2</v>
      </c>
      <c r="F15" s="28">
        <f>IFERROR('Historical Financial Statement '!F27,0)</f>
        <v>8.5251975627278251E-2</v>
      </c>
      <c r="G15" s="28">
        <f>IFERROR('Historical Financial Statement '!G27,0)</f>
        <v>7.3440902356067539E-2</v>
      </c>
      <c r="H15" s="28">
        <f>IFERROR('Historical Financial Statement '!H27,0)</f>
        <v>7.2934274754525505E-2</v>
      </c>
      <c r="I15" s="28">
        <f>IFERROR('Historical Financial Statement '!I27,0)</f>
        <v>6.3169291713643605E-2</v>
      </c>
      <c r="J15" s="28">
        <f>IFERROR('Historical Financial Statement '!J27,0)</f>
        <v>6.8372015094135E-2</v>
      </c>
      <c r="K15" s="28">
        <f>IFERROR('Historical Financial Statement '!K27,0)</f>
        <v>7.3004951498101323E-2</v>
      </c>
      <c r="L15" s="28">
        <f>IFERROR('Historical Financial Statement '!L27,0)</f>
        <v>6.9295945584885513E-2</v>
      </c>
      <c r="N15" s="28">
        <f>IFERROR(AVERAGE(C15:L15),0)</f>
        <v>7.0777778546309483E-2</v>
      </c>
      <c r="O15" s="28">
        <f>IFERROR(MEDIAN(C15:L15),0)</f>
        <v>7.1115110169705509E-2</v>
      </c>
    </row>
    <row r="16" spans="2:16" x14ac:dyDescent="0.35">
      <c r="B16" t="s">
        <v>339</v>
      </c>
      <c r="C16" s="28">
        <f>IFERROR('Historical Financial Statement '!C33,0)</f>
        <v>5.010226060381117E-2</v>
      </c>
      <c r="D16" s="28">
        <f>IFERROR('Historical Financial Statement '!D33,0)</f>
        <v>5.7283754438614332E-2</v>
      </c>
      <c r="E16" s="28">
        <f>IFERROR('Historical Financial Statement '!E33,0)</f>
        <v>6.2791968195533593E-2</v>
      </c>
      <c r="F16" s="28">
        <f>IFERROR('Historical Financial Statement '!F33,0)</f>
        <v>8.1291408349519687E-2</v>
      </c>
      <c r="G16" s="28">
        <f>IFERROR('Historical Financial Statement '!G33,0)</f>
        <v>7.1080935708529885E-2</v>
      </c>
      <c r="H16" s="28">
        <f>IFERROR('Historical Financial Statement '!H33,0)</f>
        <v>7.0155044993606808E-2</v>
      </c>
      <c r="I16" s="28">
        <f>IFERROR('Historical Financial Statement '!I33,0)</f>
        <v>6.1444158279853521E-2</v>
      </c>
      <c r="J16" s="28">
        <f>IFERROR('Historical Financial Statement '!J33,0)</f>
        <v>6.6635524548307498E-2</v>
      </c>
      <c r="K16" s="28">
        <f>IFERROR('Historical Financial Statement '!K33,0)</f>
        <v>7.1431405924804126E-2</v>
      </c>
      <c r="L16" s="28">
        <f>IFERROR('Historical Financial Statement '!L33,0)</f>
        <v>6.8151402582024442E-2</v>
      </c>
      <c r="N16" s="28">
        <f>IFERROR(AVERAGE(C16:L16),0)</f>
        <v>6.6036786362460492E-2</v>
      </c>
      <c r="O16" s="28">
        <f>IFERROR(MEDIAN(C16:L16),0)</f>
        <v>6.739346356516597E-2</v>
      </c>
    </row>
    <row r="17" spans="2:17" x14ac:dyDescent="0.35">
      <c r="B17" s="32" t="s">
        <v>129</v>
      </c>
      <c r="C17" s="34">
        <f>IFERROR('Historical Financial Statement '!C39,0)</f>
        <v>3.2877133535110986E-2</v>
      </c>
      <c r="D17" s="34">
        <f>IFERROR('Historical Financial Statement '!D39,0)</f>
        <v>3.7307660046413241E-2</v>
      </c>
      <c r="E17" s="34">
        <f>IFERROR('Historical Financial Statement '!E39,0)</f>
        <v>4.0243072190423369E-2</v>
      </c>
      <c r="F17" s="34">
        <f>IFERROR('Historical Financial Statement '!F39,0)</f>
        <v>5.3633291647819457E-2</v>
      </c>
      <c r="G17" s="34">
        <f>IFERROR('Historical Financial Statement '!G39,0)</f>
        <v>4.5112804506181617E-2</v>
      </c>
      <c r="H17" s="34">
        <f>IFERROR('Historical Financial Statement '!H39,0)</f>
        <v>5.231079766145829E-2</v>
      </c>
      <c r="I17" s="34">
        <f>IFERROR('Historical Financial Statement '!I39,0)</f>
        <v>4.5538138081916729E-2</v>
      </c>
      <c r="J17" s="34">
        <f>IFERROR('Historical Financial Statement '!J39,0)</f>
        <v>4.8178815590127579E-2</v>
      </c>
      <c r="K17" s="34">
        <f>IFERROR('Historical Financial Statement '!K39,0)</f>
        <v>5.5517376929174848E-2</v>
      </c>
      <c r="L17" s="34">
        <f>IFERROR('Historical Financial Statement '!L39,0)</f>
        <v>4.9924560183804208E-2</v>
      </c>
      <c r="M17" s="32"/>
      <c r="N17" s="34">
        <f>IFERROR(AVERAGE(C17:L17),0)</f>
        <v>4.6064365037243031E-2</v>
      </c>
      <c r="O17" s="34">
        <f>IFERROR(MEDIAN(C17:L17),0)</f>
        <v>4.685847683602215E-2</v>
      </c>
    </row>
    <row r="19" spans="2:17" x14ac:dyDescent="0.35">
      <c r="B19" s="30" t="s">
        <v>327</v>
      </c>
      <c r="C19" s="31">
        <f>IFERROR('Historical Financial Statement '!C18,0)</f>
        <v>7.7022345145455418E-2</v>
      </c>
      <c r="D19" s="31">
        <f>IFERROR('Historical Financial Statement '!D18,0)</f>
        <v>7.1735463246875492E-2</v>
      </c>
      <c r="E19" s="31">
        <f>IFERROR('Historical Financial Statement '!E18,0)</f>
        <v>7.123141447506659E-2</v>
      </c>
      <c r="F19" s="31">
        <f>IFERROR('Historical Financial Statement '!F18,0)</f>
        <v>6.9492855812468404E-2</v>
      </c>
      <c r="G19" s="31">
        <f>IFERROR('Historical Financial Statement '!G18,0)</f>
        <v>6.8503018317860154E-2</v>
      </c>
      <c r="H19" s="31">
        <f>IFERROR('Historical Financial Statement '!H18,0)</f>
        <v>6.5900555685117129E-2</v>
      </c>
      <c r="I19" s="31">
        <f>IFERROR('Historical Financial Statement '!I18,0)</f>
        <v>7.6359417571757682E-2</v>
      </c>
      <c r="J19" s="31">
        <f>IFERROR('Historical Financial Statement '!J18,0)</f>
        <v>6.7036153804186246E-2</v>
      </c>
      <c r="K19" s="31">
        <f>IFERROR('Historical Financial Statement '!K18,0)</f>
        <v>6.5753243030507308E-2</v>
      </c>
      <c r="L19" s="31">
        <f>IFERROR('Historical Financial Statement '!L18,0)</f>
        <v>6.7114166638609321E-2</v>
      </c>
      <c r="M19" s="30"/>
      <c r="N19" s="31">
        <f>IFERROR(AVERAGE(C19:L19),0)</f>
        <v>7.0014863372790379E-2</v>
      </c>
      <c r="O19" s="31">
        <f>IFERROR(MEDIAN(C19:L19),0)</f>
        <v>6.8997937065164272E-2</v>
      </c>
    </row>
    <row r="20" spans="2:17" x14ac:dyDescent="0.35">
      <c r="B20" t="s">
        <v>130</v>
      </c>
      <c r="C20" s="28">
        <f>IFERROR('Historical Financial Statement '!C24,0)</f>
        <v>1.26626114423171E-2</v>
      </c>
      <c r="D20" s="28">
        <f>IFERROR('Historical Financial Statement '!D24,0)</f>
        <v>1.1467002805297445E-2</v>
      </c>
      <c r="E20" s="28">
        <f>IFERROR('Historical Financial Statement '!E24,0)</f>
        <v>1.0743252897618866E-2</v>
      </c>
      <c r="F20" s="28">
        <f>IFERROR('Historical Financial Statement '!F24,0)</f>
        <v>1.0576590479738178E-2</v>
      </c>
      <c r="G20" s="28">
        <f>IFERROR('Historical Financial Statement '!G24,0)</f>
        <v>1.062209940553435E-2</v>
      </c>
      <c r="H20" s="28">
        <f>IFERROR('Historical Financial Statement '!H24,0)</f>
        <v>1.5054563292615258E-2</v>
      </c>
      <c r="I20" s="28">
        <f>IFERROR('Historical Financial Statement '!I24,0)</f>
        <v>1.7154412075354161E-2</v>
      </c>
      <c r="J20" s="28">
        <f>IFERROR('Historical Financial Statement '!J24,0)</f>
        <v>1.6079405299605148E-2</v>
      </c>
      <c r="K20" s="28">
        <f>IFERROR('Historical Financial Statement '!K24,0)</f>
        <v>1.4913085008342757E-2</v>
      </c>
      <c r="L20" s="28">
        <f>IFERROR('Historical Financial Statement '!L24,0)</f>
        <v>1.4388203075361254E-2</v>
      </c>
      <c r="N20" s="28">
        <f>IFERROR(AVERAGE(C20:L20),0)</f>
        <v>1.3366122578178452E-2</v>
      </c>
      <c r="O20" s="28">
        <f>IFERROR(MEDIAN(C20:L20),0)</f>
        <v>1.3525407258839177E-2</v>
      </c>
    </row>
    <row r="21" spans="2:17" x14ac:dyDescent="0.35">
      <c r="B21" s="32" t="s">
        <v>131</v>
      </c>
      <c r="C21" s="33">
        <f>C15</f>
        <v>6.1339280029443562E-2</v>
      </c>
      <c r="D21" s="33">
        <f t="shared" ref="D21:L21" si="2">D15</f>
        <v>6.7924778884777784E-2</v>
      </c>
      <c r="E21" s="33">
        <f t="shared" si="2"/>
        <v>7.304436992023669E-2</v>
      </c>
      <c r="F21" s="33">
        <f t="shared" si="2"/>
        <v>8.5251975627278251E-2</v>
      </c>
      <c r="G21" s="33">
        <f t="shared" si="2"/>
        <v>7.3440902356067539E-2</v>
      </c>
      <c r="H21" s="33">
        <f t="shared" si="2"/>
        <v>7.2934274754525505E-2</v>
      </c>
      <c r="I21" s="33">
        <f t="shared" si="2"/>
        <v>6.3169291713643605E-2</v>
      </c>
      <c r="J21" s="33">
        <f t="shared" si="2"/>
        <v>6.8372015094135E-2</v>
      </c>
      <c r="K21" s="33">
        <f t="shared" si="2"/>
        <v>7.3004951498101323E-2</v>
      </c>
      <c r="L21" s="33">
        <f t="shared" si="2"/>
        <v>6.9295945584885513E-2</v>
      </c>
      <c r="M21" s="32"/>
      <c r="N21" s="34">
        <f>IFERROR(AVERAGE(C21:L21),0)</f>
        <v>7.0777778546309483E-2</v>
      </c>
      <c r="O21" s="34">
        <f>IFERROR(MEDIAN(C21:L21),0)</f>
        <v>7.1115110169705509E-2</v>
      </c>
      <c r="Q21">
        <f>'Historical Financial Statement '!D38/SUM('Historical Financial Statement '!D52:'Historical Financial Statement '!D53)</f>
        <v>0.21062324064086718</v>
      </c>
    </row>
    <row r="23" spans="2:17" x14ac:dyDescent="0.35">
      <c r="B23" s="12" t="s">
        <v>333</v>
      </c>
    </row>
    <row r="24" spans="2:17" x14ac:dyDescent="0.35">
      <c r="B24" s="30" t="s">
        <v>132</v>
      </c>
      <c r="C24" s="31">
        <f>IFERROR(('Historical Financial Statement '!C20-'Historical Financial Statement '!C23)/(SUM('Historical Financial Statement '!C52:C54)),0)</f>
        <v>0.18778197722788742</v>
      </c>
      <c r="D24" s="31">
        <f>IFERROR(('Historical Financial Statement '!D20-'Historical Financial Statement '!D23)/(SUM('Historical Financial Statement '!D52:D54)),0)</f>
        <v>0.2149271227301883</v>
      </c>
      <c r="E24" s="31">
        <f>IFERROR(('Historical Financial Statement '!E20-'Historical Financial Statement '!E23)/(SUM('Historical Financial Statement '!E52:E54)),0)</f>
        <v>0.16277275196194119</v>
      </c>
      <c r="F24" s="31">
        <f>IFERROR(('Historical Financial Statement '!F20-'Historical Financial Statement '!F23)/(SUM('Historical Financial Statement '!F52:F54)),0)</f>
        <v>0.25088777088268099</v>
      </c>
      <c r="G24" s="31">
        <f>IFERROR(('Historical Financial Statement '!G20-'Historical Financial Statement '!G23)/(SUM('Historical Financial Statement '!G52:G54)),0)</f>
        <v>0.23365831159742995</v>
      </c>
      <c r="H24" s="31">
        <f>IFERROR(('Historical Financial Statement '!H20-'Historical Financial Statement '!H23)/(SUM('Historical Financial Statement '!H52:H54)),0)</f>
        <v>0.15893289453277992</v>
      </c>
      <c r="I24" s="31">
        <f>IFERROR(('Historical Financial Statement '!I20-'Historical Financial Statement '!I23)/(SUM('Historical Financial Statement '!I52:I54)),0)</f>
        <v>0.12126662436528046</v>
      </c>
      <c r="J24" s="31">
        <f>IFERROR(('Historical Financial Statement '!J20-'Historical Financial Statement '!J23)/(SUM('Historical Financial Statement '!J52:J54)),0)</f>
        <v>0.14785145533062757</v>
      </c>
      <c r="K24" s="31">
        <f>IFERROR(('Historical Financial Statement '!K20-'Historical Financial Statement '!K23)/(SUM('Historical Financial Statement '!K52:K54)),0)</f>
        <v>0.18703264265313063</v>
      </c>
      <c r="L24" s="31">
        <f>IFERROR(('Historical Financial Statement '!L20-'Historical Financial Statement '!L23)/(SUM('Historical Financial Statement '!L52:L54)),0)</f>
        <v>0.18245016324537408</v>
      </c>
      <c r="N24" s="31">
        <f>IFERROR(AVERAGE(C24:L24),0)</f>
        <v>0.18475617145273204</v>
      </c>
      <c r="O24" s="31">
        <f>IFERROR(MEDIAN(C24:L24),0)</f>
        <v>0.18474140294925234</v>
      </c>
      <c r="Q24" s="12" t="s">
        <v>146</v>
      </c>
    </row>
    <row r="25" spans="2:17" x14ac:dyDescent="0.35">
      <c r="B25" t="s">
        <v>133</v>
      </c>
      <c r="C25" s="28">
        <f>IFERROR('Historical Financial Statement '!C49,0)</f>
        <v>1</v>
      </c>
      <c r="D25" s="28">
        <f>IFERROR('Historical Financial Statement '!D49,0)</f>
        <v>1</v>
      </c>
      <c r="E25" s="28">
        <f>IFERROR('Historical Financial Statement '!E49,0)</f>
        <v>1</v>
      </c>
      <c r="F25" s="28">
        <f>IFERROR('Historical Financial Statement '!F49,0)</f>
        <v>1</v>
      </c>
      <c r="G25" s="28">
        <f>IFERROR('Historical Financial Statement '!G49,0)</f>
        <v>1</v>
      </c>
      <c r="H25" s="28">
        <f>IFERROR('Historical Financial Statement '!H49,0)</f>
        <v>1</v>
      </c>
      <c r="I25" s="28">
        <f>IFERROR('Historical Financial Statement '!I49,0)</f>
        <v>1</v>
      </c>
      <c r="J25" s="28">
        <f>IFERROR('Historical Financial Statement '!J49,0)</f>
        <v>1</v>
      </c>
      <c r="K25" s="28">
        <f>IFERROR('Historical Financial Statement '!K49,0)</f>
        <v>1</v>
      </c>
      <c r="L25" s="28">
        <f>IFERROR('Historical Financial Statement '!L49,0)</f>
        <v>1</v>
      </c>
      <c r="N25" s="28">
        <f>IFERROR(AVERAGE(C25:L25),0)</f>
        <v>1</v>
      </c>
      <c r="O25" s="28">
        <f>IFERROR(MEDIAN(C25:L25),0)</f>
        <v>1</v>
      </c>
      <c r="Q25" s="12" t="s">
        <v>147</v>
      </c>
    </row>
    <row r="26" spans="2:17" x14ac:dyDescent="0.35">
      <c r="B26" t="s">
        <v>134</v>
      </c>
      <c r="C26" s="28">
        <f>IFERROR('Historical Financial Statement '!C38/SUM('Historical Financial Statement '!C52:C53),0)</f>
        <v>0.17654416731293601</v>
      </c>
      <c r="D26" s="28">
        <f>IFERROR('Historical Financial Statement '!D38/SUM('Historical Financial Statement '!D52:D53),0)</f>
        <v>0.21062324064086718</v>
      </c>
      <c r="E26" s="28">
        <f>IFERROR('Historical Financial Statement '!E38/SUM('Historical Financial Statement '!E52:E53),0)</f>
        <v>0.12462972892773667</v>
      </c>
      <c r="F26" s="28">
        <f>IFERROR('Historical Financial Statement '!F38/SUM('Historical Financial Statement '!F52:F53),0)</f>
        <v>0.17268609245992214</v>
      </c>
      <c r="G26" s="28">
        <f>IFERROR('Historical Financial Statement '!G38/SUM('Historical Financial Statement '!G52:G53),0)</f>
        <v>0.16151553928894224</v>
      </c>
      <c r="H26" s="28">
        <f>IFERROR('Historical Financial Statement '!H38/SUM('Historical Financial Statement '!H52:H53),0)</f>
        <v>0.11741972284548194</v>
      </c>
      <c r="I26" s="28">
        <f>IFERROR('Historical Financial Statement '!I38/SUM('Historical Financial Statement '!I52:I53),0)</f>
        <v>9.0237702637374032E-2</v>
      </c>
      <c r="J26" s="28">
        <f>IFERROR('Historical Financial Statement '!J38/SUM('Historical Financial Statement '!J52:J53),0)</f>
        <v>0.10911239073407408</v>
      </c>
      <c r="K26" s="28">
        <f>IFERROR('Historical Financial Statement '!K38/SUM('Historical Financial Statement '!K52:K53),0)</f>
        <v>0.14791867501725894</v>
      </c>
      <c r="L26" s="28">
        <f>IFERROR('Historical Financial Statement '!L38/SUM('Historical Financial Statement '!L52:L53),0)</f>
        <v>0.13560992671872982</v>
      </c>
      <c r="N26" s="28">
        <f>IFERROR(AVERAGE(C26:L26),0)</f>
        <v>0.14462971865833232</v>
      </c>
      <c r="O26" s="28">
        <f>IFERROR(MEDIAN(C26:L26),0)</f>
        <v>0.14176430086799438</v>
      </c>
    </row>
    <row r="27" spans="2:17" x14ac:dyDescent="0.35">
      <c r="B27" s="12" t="s">
        <v>135</v>
      </c>
      <c r="C27" s="53">
        <f>IFERROR(C25*C26,0)</f>
        <v>0.17654416731293601</v>
      </c>
      <c r="D27" s="53">
        <f t="shared" ref="D27:L27" si="3">IFERROR(D25*D26,0)</f>
        <v>0.21062324064086718</v>
      </c>
      <c r="E27" s="53">
        <f t="shared" si="3"/>
        <v>0.12462972892773667</v>
      </c>
      <c r="F27" s="53">
        <f t="shared" si="3"/>
        <v>0.17268609245992214</v>
      </c>
      <c r="G27" s="53">
        <f t="shared" si="3"/>
        <v>0.16151553928894224</v>
      </c>
      <c r="H27" s="53">
        <f t="shared" si="3"/>
        <v>0.11741972284548194</v>
      </c>
      <c r="I27" s="53">
        <f t="shared" si="3"/>
        <v>9.0237702637374032E-2</v>
      </c>
      <c r="J27" s="53">
        <f t="shared" si="3"/>
        <v>0.10911239073407408</v>
      </c>
      <c r="K27" s="53">
        <f t="shared" si="3"/>
        <v>0.14791867501725894</v>
      </c>
      <c r="L27" s="53">
        <f t="shared" si="3"/>
        <v>0.13560992671872982</v>
      </c>
      <c r="N27" s="53">
        <f>IFERROR(AVERAGE(C27:L27),0)</f>
        <v>0.14462971865833232</v>
      </c>
      <c r="O27" s="53">
        <f>IFERROR(MEDIAN(C27:L27),0)</f>
        <v>0.14176430086799438</v>
      </c>
    </row>
    <row r="28" spans="2:17" x14ac:dyDescent="0.35">
      <c r="B28" s="32" t="s">
        <v>136</v>
      </c>
      <c r="C28" s="35">
        <f>IFERROR(('Historical Financial Statement '!C20-'Historical Financial Statement '!C23)/('Historical Financial Statement '!C29),0)</f>
        <v>5.4586788280818102</v>
      </c>
      <c r="D28" s="35">
        <f>IFERROR(('Historical Financial Statement '!D20-'Historical Financial Statement '!D23)/('Historical Financial Statement '!D29),0)</f>
        <v>6.3832931902780841</v>
      </c>
      <c r="E28" s="35">
        <f>IFERROR(('Historical Financial Statement '!E20-'Historical Financial Statement '!E23)/('Historical Financial Statement '!E29),0)</f>
        <v>7.1246105919003124</v>
      </c>
      <c r="F28" s="35">
        <f>IFERROR(('Historical Financial Statement '!F20-'Historical Financial Statement '!F23)/('Historical Financial Statement '!F29),0)</f>
        <v>21.525193147463881</v>
      </c>
      <c r="G28" s="35">
        <f>IFERROR(('Historical Financial Statement '!G20-'Historical Financial Statement '!G23)/('Historical Financial Statement '!G29),0)</f>
        <v>31.11946621478501</v>
      </c>
      <c r="H28" s="35">
        <f>IFERROR(('Historical Financial Statement '!H20-'Historical Financial Statement '!H23)/('Historical Financial Statement '!H29),0)</f>
        <v>26.242621527777779</v>
      </c>
      <c r="I28" s="35">
        <f>IFERROR(('Historical Financial Statement '!I20-'Historical Financial Statement '!I23)/('Historical Financial Statement '!I29),0)</f>
        <v>36.617046818727509</v>
      </c>
      <c r="J28" s="35">
        <f>IFERROR(('Historical Financial Statement '!J20-'Historical Financial Statement '!J23)/('Historical Financial Statement '!J29),0)</f>
        <v>39.373675404350273</v>
      </c>
      <c r="K28" s="35">
        <f>IFERROR(('Historical Financial Statement '!K20-'Historical Financial Statement '!K23)/('Historical Financial Statement '!K29),0)</f>
        <v>46.395193591455296</v>
      </c>
      <c r="L28" s="35">
        <f>IFERROR(('Historical Financial Statement '!L20-'Historical Financial Statement '!L23)/('Historical Financial Statement '!L29),0)</f>
        <v>60.544641321176684</v>
      </c>
      <c r="M28" s="32"/>
      <c r="N28" s="35">
        <f>IFERROR(AVERAGE(C28:L28),0)</f>
        <v>28.078442063599663</v>
      </c>
      <c r="O28" s="35">
        <f>IFERROR(MEDIAN(C28:L28),0)</f>
        <v>28.681043871281396</v>
      </c>
    </row>
    <row r="30" spans="2:17" x14ac:dyDescent="0.35">
      <c r="B30" s="12" t="s">
        <v>328</v>
      </c>
    </row>
    <row r="31" spans="2:17" x14ac:dyDescent="0.35">
      <c r="B31" s="30" t="s">
        <v>172</v>
      </c>
      <c r="C31" s="36">
        <f>'Historical Financial Statement '!C6/'Historical Financial Statement '!C66</f>
        <v>910.81046676096184</v>
      </c>
      <c r="D31" s="36">
        <f>'Historical Financial Statement '!D6/AVERAGE('Historical Financial Statement '!D66,'Historical Financial Statement '!C66)</f>
        <v>1108.2969657843771</v>
      </c>
      <c r="E31" s="36">
        <f>'Historical Financial Statement '!E6/AVERAGE('Historical Financial Statement '!E66,'Historical Financial Statement '!D66)</f>
        <v>808.8171312032631</v>
      </c>
      <c r="F31" s="36">
        <f>'Historical Financial Statement '!F6/AVERAGE('Historical Financial Statement '!F66,'Historical Financial Statement '!E66)</f>
        <v>551.47468818782102</v>
      </c>
      <c r="G31" s="36">
        <f>'Historical Financial Statement '!G6/AVERAGE('Historical Financial Statement '!G66,'Historical Financial Statement '!F66)</f>
        <v>408.71427112064555</v>
      </c>
      <c r="H31" s="36">
        <f>'Historical Financial Statement '!H6/AVERAGE('Historical Financial Statement '!H66,'Historical Financial Statement '!G66)</f>
        <v>592.71210676835085</v>
      </c>
      <c r="I31" s="36">
        <f>'Historical Financial Statement '!I6/AVERAGE('Historical Financial Statement '!I66,'Historical Financial Statement '!H66)</f>
        <v>764.86805005544124</v>
      </c>
      <c r="J31" s="36">
        <f>'Historical Financial Statement '!J6/AVERAGE('Historical Financial Statement '!J66,'Historical Financial Statement '!I66)</f>
        <v>560.80872635104549</v>
      </c>
      <c r="K31" s="36">
        <f>'Historical Financial Statement '!K6/AVERAGE('Historical Financial Statement '!K66,'Historical Financial Statement '!J66)</f>
        <v>663.92189074002317</v>
      </c>
      <c r="L31" s="36">
        <f>'Historical Financial Statement '!L6/AVERAGE('Historical Financial Statement '!L66,'Historical Financial Statement '!K66)</f>
        <v>444.48282501203346</v>
      </c>
      <c r="M31" s="30"/>
      <c r="N31" s="36">
        <f>IFERROR(AVERAGE(C31:L31),0)</f>
        <v>681.4907121983963</v>
      </c>
      <c r="O31" s="36">
        <f>IFERROR(MEDIAN(C31:L31),0)</f>
        <v>628.31699875418701</v>
      </c>
    </row>
    <row r="32" spans="2:17" x14ac:dyDescent="0.35">
      <c r="B32" t="s">
        <v>329</v>
      </c>
      <c r="C32" s="27">
        <f>IFERROR('Historical Financial Statement '!C6/'Historical Financial Statement '!C55,0)</f>
        <v>25.618356142584339</v>
      </c>
      <c r="D32" s="27">
        <f>IFERROR('Historical Financial Statement '!D6/AVERAGE('Historical Financial Statement '!D55,'Historical Financial Statement '!C55),0)</f>
        <v>26.818383478614056</v>
      </c>
      <c r="E32" s="27">
        <f>IFERROR('Historical Financial Statement '!E6/AVERAGE('Historical Financial Statement '!E55,'Historical Financial Statement '!D55),0)</f>
        <v>27.383769103295894</v>
      </c>
      <c r="F32" s="27">
        <f>IFERROR('Historical Financial Statement '!F6/AVERAGE('Historical Financial Statement '!F55,'Historical Financial Statement '!E55),0)</f>
        <v>29.473973139888251</v>
      </c>
      <c r="G32" s="27">
        <f>IFERROR('Historical Financial Statement '!G6/AVERAGE('Historical Financial Statement '!G55,'Historical Financial Statement '!F55),0)</f>
        <v>31.808239652732507</v>
      </c>
      <c r="H32" s="27">
        <f>IFERROR('Historical Financial Statement '!H6/AVERAGE('Historical Financial Statement '!H55,'Historical Financial Statement '!G55),0)</f>
        <v>36.014278163532758</v>
      </c>
      <c r="I32" s="27">
        <f>IFERROR('Historical Financial Statement '!I6/AVERAGE('Historical Financial Statement '!I55,'Historical Financial Statement '!H55),0)</f>
        <v>27.721010873434146</v>
      </c>
      <c r="J32" s="27">
        <f>IFERROR('Historical Financial Statement '!J6/AVERAGE('Historical Financial Statement '!J55,'Historical Financial Statement '!I55),0)</f>
        <v>27.84346278477144</v>
      </c>
      <c r="K32" s="27">
        <f>IFERROR('Historical Financial Statement '!K6/AVERAGE('Historical Financial Statement '!K55,'Historical Financial Statement '!J55),0)</f>
        <v>33.875440843889862</v>
      </c>
      <c r="L32" s="27">
        <f>IFERROR('Historical Financial Statement '!L6/AVERAGE('Historical Financial Statement '!L55,'Historical Financial Statement '!K55),0)</f>
        <v>31.107835631205326</v>
      </c>
      <c r="N32" s="27">
        <f>IFERROR(AVERAGE(C32:L32),0)</f>
        <v>29.766474981394861</v>
      </c>
      <c r="O32" s="27">
        <f>IFERROR(MEDIAN(C32:L32),0)</f>
        <v>28.658717962329845</v>
      </c>
    </row>
    <row r="33" spans="2:15" x14ac:dyDescent="0.35">
      <c r="B33" t="s">
        <v>137</v>
      </c>
      <c r="C33" s="27">
        <f>IFERROR('Historical Financial Statement '!C6/'Historical Financial Statement '!C67,0)</f>
        <v>11.933489001315765</v>
      </c>
      <c r="D33" s="27">
        <f>IFERROR('Historical Financial Statement '!D6/AVERAGE('Historical Financial Statement '!D67,'Historical Financial Statement '!C67),0)</f>
        <v>14.172806076116567</v>
      </c>
      <c r="E33" s="27">
        <f>IFERROR('Historical Financial Statement '!E6/AVERAGE('Historical Financial Statement '!E67,'Historical Financial Statement '!D67),0)</f>
        <v>14.692236924159818</v>
      </c>
      <c r="F33" s="27">
        <f>IFERROR('Historical Financial Statement '!F6/AVERAGE('Historical Financial Statement '!F67,'Historical Financial Statement '!E67),0)</f>
        <v>14.240367537357615</v>
      </c>
      <c r="G33" s="27">
        <f>IFERROR('Historical Financial Statement '!G6/AVERAGE('Historical Financial Statement '!G67,'Historical Financial Statement '!F67),0)</f>
        <v>14.432754951120089</v>
      </c>
      <c r="H33" s="27">
        <f>IFERROR('Historical Financial Statement '!H6/AVERAGE('Historical Financial Statement '!H67,'Historical Financial Statement '!G67),0)</f>
        <v>13.987542357390925</v>
      </c>
      <c r="I33" s="27">
        <f>IFERROR('Historical Financial Statement '!I6/AVERAGE('Historical Financial Statement '!I67,'Historical Financial Statement '!H67),0)</f>
        <v>11.508532585897875</v>
      </c>
      <c r="J33" s="27">
        <f>IFERROR('Historical Financial Statement '!J6/AVERAGE('Historical Financial Statement '!J67,'Historical Financial Statement '!I67),0)</f>
        <v>12.413000356646242</v>
      </c>
      <c r="K33" s="27">
        <f>IFERROR('Historical Financial Statement '!K6/AVERAGE('Historical Financial Statement '!K67,'Historical Financial Statement '!J67),0)</f>
        <v>14.312916169685307</v>
      </c>
      <c r="L33" s="27">
        <f>IFERROR('Historical Financial Statement '!L6/AVERAGE('Historical Financial Statement '!L67,'Historical Financial Statement '!K67),0)</f>
        <v>14.165476886089261</v>
      </c>
      <c r="N33" s="27">
        <f>IFERROR(AVERAGE(C33:L33),0)</f>
        <v>13.585912284577944</v>
      </c>
      <c r="O33" s="27">
        <f>IFERROR(MEDIAN(C33:L33),0)</f>
        <v>14.169141481102914</v>
      </c>
    </row>
    <row r="34" spans="2:15" x14ac:dyDescent="0.35">
      <c r="B34" t="s">
        <v>138</v>
      </c>
      <c r="C34" s="27">
        <f>IFERROR('Historical Financial Statement '!C6/'Historical Financial Statement '!C59,0)</f>
        <v>4.2140660174859956</v>
      </c>
      <c r="D34" s="27">
        <f>IFERROR('Historical Financial Statement '!D6/AVERAGE('Historical Financial Statement '!D59,'Historical Financial Statement '!C59),0)</f>
        <v>4.7403136735144686</v>
      </c>
      <c r="E34" s="27">
        <f>IFERROR('Historical Financial Statement '!E6/AVERAGE('Historical Financial Statement '!E59,'Historical Financial Statement '!D59),0)</f>
        <v>5.0939894289989658</v>
      </c>
      <c r="F34" s="27">
        <f>IFERROR('Historical Financial Statement '!F6/AVERAGE('Historical Financial Statement '!F59,'Historical Financial Statement '!E59),0)</f>
        <v>5.0297437819101605</v>
      </c>
      <c r="G34" s="27">
        <f>IFERROR('Historical Financial Statement '!G6/AVERAGE('Historical Financial Statement '!G59,'Historical Financial Statement '!F59),0)</f>
        <v>5.1291405246437973</v>
      </c>
      <c r="H34" s="27">
        <f>IFERROR('Historical Financial Statement '!H6/AVERAGE('Historical Financial Statement '!H59,'Historical Financial Statement '!G59),0)</f>
        <v>4.8065787947895329</v>
      </c>
      <c r="I34" s="27">
        <f>IFERROR('Historical Financial Statement '!I6/AVERAGE('Historical Financial Statement '!I59,'Historical Financial Statement '!H59),0)</f>
        <v>3.7266924085598099</v>
      </c>
      <c r="J34" s="27">
        <f>IFERROR('Historical Financial Statement '!J6/AVERAGE('Historical Financial Statement '!J59,'Historical Financial Statement '!I59),0)</f>
        <v>3.8080536879749118</v>
      </c>
      <c r="K34" s="27">
        <f>IFERROR('Historical Financial Statement '!K6/AVERAGE('Historical Financial Statement '!K59,'Historical Financial Statement '!J59),0)</f>
        <v>4.1590796339894665</v>
      </c>
      <c r="L34" s="27">
        <f>IFERROR('Historical Financial Statement '!L6/AVERAGE('Historical Financial Statement '!L59,'Historical Financial Statement '!K59),0)</f>
        <v>4.1032393635671784</v>
      </c>
      <c r="N34" s="27">
        <f>IFERROR(AVERAGE(C34:L34),0)</f>
        <v>4.4810897315434293</v>
      </c>
      <c r="O34" s="27">
        <f>IFERROR(MEDIAN(C34:L34),0)</f>
        <v>4.4771898455002326</v>
      </c>
    </row>
    <row r="35" spans="2:15" x14ac:dyDescent="0.35">
      <c r="B35" s="32" t="s">
        <v>139</v>
      </c>
      <c r="C35" s="35">
        <f>IFERROR('Historical Financial Statement '!C6/SUM('Historical Financial Statement '!C52:C53),0)</f>
        <v>5.3698162926642148</v>
      </c>
      <c r="D35" s="35">
        <f>IFERROR('Historical Financial Statement '!D6/SUM('Historical Financial Statement '!D52:D53),0)</f>
        <v>5.6455762805503671</v>
      </c>
      <c r="E35" s="35">
        <f>IFERROR('Historical Financial Statement '!E6/SUM('Historical Financial Statement '!E52:E53),0)</f>
        <v>3.0969238217701172</v>
      </c>
      <c r="F35" s="35">
        <f>IFERROR('Historical Financial Statement '!F6/SUM('Historical Financial Statement '!F52:F53),0)</f>
        <v>3.2197556248059027</v>
      </c>
      <c r="G35" s="35">
        <f>IFERROR('Historical Financial Statement '!G6/SUM('Historical Financial Statement '!G52:G53),0)</f>
        <v>3.5802593311796977</v>
      </c>
      <c r="H35" s="35">
        <f>IFERROR('Historical Financial Statement '!H6/SUM('Historical Financial Statement '!H52:H53),0)</f>
        <v>2.2446555605095426</v>
      </c>
      <c r="I35" s="35">
        <f>IFERROR('Historical Financial Statement '!I6/SUM('Historical Financial Statement '!I52:I53),0)</f>
        <v>1.9815852478432268</v>
      </c>
      <c r="J35" s="35">
        <f>IFERROR('Historical Financial Statement '!J6/SUM('Historical Financial Statement '!J52:J53),0)</f>
        <v>2.2647379226240782</v>
      </c>
      <c r="K35" s="35">
        <f>IFERROR('Historical Financial Statement '!K6/SUM('Historical Financial Statement '!K52:K53),0)</f>
        <v>2.6643671441099093</v>
      </c>
      <c r="L35" s="35">
        <f>IFERROR('Historical Financial Statement '!L6/SUM('Historical Financial Statement '!L52:L53),0)</f>
        <v>2.716296873111411</v>
      </c>
      <c r="M35" s="32"/>
      <c r="N35" s="35">
        <f>IFERROR(AVERAGE(C35:L35),0)</f>
        <v>3.2783974099168467</v>
      </c>
      <c r="O35" s="35">
        <f>IFERROR(MEDIAN(C35:L35),0)</f>
        <v>2.9066103474407639</v>
      </c>
    </row>
    <row r="36" spans="2:15" x14ac:dyDescent="0.35">
      <c r="C36" s="27"/>
      <c r="D36" s="27"/>
      <c r="E36" s="27"/>
      <c r="F36" s="27"/>
      <c r="G36" s="27"/>
      <c r="H36" s="27"/>
      <c r="I36" s="27"/>
      <c r="J36" s="27"/>
      <c r="K36" s="27"/>
      <c r="L36" s="27"/>
    </row>
    <row r="37" spans="2:15" x14ac:dyDescent="0.35">
      <c r="B37" s="12" t="s">
        <v>179</v>
      </c>
    </row>
    <row r="38" spans="2:15" x14ac:dyDescent="0.35">
      <c r="B38" s="30" t="s">
        <v>171</v>
      </c>
      <c r="C38" s="37">
        <f>IFERROR(365/C31,0)</f>
        <v>0.40074199113896725</v>
      </c>
      <c r="D38" s="37">
        <f t="shared" ref="D38:L38" si="4">IFERROR(365/D31,0)</f>
        <v>0.32933411465371815</v>
      </c>
      <c r="E38" s="37">
        <f t="shared" si="4"/>
        <v>0.45127629709943939</v>
      </c>
      <c r="F38" s="37">
        <f t="shared" si="4"/>
        <v>0.66186174600218184</v>
      </c>
      <c r="G38" s="37">
        <f t="shared" si="4"/>
        <v>0.89304442196063705</v>
      </c>
      <c r="H38" s="37">
        <f t="shared" si="4"/>
        <v>0.61581330266744938</v>
      </c>
      <c r="I38" s="37">
        <f t="shared" si="4"/>
        <v>0.47720649329455334</v>
      </c>
      <c r="J38" s="37">
        <f t="shared" si="4"/>
        <v>0.65084579260188524</v>
      </c>
      <c r="K38" s="37">
        <f t="shared" si="4"/>
        <v>0.54976346629143724</v>
      </c>
      <c r="L38" s="37">
        <f t="shared" si="4"/>
        <v>0.82117908603131828</v>
      </c>
      <c r="M38" s="30"/>
      <c r="N38" s="37">
        <f>IFERROR(AVERAGE(C38:L38),0)</f>
        <v>0.58510667117415871</v>
      </c>
      <c r="O38" s="37">
        <f>IFERROR(MEDIAN(C38:L38),0)</f>
        <v>0.58278838447944326</v>
      </c>
    </row>
    <row r="39" spans="2:15" x14ac:dyDescent="0.35">
      <c r="B39" t="s">
        <v>140</v>
      </c>
      <c r="C39" s="29">
        <f>IFERROR(365/C32,0)</f>
        <v>14.247596448754006</v>
      </c>
      <c r="D39" s="29">
        <f t="shared" ref="D39:L39" si="5">IFERROR(365/D32,0)</f>
        <v>13.610067150060113</v>
      </c>
      <c r="E39" s="29">
        <f t="shared" si="5"/>
        <v>13.329063600527833</v>
      </c>
      <c r="F39" s="29">
        <f t="shared" si="5"/>
        <v>12.383807173456082</v>
      </c>
      <c r="G39" s="29">
        <f t="shared" si="5"/>
        <v>11.475014146802822</v>
      </c>
      <c r="H39" s="29">
        <f t="shared" si="5"/>
        <v>10.134869241099791</v>
      </c>
      <c r="I39" s="29">
        <f t="shared" si="5"/>
        <v>13.166908005861725</v>
      </c>
      <c r="J39" s="29">
        <f t="shared" si="5"/>
        <v>13.109001664822783</v>
      </c>
      <c r="K39" s="29">
        <f t="shared" si="5"/>
        <v>10.774767527957804</v>
      </c>
      <c r="L39" s="29">
        <f t="shared" si="5"/>
        <v>11.733378185715244</v>
      </c>
      <c r="N39" s="29">
        <f>IFERROR(AVERAGE(C39:L39),0)</f>
        <v>12.396447314505821</v>
      </c>
      <c r="O39" s="29">
        <f>IFERROR(MEDIAN(C39:L39),0)</f>
        <v>12.746404419139433</v>
      </c>
    </row>
    <row r="40" spans="2:15" x14ac:dyDescent="0.35">
      <c r="B40" t="s">
        <v>141</v>
      </c>
      <c r="C40" s="29">
        <f>IFERROR(365/C33,0)</f>
        <v>30.586193187906382</v>
      </c>
      <c r="D40" s="29">
        <f t="shared" ref="D40:L40" si="6">IFERROR(365/D33,0)</f>
        <v>25.753545066497669</v>
      </c>
      <c r="E40" s="29">
        <f t="shared" si="6"/>
        <v>24.843051598208056</v>
      </c>
      <c r="F40" s="29">
        <f t="shared" si="6"/>
        <v>25.631360921161164</v>
      </c>
      <c r="G40" s="29">
        <f t="shared" si="6"/>
        <v>25.289697028471569</v>
      </c>
      <c r="H40" s="29">
        <f t="shared" si="6"/>
        <v>26.094648414568439</v>
      </c>
      <c r="I40" s="29">
        <f t="shared" si="6"/>
        <v>31.715598602662631</v>
      </c>
      <c r="J40" s="29">
        <f t="shared" si="6"/>
        <v>29.404655563758972</v>
      </c>
      <c r="K40" s="29">
        <f t="shared" si="6"/>
        <v>25.501441891560042</v>
      </c>
      <c r="L40" s="29">
        <f t="shared" si="6"/>
        <v>25.766869900330445</v>
      </c>
      <c r="N40" s="29">
        <f>IFERROR(AVERAGE(C40:L40),0)</f>
        <v>27.058706217512537</v>
      </c>
      <c r="O40" s="29">
        <f>IFERROR(MEDIAN(C40:L40),0)</f>
        <v>25.760207483414057</v>
      </c>
    </row>
    <row r="41" spans="2:15" x14ac:dyDescent="0.35">
      <c r="B41" s="32" t="s">
        <v>148</v>
      </c>
      <c r="C41" s="38">
        <f>IFERROR(SUM(C38,C40)-C39,0)</f>
        <v>16.739338730291344</v>
      </c>
      <c r="D41" s="38">
        <f t="shared" ref="D41:L41" si="7">IFERROR(SUM(D38,D40)-D39,0)</f>
        <v>12.472812031091275</v>
      </c>
      <c r="E41" s="38">
        <f t="shared" si="7"/>
        <v>11.965264294779663</v>
      </c>
      <c r="F41" s="38">
        <f t="shared" si="7"/>
        <v>13.909415493707263</v>
      </c>
      <c r="G41" s="38">
        <f t="shared" si="7"/>
        <v>14.707727303629385</v>
      </c>
      <c r="H41" s="38">
        <f t="shared" si="7"/>
        <v>16.575592476136094</v>
      </c>
      <c r="I41" s="38">
        <f t="shared" si="7"/>
        <v>19.025897090095459</v>
      </c>
      <c r="J41" s="38">
        <f t="shared" si="7"/>
        <v>16.946499691538072</v>
      </c>
      <c r="K41" s="38">
        <f t="shared" si="7"/>
        <v>15.276437829893675</v>
      </c>
      <c r="L41" s="38">
        <f t="shared" si="7"/>
        <v>14.854670800646518</v>
      </c>
      <c r="M41" s="32"/>
      <c r="N41" s="38">
        <f>IFERROR(AVERAGE(C41:L41),0)</f>
        <v>15.247365574180872</v>
      </c>
      <c r="O41" s="38">
        <f>IFERROR(MEDIAN(C41:L41),0)</f>
        <v>15.065554315270097</v>
      </c>
    </row>
    <row r="43" spans="2:15" x14ac:dyDescent="0.35">
      <c r="B43" s="12" t="s">
        <v>335</v>
      </c>
    </row>
    <row r="44" spans="2:15" x14ac:dyDescent="0.35">
      <c r="B44" s="30" t="s">
        <v>336</v>
      </c>
      <c r="C44" s="36">
        <f>'Historical Financial Statement '!C69/'Historical Financial Statement '!C55</f>
        <v>2.3262253341820496</v>
      </c>
      <c r="D44" s="36">
        <f>'Historical Financial Statement '!D69/'Historical Financial Statement '!D55</f>
        <v>1.8396265239981482</v>
      </c>
      <c r="E44" s="36">
        <f>'Historical Financial Statement '!E69/'Historical Financial Statement '!E55</f>
        <v>5.9419176142279975</v>
      </c>
      <c r="F44" s="36">
        <f>'Historical Financial Statement '!F69/'Historical Financial Statement '!F55</f>
        <v>3.2544636242406288</v>
      </c>
      <c r="G44" s="36">
        <f>'Historical Financial Statement '!G69/'Historical Financial Statement '!G55</f>
        <v>2.6355899150299482</v>
      </c>
      <c r="H44" s="36">
        <f>'Historical Financial Statement '!H69/'Historical Financial Statement '!H55</f>
        <v>3.1283717564042637</v>
      </c>
      <c r="I44" s="36">
        <f>'Historical Financial Statement '!I69/'Historical Financial Statement '!I55</f>
        <v>3.464987994029463</v>
      </c>
      <c r="J44" s="36">
        <f>'Historical Financial Statement '!J69/'Historical Financial Statement '!J55</f>
        <v>2.7112090020935096</v>
      </c>
      <c r="K44" s="36">
        <f>'Historical Financial Statement '!K69/'Historical Financial Statement '!K55</f>
        <v>3.4089048624569722</v>
      </c>
      <c r="L44" s="36">
        <f>'Historical Financial Statement '!L69/'Historical Financial Statement '!L55</f>
        <v>2.5136042496679947</v>
      </c>
      <c r="M44" s="30"/>
      <c r="N44" s="36">
        <f>IFERROR(AVERAGE(C44:L44),0)</f>
        <v>3.1224900876330972</v>
      </c>
      <c r="O44" s="36">
        <f>IFERROR(MEDIAN(C44:L44),0)</f>
        <v>2.9197903792488864</v>
      </c>
    </row>
    <row r="45" spans="2:15" x14ac:dyDescent="0.35">
      <c r="B45" t="s">
        <v>337</v>
      </c>
      <c r="C45" s="27">
        <f>IFERROR(SUM('Historical Financial Statement '!C66,'Historical Financial Statement '!C68)/'Historical Financial Statement '!C55,0)</f>
        <v>0.17946371737746658</v>
      </c>
      <c r="D45" s="27">
        <f>IFERROR(SUM('Historical Financial Statement '!D66,'Historical Financial Statement '!D68)/'Historical Financial Statement '!D55,0)</f>
        <v>0.11193991460466075</v>
      </c>
      <c r="E45" s="27">
        <f>IFERROR(SUM('Historical Financial Statement '!E66,'Historical Financial Statement '!E68)/'Historical Financial Statement '!E55,0)</f>
        <v>3.9678662168353531</v>
      </c>
      <c r="F45" s="27">
        <f>IFERROR(SUM('Historical Financial Statement '!F66,'Historical Financial Statement '!F68)/'Historical Financial Statement '!F55,0)</f>
        <v>1.099607349236924</v>
      </c>
      <c r="G45" s="27">
        <f>IFERROR(SUM('Historical Financial Statement '!G66,'Historical Financial Statement '!G68)/'Historical Financial Statement '!G55,0)</f>
        <v>0.39481821980777265</v>
      </c>
      <c r="H45" s="27">
        <f>IFERROR(SUM('Historical Financial Statement '!H66,'Historical Financial Statement '!H68)/'Historical Financial Statement '!H55,0)</f>
        <v>0.19213545828747189</v>
      </c>
      <c r="I45" s="27">
        <f>IFERROR(SUM('Historical Financial Statement '!I66,'Historical Financial Statement '!I68)/'Historical Financial Statement '!I55,0)</f>
        <v>1.3806031725429477</v>
      </c>
      <c r="J45" s="27">
        <f>IFERROR(SUM('Historical Financial Statement '!J66,'Historical Financial Statement '!J68)/'Historical Financial Statement '!J55,0)</f>
        <v>0.31879797627355194</v>
      </c>
      <c r="K45" s="27">
        <f>IFERROR(SUM('Historical Financial Statement '!K66,'Historical Financial Statement '!K68)/'Historical Financial Statement '!K55,0)</f>
        <v>1.0633840502154985</v>
      </c>
      <c r="L45" s="27">
        <f>IFERROR(SUM('Historical Financial Statement '!L66,'Historical Financial Statement '!L68)/'Historical Financial Statement '!L55,0)</f>
        <v>0.42738379814077021</v>
      </c>
      <c r="N45" s="27">
        <f>IFERROR(AVERAGE(C45:L45),0)</f>
        <v>0.91359998733224168</v>
      </c>
      <c r="O45" s="27">
        <f>IFERROR(MEDIAN(C45:L45),0)</f>
        <v>0.41110100897427143</v>
      </c>
    </row>
    <row r="46" spans="2:15" x14ac:dyDescent="0.35">
      <c r="B46" s="32" t="s">
        <v>338</v>
      </c>
      <c r="C46" s="35">
        <f>IFERROR('Historical Financial Statement '!C68/'Historical Financial Statement '!C55,0)</f>
        <v>0.15133672819859961</v>
      </c>
      <c r="D46" s="35">
        <f>IFERROR('Historical Financial Statement '!D68/'Historical Financial Statement '!D55,0)</f>
        <v>9.028242193528474E-2</v>
      </c>
      <c r="E46" s="35">
        <f>IFERROR('Historical Financial Statement '!E68/'Historical Financial Statement '!E55,0)</f>
        <v>3.9241326169353159</v>
      </c>
      <c r="F46" s="35">
        <f>IFERROR('Historical Financial Statement '!F68/'Historical Financial Statement '!F55,0)</f>
        <v>1.0375240776411321</v>
      </c>
      <c r="G46" s="35">
        <f>IFERROR('Historical Financial Statement '!G68/'Historical Financial Statement '!G55,0)</f>
        <v>0.3051539211589358</v>
      </c>
      <c r="H46" s="35">
        <f>IFERROR('Historical Financial Statement '!H68/'Historical Financial Statement '!H55,0)</f>
        <v>0.16265850459116746</v>
      </c>
      <c r="I46" s="35">
        <f>IFERROR('Historical Financial Statement '!I68/'Historical Financial Statement '!I55,0)</f>
        <v>1.3402000686055457</v>
      </c>
      <c r="J46" s="35">
        <f>IFERROR('Historical Financial Statement '!J68/'Historical Financial Statement '!J55,0)</f>
        <v>0.26045010467550589</v>
      </c>
      <c r="K46" s="35">
        <f>IFERROR('Historical Financial Statement '!K68/'Historical Financial Statement '!K55,0)</f>
        <v>1.0184330797489225</v>
      </c>
      <c r="L46" s="35">
        <f>IFERROR('Historical Financial Statement '!L68/'Historical Financial Statement '!L55,0)</f>
        <v>0.33900664010624165</v>
      </c>
      <c r="M46" s="32"/>
      <c r="N46" s="35">
        <f>IFERROR(AVERAGE(C46:L46),0)</f>
        <v>0.86291781635966502</v>
      </c>
      <c r="O46" s="35">
        <f>IFERROR(MEDIAN(C46:L46),0)</f>
        <v>0.32208028063258876</v>
      </c>
    </row>
    <row r="48" spans="2:15" x14ac:dyDescent="0.35">
      <c r="B48" s="30" t="s">
        <v>142</v>
      </c>
      <c r="C48" s="31">
        <f>IFERROR('Historical Financial Statement '!C81/'Historical Financial Statement '!C6,0)</f>
        <v>3.4475101057081139E-2</v>
      </c>
      <c r="D48" s="31">
        <f>IFERROR('Historical Financial Statement '!D81/'Historical Financial Statement '!D6,0)</f>
        <v>5.0444094429480786E-2</v>
      </c>
      <c r="E48" s="31">
        <f>IFERROR('Historical Financial Statement '!E81/'Historical Financial Statement '!E6,0)</f>
        <v>3.8326735419450815E-2</v>
      </c>
      <c r="F48" s="31">
        <f>IFERROR('Historical Financial Statement '!F81/'Historical Financial Statement '!F6,0)</f>
        <v>4.8492669558044856E-2</v>
      </c>
      <c r="G48" s="31">
        <f>IFERROR('Historical Financial Statement '!G81/'Historical Financial Statement '!G6,0)</f>
        <v>4.0290894257897711E-2</v>
      </c>
      <c r="H48" s="31">
        <f>IFERROR('Historical Financial Statement '!H81/'Historical Financial Statement '!H6,0)</f>
        <v>5.1507426558692733E-2</v>
      </c>
      <c r="I48" s="31">
        <f>IFERROR('Historical Financial Statement '!I81/'Historical Financial Statement '!I6,0)</f>
        <v>5.6952184188748235E-2</v>
      </c>
      <c r="J48" s="31">
        <f>IFERROR('Historical Financial Statement '!J81/'Historical Financial Statement '!J6,0)</f>
        <v>4.4324252080705652E-2</v>
      </c>
      <c r="K48" s="31">
        <f>IFERROR('Historical Financial Statement '!K81/'Historical Financial Statement '!K6,0)</f>
        <v>6.1391853697843772E-2</v>
      </c>
      <c r="L48" s="31">
        <f>IFERROR('Historical Financial Statement '!L81/'Historical Financial Statement '!L6,0)</f>
        <v>5.4047317097086107E-2</v>
      </c>
      <c r="M48" s="30"/>
      <c r="N48" s="31">
        <f>IFERROR(AVERAGE(C48:L48),0)</f>
        <v>4.8025252834503186E-2</v>
      </c>
      <c r="O48" s="31">
        <f t="shared" ref="O48:O51" si="8">IFERROR(MEDIAN(C48:L48),0)</f>
        <v>4.9468381993762821E-2</v>
      </c>
    </row>
    <row r="49" spans="2:15" x14ac:dyDescent="0.35">
      <c r="B49" s="12" t="s">
        <v>170</v>
      </c>
      <c r="C49" s="28">
        <f>IFERROR('Historical Financial Statement '!C81/'Historical Financial Statement '!C38-1,0)</f>
        <v>4.8604222757546944E-2</v>
      </c>
      <c r="D49" s="28">
        <f>IFERROR('Historical Financial Statement '!D81/'Historical Financial Statement '!D38-1,0)</f>
        <v>0.35211091681239015</v>
      </c>
      <c r="E49" s="28">
        <f>IFERROR('Historical Financial Statement '!E81/'Historical Financial Statement '!E38-1,0)</f>
        <v>-4.7619047619048005E-2</v>
      </c>
      <c r="F49" s="28">
        <f>IFERROR('Historical Financial Statement '!F81/'Historical Financial Statement '!F38-1,0)</f>
        <v>-9.5847596368506705E-2</v>
      </c>
      <c r="G49" s="28">
        <f>IFERROR('Historical Financial Statement '!G81/'Historical Financial Statement '!G38-1,0)</f>
        <v>-0.10688562373955657</v>
      </c>
      <c r="H49" s="28">
        <f>IFERROR('Historical Financial Statement '!H81/'Historical Financial Statement '!H38-1,0)</f>
        <v>-1.5357653461236964E-2</v>
      </c>
      <c r="I49" s="28">
        <f>IFERROR('Historical Financial Statement '!I81/'Historical Financial Statement '!I38-1,0)</f>
        <v>0.25064806308723542</v>
      </c>
      <c r="J49" s="28">
        <f>IFERROR('Historical Financial Statement '!J81/'Historical Financial Statement '!J38-1,0)</f>
        <v>-8.0005360493166089E-2</v>
      </c>
      <c r="K49" s="28">
        <f>IFERROR('Historical Financial Statement '!K81/'Historical Financial Statement '!K38-1,0)</f>
        <v>0.10581329835094988</v>
      </c>
      <c r="L49" s="28">
        <f>IFERROR('Historical Financial Statement '!L81/'Historical Financial Statement '!L38,0)</f>
        <v>1.0825797342651273</v>
      </c>
      <c r="M49" s="30"/>
      <c r="N49" s="31">
        <f>IFERROR(AVERAGE(C49:L49),0)</f>
        <v>0.14940409535917354</v>
      </c>
      <c r="O49" s="31">
        <f t="shared" si="8"/>
        <v>1.662328464815499E-2</v>
      </c>
    </row>
    <row r="50" spans="2:15" x14ac:dyDescent="0.35">
      <c r="B50" t="s">
        <v>143</v>
      </c>
      <c r="C50" s="28">
        <f>IFERROR('Historical Financial Statement '!C81/'Historical Financial Statement '!C71,0)</f>
        <v>9.4275121984363941E-2</v>
      </c>
      <c r="D50" s="28">
        <f>IFERROR('Historical Financial Statement '!D81/'Historical Financial Statement '!D71,0)</f>
        <v>0.13960716542643056</v>
      </c>
      <c r="E50" s="28">
        <f>IFERROR('Historical Financial Statement '!E81/'Historical Financial Statement '!E71,0)</f>
        <v>7.8360209510454901E-2</v>
      </c>
      <c r="F50" s="28">
        <f>IFERROR('Historical Financial Statement '!F81/'Historical Financial Statement '!F71,0)</f>
        <v>0.12906721055482967</v>
      </c>
      <c r="G50" s="28">
        <f>IFERROR('Historical Financial Statement '!G81/'Historical Financial Statement '!G71,0)</f>
        <v>0.11505245878238526</v>
      </c>
      <c r="H50" s="28">
        <f>IFERROR('Historical Financial Statement '!H81/'Historical Financial Statement '!H71,0)</f>
        <v>0.10607676612433091</v>
      </c>
      <c r="I50" s="28">
        <f>IFERROR('Historical Financial Statement '!I81/'Historical Financial Statement '!I71,0)</f>
        <v>0.1006953471426322</v>
      </c>
      <c r="J50" s="28">
        <f>IFERROR('Historical Financial Statement '!J81/'Historical Financial Statement '!J71,0)</f>
        <v>8.8746802077179332E-2</v>
      </c>
      <c r="K50" s="28">
        <f>IFERROR('Historical Financial Statement '!K81/'Historical Financial Statement '!K71,0)</f>
        <v>0.14526759063482489</v>
      </c>
      <c r="L50" s="28">
        <f>IFERROR('Historical Financial Statement '!L81/'Historical Financial Statement '!L71,0)</f>
        <v>0.1296494317151321</v>
      </c>
      <c r="N50" s="28">
        <f>IFERROR(AVERAGE(C50:L50),0)</f>
        <v>0.11267981039525639</v>
      </c>
      <c r="O50" s="28">
        <f t="shared" si="8"/>
        <v>0.11056461245335808</v>
      </c>
    </row>
    <row r="51" spans="2:15" x14ac:dyDescent="0.35">
      <c r="B51" s="32" t="s">
        <v>144</v>
      </c>
      <c r="C51" s="34">
        <f>IFERROR('Historical Financial Statement '!C81/'Historical Financial Statement '!C54,0)</f>
        <v>0.24550461150554045</v>
      </c>
      <c r="D51" s="34">
        <f>IFERROR('Historical Financial Statement '!D81/'Historical Financial Statement '!D54,0)</f>
        <v>0.36315145008973954</v>
      </c>
      <c r="E51" s="34">
        <f>IFERROR('Historical Financial Statement '!E81/'Historical Financial Statement '!E54,0)</f>
        <v>0.30454411882563515</v>
      </c>
      <c r="F51" s="34">
        <f>IFERROR('Historical Financial Statement '!F81/'Historical Financial Statement '!F54,0)</f>
        <v>1.659647125782584</v>
      </c>
      <c r="G51" s="34">
        <f>IFERROR('Historical Financial Statement '!G81/'Historical Financial Statement '!G54,0)</f>
        <v>1.1511818895950867</v>
      </c>
      <c r="H51" s="34">
        <f>IFERROR('Historical Financial Statement '!H81/'Historical Financial Statement '!H54,0)</f>
        <v>3.844653200876377</v>
      </c>
      <c r="I51" s="34">
        <f>IFERROR('Historical Financial Statement '!I81/'Historical Financial Statement '!I54,0)</f>
        <v>3.5013114002699193</v>
      </c>
      <c r="J51" s="34">
        <f>IFERROR('Historical Financial Statement '!J81/'Historical Financial Statement '!J54,0)</f>
        <v>2.1222988221473398</v>
      </c>
      <c r="K51" s="34">
        <f>IFERROR('Historical Financial Statement '!K81/'Historical Financial Statement '!K54,0)</f>
        <v>4.090329403713957</v>
      </c>
      <c r="L51" s="34">
        <f>IFERROR('Historical Financial Statement '!L81/'Historical Financial Statement '!L54,0)</f>
        <v>4.6355714671710349</v>
      </c>
      <c r="M51" s="32"/>
      <c r="N51" s="34">
        <f>IFERROR(AVERAGE(C51:L51),0)</f>
        <v>2.1918193489977211</v>
      </c>
      <c r="O51" s="34">
        <f t="shared" si="8"/>
        <v>1.8909729739649619</v>
      </c>
    </row>
    <row r="53" spans="2:15" x14ac:dyDescent="0.35">
      <c r="B53" s="12" t="s">
        <v>330</v>
      </c>
    </row>
  </sheetData>
  <mergeCells count="1">
    <mergeCell ref="B2:O2"/>
  </mergeCells>
  <pageMargins left="0.7" right="0.7" top="0.75" bottom="0.75" header="0.3" footer="0.3"/>
  <pageSetup orientation="portrait" r:id="rId1"/>
  <legacyDrawing r:id="rId2"/>
  <extLst>
    <ext xmlns:x14="http://schemas.microsoft.com/office/spreadsheetml/2009/9/main" uri="{05C60535-1F16-4fd2-B633-F4F36F0B64E0}">
      <x14:sparklineGroups xmlns:xm="http://schemas.microsoft.com/office/excel/2006/main">
        <x14:sparklineGroup displayEmptyCellsAs="gap" markers="1" xr2:uid="{DE2D158F-C3CC-4B76-8A51-00EDB478252D}">
          <x14:colorSeries theme="4" tint="0.59999389629810485"/>
          <x14:colorNegative rgb="FFD00000"/>
          <x14:colorAxis rgb="FF000000"/>
          <x14:colorMarkers theme="1"/>
          <x14:colorFirst rgb="FFD00000"/>
          <x14:colorLast rgb="FFD00000"/>
          <x14:colorHigh rgb="FFD00000"/>
          <x14:colorLow rgb="FFD00000"/>
          <x14:sparklines>
            <x14:sparkline>
              <xm:f>'Ratio Analysis'!D5:L5</xm:f>
              <xm:sqref>M5</xm:sqref>
            </x14:sparkline>
            <x14:sparkline>
              <xm:f>'Ratio Analysis'!D6:L6</xm:f>
              <xm:sqref>M6</xm:sqref>
            </x14:sparkline>
            <x14:sparkline>
              <xm:f>'Ratio Analysis'!D7:L7</xm:f>
              <xm:sqref>M7</xm:sqref>
            </x14:sparkline>
            <x14:sparkline>
              <xm:f>'Ratio Analysis'!D8:L8</xm:f>
              <xm:sqref>M8</xm:sqref>
            </x14:sparkline>
            <x14:sparkline>
              <xm:f>'Ratio Analysis'!D9:L9</xm:f>
              <xm:sqref>M9</xm:sqref>
            </x14:sparkline>
            <x14:sparkline>
              <xm:f>'Ratio Analysis'!D10:L10</xm:f>
              <xm:sqref>M10</xm:sqref>
            </x14:sparkline>
          </x14:sparklines>
        </x14:sparklineGroup>
        <x14:sparklineGroup displayEmptyCellsAs="gap" markers="1" xr2:uid="{EC761665-E5FB-4B75-B6D3-A781A2D947F2}">
          <x14:colorSeries theme="4" tint="0.59999389629810485"/>
          <x14:colorNegative rgb="FFD00000"/>
          <x14:colorAxis rgb="FF000000"/>
          <x14:colorMarkers theme="1"/>
          <x14:colorFirst rgb="FFD00000"/>
          <x14:colorLast rgb="FFD00000"/>
          <x14:colorHigh rgb="FFD00000"/>
          <x14:colorLow rgb="FFD00000"/>
          <x14:sparklines>
            <x14:sparkline>
              <xm:f>'Ratio Analysis'!C13:L13</xm:f>
              <xm:sqref>M13</xm:sqref>
            </x14:sparkline>
            <x14:sparkline>
              <xm:f>'Ratio Analysis'!C14:L14</xm:f>
              <xm:sqref>M14</xm:sqref>
            </x14:sparkline>
            <x14:sparkline>
              <xm:f>'Ratio Analysis'!C15:L15</xm:f>
              <xm:sqref>M15</xm:sqref>
            </x14:sparkline>
            <x14:sparkline>
              <xm:f>'Ratio Analysis'!C16:L16</xm:f>
              <xm:sqref>M16</xm:sqref>
            </x14:sparkline>
            <x14:sparkline>
              <xm:f>'Ratio Analysis'!C17:L17</xm:f>
              <xm:sqref>M17</xm:sqref>
            </x14:sparkline>
            <x14:sparkline>
              <xm:f>'Ratio Analysis'!C18:L18</xm:f>
              <xm:sqref>M18</xm:sqref>
            </x14:sparkline>
            <x14:sparkline>
              <xm:f>'Ratio Analysis'!C19:L19</xm:f>
              <xm:sqref>M19</xm:sqref>
            </x14:sparkline>
            <x14:sparkline>
              <xm:f>'Ratio Analysis'!C20:L20</xm:f>
              <xm:sqref>M20</xm:sqref>
            </x14:sparkline>
            <x14:sparkline>
              <xm:f>'Ratio Analysis'!C21:L21</xm:f>
              <xm:sqref>M21</xm:sqref>
            </x14:sparkline>
            <x14:sparkline>
              <xm:f>'Ratio Analysis'!C23:L23</xm:f>
              <xm:sqref>M23</xm:sqref>
            </x14:sparkline>
            <x14:sparkline>
              <xm:f>'Ratio Analysis'!C24:L24</xm:f>
              <xm:sqref>M24</xm:sqref>
            </x14:sparkline>
            <x14:sparkline>
              <xm:f>'Ratio Analysis'!C25:L25</xm:f>
              <xm:sqref>M25</xm:sqref>
            </x14:sparkline>
            <x14:sparkline>
              <xm:f>'Ratio Analysis'!C26:L26</xm:f>
              <xm:sqref>M26</xm:sqref>
            </x14:sparkline>
            <x14:sparkline>
              <xm:f>'Ratio Analysis'!C27:L27</xm:f>
              <xm:sqref>M27</xm:sqref>
            </x14:sparkline>
            <x14:sparkline>
              <xm:f>'Ratio Analysis'!C28:L28</xm:f>
              <xm:sqref>M28</xm:sqref>
            </x14:sparkline>
            <x14:sparkline>
              <xm:f>'Ratio Analysis'!C30:L30</xm:f>
              <xm:sqref>M30</xm:sqref>
            </x14:sparkline>
            <x14:sparkline>
              <xm:f>'Ratio Analysis'!C31:L31</xm:f>
              <xm:sqref>M31</xm:sqref>
            </x14:sparkline>
            <x14:sparkline>
              <xm:f>'Ratio Analysis'!C32:L32</xm:f>
              <xm:sqref>M32</xm:sqref>
            </x14:sparkline>
            <x14:sparkline>
              <xm:f>'Ratio Analysis'!C33:L33</xm:f>
              <xm:sqref>M33</xm:sqref>
            </x14:sparkline>
            <x14:sparkline>
              <xm:f>'Ratio Analysis'!C34:L34</xm:f>
              <xm:sqref>M34</xm:sqref>
            </x14:sparkline>
            <x14:sparkline>
              <xm:f>'Ratio Analysis'!C35:L35</xm:f>
              <xm:sqref>M35</xm:sqref>
            </x14:sparkline>
            <x14:sparkline>
              <xm:f>'Ratio Analysis'!C36:L36</xm:f>
              <xm:sqref>M36</xm:sqref>
            </x14:sparkline>
            <x14:sparkline>
              <xm:f>'Ratio Analysis'!C37:L37</xm:f>
              <xm:sqref>M37</xm:sqref>
            </x14:sparkline>
            <x14:sparkline>
              <xm:f>'Ratio Analysis'!C38:L38</xm:f>
              <xm:sqref>M38</xm:sqref>
            </x14:sparkline>
            <x14:sparkline>
              <xm:f>'Ratio Analysis'!C39:L39</xm:f>
              <xm:sqref>M39</xm:sqref>
            </x14:sparkline>
            <x14:sparkline>
              <xm:f>'Ratio Analysis'!C40:L40</xm:f>
              <xm:sqref>M40</xm:sqref>
            </x14:sparkline>
            <x14:sparkline>
              <xm:f>'Ratio Analysis'!C41:L41</xm:f>
              <xm:sqref>M41</xm:sqref>
            </x14:sparkline>
            <x14:sparkline>
              <xm:f>'Ratio Analysis'!C42:L42</xm:f>
              <xm:sqref>M42</xm:sqref>
            </x14:sparkline>
            <x14:sparkline>
              <xm:f>'Ratio Analysis'!C48:L48</xm:f>
              <xm:sqref>M48</xm:sqref>
            </x14:sparkline>
            <x14:sparkline>
              <xm:f>'Ratio Analysis'!C49:L49</xm:f>
              <xm:sqref>M49</xm:sqref>
            </x14:sparkline>
            <x14:sparkline>
              <xm:f>'Ratio Analysis'!C50:L50</xm:f>
              <xm:sqref>M50</xm:sqref>
            </x14:sparkline>
            <x14:sparkline>
              <xm:f>'Ratio Analysis'!C51:L51</xm:f>
              <xm:sqref>M51</xm:sqref>
            </x14:sparkline>
          </x14:sparklines>
        </x14:sparklineGroup>
        <x14:sparklineGroup displayEmptyCellsAs="gap" markers="1" xr2:uid="{01A14700-A8B5-4A08-868B-3BE39FE0270B}">
          <x14:colorSeries theme="4" tint="0.59999389629810485"/>
          <x14:colorNegative rgb="FFD00000"/>
          <x14:colorAxis rgb="FF000000"/>
          <x14:colorMarkers theme="1"/>
          <x14:colorFirst rgb="FFD00000"/>
          <x14:colorLast rgb="FFD00000"/>
          <x14:colorHigh rgb="FFD00000"/>
          <x14:colorLow rgb="FFD00000"/>
          <x14:sparklines>
            <x14:sparkline>
              <xm:f>'Ratio Analysis'!C43:L43</xm:f>
              <xm:sqref>M43</xm:sqref>
            </x14:sparkline>
            <x14:sparkline>
              <xm:f>'Ratio Analysis'!C44:L44</xm:f>
              <xm:sqref>M44</xm:sqref>
            </x14:sparkline>
            <x14:sparkline>
              <xm:f>'Ratio Analysis'!C45:L45</xm:f>
              <xm:sqref>M45</xm:sqref>
            </x14:sparkline>
            <x14:sparkline>
              <xm:f>'Ratio Analysis'!C46:L46</xm:f>
              <xm:sqref>M46</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BE22F-1B02-4E76-994C-E1D5E0BF4316}">
  <dimension ref="A2:S35"/>
  <sheetViews>
    <sheetView topLeftCell="A15" zoomScale="88" workbookViewId="0">
      <selection activeCell="N9" sqref="N9"/>
    </sheetView>
  </sheetViews>
  <sheetFormatPr defaultRowHeight="14.5" x14ac:dyDescent="0.35"/>
  <cols>
    <col min="1" max="1" width="1.81640625" bestFit="1" customWidth="1"/>
    <col min="2" max="2" width="23.81640625" bestFit="1" customWidth="1"/>
    <col min="14" max="14" width="8.7265625" customWidth="1"/>
    <col min="15" max="15" width="19.6328125" bestFit="1" customWidth="1"/>
  </cols>
  <sheetData>
    <row r="2" spans="1:19" x14ac:dyDescent="0.35">
      <c r="A2" t="s">
        <v>57</v>
      </c>
      <c r="B2" s="222" t="s">
        <v>156</v>
      </c>
      <c r="C2" s="222"/>
      <c r="D2" s="222"/>
      <c r="E2" s="222"/>
      <c r="F2" s="222"/>
      <c r="G2" s="222"/>
      <c r="H2" s="222"/>
      <c r="I2" s="222"/>
      <c r="J2" s="222"/>
      <c r="K2" s="222"/>
      <c r="L2" s="222"/>
    </row>
    <row r="3" spans="1:19" x14ac:dyDescent="0.35">
      <c r="B3" s="66" t="s">
        <v>54</v>
      </c>
      <c r="C3" s="129">
        <f>'Data Sheet'!B16</f>
        <v>42094</v>
      </c>
      <c r="D3" s="129">
        <f>'Data Sheet'!C16</f>
        <v>42460</v>
      </c>
      <c r="E3" s="129">
        <f>'Data Sheet'!D16</f>
        <v>42825</v>
      </c>
      <c r="F3" s="129">
        <f>'Data Sheet'!E16</f>
        <v>43190</v>
      </c>
      <c r="G3" s="129">
        <f>'Data Sheet'!F16</f>
        <v>43555</v>
      </c>
      <c r="H3" s="129">
        <f>'Data Sheet'!G16</f>
        <v>43921</v>
      </c>
      <c r="I3" s="129">
        <f>'Data Sheet'!H16</f>
        <v>44286</v>
      </c>
      <c r="J3" s="129">
        <f>'Data Sheet'!I16</f>
        <v>44651</v>
      </c>
      <c r="K3" s="129">
        <f>'Data Sheet'!J16</f>
        <v>45016</v>
      </c>
      <c r="L3" s="129">
        <f>'Data Sheet'!K16</f>
        <v>45382</v>
      </c>
    </row>
    <row r="5" spans="1:19" x14ac:dyDescent="0.35">
      <c r="A5" t="s">
        <v>57</v>
      </c>
      <c r="B5" s="66" t="str">
        <f>IFERROR('Historical Financial Statement '!B5,0)</f>
        <v xml:space="preserve">Income Statement </v>
      </c>
      <c r="C5" s="64"/>
      <c r="D5" s="64"/>
      <c r="E5" s="64"/>
      <c r="F5" s="64"/>
      <c r="G5" s="64"/>
      <c r="H5" s="64"/>
      <c r="I5" s="64"/>
      <c r="J5" s="64"/>
      <c r="K5" s="64"/>
      <c r="L5" s="64"/>
    </row>
    <row r="6" spans="1:19" x14ac:dyDescent="0.35">
      <c r="B6" s="96" t="str">
        <f>IFERROR('Historical Financial Statement '!B6,0)</f>
        <v>Sales</v>
      </c>
      <c r="C6" s="130">
        <f>'Historical Financial Statement '!C6/'Historical Financial Statement '!C6</f>
        <v>1</v>
      </c>
      <c r="D6" s="130">
        <f>'Historical Financial Statement '!D6/'Historical Financial Statement '!D6</f>
        <v>1</v>
      </c>
      <c r="E6" s="130">
        <f>'Historical Financial Statement '!E6/'Historical Financial Statement '!E6</f>
        <v>1</v>
      </c>
      <c r="F6" s="130">
        <f>'Historical Financial Statement '!F6/'Historical Financial Statement '!F6</f>
        <v>1</v>
      </c>
      <c r="G6" s="130">
        <f>'Historical Financial Statement '!G6/'Historical Financial Statement '!G6</f>
        <v>1</v>
      </c>
      <c r="H6" s="130">
        <f>'Historical Financial Statement '!H6/'Historical Financial Statement '!H6</f>
        <v>1</v>
      </c>
      <c r="I6" s="130">
        <f>'Historical Financial Statement '!I6/'Historical Financial Statement '!I6</f>
        <v>1</v>
      </c>
      <c r="J6" s="130">
        <f>'Historical Financial Statement '!J6/'Historical Financial Statement '!J6</f>
        <v>1</v>
      </c>
      <c r="K6" s="130">
        <f>'Historical Financial Statement '!K6/'Historical Financial Statement '!K6</f>
        <v>1</v>
      </c>
      <c r="L6" s="130">
        <f>'Historical Financial Statement '!L6/'Historical Financial Statement '!L6</f>
        <v>1</v>
      </c>
      <c r="N6" s="50"/>
      <c r="O6" s="221"/>
    </row>
    <row r="7" spans="1:19" x14ac:dyDescent="0.35">
      <c r="B7" t="str">
        <f>IFERROR('Historical Financial Statement '!B9,0)</f>
        <v>COGS</v>
      </c>
      <c r="C7" s="43">
        <f>'Historical Financial Statement '!C9/'Historical Financial Statement '!C6</f>
        <v>0.85212355751984259</v>
      </c>
      <c r="D7" s="43">
        <f>'Historical Financial Statement '!D9/'Historical Financial Statement '!D6</f>
        <v>0.85085556912122429</v>
      </c>
      <c r="E7" s="43">
        <f>'Historical Financial Statement '!E9/'Historical Financial Statement '!E6</f>
        <v>0.84730914378409272</v>
      </c>
      <c r="F7" s="43">
        <f>'Historical Financial Statement '!F9/'Historical Financial Statement '!F6</f>
        <v>0.84051565867546496</v>
      </c>
      <c r="G7" s="43">
        <f>'Historical Financial Statement '!G9/'Historical Financial Statement '!G6</f>
        <v>0.84984993391493524</v>
      </c>
      <c r="H7" s="43">
        <f>'Historical Financial Statement '!H9/'Historical Financial Statement '!H6</f>
        <v>0.84852273001423384</v>
      </c>
      <c r="I7" s="43">
        <f>'Historical Financial Statement '!I9/'Historical Financial Statement '!I6</f>
        <v>0.85137012458238515</v>
      </c>
      <c r="J7" s="43">
        <f>'Historical Financial Statement '!J9/'Historical Financial Statement '!J6</f>
        <v>0.85218104051908117</v>
      </c>
      <c r="K7" s="43">
        <f>'Historical Financial Statement '!K9/'Historical Financial Statement '!K6</f>
        <v>0.84930727579835086</v>
      </c>
      <c r="L7" s="43">
        <f>'Historical Financial Statement '!L9/'Historical Financial Statement '!L6</f>
        <v>0.85204837362861086</v>
      </c>
      <c r="N7" s="50"/>
      <c r="O7" s="50"/>
    </row>
    <row r="8" spans="1:19" x14ac:dyDescent="0.35">
      <c r="B8" s="86" t="str">
        <f>IFERROR('Historical Financial Statement '!B12,0)</f>
        <v xml:space="preserve">Gross Profit </v>
      </c>
      <c r="C8" s="44">
        <f>'Historical Financial Statement '!C12/'Historical Financial Statement '!C6</f>
        <v>0.14787644248015736</v>
      </c>
      <c r="D8" s="44">
        <f>'Historical Financial Statement '!D12/'Historical Financial Statement '!D6</f>
        <v>0.14914443087877577</v>
      </c>
      <c r="E8" s="44">
        <f>'Historical Financial Statement '!E12/'Historical Financial Statement '!E6</f>
        <v>0.15269085621590728</v>
      </c>
      <c r="F8" s="44">
        <f>'Historical Financial Statement '!F12/'Historical Financial Statement '!F6</f>
        <v>0.15948434132453498</v>
      </c>
      <c r="G8" s="44">
        <f>'Historical Financial Statement '!G12/'Historical Financial Statement '!G6</f>
        <v>0.15015006608506479</v>
      </c>
      <c r="H8" s="44">
        <f>'Historical Financial Statement '!H12/'Historical Financial Statement '!H6</f>
        <v>0.15147726998576611</v>
      </c>
      <c r="I8" s="44">
        <f>'Historical Financial Statement '!I12/'Historical Financial Statement '!I6</f>
        <v>0.14862987541761488</v>
      </c>
      <c r="J8" s="44">
        <f>'Historical Financial Statement '!J12/'Historical Financial Statement '!J6</f>
        <v>0.1478189594809188</v>
      </c>
      <c r="K8" s="44">
        <f>'Historical Financial Statement '!K12/'Historical Financial Statement '!K6</f>
        <v>0.15069272420164914</v>
      </c>
      <c r="L8" s="44">
        <f>'Historical Financial Statement '!L12/'Historical Financial Statement '!L6</f>
        <v>0.14795162637138914</v>
      </c>
    </row>
    <row r="9" spans="1:19" x14ac:dyDescent="0.35">
      <c r="B9" t="str">
        <f>IFERROR('Historical Financial Statement '!B15,0)</f>
        <v>Other Income</v>
      </c>
      <c r="C9" s="43">
        <f>'Historical Financial Statement '!C15/'Historical Financial Statement '!C6</f>
        <v>3.1477941370587144E-3</v>
      </c>
      <c r="D9" s="43">
        <f>'Historical Financial Statement '!D15/'Historical Financial Statement '!D6</f>
        <v>1.9828140581749721E-3</v>
      </c>
      <c r="E9" s="43">
        <f>'Historical Financial Statement '!E15/'Historical Financial Statement '!E6</f>
        <v>2.3281810770148848E-3</v>
      </c>
      <c r="F9" s="43">
        <f>'Historical Financial Statement '!F15/'Historical Financial Statement '!F6</f>
        <v>5.8370805949498443E-3</v>
      </c>
      <c r="G9" s="43">
        <f>'Historical Financial Statement '!G15/'Historical Financial Statement '!G6</f>
        <v>2.4159539943972661E-3</v>
      </c>
      <c r="H9" s="43">
        <f>'Historical Financial Statement '!H15/'Historical Financial Statement '!H6</f>
        <v>2.4121237464917854E-3</v>
      </c>
      <c r="I9" s="43">
        <f>'Historical Financial Statement '!I15/'Historical Financial Statement '!I6</f>
        <v>8.0532459431405957E-3</v>
      </c>
      <c r="J9" s="43">
        <f>'Historical Financial Statement '!J15/'Historical Financial Statement '!J6</f>
        <v>3.6686147170075672E-3</v>
      </c>
      <c r="K9" s="43">
        <f>'Historical Financial Statement '!K15/'Historical Financial Statement '!K6</f>
        <v>2.9785553353022299E-3</v>
      </c>
      <c r="L9" s="175">
        <f>'Historical Financial Statement '!L15/'Historical Financial Statement '!L6</f>
        <v>2.8466889274669253E-3</v>
      </c>
    </row>
    <row r="10" spans="1:19" x14ac:dyDescent="0.35">
      <c r="B10" t="str">
        <f>IFERROR('Historical Financial Statement '!B17,0)</f>
        <v>Selling &amp; General  Expenses</v>
      </c>
      <c r="C10" s="43">
        <f>'Historical Financial Statement '!C17/'Historical Financial Statement '!C6</f>
        <v>7.7022345145455418E-2</v>
      </c>
      <c r="D10" s="43">
        <f>'Historical Financial Statement '!D17/'Historical Financial Statement '!D6</f>
        <v>7.1735463246875492E-2</v>
      </c>
      <c r="E10" s="43">
        <f>'Historical Financial Statement '!E17/'Historical Financial Statement '!E6</f>
        <v>7.123141447506659E-2</v>
      </c>
      <c r="F10" s="43">
        <f>'Historical Financial Statement '!F17/'Historical Financial Statement '!F6</f>
        <v>6.9492855812468404E-2</v>
      </c>
      <c r="G10" s="43">
        <f>'Historical Financial Statement '!G17/'Historical Financial Statement '!G6</f>
        <v>6.8503018317860154E-2</v>
      </c>
      <c r="H10" s="43">
        <f>'Historical Financial Statement '!H17/'Historical Financial Statement '!H6</f>
        <v>6.5900555685117129E-2</v>
      </c>
      <c r="I10" s="43">
        <f>'Historical Financial Statement '!I17/'Historical Financial Statement '!I6</f>
        <v>7.6359417571757682E-2</v>
      </c>
      <c r="J10" s="43">
        <f>'Historical Financial Statement '!J17/'Historical Financial Statement '!J6</f>
        <v>6.7036153804186246E-2</v>
      </c>
      <c r="K10" s="43">
        <f>'Historical Financial Statement '!K17/'Historical Financial Statement '!K6</f>
        <v>6.5753243030507308E-2</v>
      </c>
      <c r="L10" s="43">
        <f>'Historical Financial Statement '!L17/'Historical Financial Statement '!L6</f>
        <v>6.7114166638609321E-2</v>
      </c>
      <c r="N10" s="173" t="s">
        <v>365</v>
      </c>
      <c r="O10" s="174"/>
      <c r="P10" s="174"/>
      <c r="Q10" s="174"/>
      <c r="R10" s="174"/>
      <c r="S10" s="174"/>
    </row>
    <row r="11" spans="1:19" x14ac:dyDescent="0.35">
      <c r="B11" s="86" t="str">
        <f>IFERROR('Historical Financial Statement '!B20,0)</f>
        <v>EBITDA</v>
      </c>
      <c r="C11" s="44">
        <f>'Historical Financial Statement '!C20/'Historical Financial Statement '!C6</f>
        <v>7.4001891471760659E-2</v>
      </c>
      <c r="D11" s="44">
        <f>'Historical Financial Statement '!D20/'Historical Financial Statement '!D6</f>
        <v>7.9391781690075242E-2</v>
      </c>
      <c r="E11" s="44">
        <f>'Historical Financial Statement '!E20/'Historical Financial Statement '!E6</f>
        <v>8.3787622817855567E-2</v>
      </c>
      <c r="F11" s="44">
        <f>'Historical Financial Statement '!F20/'Historical Financial Statement '!F6</f>
        <v>9.5828566107016427E-2</v>
      </c>
      <c r="G11" s="44">
        <f>'Historical Financial Statement '!G20/'Historical Financial Statement '!G6</f>
        <v>8.4063001761601891E-2</v>
      </c>
      <c r="H11" s="44">
        <f>'Historical Financial Statement '!H20/'Historical Financial Statement '!H6</f>
        <v>8.7988838047140763E-2</v>
      </c>
      <c r="I11" s="44">
        <f>'Historical Financial Statement '!I20/'Historical Financial Statement '!I6</f>
        <v>8.0323703788997766E-2</v>
      </c>
      <c r="J11" s="44">
        <f>'Historical Financial Statement '!J20/'Historical Financial Statement '!J6</f>
        <v>8.4451420393740151E-2</v>
      </c>
      <c r="K11" s="44">
        <f>'Historical Financial Statement '!K20/'Historical Financial Statement '!K6</f>
        <v>8.7918036506444072E-2</v>
      </c>
      <c r="L11" s="44">
        <f>'Historical Financial Statement '!L20/'Historical Financial Statement '!L6</f>
        <v>8.3684148660246774E-2</v>
      </c>
    </row>
    <row r="12" spans="1:19" x14ac:dyDescent="0.35">
      <c r="B12" t="str">
        <f>IFERROR('Historical Financial Statement '!B23,0)</f>
        <v xml:space="preserve">Depreciation </v>
      </c>
      <c r="C12" s="43">
        <f>'Historical Financial Statement '!C23/'Historical Financial Statement '!C6</f>
        <v>1.26626114423171E-2</v>
      </c>
      <c r="D12" s="43">
        <f>'Historical Financial Statement '!D23/'Historical Financial Statement '!D6</f>
        <v>1.1467002805297445E-2</v>
      </c>
      <c r="E12" s="43">
        <f>'Historical Financial Statement '!E23/'Historical Financial Statement '!E6</f>
        <v>1.0743252897618866E-2</v>
      </c>
      <c r="F12" s="43">
        <f>'Historical Financial Statement '!F23/'Historical Financial Statement '!F6</f>
        <v>1.0576590479738178E-2</v>
      </c>
      <c r="G12" s="43">
        <f>'Historical Financial Statement '!G23/'Historical Financial Statement '!G6</f>
        <v>1.062209940553435E-2</v>
      </c>
      <c r="H12" s="43">
        <f>'Historical Financial Statement '!H23/'Historical Financial Statement '!H6</f>
        <v>1.5054563292615258E-2</v>
      </c>
      <c r="I12" s="43">
        <f>'Historical Financial Statement '!I23/'Historical Financial Statement '!I6</f>
        <v>1.7154412075354161E-2</v>
      </c>
      <c r="J12" s="43">
        <f>'Historical Financial Statement '!J23/'Historical Financial Statement '!J6</f>
        <v>1.6079405299605148E-2</v>
      </c>
      <c r="K12" s="43">
        <f>'Historical Financial Statement '!K23/'Historical Financial Statement '!K6</f>
        <v>1.4913085008342757E-2</v>
      </c>
      <c r="L12" s="43">
        <f>'Historical Financial Statement '!L23/'Historical Financial Statement '!L6</f>
        <v>1.4388203075361254E-2</v>
      </c>
    </row>
    <row r="13" spans="1:19" x14ac:dyDescent="0.35">
      <c r="B13" s="86" t="str">
        <f>IFERROR('Historical Financial Statement '!B26,0)</f>
        <v>EBIT</v>
      </c>
      <c r="C13" s="44">
        <f>'Historical Financial Statement '!C26/'Historical Financial Statement '!C6</f>
        <v>6.1339280029443562E-2</v>
      </c>
      <c r="D13" s="44">
        <f>'Historical Financial Statement '!D26/'Historical Financial Statement '!D6</f>
        <v>6.7924778884777784E-2</v>
      </c>
      <c r="E13" s="44">
        <f>'Historical Financial Statement '!E26/'Historical Financial Statement '!E6</f>
        <v>7.304436992023669E-2</v>
      </c>
      <c r="F13" s="44">
        <f>'Historical Financial Statement '!F26/'Historical Financial Statement '!F6</f>
        <v>8.5251975627278251E-2</v>
      </c>
      <c r="G13" s="44">
        <f>'Historical Financial Statement '!G26/'Historical Financial Statement '!G6</f>
        <v>7.3440902356067539E-2</v>
      </c>
      <c r="H13" s="44">
        <f>'Historical Financial Statement '!H26/'Historical Financial Statement '!H6</f>
        <v>7.2934274754525505E-2</v>
      </c>
      <c r="I13" s="44">
        <f>'Historical Financial Statement '!I26/'Historical Financial Statement '!I6</f>
        <v>6.3169291713643605E-2</v>
      </c>
      <c r="J13" s="44">
        <f>'Historical Financial Statement '!J26/'Historical Financial Statement '!J6</f>
        <v>6.8372015094135E-2</v>
      </c>
      <c r="K13" s="44">
        <f>'Historical Financial Statement '!K26/'Historical Financial Statement '!K6</f>
        <v>7.3004951498101323E-2</v>
      </c>
      <c r="L13" s="44">
        <f>'Historical Financial Statement '!L26/'Historical Financial Statement '!L6</f>
        <v>6.9295945584885513E-2</v>
      </c>
    </row>
    <row r="14" spans="1:19" x14ac:dyDescent="0.35">
      <c r="B14" t="str">
        <f>IFERROR('Historical Financial Statement '!B29,0)</f>
        <v>Interest</v>
      </c>
      <c r="C14" s="43">
        <f>'Historical Financial Statement '!C29/'Historical Financial Statement '!C6</f>
        <v>1.1237019425632393E-2</v>
      </c>
      <c r="D14" s="43">
        <f>'Historical Financial Statement '!D29/'Historical Financial Statement '!D6</f>
        <v>1.0641024446163452E-2</v>
      </c>
      <c r="E14" s="43">
        <f>'Historical Financial Statement '!E29/'Historical Financial Statement '!E6</f>
        <v>1.0252401724703094E-2</v>
      </c>
      <c r="F14" s="43">
        <f>'Historical Financial Statement '!F29/'Historical Financial Statement '!F6</f>
        <v>3.9605672777585609E-3</v>
      </c>
      <c r="G14" s="43">
        <f>'Historical Financial Statement '!G29/'Historical Financial Statement '!G6</f>
        <v>2.3599666475376565E-3</v>
      </c>
      <c r="H14" s="43">
        <f>'Historical Financial Statement '!H29/'Historical Financial Statement '!H6</f>
        <v>2.7792297609186899E-3</v>
      </c>
      <c r="I14" s="43">
        <f>'Historical Financial Statement '!I29/'Historical Financial Statement '!I6</f>
        <v>1.7251334337900829E-3</v>
      </c>
      <c r="J14" s="43">
        <f>'Historical Financial Statement '!J29/'Historical Financial Statement '!J6</f>
        <v>1.7364905458274996E-3</v>
      </c>
      <c r="K14" s="43">
        <f>'Historical Financial Statement '!K29/'Historical Financial Statement '!K6</f>
        <v>1.5735455732972048E-3</v>
      </c>
      <c r="L14" s="43">
        <f>'Historical Financial Statement '!L29/'Historical Financial Statement '!L6</f>
        <v>1.1445430028610621E-3</v>
      </c>
      <c r="N14" s="50"/>
    </row>
    <row r="15" spans="1:19" x14ac:dyDescent="0.35">
      <c r="B15" s="86" t="str">
        <f>IFERROR('Historical Financial Statement '!B32,0)</f>
        <v>Earnings Before Tax (EBT)</v>
      </c>
      <c r="C15" s="44">
        <f>'Historical Financial Statement '!C32/'Historical Financial Statement '!C6</f>
        <v>5.010226060381117E-2</v>
      </c>
      <c r="D15" s="44">
        <f>'Historical Financial Statement '!D32/'Historical Financial Statement '!D6</f>
        <v>5.7283754438614332E-2</v>
      </c>
      <c r="E15" s="44">
        <f>'Historical Financial Statement '!E32/'Historical Financial Statement '!E6</f>
        <v>6.2791968195533593E-2</v>
      </c>
      <c r="F15" s="44">
        <f>'Historical Financial Statement '!F32/'Historical Financial Statement '!F6</f>
        <v>8.1291408349519687E-2</v>
      </c>
      <c r="G15" s="44">
        <f>'Historical Financial Statement '!G32/'Historical Financial Statement '!G6</f>
        <v>7.1080935708529885E-2</v>
      </c>
      <c r="H15" s="44">
        <f>'Historical Financial Statement '!H32/'Historical Financial Statement '!H6</f>
        <v>7.0155044993606808E-2</v>
      </c>
      <c r="I15" s="44">
        <f>'Historical Financial Statement '!I32/'Historical Financial Statement '!I6</f>
        <v>6.1444158279853521E-2</v>
      </c>
      <c r="J15" s="44">
        <f>'Historical Financial Statement '!J32/'Historical Financial Statement '!J6</f>
        <v>6.6635524548307498E-2</v>
      </c>
      <c r="K15" s="44">
        <f>'Historical Financial Statement '!K32/'Historical Financial Statement '!K6</f>
        <v>7.1431405924804126E-2</v>
      </c>
      <c r="L15" s="44">
        <f>'Historical Financial Statement '!L32/'Historical Financial Statement '!L6</f>
        <v>6.8151402582024442E-2</v>
      </c>
    </row>
    <row r="16" spans="1:19" x14ac:dyDescent="0.35">
      <c r="B16" t="str">
        <f>IFERROR('Historical Financial Statement '!B35,0)</f>
        <v>Tax</v>
      </c>
      <c r="C16" s="43">
        <f>'Historical Financial Statement '!C35/'Historical Financial Statement '!C6</f>
        <v>1.7225127068700181E-2</v>
      </c>
      <c r="D16" s="43">
        <f>'Historical Financial Statement '!D35/'Historical Financial Statement '!D6</f>
        <v>1.9976094392201087E-2</v>
      </c>
      <c r="E16" s="43">
        <f>'Historical Financial Statement '!E35/'Historical Financial Statement '!E6</f>
        <v>2.2548896005110227E-2</v>
      </c>
      <c r="F16" s="43">
        <f>'Historical Financial Statement '!F35/'Historical Financial Statement '!F6</f>
        <v>2.7658116701700236E-2</v>
      </c>
      <c r="G16" s="43">
        <f>'Historical Financial Statement '!G35/'Historical Financial Statement '!G6</f>
        <v>2.5968131202348269E-2</v>
      </c>
      <c r="H16" s="43">
        <f>'Historical Financial Statement '!H35/'Historical Financial Statement '!H6</f>
        <v>1.7844247332148514E-2</v>
      </c>
      <c r="I16" s="43">
        <f>'Historical Financial Statement '!I35/'Historical Financial Statement '!I6</f>
        <v>1.5906020197936795E-2</v>
      </c>
      <c r="J16" s="43">
        <f>'Historical Financial Statement '!J35/'Historical Financial Statement '!J6</f>
        <v>1.8456708958179923E-2</v>
      </c>
      <c r="K16" s="43">
        <f>'Historical Financial Statement '!K35/'Historical Financial Statement '!K6</f>
        <v>1.5914028995629274E-2</v>
      </c>
      <c r="L16" s="43">
        <f>'Historical Financial Statement '!L35/'Historical Financial Statement '!L6</f>
        <v>1.8226842398220238E-2</v>
      </c>
      <c r="O16" s="50"/>
    </row>
    <row r="17" spans="1:19" x14ac:dyDescent="0.35">
      <c r="B17" s="86" t="str">
        <f>IFERROR('Historical Financial Statement '!B38,0)</f>
        <v xml:space="preserve">Net Profit </v>
      </c>
      <c r="C17" s="44">
        <f>'Historical Financial Statement '!C38/'Historical Financial Statement '!C6</f>
        <v>3.2877133535110986E-2</v>
      </c>
      <c r="D17" s="44">
        <f>'Historical Financial Statement '!D38/'Historical Financial Statement '!D6</f>
        <v>3.7307660046413241E-2</v>
      </c>
      <c r="E17" s="44">
        <f>'Historical Financial Statement '!E38/'Historical Financial Statement '!E6</f>
        <v>4.0243072190423369E-2</v>
      </c>
      <c r="F17" s="44">
        <f>'Historical Financial Statement '!F38/'Historical Financial Statement '!F6</f>
        <v>5.3633291647819457E-2</v>
      </c>
      <c r="G17" s="44">
        <f>'Historical Financial Statement '!G38/'Historical Financial Statement '!G6</f>
        <v>4.5112804506181617E-2</v>
      </c>
      <c r="H17" s="44">
        <f>'Historical Financial Statement '!H38/'Historical Financial Statement '!H6</f>
        <v>5.231079766145829E-2</v>
      </c>
      <c r="I17" s="44">
        <f>'Historical Financial Statement '!I38/'Historical Financial Statement '!I6</f>
        <v>4.5538138081916729E-2</v>
      </c>
      <c r="J17" s="44">
        <f>'Historical Financial Statement '!J38/'Historical Financial Statement '!J6</f>
        <v>4.8178815590127579E-2</v>
      </c>
      <c r="K17" s="44">
        <f>'Historical Financial Statement '!K38/'Historical Financial Statement '!K6</f>
        <v>5.5517376929174848E-2</v>
      </c>
      <c r="L17" s="44">
        <f>'Historical Financial Statement '!L38/'Historical Financial Statement '!L6</f>
        <v>4.9924560183804208E-2</v>
      </c>
    </row>
    <row r="19" spans="1:19" x14ac:dyDescent="0.35">
      <c r="A19" t="s">
        <v>57</v>
      </c>
      <c r="B19" s="66" t="str">
        <f>IFERROR('Historical Financial Statement '!B51,0)</f>
        <v xml:space="preserve">Balance Sheet </v>
      </c>
      <c r="C19" s="64"/>
      <c r="D19" s="64"/>
      <c r="E19" s="64"/>
      <c r="F19" s="64"/>
      <c r="G19" s="64"/>
      <c r="H19" s="64"/>
      <c r="I19" s="64"/>
      <c r="J19" s="64"/>
      <c r="K19" s="64"/>
      <c r="L19" s="64"/>
    </row>
    <row r="20" spans="1:19" x14ac:dyDescent="0.35">
      <c r="B20" t="str">
        <f>IFERROR('Historical Financial Statement '!B52,0)</f>
        <v xml:space="preserve">Equity Share Capital </v>
      </c>
      <c r="C20" s="43">
        <f>'Historical Financial Statement '!C52/'Historical Financial Statement '!C56</f>
        <v>0.23846509909504376</v>
      </c>
      <c r="D20" s="43">
        <f>'Historical Financial Statement '!D52/'Historical Financial Statement '!D56</f>
        <v>0.18105082603593028</v>
      </c>
      <c r="E20" s="43">
        <f>'Historical Financial Statement '!E52/'Historical Financial Statement '!E56</f>
        <v>0.10724350778790505</v>
      </c>
      <c r="F20" s="43">
        <f>'Historical Financial Statement '!F52/'Historical Financial Statement '!F56</f>
        <v>0.11049144686290549</v>
      </c>
      <c r="G20" s="43">
        <f>'Historical Financial Statement '!G52/'Historical Financial Statement '!G56</f>
        <v>8.9084290914281647E-2</v>
      </c>
      <c r="H20" s="43">
        <f>'Historical Financial Statement '!H52/'Historical Financial Statement '!H56</f>
        <v>5.3640395622449523E-2</v>
      </c>
      <c r="I20" s="43">
        <f>'Historical Financial Statement '!I52/'Historical Financial Statement '!I56</f>
        <v>4.7438127286242089E-2</v>
      </c>
      <c r="J20" s="43">
        <f>'Historical Financial Statement '!J52/'Historical Financial Statement '!J56</f>
        <v>4.1870004356543672E-2</v>
      </c>
      <c r="K20" s="43">
        <f>'Historical Financial Statement '!K52/'Historical Financial Statement '!K56</f>
        <v>3.5806527872597561E-2</v>
      </c>
      <c r="L20" s="43">
        <f>'Historical Financial Statement '!L52/'Historical Financial Statement '!L56</f>
        <v>3.0734708451726017E-2</v>
      </c>
    </row>
    <row r="21" spans="1:19" x14ac:dyDescent="0.35">
      <c r="B21" t="str">
        <f>IFERROR('Historical Financial Statement '!B53,0)</f>
        <v>Reserves</v>
      </c>
      <c r="C21" s="43">
        <f>'Historical Financial Statement '!C53/'Historical Financial Statement '!C56</f>
        <v>0.27078617807806149</v>
      </c>
      <c r="D21" s="43">
        <f>'Historical Financial Statement '!D53/'Historical Financial Statement '!D56</f>
        <v>0.30916699983234242</v>
      </c>
      <c r="E21" s="43">
        <f>'Historical Financial Statement '!E53/'Historical Financial Statement '!E56</f>
        <v>0.55293782048638318</v>
      </c>
      <c r="F21" s="43">
        <f>'Historical Financial Statement '!F53/'Historical Financial Statement '!F56</f>
        <v>0.71614951258980697</v>
      </c>
      <c r="G21" s="43">
        <f>'Historical Financial Statement '!G53/'Historical Financial Statement '!G56</f>
        <v>0.70849618157162231</v>
      </c>
      <c r="H21" s="43">
        <f>'Historical Financial Statement '!H53/'Historical Financial Statement '!H56</f>
        <v>0.86384827627325234</v>
      </c>
      <c r="I21" s="43">
        <f>'Historical Financial Statement '!I53/'Historical Financial Statement '!I56</f>
        <v>0.84481126030296494</v>
      </c>
      <c r="J21" s="43">
        <f>'Historical Financial Statement '!J53/'Historical Financial Statement '!J56</f>
        <v>0.84221361542707707</v>
      </c>
      <c r="K21" s="43">
        <f>'Historical Financial Statement '!K53/'Historical Financial Statement '!K56</f>
        <v>0.852297658264345</v>
      </c>
      <c r="L21" s="43">
        <f>'Historical Financial Statement '!L53/'Historical Financial Statement '!L56</f>
        <v>0.85238432153436916</v>
      </c>
    </row>
    <row r="22" spans="1:19" x14ac:dyDescent="0.35">
      <c r="B22" t="str">
        <f>IFERROR('Historical Financial Statement '!B54,0)</f>
        <v>Borrowings</v>
      </c>
      <c r="C22" s="43">
        <f>'Historical Financial Statement '!C54/'Historical Financial Statement '!C56</f>
        <v>0.38400550362874286</v>
      </c>
      <c r="D22" s="43">
        <f>'Historical Financial Statement '!D54/'Historical Financial Statement '!D56</f>
        <v>0.38443235017217142</v>
      </c>
      <c r="E22" s="43">
        <f>'Historical Financial Statement '!E54/'Historical Financial Statement '!E56</f>
        <v>0.25730330900042619</v>
      </c>
      <c r="F22" s="43">
        <f>'Historical Financial Statement '!F54/'Historical Financial Statement '!F56</f>
        <v>7.7767863149806479E-2</v>
      </c>
      <c r="G22" s="43">
        <f>'Historical Financial Statement '!G54/'Historical Financial Statement '!G56</f>
        <v>9.9942902005567047E-2</v>
      </c>
      <c r="H22" s="43">
        <f>'Historical Financial Statement '!H54/'Historical Financial Statement '!H56</f>
        <v>2.7590724203720388E-2</v>
      </c>
      <c r="I22" s="43">
        <f>'Historical Financial Statement '!I54/'Historical Financial Statement '!I56</f>
        <v>2.875932347373316E-2</v>
      </c>
      <c r="J22" s="43">
        <f>'Historical Financial Statement '!J54/'Historical Financial Statement '!J56</f>
        <v>4.1816355524989371E-2</v>
      </c>
      <c r="K22" s="43">
        <f>'Historical Financial Statement '!K54/'Historical Financial Statement '!K56</f>
        <v>3.5514887994821186E-2</v>
      </c>
      <c r="L22" s="43">
        <f>'Historical Financial Statement '!L54/'Historical Financial Statement '!L56</f>
        <v>2.7968381597243214E-2</v>
      </c>
      <c r="N22" s="173" t="s">
        <v>331</v>
      </c>
      <c r="O22" s="174"/>
      <c r="P22" s="174"/>
      <c r="Q22" s="174"/>
      <c r="R22" s="174"/>
      <c r="S22" s="174"/>
    </row>
    <row r="23" spans="1:19" x14ac:dyDescent="0.35">
      <c r="B23" t="str">
        <f>IFERROR('Historical Financial Statement '!B55,0)</f>
        <v>Other Liabilities</v>
      </c>
      <c r="C23" s="43">
        <f>'Historical Financial Statement '!C55/'Historical Financial Statement '!C56</f>
        <v>0.10674321919815187</v>
      </c>
      <c r="D23" s="43">
        <f>'Historical Financial Statement '!D55/'Historical Financial Statement '!D56</f>
        <v>0.12534982395955582</v>
      </c>
      <c r="E23" s="43">
        <f>'Historical Financial Statement '!E55/'Historical Financial Statement '!E56</f>
        <v>8.2515362725285604E-2</v>
      </c>
      <c r="F23" s="43">
        <f>'Historical Financial Statement '!F55/'Historical Financial Statement '!F56</f>
        <v>9.5591177397480964E-2</v>
      </c>
      <c r="G23" s="43">
        <f>'Historical Financial Statement '!G55/'Historical Financial Statement '!G56</f>
        <v>0.10247662550852901</v>
      </c>
      <c r="H23" s="43">
        <f>'Historical Financial Statement '!H55/'Historical Financial Statement '!H56</f>
        <v>5.4920603900577666E-2</v>
      </c>
      <c r="I23" s="43">
        <f>'Historical Financial Statement '!I55/'Historical Financial Statement '!I56</f>
        <v>7.8991288937059922E-2</v>
      </c>
      <c r="J23" s="43">
        <f>'Historical Financial Statement '!J55/'Historical Financial Statement '!J56</f>
        <v>7.4100024691389946E-2</v>
      </c>
      <c r="K23" s="43">
        <f>'Historical Financial Statement '!K55/'Historical Financial Statement '!K56</f>
        <v>7.6380925868236207E-2</v>
      </c>
      <c r="L23" s="43">
        <f>'Historical Financial Statement '!L55/'Historical Financial Statement '!L56</f>
        <v>8.8912588416661636E-2</v>
      </c>
    </row>
    <row r="24" spans="1:19" x14ac:dyDescent="0.35">
      <c r="B24" s="96" t="str">
        <f>IFERROR('Historical Financial Statement '!B56,0)</f>
        <v xml:space="preserve">Total Liabilities </v>
      </c>
      <c r="C24" s="130">
        <f>'Historical Financial Statement '!C56/'Historical Financial Statement '!C56</f>
        <v>1</v>
      </c>
      <c r="D24" s="130">
        <f>'Historical Financial Statement '!D56/'Historical Financial Statement '!D56</f>
        <v>1</v>
      </c>
      <c r="E24" s="130">
        <f>'Historical Financial Statement '!E56/'Historical Financial Statement '!E56</f>
        <v>1</v>
      </c>
      <c r="F24" s="130">
        <f>'Historical Financial Statement '!F56/'Historical Financial Statement '!F56</f>
        <v>1</v>
      </c>
      <c r="G24" s="130">
        <f>'Historical Financial Statement '!G56/'Historical Financial Statement '!G56</f>
        <v>1</v>
      </c>
      <c r="H24" s="130">
        <f>'Historical Financial Statement '!H56/'Historical Financial Statement '!H56</f>
        <v>1</v>
      </c>
      <c r="I24" s="130">
        <f>'Historical Financial Statement '!I56/'Historical Financial Statement '!I56</f>
        <v>1</v>
      </c>
      <c r="J24" s="130">
        <f>'Historical Financial Statement '!J56/'Historical Financial Statement '!J56</f>
        <v>1</v>
      </c>
      <c r="K24" s="130">
        <f>'Historical Financial Statement '!K56/'Historical Financial Statement '!K56</f>
        <v>1</v>
      </c>
      <c r="L24" s="130">
        <f>'Historical Financial Statement '!L56/'Historical Financial Statement '!L56</f>
        <v>1</v>
      </c>
    </row>
    <row r="26" spans="1:19" x14ac:dyDescent="0.35">
      <c r="B26" t="str">
        <f>IFERROR('Historical Financial Statement '!B59,0)</f>
        <v>Fixed Assets Net Block</v>
      </c>
      <c r="C26" s="43">
        <f>'Historical Financial Statement '!C59/'Historical Financial Statement '!C71</f>
        <v>0.64891859640480565</v>
      </c>
      <c r="D26" s="43">
        <f>'Historical Financial Statement '!D59/'Historical Financial Statement '!D71</f>
        <v>0.67498936019293521</v>
      </c>
      <c r="E26" s="43">
        <f>'Historical Financial Statement '!E59/'Historical Financial Statement '!E71</f>
        <v>0.44296717119643669</v>
      </c>
      <c r="F26" s="43">
        <f>'Historical Financial Statement '!F59/'Historical Financial Statement '!F71</f>
        <v>0.60195424399191255</v>
      </c>
      <c r="G26" s="43">
        <f>'Historical Financial Statement '!G59/'Historical Financial Statement '!G71</f>
        <v>0.62813075440725141</v>
      </c>
      <c r="H26" s="43">
        <f>'Historical Financial Statement '!H59/'Historical Financial Statement '!H71</f>
        <v>0.49254315941491333</v>
      </c>
      <c r="I26" s="43">
        <f>'Historical Financial Statement '!I59/'Historical Financial Statement '!I71</f>
        <v>0.51327530840238589</v>
      </c>
      <c r="J26" s="43">
        <f>'Historical Financial Statement '!J59/'Historical Financial Statement '!J71</f>
        <v>0.59854126887889447</v>
      </c>
      <c r="K26" s="43">
        <f>'Historical Financial Statement '!K59/'Historical Financial Statement '!K71</f>
        <v>0.62638943203133801</v>
      </c>
      <c r="L26" s="43">
        <f>'Historical Financial Statement '!L59/'Historical Financial Statement '!L71</f>
        <v>0.63360551054954362</v>
      </c>
      <c r="N26" s="173" t="s">
        <v>332</v>
      </c>
      <c r="O26" s="174"/>
      <c r="P26" s="174"/>
      <c r="Q26" s="174"/>
      <c r="R26" s="174"/>
    </row>
    <row r="27" spans="1:19" x14ac:dyDescent="0.35">
      <c r="B27" t="str">
        <f>IFERROR('Historical Financial Statement '!B60,0)</f>
        <v>Capital Work in Progress</v>
      </c>
      <c r="C27" s="43">
        <f>'Historical Financial Statement '!C60/'Historical Financial Statement '!C71</f>
        <v>4.1667905266242297E-2</v>
      </c>
      <c r="D27" s="43">
        <f>'Historical Financial Statement '!D60/'Historical Financial Statement '!D71</f>
        <v>2.6338358761397489E-2</v>
      </c>
      <c r="E27" s="43">
        <f>'Historical Financial Statement '!E60/'Historical Financial Statement '!E71</f>
        <v>2.6273009719415458E-2</v>
      </c>
      <c r="F27" s="43">
        <f>'Historical Financial Statement '!F60/'Historical Financial Statement '!F71</f>
        <v>2.603829170960055E-2</v>
      </c>
      <c r="G27" s="43">
        <f>'Historical Financial Statement '!G60/'Historical Financial Statement '!G71</f>
        <v>5.3792020555277993E-2</v>
      </c>
      <c r="H27" s="43">
        <f>'Historical Financial Statement '!H60/'Historical Financial Statement '!H71</f>
        <v>3.0175155016164076E-2</v>
      </c>
      <c r="I27" s="43">
        <f>'Historical Financial Statement '!I60/'Historical Financial Statement '!I71</f>
        <v>7.4667613813204636E-2</v>
      </c>
      <c r="J27" s="43">
        <f>'Historical Financial Statement '!J60/'Historical Financial Statement '!J71</f>
        <v>7.299731497293642E-2</v>
      </c>
      <c r="K27" s="43">
        <f>'Historical Financial Statement '!K60/'Historical Financial Statement '!K71</f>
        <v>4.5798507775958709E-2</v>
      </c>
      <c r="L27" s="43">
        <f>'Historical Financial Statement '!L60/'Historical Financial Statement '!L71</f>
        <v>4.4171490538661512E-2</v>
      </c>
    </row>
    <row r="28" spans="1:19" x14ac:dyDescent="0.35">
      <c r="B28" t="str">
        <f>IFERROR('Historical Financial Statement '!B61,0)</f>
        <v>Investments</v>
      </c>
      <c r="C28" s="43">
        <f>'Historical Financial Statement '!C61/'Historical Financial Statement '!C71</f>
        <v>6.4676130982966795E-3</v>
      </c>
      <c r="D28" s="43">
        <f>'Historical Financial Statement '!D61/'Historical Financial Statement '!D71</f>
        <v>9.4565315518642234E-3</v>
      </c>
      <c r="E28" s="43">
        <f>'Historical Financial Statement '!E61/'Historical Financial Statement '!E71</f>
        <v>4.4146354875517248E-3</v>
      </c>
      <c r="F28" s="43">
        <f>'Historical Financial Statement '!F61/'Historical Financial Statement '!F71</f>
        <v>1.2071059555045663E-2</v>
      </c>
      <c r="G28" s="43">
        <f>'Historical Financial Statement '!G61/'Historical Financial Statement '!G71</f>
        <v>2.3595746199414746E-3</v>
      </c>
      <c r="H28" s="43">
        <f>'Historical Financial Statement '!H61/'Historical Financial Statement '!H71</f>
        <v>1.2156182097620436E-3</v>
      </c>
      <c r="I28" s="43">
        <f>'Historical Financial Statement '!I61/'Historical Financial Statement '!I71</f>
        <v>2.1603729023328365E-4</v>
      </c>
      <c r="J28" s="43">
        <f>'Historical Financial Statement '!J61/'Historical Financial Statement '!J71</f>
        <v>3.8394464991875108E-4</v>
      </c>
      <c r="K28" s="43">
        <f>'Historical Financial Statement '!K61/'Historical Financial Statement '!K71</f>
        <v>1.1168481683027221E-2</v>
      </c>
      <c r="L28" s="43">
        <f>'Historical Financial Statement '!L61/'Historical Financial Statement '!L71</f>
        <v>5.0381438546641677E-3</v>
      </c>
    </row>
    <row r="29" spans="1:19" x14ac:dyDescent="0.35">
      <c r="B29" t="str">
        <f>IFERROR('Historical Financial Statement '!B62,0)</f>
        <v>Other Assets</v>
      </c>
      <c r="C29" s="43">
        <f>'Historical Financial Statement '!C62/'Historical Financial Statement '!C71</f>
        <v>5.463710447976694E-2</v>
      </c>
      <c r="D29" s="43">
        <f>'Historical Financial Statement '!D62/'Historical Financial Statement '!D71</f>
        <v>5.8618888559305624E-2</v>
      </c>
      <c r="E29" s="43">
        <f>'Historical Financial Statement '!E62/'Historical Financial Statement '!E71</f>
        <v>3.6045696374809214E-2</v>
      </c>
      <c r="F29" s="43">
        <f>'Historical Financial Statement '!F62/'Historical Financial Statement '!F71</f>
        <v>4.8838395105006524E-2</v>
      </c>
      <c r="G29" s="43">
        <f>'Historical Financial Statement '!G62/'Historical Financial Statement '!G71</f>
        <v>4.5631289700949297E-2</v>
      </c>
      <c r="H29" s="43">
        <f>'Historical Financial Statement '!H62/'Historical Financial Statement '!H71</f>
        <v>0.30425400127192753</v>
      </c>
      <c r="I29" s="43">
        <f>'Historical Financial Statement '!I62/'Historical Financial Statement '!I71</f>
        <v>0.13813717269435116</v>
      </c>
      <c r="J29" s="43">
        <f>'Historical Financial Statement '!J62/'Historical Financial Statement '!J71</f>
        <v>0.12717681749960252</v>
      </c>
      <c r="K29" s="43">
        <f>'Historical Financial Statement '!K62/'Historical Financial Statement '!K71</f>
        <v>5.626826891848008E-2</v>
      </c>
      <c r="L29" s="43">
        <f>'Historical Financial Statement '!L62/'Historical Financial Statement '!L71</f>
        <v>9.3693794964028798E-2</v>
      </c>
    </row>
    <row r="30" spans="1:19" x14ac:dyDescent="0.35">
      <c r="B30" s="86" t="str">
        <f>IFERROR('Historical Financial Statement '!B63,0)</f>
        <v xml:space="preserve">Total Non-Current Assets </v>
      </c>
      <c r="C30" s="44">
        <f>'Historical Financial Statement '!C63/'Historical Financial Statement '!C71</f>
        <v>0.75169121924911142</v>
      </c>
      <c r="D30" s="44">
        <f>'Historical Financial Statement '!D63/'Historical Financial Statement '!D71</f>
        <v>0.76940313906550251</v>
      </c>
      <c r="E30" s="44">
        <f>'Historical Financial Statement '!E63/'Historical Financial Statement '!E71</f>
        <v>0.50970051277821304</v>
      </c>
      <c r="F30" s="44">
        <f>'Historical Financial Statement '!F63/'Historical Financial Statement '!F71</f>
        <v>0.6889019903615653</v>
      </c>
      <c r="G30" s="44">
        <f>'Historical Financial Statement '!G63/'Historical Financial Statement '!G71</f>
        <v>0.72991363928342012</v>
      </c>
      <c r="H30" s="44">
        <f>'Historical Financial Statement '!H63/'Historical Financial Statement '!H71</f>
        <v>0.82818793391276702</v>
      </c>
      <c r="I30" s="44">
        <f>'Historical Financial Statement '!I63/'Historical Financial Statement '!I71</f>
        <v>0.72629613220017497</v>
      </c>
      <c r="J30" s="44">
        <f>'Historical Financial Statement '!J63/'Historical Financial Statement '!J71</f>
        <v>0.79909934600135224</v>
      </c>
      <c r="K30" s="44">
        <f>'Historical Financial Statement '!K63/'Historical Financial Statement '!K71</f>
        <v>0.73962469040880408</v>
      </c>
      <c r="L30" s="44">
        <f>'Historical Financial Statement '!L63/'Historical Financial Statement '!L71</f>
        <v>0.77650893990689795</v>
      </c>
    </row>
    <row r="31" spans="1:19" x14ac:dyDescent="0.35">
      <c r="B31" t="str">
        <f>IFERROR('Historical Financial Statement '!B66,0)</f>
        <v>Receivables</v>
      </c>
      <c r="C31" s="43">
        <f>'Historical Financial Statement '!C66/'Historical Financial Statement '!C71</f>
        <v>3.0023653713038426E-3</v>
      </c>
      <c r="D31" s="43">
        <f>'Historical Financial Statement '!D66/'Historical Financial Statement '!D71</f>
        <v>2.7147628935116522E-3</v>
      </c>
      <c r="E31" s="43">
        <f>'Historical Financial Statement '!E66/'Historical Financial Statement '!E71</f>
        <v>3.6086938590341074E-3</v>
      </c>
      <c r="F31" s="43">
        <f>'Historical Financial Statement '!F66/'Historical Financial Statement '!F71</f>
        <v>5.934613028529343E-3</v>
      </c>
      <c r="G31" s="43">
        <f>'Historical Financial Statement '!G66/'Historical Financial Statement '!G71</f>
        <v>9.1884947541217617E-3</v>
      </c>
      <c r="H31" s="43">
        <f>'Historical Financial Statement '!H66/'Historical Financial Statement '!H71</f>
        <v>1.6188920981504056E-3</v>
      </c>
      <c r="I31" s="43">
        <f>'Historical Financial Statement '!I66/'Historical Financial Statement '!I71</f>
        <v>3.19149325707339E-3</v>
      </c>
      <c r="J31" s="43">
        <f>'Historical Financial Statement '!J66/'Historical Financial Statement '!J71</f>
        <v>4.3235787261052625E-3</v>
      </c>
      <c r="K31" s="43">
        <f>'Historical Financial Statement '!K66/'Historical Financial Statement '!K71</f>
        <v>3.4333967429128194E-3</v>
      </c>
      <c r="L31" s="43">
        <f>'Historical Financial Statement '!L66/'Historical Financial Statement '!L71</f>
        <v>7.8578418777582974E-3</v>
      </c>
    </row>
    <row r="32" spans="1:19" x14ac:dyDescent="0.35">
      <c r="B32" t="str">
        <f>IFERROR('Historical Financial Statement '!B67,0)</f>
        <v>Inventory</v>
      </c>
      <c r="C32" s="43">
        <f>'Historical Financial Statement '!C67/'Historical Financial Statement '!C71</f>
        <v>0.22915224582875057</v>
      </c>
      <c r="D32" s="43">
        <f>'Historical Financial Statement '!D67/'Historical Financial Statement '!D71</f>
        <v>0.21656521234475556</v>
      </c>
      <c r="E32" s="43">
        <f>'Historical Financial Statement '!E67/'Historical Financial Statement '!E71</f>
        <v>0.16288956709421096</v>
      </c>
      <c r="F32" s="43">
        <f>'Historical Financial Statement '!F67/'Historical Financial Statement '!F71</f>
        <v>0.20598524844995417</v>
      </c>
      <c r="G32" s="43">
        <f>'Historical Financial Statement '!G67/'Historical Financial Statement '!G71</f>
        <v>0.22962672186139463</v>
      </c>
      <c r="H32" s="43">
        <f>'Historical Financial Statement '!H67/'Historical Financial Statement '!H71</f>
        <v>0.16125987068737083</v>
      </c>
      <c r="I32" s="43">
        <f>'Historical Financial Statement '!I67/'Historical Financial Statement '!I71</f>
        <v>0.16464824369006339</v>
      </c>
      <c r="J32" s="43">
        <f>'Historical Financial Statement '!J67/'Historical Financial Statement '!J71</f>
        <v>0.17727771608521242</v>
      </c>
      <c r="K32" s="43">
        <f>'Historical Financial Statement '!K67/'Historical Financial Statement '!K71</f>
        <v>0.17915305128222123</v>
      </c>
      <c r="L32" s="43">
        <f>'Historical Financial Statement '!L67/'Historical Financial Statement '!L71</f>
        <v>0.1854912603530621</v>
      </c>
    </row>
    <row r="33" spans="2:12" x14ac:dyDescent="0.35">
      <c r="B33" t="str">
        <f>IFERROR('Historical Financial Statement '!B68,0)</f>
        <v>Cash &amp; Bank</v>
      </c>
      <c r="C33" s="43">
        <f>'Historical Financial Statement '!C68/'Historical Financial Statement '!C71</f>
        <v>1.6154169550834253E-2</v>
      </c>
      <c r="D33" s="43">
        <f>'Historical Financial Statement '!D68/'Historical Financial Statement '!D71</f>
        <v>1.1316885696230284E-2</v>
      </c>
      <c r="E33" s="43">
        <f>'Historical Financial Statement '!E68/'Historical Financial Statement '!E71</f>
        <v>0.3238012262685418</v>
      </c>
      <c r="F33" s="43">
        <f>'Historical Financial Statement '!F68/'Historical Financial Statement '!F71</f>
        <v>9.9178148159951282E-2</v>
      </c>
      <c r="G33" s="43">
        <f>'Historical Financial Statement '!G68/'Historical Financial Statement '!G71</f>
        <v>3.127114410106345E-2</v>
      </c>
      <c r="H33" s="43">
        <f>'Historical Financial Statement '!H68/'Historical Financial Statement '!H71</f>
        <v>8.9333033017118015E-3</v>
      </c>
      <c r="I33" s="43">
        <f>'Historical Financial Statement '!I68/'Historical Financial Statement '!I71</f>
        <v>0.10586413085268818</v>
      </c>
      <c r="J33" s="43">
        <f>'Historical Financial Statement '!J68/'Historical Financial Statement '!J71</f>
        <v>1.9299359187330084E-2</v>
      </c>
      <c r="K33" s="43">
        <f>'Historical Financial Statement '!K68/'Historical Financial Statement '!K71</f>
        <v>7.7788861566061948E-2</v>
      </c>
      <c r="L33" s="43">
        <f>'Historical Financial Statement '!L68/'Historical Financial Statement '!L71</f>
        <v>3.0141957862281601E-2</v>
      </c>
    </row>
    <row r="34" spans="2:12" x14ac:dyDescent="0.35">
      <c r="B34" s="86" t="str">
        <f>IFERROR('Historical Financial Statement '!B69,0)</f>
        <v xml:space="preserve">Total Current Assets </v>
      </c>
      <c r="C34" s="44">
        <f>'Historical Financial Statement '!C69/'Historical Financial Statement '!C71</f>
        <v>0.24830878075088866</v>
      </c>
      <c r="D34" s="44">
        <f>'Historical Financial Statement '!D69/'Historical Financial Statement '!D71</f>
        <v>0.23059686093449749</v>
      </c>
      <c r="E34" s="44">
        <f>'Historical Financial Statement '!E69/'Historical Financial Statement '!E71</f>
        <v>0.4902994872217869</v>
      </c>
      <c r="F34" s="44">
        <f>'Historical Financial Statement '!F69/'Historical Financial Statement '!F71</f>
        <v>0.31109800963843481</v>
      </c>
      <c r="G34" s="44">
        <f>'Historical Financial Statement '!G69/'Historical Financial Statement '!G71</f>
        <v>0.27008636071657982</v>
      </c>
      <c r="H34" s="44">
        <f>'Historical Financial Statement '!H69/'Historical Financial Statement '!H71</f>
        <v>0.17181206608723301</v>
      </c>
      <c r="I34" s="44">
        <f>'Historical Financial Statement '!I69/'Historical Financial Statement '!I71</f>
        <v>0.27370386779982497</v>
      </c>
      <c r="J34" s="44">
        <f>'Historical Financial Statement '!J69/'Historical Financial Statement '!J71</f>
        <v>0.20090065399864776</v>
      </c>
      <c r="K34" s="44">
        <f>'Historical Financial Statement '!K69/'Historical Financial Statement '!K71</f>
        <v>0.26037530959119598</v>
      </c>
      <c r="L34" s="44">
        <f>'Historical Financial Statement '!L69/'Historical Financial Statement '!L71</f>
        <v>0.22349106009310199</v>
      </c>
    </row>
    <row r="35" spans="2:12" x14ac:dyDescent="0.35">
      <c r="B35" s="96" t="str">
        <f>IFERROR('Historical Financial Statement '!B71,0)</f>
        <v xml:space="preserve">Total Assets </v>
      </c>
      <c r="C35" s="130">
        <f>'Historical Financial Statement '!C71/'Historical Financial Statement '!C71</f>
        <v>1</v>
      </c>
      <c r="D35" s="130">
        <f>'Historical Financial Statement '!D71/'Historical Financial Statement '!D71</f>
        <v>1</v>
      </c>
      <c r="E35" s="130">
        <f>'Historical Financial Statement '!E71/'Historical Financial Statement '!E71</f>
        <v>1</v>
      </c>
      <c r="F35" s="130">
        <f>'Historical Financial Statement '!F71/'Historical Financial Statement '!F71</f>
        <v>1</v>
      </c>
      <c r="G35" s="130">
        <f>'Historical Financial Statement '!G71/'Historical Financial Statement '!G71</f>
        <v>1</v>
      </c>
      <c r="H35" s="130">
        <f>'Historical Financial Statement '!H71/'Historical Financial Statement '!H71</f>
        <v>1</v>
      </c>
      <c r="I35" s="130">
        <f>'Historical Financial Statement '!I71/'Historical Financial Statement '!I71</f>
        <v>1</v>
      </c>
      <c r="J35" s="130">
        <f>'Historical Financial Statement '!J71/'Historical Financial Statement '!J71</f>
        <v>1</v>
      </c>
      <c r="K35" s="130">
        <f>'Historical Financial Statement '!K71/'Historical Financial Statement '!K71</f>
        <v>1</v>
      </c>
      <c r="L35" s="130">
        <f>'Historical Financial Statement '!L71/'Historical Financial Statement '!L71</f>
        <v>1</v>
      </c>
    </row>
  </sheetData>
  <mergeCells count="1">
    <mergeCell ref="B2:L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441F7-B7BB-4C42-AAFC-E811F049ECA1}">
  <dimension ref="A2:AD19"/>
  <sheetViews>
    <sheetView topLeftCell="I1" zoomScale="83" zoomScaleNormal="100" workbookViewId="0">
      <selection activeCell="M7" sqref="M7"/>
    </sheetView>
  </sheetViews>
  <sheetFormatPr defaultRowHeight="14.5" x14ac:dyDescent="0.35"/>
  <cols>
    <col min="1" max="1" width="2.54296875" bestFit="1" customWidth="1"/>
    <col min="2" max="2" width="33" customWidth="1"/>
    <col min="3" max="3" width="9.54296875" bestFit="1" customWidth="1"/>
    <col min="4" max="4" width="9.7265625" bestFit="1" customWidth="1"/>
    <col min="5" max="5" width="11" bestFit="1" customWidth="1"/>
    <col min="6" max="6" width="11.26953125" bestFit="1" customWidth="1"/>
    <col min="7" max="7" width="10.81640625" bestFit="1" customWidth="1"/>
    <col min="8" max="8" width="10.90625" bestFit="1" customWidth="1"/>
    <col min="9" max="9" width="11.26953125" bestFit="1" customWidth="1"/>
    <col min="10" max="12" width="11.1796875" bestFit="1" customWidth="1"/>
    <col min="13" max="17" width="11" bestFit="1" customWidth="1"/>
    <col min="20" max="21" width="11.7265625" bestFit="1" customWidth="1"/>
    <col min="22" max="22" width="12.6328125" bestFit="1" customWidth="1"/>
  </cols>
  <sheetData>
    <row r="2" spans="1:30" ht="15.5" x14ac:dyDescent="0.35">
      <c r="A2" s="1" t="s">
        <v>57</v>
      </c>
      <c r="B2" s="223" t="s">
        <v>161</v>
      </c>
      <c r="C2" s="223"/>
      <c r="D2" s="223"/>
      <c r="E2" s="223"/>
      <c r="F2" s="223"/>
      <c r="G2" s="223"/>
      <c r="H2" s="223"/>
      <c r="I2" s="223"/>
      <c r="J2" s="223"/>
      <c r="K2" s="223"/>
      <c r="L2" s="223"/>
      <c r="M2" s="223" t="s">
        <v>475</v>
      </c>
      <c r="N2" s="223"/>
      <c r="O2" s="223"/>
      <c r="P2" s="223"/>
      <c r="Q2" s="223"/>
    </row>
    <row r="3" spans="1:30" x14ac:dyDescent="0.35">
      <c r="B3" s="66" t="s">
        <v>54</v>
      </c>
      <c r="C3" s="141">
        <f>'Cash Flow Data '!E2</f>
        <v>42064</v>
      </c>
      <c r="D3" s="141">
        <f>'Cash Flow Data '!F2</f>
        <v>42430</v>
      </c>
      <c r="E3" s="141">
        <f>'Cash Flow Data '!G2</f>
        <v>42795</v>
      </c>
      <c r="F3" s="141">
        <f>'Cash Flow Data '!H2</f>
        <v>43160</v>
      </c>
      <c r="G3" s="141">
        <f>'Cash Flow Data '!I2</f>
        <v>43525</v>
      </c>
      <c r="H3" s="141">
        <f>'Cash Flow Data '!J2</f>
        <v>43891</v>
      </c>
      <c r="I3" s="141">
        <f>'Cash Flow Data '!K2</f>
        <v>44256</v>
      </c>
      <c r="J3" s="141">
        <f>'Cash Flow Data '!L2</f>
        <v>44621</v>
      </c>
      <c r="K3" s="141">
        <f>'Cash Flow Data '!M2</f>
        <v>44986</v>
      </c>
      <c r="L3" s="141">
        <f>'Cash Flow Data '!N2</f>
        <v>45352</v>
      </c>
      <c r="M3" s="171">
        <f>L3+365</f>
        <v>45717</v>
      </c>
      <c r="N3" s="171">
        <f t="shared" ref="N3:Q3" si="0">M3+365</f>
        <v>46082</v>
      </c>
      <c r="O3" s="171">
        <f t="shared" si="0"/>
        <v>46447</v>
      </c>
      <c r="P3" s="171">
        <f t="shared" si="0"/>
        <v>46812</v>
      </c>
      <c r="Q3" s="171">
        <f t="shared" si="0"/>
        <v>47177</v>
      </c>
    </row>
    <row r="5" spans="1:30" x14ac:dyDescent="0.35">
      <c r="B5" s="165" t="s">
        <v>158</v>
      </c>
      <c r="C5" s="45">
        <f>IFERROR('Historical Financial Statement '!C81,0)</f>
        <v>222</v>
      </c>
      <c r="D5" s="45">
        <f>IFERROR('Historical Financial Statement '!D81,0)</f>
        <v>433</v>
      </c>
      <c r="E5" s="45">
        <f>IFERROR('Historical Financial Statement '!E81,0)</f>
        <v>456</v>
      </c>
      <c r="F5" s="45">
        <f>IFERROR('Historical Financial Statement '!F81,0)</f>
        <v>729</v>
      </c>
      <c r="G5" s="45">
        <f>IFERROR('Historical Financial Statement '!G81,0)</f>
        <v>806</v>
      </c>
      <c r="H5" s="45">
        <f>IFERROR('Historical Financial Statement '!H81,0)</f>
        <v>1281</v>
      </c>
      <c r="I5" s="45">
        <f>IFERROR('Historical Financial Statement '!I81,0)</f>
        <v>1375</v>
      </c>
      <c r="J5" s="45">
        <f>IFERROR('Historical Financial Statement '!J81,0)</f>
        <v>1373</v>
      </c>
      <c r="K5" s="45">
        <f>IFERROR('Historical Financial Statement '!K81,0)</f>
        <v>2630</v>
      </c>
      <c r="L5" s="45">
        <f>IFERROR('Historical Financial Statement '!L81,0)</f>
        <v>2745</v>
      </c>
      <c r="M5" s="45">
        <f>L5*(1+'Historical Financial Statement '!$Q$81)</f>
        <v>3481.8869735150734</v>
      </c>
      <c r="N5" s="45">
        <f>M5*(1+'Historical Financial Statement '!$Q$81)</f>
        <v>4416.5890332728441</v>
      </c>
      <c r="O5" s="45">
        <f>N5*(1+'Historical Financial Statement '!$Q$81)</f>
        <v>5602.2090427403446</v>
      </c>
      <c r="P5" s="45">
        <f>O5*(1+'Historical Financial Statement '!$Q$81)</f>
        <v>7106.105168971204</v>
      </c>
      <c r="Q5" s="45">
        <f>P5*(1+'Historical Financial Statement '!$Q$81)</f>
        <v>9013.717675872118</v>
      </c>
    </row>
    <row r="6" spans="1:30" x14ac:dyDescent="0.35">
      <c r="B6" t="s">
        <v>157</v>
      </c>
      <c r="C6">
        <v>0</v>
      </c>
      <c r="D6">
        <v>0</v>
      </c>
      <c r="E6">
        <v>0</v>
      </c>
      <c r="F6">
        <v>0</v>
      </c>
      <c r="G6">
        <v>0</v>
      </c>
      <c r="H6">
        <v>0</v>
      </c>
      <c r="I6">
        <v>0</v>
      </c>
      <c r="J6">
        <v>0</v>
      </c>
      <c r="K6">
        <v>0</v>
      </c>
      <c r="L6">
        <v>0</v>
      </c>
      <c r="X6" s="174" t="s">
        <v>164</v>
      </c>
      <c r="Y6" s="174"/>
      <c r="Z6" s="174"/>
      <c r="AA6" s="174"/>
      <c r="AB6" s="174"/>
      <c r="AC6" s="174"/>
    </row>
    <row r="7" spans="1:30" x14ac:dyDescent="0.35">
      <c r="B7" s="165" t="s">
        <v>159</v>
      </c>
      <c r="C7" s="45">
        <f>IFERROR('Historical Financial Statement '!C84,0)</f>
        <v>-477</v>
      </c>
      <c r="D7" s="45">
        <f>IFERROR('Historical Financial Statement '!D84,0)</f>
        <v>0</v>
      </c>
      <c r="E7" s="45">
        <f>IFERROR('Historical Financial Statement '!E84,0)</f>
        <v>-645</v>
      </c>
      <c r="F7" s="45">
        <f>IFERROR('Historical Financial Statement '!F84,0)</f>
        <v>-916</v>
      </c>
      <c r="G7" s="45">
        <f>IFERROR('Historical Financial Statement '!G84,0)</f>
        <v>-1417</v>
      </c>
      <c r="H7" s="45">
        <f>IFERROR('Historical Financial Statement '!H84,0)</f>
        <v>-1712</v>
      </c>
      <c r="I7" s="45">
        <f>IFERROR('Historical Financial Statement '!I84,0)</f>
        <v>-2029</v>
      </c>
      <c r="J7" s="45">
        <f>IFERROR('Historical Financial Statement '!J84,0)</f>
        <v>-2410</v>
      </c>
      <c r="K7" s="45">
        <f>IFERROR('Historical Financial Statement '!K84,0)</f>
        <v>-2212</v>
      </c>
      <c r="L7" s="45">
        <f>IFERROR('Historical Financial Statement '!L94,0)</f>
        <v>-2468</v>
      </c>
      <c r="M7" s="45">
        <f>L7*(1+$V$17)</f>
        <v>-2696.082411461146</v>
      </c>
      <c r="N7" s="45">
        <f>M7*(1+$V$17)</f>
        <v>-2945.2432615033017</v>
      </c>
      <c r="O7" s="45">
        <f>N7*(1+$V$17)</f>
        <v>-3217.430532744535</v>
      </c>
      <c r="P7" s="45">
        <f>O7*(1+$V$17)</f>
        <v>-3514.7722323462744</v>
      </c>
      <c r="Q7" s="45">
        <f>P7*(1+$V$17)</f>
        <v>-3839.593029141337</v>
      </c>
    </row>
    <row r="8" spans="1:30" x14ac:dyDescent="0.35">
      <c r="T8" s="133" t="s">
        <v>362</v>
      </c>
      <c r="U8" s="133" t="s">
        <v>363</v>
      </c>
      <c r="V8" s="133" t="s">
        <v>364</v>
      </c>
    </row>
    <row r="9" spans="1:30" x14ac:dyDescent="0.35">
      <c r="B9" s="46" t="s">
        <v>160</v>
      </c>
      <c r="C9" s="47">
        <f>SUM(C5:C7)</f>
        <v>-255</v>
      </c>
      <c r="D9" s="47">
        <f t="shared" ref="D9:Q9" si="1">SUM(D5:D7)</f>
        <v>433</v>
      </c>
      <c r="E9" s="47">
        <f t="shared" si="1"/>
        <v>-189</v>
      </c>
      <c r="F9" s="47">
        <f t="shared" si="1"/>
        <v>-187</v>
      </c>
      <c r="G9" s="47">
        <f t="shared" si="1"/>
        <v>-611</v>
      </c>
      <c r="H9" s="47">
        <f t="shared" si="1"/>
        <v>-431</v>
      </c>
      <c r="I9" s="47">
        <f t="shared" si="1"/>
        <v>-654</v>
      </c>
      <c r="J9" s="47">
        <f t="shared" si="1"/>
        <v>-1037</v>
      </c>
      <c r="K9" s="47">
        <f t="shared" si="1"/>
        <v>418</v>
      </c>
      <c r="L9" s="47">
        <f t="shared" si="1"/>
        <v>277</v>
      </c>
      <c r="M9" s="47">
        <f t="shared" si="1"/>
        <v>785.80456205392738</v>
      </c>
      <c r="N9" s="47">
        <f t="shared" si="1"/>
        <v>1471.3457717695424</v>
      </c>
      <c r="O9" s="47">
        <f t="shared" si="1"/>
        <v>2384.7785099958096</v>
      </c>
      <c r="P9" s="47">
        <f t="shared" si="1"/>
        <v>3591.3329366249295</v>
      </c>
      <c r="Q9" s="47">
        <f t="shared" si="1"/>
        <v>5174.124646730781</v>
      </c>
      <c r="T9" s="169">
        <f>(Q9/N9)^(1/3)-1</f>
        <v>0.52069008302899511</v>
      </c>
      <c r="U9" s="169">
        <f>(Q9/L9)^(1/5)-1</f>
        <v>0.79585564254900287</v>
      </c>
      <c r="V9" s="169">
        <f>AVERAGE(T9:U9)</f>
        <v>0.65827286278899899</v>
      </c>
    </row>
    <row r="11" spans="1:30" ht="15.5" x14ac:dyDescent="0.35">
      <c r="A11" t="s">
        <v>57</v>
      </c>
      <c r="B11" s="223" t="s">
        <v>163</v>
      </c>
      <c r="C11" s="223"/>
      <c r="D11" s="223"/>
      <c r="E11" s="223"/>
      <c r="F11" s="223"/>
      <c r="G11" s="223"/>
      <c r="H11" s="223"/>
      <c r="I11" s="223"/>
      <c r="J11" s="223"/>
      <c r="K11" s="223"/>
      <c r="L11" s="223"/>
      <c r="T11" s="133" t="s">
        <v>476</v>
      </c>
      <c r="U11" s="133" t="s">
        <v>477</v>
      </c>
      <c r="V11" s="133"/>
    </row>
    <row r="12" spans="1:30" x14ac:dyDescent="0.35">
      <c r="B12" s="66" t="s">
        <v>54</v>
      </c>
      <c r="C12" s="129">
        <f>'Cash Flow Data '!E2</f>
        <v>42064</v>
      </c>
      <c r="D12" s="129">
        <f>'Cash Flow Data '!F2</f>
        <v>42430</v>
      </c>
      <c r="E12" s="129">
        <f>'Cash Flow Data '!G2</f>
        <v>42795</v>
      </c>
      <c r="F12" s="129">
        <f>'Cash Flow Data '!H2</f>
        <v>43160</v>
      </c>
      <c r="G12" s="129">
        <f>'Cash Flow Data '!I2</f>
        <v>43525</v>
      </c>
      <c r="H12" s="129">
        <f>'Cash Flow Data '!J2</f>
        <v>43891</v>
      </c>
      <c r="I12" s="129">
        <f>'Cash Flow Data '!K2</f>
        <v>44256</v>
      </c>
      <c r="J12" s="129">
        <f>'Cash Flow Data '!L2</f>
        <v>44621</v>
      </c>
      <c r="K12" s="129">
        <f>'Cash Flow Data '!M2</f>
        <v>44986</v>
      </c>
      <c r="L12" s="129">
        <f>'Cash Flow Data '!N2</f>
        <v>45352</v>
      </c>
      <c r="T12" s="133" t="s">
        <v>362</v>
      </c>
      <c r="U12" s="133" t="s">
        <v>363</v>
      </c>
      <c r="V12" s="133" t="s">
        <v>364</v>
      </c>
    </row>
    <row r="14" spans="1:30" x14ac:dyDescent="0.35">
      <c r="B14" s="165" t="s">
        <v>158</v>
      </c>
      <c r="C14" s="45">
        <f>IFERROR('Historical Financial Statement '!C81,0)</f>
        <v>222</v>
      </c>
      <c r="D14" s="45">
        <f>IFERROR('Historical Financial Statement '!D81,0)</f>
        <v>433</v>
      </c>
      <c r="E14" s="45">
        <f>IFERROR('Historical Financial Statement '!E81,0)</f>
        <v>456</v>
      </c>
      <c r="F14" s="45">
        <f>IFERROR('Historical Financial Statement '!F81,0)</f>
        <v>729</v>
      </c>
      <c r="G14" s="45">
        <f>IFERROR('Historical Financial Statement '!G81,0)</f>
        <v>806</v>
      </c>
      <c r="H14" s="45">
        <f>IFERROR('Historical Financial Statement '!H81,0)</f>
        <v>1281</v>
      </c>
      <c r="I14" s="45">
        <f>IFERROR('Historical Financial Statement '!I81,0)</f>
        <v>1375</v>
      </c>
      <c r="J14" s="45">
        <f>IFERROR('Historical Financial Statement '!J81,0)</f>
        <v>1373</v>
      </c>
      <c r="K14" s="45">
        <f>IFERROR('Historical Financial Statement '!K81,0)</f>
        <v>2630</v>
      </c>
      <c r="L14" s="45">
        <f>IFERROR('Historical Financial Statement '!L81,0)</f>
        <v>2745</v>
      </c>
    </row>
    <row r="15" spans="1:30" x14ac:dyDescent="0.35">
      <c r="B15" s="165" t="s">
        <v>159</v>
      </c>
      <c r="C15" s="166">
        <f>IFERROR('Historical Financial Statement '!C94,0)</f>
        <v>-474</v>
      </c>
      <c r="D15" s="166">
        <f>IFERROR('Historical Financial Statement '!D94,0)</f>
        <v>-632</v>
      </c>
      <c r="E15" s="166">
        <f>IFERROR('Historical Financial Statement '!E94,0)</f>
        <v>-2482</v>
      </c>
      <c r="F15" s="166">
        <f>IFERROR('Historical Financial Statement '!F94,0)</f>
        <v>464</v>
      </c>
      <c r="G15" s="166">
        <f>IFERROR('Historical Financial Statement '!G94,0)</f>
        <v>-960</v>
      </c>
      <c r="H15" s="166">
        <f>IFERROR('Historical Financial Statement '!H94,0)</f>
        <v>-4656</v>
      </c>
      <c r="I15" s="166">
        <f>IFERROR('Historical Financial Statement '!I94,0)</f>
        <v>-1109</v>
      </c>
      <c r="J15" s="166">
        <f>IFERROR('Historical Financial Statement '!J94,0)</f>
        <v>-1288</v>
      </c>
      <c r="K15" s="166">
        <f>IFERROR('Historical Financial Statement '!K94,0)</f>
        <v>-2313</v>
      </c>
      <c r="L15" s="166">
        <f>IFERROR('Historical Financial Statement '!L94,0)</f>
        <v>-2468</v>
      </c>
      <c r="T15" s="169">
        <f>(L5/I5)^(1/3)-1</f>
        <v>0.25915699813084436</v>
      </c>
      <c r="U15" s="169">
        <f>(L5/G5)^(1/5)-1</f>
        <v>0.27773697164334377</v>
      </c>
      <c r="V15" s="169">
        <f>AVERAGE(T15:U15)</f>
        <v>0.26844698488709406</v>
      </c>
    </row>
    <row r="16" spans="1:30" x14ac:dyDescent="0.35">
      <c r="B16" t="s">
        <v>157</v>
      </c>
      <c r="C16" s="45">
        <f>IFERROR('Historical Financial Statement '!C29*(1-0.3),0)</f>
        <v>50.651999999999994</v>
      </c>
      <c r="D16" s="45">
        <f>IFERROR('Historical Financial Statement '!D29*(1-0.3),0)</f>
        <v>63.937999999999995</v>
      </c>
      <c r="E16" s="45">
        <f>IFERROR('Historical Financial Statement '!E29*(1-0.3),0)</f>
        <v>85.385999999999996</v>
      </c>
      <c r="F16" s="45">
        <f>IFERROR('Historical Financial Statement '!F29*(1-0.3),0)</f>
        <v>41.677999999999997</v>
      </c>
      <c r="G16" s="45">
        <f>IFERROR('Historical Financial Statement '!G29*(1-0.3),0)</f>
        <v>33.046999999999997</v>
      </c>
      <c r="H16" s="45">
        <f>IFERROR('Historical Financial Statement '!H29*(1-0.3),0)</f>
        <v>48.384</v>
      </c>
      <c r="I16" s="45">
        <f>IFERROR('Historical Financial Statement '!I29*(1-0.3),0)</f>
        <v>29.154999999999998</v>
      </c>
      <c r="J16" s="45">
        <f>IFERROR('Historical Financial Statement '!J29*(1-0.3),0)</f>
        <v>37.652999999999999</v>
      </c>
      <c r="K16" s="45">
        <f>IFERROR('Historical Financial Statement '!K29*(1-0.3),0)</f>
        <v>47.186999999999998</v>
      </c>
      <c r="L16" s="45">
        <f>IFERROR('Historical Financial Statement '!L29*(1-0.3),0)</f>
        <v>40.691000000000003</v>
      </c>
      <c r="X16" s="174" t="s">
        <v>366</v>
      </c>
      <c r="Y16" s="174"/>
      <c r="Z16" s="174"/>
      <c r="AA16" s="174"/>
      <c r="AB16" s="174"/>
      <c r="AC16" s="174"/>
      <c r="AD16" s="174"/>
    </row>
    <row r="17" spans="2:22" x14ac:dyDescent="0.35">
      <c r="B17" t="s">
        <v>165</v>
      </c>
      <c r="C17" s="45">
        <f>IFERROR('Historical Financial Statement '!C106+SUM('Historical Financial Statement '!C102:C103),0)</f>
        <v>172</v>
      </c>
      <c r="D17" s="45">
        <f>IFERROR('Historical Financial Statement '!D106+SUM('Historical Financial Statement '!D102:D103),0)</f>
        <v>104</v>
      </c>
      <c r="E17" s="45">
        <f>IFERROR('Historical Financial Statement '!E106+SUM('Historical Financial Statement '!E102:E103),0)</f>
        <v>1906</v>
      </c>
      <c r="F17" s="45">
        <f>IFERROR('Historical Financial Statement '!F106+SUM('Historical Financial Statement '!F102:F103),0)</f>
        <v>-1239</v>
      </c>
      <c r="G17" s="45">
        <f>IFERROR('Historical Financial Statement '!G106+SUM('Historical Financial Statement '!G102:G103),0)</f>
        <v>158</v>
      </c>
      <c r="H17" s="45">
        <f>IFERROR('Historical Financial Statement '!H106+SUM('Historical Financial Statement '!H102:H103),0)</f>
        <v>3189</v>
      </c>
      <c r="I17" s="45">
        <f>IFERROR('Historical Financial Statement '!I106+SUM('Historical Financial Statement '!I102:I103),0)</f>
        <v>-322</v>
      </c>
      <c r="J17" s="45">
        <f>IFERROR('Historical Financial Statement '!J106+SUM('Historical Financial Statement '!J102:J103),0)</f>
        <v>-358</v>
      </c>
      <c r="K17" s="45">
        <f>IFERROR('Historical Financial Statement '!K106+SUM('Historical Financial Statement '!K102:K103),0)</f>
        <v>-424</v>
      </c>
      <c r="L17" s="45">
        <f>IFERROR('Historical Financial Statement '!L106+SUM('Historical Financial Statement '!L102:L103),0)</f>
        <v>-369</v>
      </c>
      <c r="T17" s="169">
        <f>(L7/I7)^(1/3)-1</f>
        <v>6.7466782349854704E-2</v>
      </c>
      <c r="U17" s="169">
        <f>(L7/G7)^(1/5)-1</f>
        <v>0.11736499355058783</v>
      </c>
      <c r="V17" s="169">
        <f>AVERAGE(T17:U17)</f>
        <v>9.2415887950221265E-2</v>
      </c>
    </row>
    <row r="18" spans="2:22" x14ac:dyDescent="0.35">
      <c r="C18" s="45"/>
      <c r="D18" s="45"/>
      <c r="E18" s="45"/>
      <c r="F18" s="45"/>
      <c r="G18" s="45"/>
      <c r="H18" s="45"/>
      <c r="I18" s="45"/>
      <c r="J18" s="45"/>
      <c r="K18" s="45"/>
      <c r="L18" s="45"/>
    </row>
    <row r="19" spans="2:22" x14ac:dyDescent="0.35">
      <c r="B19" s="12" t="s">
        <v>166</v>
      </c>
      <c r="C19" s="47">
        <f>(C14+C15)-(C16)+(C17)</f>
        <v>-130.65199999999999</v>
      </c>
      <c r="D19" s="47">
        <f t="shared" ref="D19:L19" si="2">(D14+D15)-(D16)+(D17)</f>
        <v>-158.93799999999999</v>
      </c>
      <c r="E19" s="47">
        <f t="shared" si="2"/>
        <v>-205.38599999999997</v>
      </c>
      <c r="F19" s="47">
        <f t="shared" si="2"/>
        <v>-87.677999999999884</v>
      </c>
      <c r="G19" s="47">
        <f t="shared" si="2"/>
        <v>-29.046999999999997</v>
      </c>
      <c r="H19" s="47">
        <f t="shared" si="2"/>
        <v>-234.38400000000001</v>
      </c>
      <c r="I19" s="47">
        <f t="shared" si="2"/>
        <v>-85.155000000000001</v>
      </c>
      <c r="J19" s="47">
        <f t="shared" si="2"/>
        <v>-310.65300000000002</v>
      </c>
      <c r="K19" s="47">
        <f t="shared" si="2"/>
        <v>-154.18700000000001</v>
      </c>
      <c r="L19" s="47">
        <f t="shared" si="2"/>
        <v>-132.691</v>
      </c>
    </row>
  </sheetData>
  <mergeCells count="3">
    <mergeCell ref="B2:L2"/>
    <mergeCell ref="B11:L11"/>
    <mergeCell ref="M2:Q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10FBB-DB18-470F-839B-9C04CAF510B4}">
  <dimension ref="A1:L19"/>
  <sheetViews>
    <sheetView showGridLines="0" topLeftCell="A2" zoomScale="88" workbookViewId="0">
      <selection activeCell="C5" sqref="C5"/>
    </sheetView>
  </sheetViews>
  <sheetFormatPr defaultRowHeight="14.5" x14ac:dyDescent="0.35"/>
  <cols>
    <col min="1" max="1" width="1.81640625" bestFit="1" customWidth="1"/>
    <col min="2" max="2" width="9.1796875" customWidth="1"/>
    <col min="3" max="4" width="19.1796875" customWidth="1"/>
    <col min="5" max="5" width="14.08984375" customWidth="1"/>
    <col min="6" max="11" width="12.6328125" customWidth="1"/>
    <col min="12" max="12" width="19.1796875" customWidth="1"/>
    <col min="13" max="20" width="12.6328125" customWidth="1"/>
  </cols>
  <sheetData>
    <row r="1" spans="1:12" x14ac:dyDescent="0.35">
      <c r="B1" s="204"/>
      <c r="C1" s="204" t="s">
        <v>497</v>
      </c>
      <c r="D1" s="204" t="s">
        <v>498</v>
      </c>
      <c r="E1" s="204"/>
      <c r="F1" s="204" t="s">
        <v>497</v>
      </c>
      <c r="G1" s="204" t="s">
        <v>498</v>
      </c>
      <c r="H1" s="204"/>
      <c r="I1" s="204"/>
      <c r="J1" s="204"/>
      <c r="L1" s="204"/>
    </row>
    <row r="2" spans="1:12" ht="43.5" x14ac:dyDescent="0.35">
      <c r="B2" s="157" t="s">
        <v>54</v>
      </c>
      <c r="C2" s="203" t="s">
        <v>177</v>
      </c>
      <c r="D2" s="203" t="s">
        <v>177</v>
      </c>
      <c r="E2" s="204" t="s">
        <v>173</v>
      </c>
      <c r="F2" s="158" t="s">
        <v>178</v>
      </c>
      <c r="G2" s="158" t="s">
        <v>178</v>
      </c>
      <c r="H2" s="158" t="s">
        <v>174</v>
      </c>
      <c r="I2" s="158" t="s">
        <v>175</v>
      </c>
      <c r="J2" s="158" t="s">
        <v>176</v>
      </c>
      <c r="K2" s="109"/>
      <c r="L2" s="203" t="s">
        <v>499</v>
      </c>
    </row>
    <row r="3" spans="1:12" x14ac:dyDescent="0.35">
      <c r="B3" s="159"/>
      <c r="C3" s="160"/>
      <c r="D3" s="160"/>
      <c r="E3" s="161"/>
      <c r="F3" s="160"/>
      <c r="G3" s="160"/>
      <c r="H3" s="160"/>
      <c r="I3" s="160"/>
      <c r="J3" s="160"/>
      <c r="K3" s="109"/>
    </row>
    <row r="4" spans="1:12" x14ac:dyDescent="0.35">
      <c r="B4" s="162">
        <v>2023</v>
      </c>
      <c r="C4" s="163"/>
      <c r="D4" s="214">
        <v>13.4</v>
      </c>
      <c r="E4" s="83">
        <v>324</v>
      </c>
      <c r="F4" s="83"/>
      <c r="G4" s="215">
        <v>40</v>
      </c>
      <c r="H4" s="164">
        <v>84</v>
      </c>
      <c r="I4" s="164">
        <v>9</v>
      </c>
      <c r="J4" s="164">
        <v>3</v>
      </c>
      <c r="K4" s="109"/>
      <c r="L4" s="56">
        <f>D4/E4</f>
        <v>4.1358024691358027E-2</v>
      </c>
    </row>
    <row r="5" spans="1:12" x14ac:dyDescent="0.35">
      <c r="B5" s="162">
        <f>B4+1</f>
        <v>2024</v>
      </c>
      <c r="C5" s="163">
        <f>D4*(1+0.1504)</f>
        <v>15.415360000000002</v>
      </c>
      <c r="D5" s="214">
        <v>15.15</v>
      </c>
      <c r="E5" s="164">
        <f>E4*(1+0.1145)</f>
        <v>361.09800000000001</v>
      </c>
      <c r="F5" s="164">
        <f>E5-E4</f>
        <v>37.098000000000013</v>
      </c>
      <c r="G5" s="216">
        <v>41</v>
      </c>
      <c r="H5" s="164">
        <f>H4*(1+0.1)</f>
        <v>92.4</v>
      </c>
      <c r="I5" s="164">
        <f>H5*(I4/H4)</f>
        <v>9.9</v>
      </c>
      <c r="J5" s="164">
        <f>H5*(J4/H4)</f>
        <v>3.3</v>
      </c>
      <c r="K5" s="109"/>
      <c r="L5" s="56">
        <f>D5/E5</f>
        <v>4.1955369456491032E-2</v>
      </c>
    </row>
    <row r="6" spans="1:12" x14ac:dyDescent="0.35">
      <c r="B6" s="162">
        <f t="shared" ref="B6:B18" si="0">B5+1</f>
        <v>2025</v>
      </c>
      <c r="C6" s="163">
        <f>C5*(1+0.1504)</f>
        <v>17.733830144000002</v>
      </c>
      <c r="D6" s="214"/>
      <c r="E6" s="164">
        <f t="shared" ref="E6:E19" si="1">E5*(1+0.1145)</f>
        <v>402.44372100000004</v>
      </c>
      <c r="F6" s="164">
        <f t="shared" ref="F6:F19" si="2">E6-E5</f>
        <v>41.345721000000026</v>
      </c>
      <c r="G6" s="216"/>
      <c r="H6" s="164">
        <f t="shared" ref="H6:H19" si="3">H5*(1+0.1)</f>
        <v>101.64000000000001</v>
      </c>
      <c r="I6" s="164">
        <f t="shared" ref="I6:I19" si="4">H6*(I5/H5)</f>
        <v>10.89</v>
      </c>
      <c r="J6" s="164">
        <f t="shared" ref="J6:J19" si="5">H6*(J5/H5)</f>
        <v>3.6300000000000003</v>
      </c>
      <c r="K6" s="109"/>
      <c r="L6" s="56">
        <f>C6/E6</f>
        <v>4.4065366705025574E-2</v>
      </c>
    </row>
    <row r="7" spans="1:12" x14ac:dyDescent="0.35">
      <c r="B7" s="162">
        <f t="shared" si="0"/>
        <v>2026</v>
      </c>
      <c r="C7" s="163">
        <f t="shared" ref="C7:C16" si="6">C6*(1+0.1504)</f>
        <v>20.400998197657604</v>
      </c>
      <c r="D7" s="214"/>
      <c r="E7" s="164">
        <f t="shared" si="1"/>
        <v>448.52352705450005</v>
      </c>
      <c r="F7" s="164">
        <f t="shared" si="2"/>
        <v>46.079806054500011</v>
      </c>
      <c r="G7" s="216"/>
      <c r="H7" s="164">
        <f t="shared" si="3"/>
        <v>111.80400000000003</v>
      </c>
      <c r="I7" s="164">
        <f t="shared" si="4"/>
        <v>11.979000000000003</v>
      </c>
      <c r="J7" s="164">
        <f t="shared" si="5"/>
        <v>3.9930000000000008</v>
      </c>
      <c r="K7" s="109"/>
      <c r="L7" s="56">
        <f t="shared" ref="L7:L18" si="7">C7/E7</f>
        <v>4.5484789463850532E-2</v>
      </c>
    </row>
    <row r="8" spans="1:12" x14ac:dyDescent="0.35">
      <c r="B8" s="162">
        <f t="shared" si="0"/>
        <v>2027</v>
      </c>
      <c r="C8" s="163">
        <f t="shared" si="6"/>
        <v>23.46930832658531</v>
      </c>
      <c r="D8" s="214"/>
      <c r="E8" s="164">
        <f t="shared" si="1"/>
        <v>499.87947090224031</v>
      </c>
      <c r="F8" s="164">
        <f t="shared" si="2"/>
        <v>51.355943847740264</v>
      </c>
      <c r="G8" s="216"/>
      <c r="H8" s="164">
        <f t="shared" si="3"/>
        <v>122.98440000000004</v>
      </c>
      <c r="I8" s="164">
        <f t="shared" si="4"/>
        <v>13.176900000000003</v>
      </c>
      <c r="J8" s="164">
        <f t="shared" si="5"/>
        <v>4.3923000000000014</v>
      </c>
      <c r="K8" s="109"/>
      <c r="L8" s="56">
        <f t="shared" si="7"/>
        <v>4.6949934319617456E-2</v>
      </c>
    </row>
    <row r="9" spans="1:12" x14ac:dyDescent="0.35">
      <c r="B9" s="162">
        <f t="shared" si="0"/>
        <v>2028</v>
      </c>
      <c r="C9" s="163">
        <f t="shared" si="6"/>
        <v>26.999092298903744</v>
      </c>
      <c r="D9" s="214"/>
      <c r="E9" s="164">
        <f t="shared" si="1"/>
        <v>557.11567032054688</v>
      </c>
      <c r="F9" s="164">
        <f t="shared" si="2"/>
        <v>57.236199418306569</v>
      </c>
      <c r="G9" s="216"/>
      <c r="H9" s="164">
        <f t="shared" si="3"/>
        <v>135.28284000000005</v>
      </c>
      <c r="I9" s="164">
        <f t="shared" si="4"/>
        <v>14.494590000000004</v>
      </c>
      <c r="J9" s="164">
        <f t="shared" si="5"/>
        <v>4.8315300000000017</v>
      </c>
      <c r="K9" s="109"/>
      <c r="L9" s="56">
        <f t="shared" si="7"/>
        <v>4.8462274061272251E-2</v>
      </c>
    </row>
    <row r="10" spans="1:12" x14ac:dyDescent="0.35">
      <c r="B10" s="162">
        <f t="shared" si="0"/>
        <v>2029</v>
      </c>
      <c r="C10" s="163">
        <f t="shared" si="6"/>
        <v>31.059755780658868</v>
      </c>
      <c r="D10" s="214"/>
      <c r="E10" s="164">
        <f t="shared" si="1"/>
        <v>620.90541457224958</v>
      </c>
      <c r="F10" s="164">
        <f t="shared" si="2"/>
        <v>63.7897442517027</v>
      </c>
      <c r="G10" s="216"/>
      <c r="H10" s="164">
        <f t="shared" si="3"/>
        <v>148.81112400000006</v>
      </c>
      <c r="I10" s="164">
        <f t="shared" si="4"/>
        <v>15.944049000000007</v>
      </c>
      <c r="J10" s="164">
        <f t="shared" si="5"/>
        <v>5.3146830000000023</v>
      </c>
      <c r="K10" s="109"/>
      <c r="L10" s="56">
        <f t="shared" si="7"/>
        <v>5.0023328918876266E-2</v>
      </c>
    </row>
    <row r="11" spans="1:12" x14ac:dyDescent="0.35">
      <c r="B11" s="162">
        <f t="shared" si="0"/>
        <v>2030</v>
      </c>
      <c r="C11" s="163">
        <f t="shared" si="6"/>
        <v>35.731143050069967</v>
      </c>
      <c r="D11" s="214"/>
      <c r="E11" s="164">
        <f t="shared" si="1"/>
        <v>691.99908454077217</v>
      </c>
      <c r="F11" s="164">
        <f t="shared" si="2"/>
        <v>71.09366996852259</v>
      </c>
      <c r="G11" s="216"/>
      <c r="H11" s="164">
        <f t="shared" si="3"/>
        <v>163.69223640000007</v>
      </c>
      <c r="I11" s="164">
        <f t="shared" si="4"/>
        <v>17.538453900000007</v>
      </c>
      <c r="J11" s="164">
        <f t="shared" si="5"/>
        <v>5.8461513000000025</v>
      </c>
      <c r="K11" s="109"/>
      <c r="L11" s="56">
        <f t="shared" si="7"/>
        <v>5.1634668091767845E-2</v>
      </c>
    </row>
    <row r="12" spans="1:12" x14ac:dyDescent="0.35">
      <c r="B12" s="162">
        <f t="shared" si="0"/>
        <v>2031</v>
      </c>
      <c r="C12" s="163">
        <f t="shared" si="6"/>
        <v>41.105106964800491</v>
      </c>
      <c r="D12" s="214"/>
      <c r="E12" s="164">
        <f t="shared" si="1"/>
        <v>771.23297972069065</v>
      </c>
      <c r="F12" s="164">
        <f t="shared" si="2"/>
        <v>79.233895179918477</v>
      </c>
      <c r="G12" s="216"/>
      <c r="H12" s="164">
        <f t="shared" si="3"/>
        <v>180.0614600400001</v>
      </c>
      <c r="I12" s="164">
        <f t="shared" si="4"/>
        <v>19.29229929000001</v>
      </c>
      <c r="J12" s="164">
        <f t="shared" si="5"/>
        <v>6.4307664300000029</v>
      </c>
      <c r="K12" s="109"/>
      <c r="L12" s="56">
        <f t="shared" si="7"/>
        <v>5.3297911325948605E-2</v>
      </c>
    </row>
    <row r="13" spans="1:12" x14ac:dyDescent="0.35">
      <c r="B13" s="162">
        <f t="shared" si="0"/>
        <v>2032</v>
      </c>
      <c r="C13" s="163">
        <f t="shared" si="6"/>
        <v>47.287315052306489</v>
      </c>
      <c r="D13" s="214"/>
      <c r="E13" s="164">
        <f t="shared" si="1"/>
        <v>859.53915589870974</v>
      </c>
      <c r="F13" s="164">
        <f t="shared" si="2"/>
        <v>88.306176178019086</v>
      </c>
      <c r="G13" s="216"/>
      <c r="H13" s="164">
        <f t="shared" si="3"/>
        <v>198.06760604400012</v>
      </c>
      <c r="I13" s="164">
        <f t="shared" si="4"/>
        <v>21.221529219000011</v>
      </c>
      <c r="J13" s="164">
        <f t="shared" si="5"/>
        <v>7.0738430730000035</v>
      </c>
      <c r="K13" s="109"/>
      <c r="L13" s="56">
        <f t="shared" si="7"/>
        <v>5.5014730542280198E-2</v>
      </c>
    </row>
    <row r="14" spans="1:12" x14ac:dyDescent="0.35">
      <c r="B14" s="162">
        <f>B13+1</f>
        <v>2033</v>
      </c>
      <c r="C14" s="163">
        <f t="shared" si="6"/>
        <v>54.399327236173391</v>
      </c>
      <c r="D14" s="214"/>
      <c r="E14" s="164">
        <f t="shared" si="1"/>
        <v>957.95638924911202</v>
      </c>
      <c r="F14" s="164">
        <f t="shared" si="2"/>
        <v>98.417233350402284</v>
      </c>
      <c r="G14" s="216"/>
      <c r="H14" s="164">
        <f t="shared" si="3"/>
        <v>217.87436664840016</v>
      </c>
      <c r="I14" s="164">
        <f t="shared" si="4"/>
        <v>23.343682140900015</v>
      </c>
      <c r="J14" s="164">
        <f t="shared" si="5"/>
        <v>7.7812273803000052</v>
      </c>
      <c r="K14" s="109"/>
      <c r="L14" s="56">
        <f t="shared" si="7"/>
        <v>5.6786851517127993E-2</v>
      </c>
    </row>
    <row r="15" spans="1:12" x14ac:dyDescent="0.35">
      <c r="B15" s="162">
        <f t="shared" si="0"/>
        <v>2034</v>
      </c>
      <c r="C15" s="163">
        <f t="shared" si="6"/>
        <v>62.580986052493877</v>
      </c>
      <c r="D15" s="214"/>
      <c r="E15" s="164">
        <f t="shared" si="1"/>
        <v>1067.6423958181354</v>
      </c>
      <c r="F15" s="164">
        <f t="shared" si="2"/>
        <v>109.68600656902333</v>
      </c>
      <c r="G15" s="216"/>
      <c r="H15" s="164">
        <f t="shared" si="3"/>
        <v>239.6618033132402</v>
      </c>
      <c r="I15" s="164">
        <f t="shared" si="4"/>
        <v>25.67805035499002</v>
      </c>
      <c r="J15" s="164">
        <f t="shared" si="5"/>
        <v>8.5593501183300074</v>
      </c>
      <c r="K15" s="109"/>
      <c r="L15" s="56">
        <f t="shared" si="7"/>
        <v>5.8616055617141366E-2</v>
      </c>
    </row>
    <row r="16" spans="1:12" x14ac:dyDescent="0.35">
      <c r="A16" s="1"/>
      <c r="B16" s="162">
        <f t="shared" si="0"/>
        <v>2035</v>
      </c>
      <c r="C16" s="163">
        <f t="shared" si="6"/>
        <v>71.993166354788968</v>
      </c>
      <c r="D16" s="214"/>
      <c r="E16" s="164">
        <f t="shared" si="1"/>
        <v>1189.8874501393118</v>
      </c>
      <c r="F16" s="164">
        <f t="shared" si="2"/>
        <v>122.24505432117644</v>
      </c>
      <c r="G16" s="216"/>
      <c r="H16" s="164">
        <f t="shared" si="3"/>
        <v>263.62798364456427</v>
      </c>
      <c r="I16" s="164">
        <f t="shared" si="4"/>
        <v>28.245855390489027</v>
      </c>
      <c r="J16" s="164">
        <f t="shared" si="5"/>
        <v>9.4152851301630083</v>
      </c>
      <c r="K16" s="109"/>
      <c r="L16" s="56">
        <f t="shared" si="7"/>
        <v>6.050418158991426E-2</v>
      </c>
    </row>
    <row r="17" spans="2:12" ht="3" customHeight="1" x14ac:dyDescent="0.35">
      <c r="B17" s="162">
        <f t="shared" si="0"/>
        <v>2036</v>
      </c>
      <c r="C17" s="163">
        <f t="shared" ref="C17:C19" si="8">C16*(1+0.1504)</f>
        <v>82.820938574549231</v>
      </c>
      <c r="D17" s="214"/>
      <c r="E17" s="164">
        <f t="shared" si="1"/>
        <v>1326.1295631802629</v>
      </c>
      <c r="F17" s="164">
        <f t="shared" si="2"/>
        <v>136.24211304095115</v>
      </c>
      <c r="G17" s="216"/>
      <c r="H17" s="164">
        <f t="shared" si="3"/>
        <v>289.99078200902073</v>
      </c>
      <c r="I17" s="164">
        <f t="shared" si="4"/>
        <v>31.070440929537934</v>
      </c>
      <c r="J17" s="164">
        <f t="shared" si="5"/>
        <v>10.356813643179311</v>
      </c>
      <c r="K17" s="109"/>
      <c r="L17" s="56">
        <f t="shared" si="7"/>
        <v>6.2453127412326039E-2</v>
      </c>
    </row>
    <row r="18" spans="2:12" x14ac:dyDescent="0.35">
      <c r="B18" s="162">
        <f t="shared" si="0"/>
        <v>2037</v>
      </c>
      <c r="C18" s="163">
        <f t="shared" si="8"/>
        <v>95.277207736161444</v>
      </c>
      <c r="D18" s="214"/>
      <c r="E18" s="164">
        <f t="shared" si="1"/>
        <v>1477.9713981644031</v>
      </c>
      <c r="F18" s="164">
        <f t="shared" si="2"/>
        <v>151.84183498414018</v>
      </c>
      <c r="G18" s="216"/>
      <c r="H18" s="164">
        <f t="shared" si="3"/>
        <v>318.98986020992282</v>
      </c>
      <c r="I18" s="164">
        <f t="shared" si="4"/>
        <v>34.17748502249173</v>
      </c>
      <c r="J18" s="164">
        <f t="shared" si="5"/>
        <v>11.392495007497244</v>
      </c>
      <c r="K18" s="109"/>
      <c r="L18" s="56">
        <f t="shared" si="7"/>
        <v>6.44648521984207E-2</v>
      </c>
    </row>
    <row r="19" spans="2:12" ht="3.5" customHeight="1" x14ac:dyDescent="0.35">
      <c r="B19" s="162">
        <f>B18+1</f>
        <v>2038</v>
      </c>
      <c r="C19" s="163">
        <f t="shared" si="8"/>
        <v>109.60689977968013</v>
      </c>
      <c r="D19" s="163"/>
      <c r="E19" s="164">
        <f t="shared" si="1"/>
        <v>1647.1991232542273</v>
      </c>
      <c r="F19" s="164">
        <f t="shared" si="2"/>
        <v>169.22772508982416</v>
      </c>
      <c r="G19" s="164"/>
      <c r="H19" s="164">
        <f t="shared" si="3"/>
        <v>350.88884623091514</v>
      </c>
      <c r="I19" s="164">
        <f t="shared" si="4"/>
        <v>37.595233524740905</v>
      </c>
      <c r="J19" s="164">
        <f t="shared" si="5"/>
        <v>12.531744508246968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47677-013E-4953-A485-B3CA3E75509F}">
  <sheetPr>
    <tabColor rgb="FF002060"/>
  </sheetPr>
  <dimension ref="B5:AO40"/>
  <sheetViews>
    <sheetView showGridLines="0" topLeftCell="A18" zoomScale="82" zoomScaleNormal="75" workbookViewId="0">
      <selection activeCell="K18" sqref="K18"/>
    </sheetView>
  </sheetViews>
  <sheetFormatPr defaultRowHeight="14.5" x14ac:dyDescent="0.35"/>
  <cols>
    <col min="1" max="1" width="2.1796875" customWidth="1"/>
    <col min="2" max="2" width="11.453125" customWidth="1"/>
    <col min="3" max="3" width="15.453125" customWidth="1"/>
    <col min="4" max="4" width="13.7265625" customWidth="1"/>
    <col min="6" max="6" width="10.1796875" customWidth="1"/>
    <col min="7" max="8" width="13.08984375" bestFit="1" customWidth="1"/>
    <col min="9" max="9" width="13.08984375" customWidth="1"/>
    <col min="10" max="10" width="13.36328125" customWidth="1"/>
    <col min="11" max="11" width="9.81640625" bestFit="1" customWidth="1"/>
    <col min="12" max="12" width="10.90625" customWidth="1"/>
    <col min="13" max="14" width="11.81640625" bestFit="1" customWidth="1"/>
    <col min="15" max="15" width="13.08984375" bestFit="1" customWidth="1"/>
    <col min="16" max="16" width="10.08984375" customWidth="1"/>
    <col min="19" max="19" width="15" customWidth="1"/>
    <col min="20" max="20" width="21.08984375" customWidth="1"/>
    <col min="21" max="21" width="8.54296875" bestFit="1" customWidth="1"/>
    <col min="22" max="22" width="10.1796875" bestFit="1" customWidth="1"/>
    <col min="23" max="28" width="11.90625" bestFit="1" customWidth="1"/>
    <col min="29" max="29" width="11.36328125" bestFit="1" customWidth="1"/>
    <col min="30" max="31" width="10.7265625" bestFit="1" customWidth="1"/>
    <col min="32" max="33" width="10.90625" bestFit="1" customWidth="1"/>
    <col min="34" max="36" width="9.7265625" bestFit="1" customWidth="1"/>
  </cols>
  <sheetData>
    <row r="5" spans="2:41" x14ac:dyDescent="0.35">
      <c r="M5" s="224"/>
      <c r="N5" s="224"/>
      <c r="O5" s="224"/>
    </row>
    <row r="6" spans="2:41" x14ac:dyDescent="0.35">
      <c r="B6" s="66" t="s">
        <v>303</v>
      </c>
      <c r="C6" s="64"/>
      <c r="D6" s="64"/>
      <c r="E6" s="141">
        <f>'Historical Financial Statement '!L3</f>
        <v>45382</v>
      </c>
      <c r="F6" s="142">
        <f>E6+365</f>
        <v>45747</v>
      </c>
      <c r="G6" s="142">
        <f t="shared" ref="G6:J6" si="0">F6+365</f>
        <v>46112</v>
      </c>
      <c r="H6" s="142">
        <f t="shared" si="0"/>
        <v>46477</v>
      </c>
      <c r="I6" s="142">
        <f t="shared" si="0"/>
        <v>46842</v>
      </c>
      <c r="J6" s="142">
        <f t="shared" si="0"/>
        <v>47207</v>
      </c>
      <c r="K6" s="142">
        <f t="shared" ref="K6" si="1">J6+365</f>
        <v>47572</v>
      </c>
      <c r="L6" s="142">
        <f t="shared" ref="L6" si="2">K6+365</f>
        <v>47937</v>
      </c>
      <c r="M6" s="142">
        <f t="shared" ref="M6" si="3">L6+365</f>
        <v>48302</v>
      </c>
      <c r="N6" s="142">
        <f t="shared" ref="N6" si="4">M6+365</f>
        <v>48667</v>
      </c>
      <c r="O6" s="142">
        <f t="shared" ref="O6" si="5">N6+365</f>
        <v>49032</v>
      </c>
      <c r="W6" s="66" t="s">
        <v>303</v>
      </c>
      <c r="X6" s="64"/>
      <c r="Y6" s="64"/>
      <c r="Z6" s="141">
        <f>E6</f>
        <v>45382</v>
      </c>
      <c r="AA6" s="142">
        <f>Z6+366</f>
        <v>45748</v>
      </c>
      <c r="AB6" s="142">
        <f>AA6+366</f>
        <v>46114</v>
      </c>
      <c r="AC6" s="142">
        <f t="shared" ref="AC6" si="6">AB6+366</f>
        <v>46480</v>
      </c>
      <c r="AD6" s="142">
        <f t="shared" ref="AD6" si="7">AC6+366</f>
        <v>46846</v>
      </c>
      <c r="AE6" s="142">
        <f t="shared" ref="AE6" si="8">AD6+366</f>
        <v>47212</v>
      </c>
      <c r="AF6" s="142">
        <f t="shared" ref="AF6" si="9">AE6+366</f>
        <v>47578</v>
      </c>
      <c r="AG6" s="142">
        <f t="shared" ref="AG6" si="10">AF6+366</f>
        <v>47944</v>
      </c>
      <c r="AH6" s="142">
        <f t="shared" ref="AH6" si="11">AG6+366</f>
        <v>48310</v>
      </c>
      <c r="AI6" s="142">
        <f t="shared" ref="AI6" si="12">AH6+366</f>
        <v>48676</v>
      </c>
      <c r="AJ6" s="142">
        <f t="shared" ref="AJ6" si="13">AI6+366</f>
        <v>49042</v>
      </c>
      <c r="AK6" s="142">
        <f t="shared" ref="AK6" si="14">AJ6+366</f>
        <v>49408</v>
      </c>
      <c r="AL6" s="142">
        <f t="shared" ref="AL6" si="15">AK6+366</f>
        <v>49774</v>
      </c>
      <c r="AM6" s="142">
        <f t="shared" ref="AM6" si="16">AL6+366</f>
        <v>50140</v>
      </c>
      <c r="AN6" s="142">
        <f t="shared" ref="AN6" si="17">AM6+366</f>
        <v>50506</v>
      </c>
      <c r="AO6" s="142">
        <f t="shared" ref="AO6" si="18">AN6+366</f>
        <v>50872</v>
      </c>
    </row>
    <row r="8" spans="2:41" x14ac:dyDescent="0.35">
      <c r="B8" s="89" t="s">
        <v>161</v>
      </c>
      <c r="C8" s="89"/>
      <c r="D8" s="89"/>
      <c r="E8" s="134">
        <f>'Free Cash Flow '!L9</f>
        <v>277</v>
      </c>
      <c r="F8" s="134">
        <f>E8*(1+$H$15)</f>
        <v>421.23115299903162</v>
      </c>
      <c r="G8" s="134">
        <f t="shared" ref="G8:J8" si="19">F8*(1+$H$15)</f>
        <v>640.56203702849677</v>
      </c>
      <c r="H8" s="134">
        <f t="shared" si="19"/>
        <v>974.09633727408698</v>
      </c>
      <c r="I8" s="134">
        <f t="shared" si="19"/>
        <v>1481.2986400075713</v>
      </c>
      <c r="J8" s="134">
        <f t="shared" si="19"/>
        <v>2252.596151863851</v>
      </c>
      <c r="K8" s="134">
        <f>J8*(1+$H$16)</f>
        <v>2815.7451898298136</v>
      </c>
      <c r="L8" s="134">
        <f t="shared" ref="L8:O8" si="20">K8*(1+$H$16)</f>
        <v>3519.6814872872669</v>
      </c>
      <c r="M8" s="134">
        <f t="shared" si="20"/>
        <v>4399.6018591090833</v>
      </c>
      <c r="N8" s="134">
        <f t="shared" si="20"/>
        <v>5499.5023238863541</v>
      </c>
      <c r="O8" s="134">
        <f t="shared" si="20"/>
        <v>6874.3779048579427</v>
      </c>
      <c r="W8" s="89" t="s">
        <v>161</v>
      </c>
      <c r="X8" s="89"/>
      <c r="Y8" s="89"/>
      <c r="Z8" s="134" t="e">
        <f>#REF!*(1-#REF!)</f>
        <v>#REF!</v>
      </c>
      <c r="AA8" s="134" t="e">
        <f>#REF!*(1-#REF!)</f>
        <v>#REF!</v>
      </c>
      <c r="AB8" s="134" t="e">
        <f>#REF!*(1-#REF!)</f>
        <v>#REF!</v>
      </c>
      <c r="AC8" s="134" t="e">
        <f>#REF!*(1-#REF!)</f>
        <v>#REF!</v>
      </c>
      <c r="AD8" s="134" t="e">
        <f>#REF!*(1-#REF!)</f>
        <v>#REF!</v>
      </c>
      <c r="AE8" s="134" t="e">
        <f>#REF!*(1-#REF!)</f>
        <v>#REF!</v>
      </c>
      <c r="AF8" s="134" t="e">
        <f>#REF!*(1-#REF!)</f>
        <v>#REF!</v>
      </c>
      <c r="AG8" s="134" t="e">
        <f>#REF!*(1-#REF!)</f>
        <v>#REF!</v>
      </c>
      <c r="AH8" s="134" t="e">
        <f>#REF!*(1-#REF!)</f>
        <v>#REF!</v>
      </c>
      <c r="AI8" s="134" t="e">
        <f>#REF!*(1-#REF!)</f>
        <v>#REF!</v>
      </c>
      <c r="AJ8" s="134" t="e">
        <f>#REF!*(1-#REF!)</f>
        <v>#REF!</v>
      </c>
      <c r="AK8" s="134" t="e">
        <f>#REF!*(1-#REF!)</f>
        <v>#REF!</v>
      </c>
      <c r="AL8" s="134" t="e">
        <f>#REF!*(1-#REF!)</f>
        <v>#REF!</v>
      </c>
      <c r="AM8" s="134" t="e">
        <f>#REF!*(1-#REF!)</f>
        <v>#REF!</v>
      </c>
      <c r="AN8" s="134" t="e">
        <f>#REF!*(1-#REF!)</f>
        <v>#REF!</v>
      </c>
      <c r="AO8" s="134" t="e">
        <f>#REF!*(1-#REF!)</f>
        <v>#REF!</v>
      </c>
    </row>
    <row r="9" spans="2:41" x14ac:dyDescent="0.35">
      <c r="B9" s="89" t="s">
        <v>304</v>
      </c>
      <c r="C9" s="89"/>
      <c r="D9" s="89"/>
      <c r="E9" s="145"/>
      <c r="F9" s="144">
        <v>1</v>
      </c>
      <c r="G9" s="89">
        <f>F9+1</f>
        <v>2</v>
      </c>
      <c r="H9" s="89">
        <f t="shared" ref="H9:J9" si="21">G9+1</f>
        <v>3</v>
      </c>
      <c r="I9" s="89">
        <f t="shared" si="21"/>
        <v>4</v>
      </c>
      <c r="J9" s="89">
        <f t="shared" si="21"/>
        <v>5</v>
      </c>
      <c r="K9" s="89">
        <f t="shared" ref="K9" si="22">J9+1</f>
        <v>6</v>
      </c>
      <c r="L9" s="89">
        <f t="shared" ref="L9" si="23">K9+1</f>
        <v>7</v>
      </c>
      <c r="M9" s="89">
        <f t="shared" ref="M9" si="24">L9+1</f>
        <v>8</v>
      </c>
      <c r="N9" s="89">
        <f t="shared" ref="N9" si="25">M9+1</f>
        <v>9</v>
      </c>
      <c r="O9" s="89">
        <f t="shared" ref="O9" si="26">N9+1</f>
        <v>10</v>
      </c>
      <c r="W9" s="89" t="s">
        <v>304</v>
      </c>
      <c r="X9" s="89"/>
      <c r="Y9" s="89"/>
      <c r="Z9" s="145"/>
      <c r="AA9" s="144">
        <v>0.5</v>
      </c>
      <c r="AB9" s="89">
        <f>AA9+1</f>
        <v>1.5</v>
      </c>
      <c r="AC9" s="89">
        <f t="shared" ref="AC9" si="27">AB9+1</f>
        <v>2.5</v>
      </c>
      <c r="AD9" s="89">
        <f t="shared" ref="AD9" si="28">AC9+1</f>
        <v>3.5</v>
      </c>
      <c r="AE9" s="89">
        <f t="shared" ref="AE9" si="29">AD9+1</f>
        <v>4.5</v>
      </c>
      <c r="AF9" s="89">
        <f t="shared" ref="AF9" si="30">AE9+1</f>
        <v>5.5</v>
      </c>
      <c r="AG9" s="89">
        <f t="shared" ref="AG9" si="31">AF9+1</f>
        <v>6.5</v>
      </c>
      <c r="AH9" s="89">
        <f t="shared" ref="AH9" si="32">AG9+1</f>
        <v>7.5</v>
      </c>
      <c r="AI9" s="89">
        <f t="shared" ref="AI9" si="33">AH9+1</f>
        <v>8.5</v>
      </c>
      <c r="AJ9" s="89">
        <f t="shared" ref="AJ9" si="34">AI9+1</f>
        <v>9.5</v>
      </c>
      <c r="AK9" s="89">
        <f t="shared" ref="AK9" si="35">AJ9+1</f>
        <v>10.5</v>
      </c>
      <c r="AL9" s="89">
        <f t="shared" ref="AL9" si="36">AK9+1</f>
        <v>11.5</v>
      </c>
      <c r="AM9" s="89">
        <f t="shared" ref="AM9" si="37">AL9+1</f>
        <v>12.5</v>
      </c>
      <c r="AN9" s="89">
        <f t="shared" ref="AN9" si="38">AM9+1</f>
        <v>13.5</v>
      </c>
      <c r="AO9" s="89">
        <f t="shared" ref="AO9" si="39">AN9+1</f>
        <v>14.5</v>
      </c>
    </row>
    <row r="10" spans="2:41" x14ac:dyDescent="0.35">
      <c r="B10" s="89" t="s">
        <v>305</v>
      </c>
      <c r="C10" s="89"/>
      <c r="D10" s="89"/>
      <c r="E10" s="145"/>
      <c r="F10" s="146">
        <f>1/(1+$D$16^F9)</f>
        <v>0.8857395925597874</v>
      </c>
      <c r="G10" s="146">
        <f t="shared" ref="G10:I10" si="40">1/(1+$D$16^G9)</f>
        <v>0.98363139003837152</v>
      </c>
      <c r="H10" s="146">
        <f t="shared" si="40"/>
        <v>0.99785790940232311</v>
      </c>
      <c r="I10" s="146">
        <f t="shared" si="40"/>
        <v>0.99972315378405174</v>
      </c>
      <c r="J10" s="146">
        <f>1/(1+$D$16^J9)</f>
        <v>0.99996427822444178</v>
      </c>
      <c r="K10" s="146">
        <f t="shared" ref="K10:O10" si="41">1/(1+$D$16^K9)</f>
        <v>0.99999539174757346</v>
      </c>
      <c r="L10" s="146">
        <f t="shared" si="41"/>
        <v>0.99999940553305089</v>
      </c>
      <c r="M10" s="146">
        <f t="shared" si="41"/>
        <v>0.99999992331372389</v>
      </c>
      <c r="N10" s="146">
        <f t="shared" si="41"/>
        <v>0.99999999010746976</v>
      </c>
      <c r="O10" s="146">
        <f t="shared" si="41"/>
        <v>0.99999999872386347</v>
      </c>
      <c r="W10" s="89" t="s">
        <v>305</v>
      </c>
      <c r="X10" s="89"/>
      <c r="Y10" s="89"/>
      <c r="Z10" s="145"/>
      <c r="AA10" s="146">
        <f>1/(1+$D$16^AA9)</f>
        <v>0.73574546507306604</v>
      </c>
      <c r="AB10" s="146">
        <f t="shared" ref="AB10:AD10" si="42">1/(1+$D$16^AB9)</f>
        <v>0.95571925672564573</v>
      </c>
      <c r="AC10" s="146">
        <f t="shared" si="42"/>
        <v>0.99405863439554731</v>
      </c>
      <c r="AD10" s="146">
        <f t="shared" si="42"/>
        <v>0.99922957695211279</v>
      </c>
      <c r="AE10" s="146">
        <f>1/(1+$D$16^AE9)</f>
        <v>0.99990054869116796</v>
      </c>
      <c r="AF10" s="146">
        <f t="shared" ref="AF10:AO10" si="43">1/(1+$D$16^AF9)</f>
        <v>0.99998716966977075</v>
      </c>
      <c r="AG10" s="146">
        <f t="shared" si="43"/>
        <v>0.99999834486890393</v>
      </c>
      <c r="AH10" s="146">
        <f t="shared" si="43"/>
        <v>0.99999978648778087</v>
      </c>
      <c r="AI10" s="146">
        <f t="shared" si="43"/>
        <v>0.99999997245691852</v>
      </c>
      <c r="AJ10" s="146">
        <f t="shared" si="43"/>
        <v>0.99999999644694237</v>
      </c>
      <c r="AK10" s="146">
        <f t="shared" si="43"/>
        <v>0.99999999954165553</v>
      </c>
      <c r="AL10" s="146">
        <f t="shared" si="43"/>
        <v>0.99999999994087352</v>
      </c>
      <c r="AM10" s="146">
        <f t="shared" si="43"/>
        <v>0.99999999999237277</v>
      </c>
      <c r="AN10" s="146">
        <f t="shared" si="43"/>
        <v>0.99999999999901612</v>
      </c>
      <c r="AO10" s="146">
        <f t="shared" si="43"/>
        <v>0.99999999999987299</v>
      </c>
    </row>
    <row r="11" spans="2:41" ht="2.5" customHeight="1" x14ac:dyDescent="0.35">
      <c r="E11" s="143"/>
      <c r="Z11" s="143"/>
    </row>
    <row r="12" spans="2:41" ht="15" thickBot="1" x14ac:dyDescent="0.4">
      <c r="B12" s="136" t="s">
        <v>306</v>
      </c>
      <c r="C12" s="136"/>
      <c r="D12" s="136"/>
      <c r="E12" s="148">
        <f>'Free Cash Flow '!L9</f>
        <v>277</v>
      </c>
      <c r="F12" s="149">
        <f>F8*F10</f>
        <v>373.10110983085173</v>
      </c>
      <c r="G12" s="149">
        <f t="shared" ref="G12:J12" si="44">G8*G10</f>
        <v>630.07692688815109</v>
      </c>
      <c r="H12" s="149">
        <f t="shared" si="44"/>
        <v>972.00973466878065</v>
      </c>
      <c r="I12" s="149">
        <f t="shared" si="44"/>
        <v>1480.888548084396</v>
      </c>
      <c r="J12" s="149">
        <f t="shared" si="44"/>
        <v>2252.5156851296906</v>
      </c>
      <c r="K12" s="149">
        <f t="shared" ref="K12:O12" si="45">K8*K10</f>
        <v>2815.7322141652103</v>
      </c>
      <c r="L12" s="149">
        <f t="shared" si="45"/>
        <v>3519.6793949529515</v>
      </c>
      <c r="M12" s="149">
        <f t="shared" si="45"/>
        <v>4399.6015217200002</v>
      </c>
      <c r="N12" s="149">
        <f t="shared" si="45"/>
        <v>5499.502269482361</v>
      </c>
      <c r="O12" s="149">
        <f t="shared" si="45"/>
        <v>6874.3778960852978</v>
      </c>
      <c r="W12" s="136" t="s">
        <v>306</v>
      </c>
      <c r="X12" s="136"/>
      <c r="Y12" s="136"/>
      <c r="Z12" s="148"/>
      <c r="AA12" s="149" t="e">
        <f>AA8*AA10</f>
        <v>#REF!</v>
      </c>
      <c r="AB12" s="149" t="e">
        <f t="shared" ref="AB12:AE12" si="46">AB8*AB10</f>
        <v>#REF!</v>
      </c>
      <c r="AC12" s="149" t="e">
        <f t="shared" si="46"/>
        <v>#REF!</v>
      </c>
      <c r="AD12" s="149" t="e">
        <f t="shared" si="46"/>
        <v>#REF!</v>
      </c>
      <c r="AE12" s="149" t="e">
        <f t="shared" si="46"/>
        <v>#REF!</v>
      </c>
      <c r="AF12" s="149" t="e">
        <f t="shared" ref="AF12:AO12" si="47">AF8*AF10</f>
        <v>#REF!</v>
      </c>
      <c r="AG12" s="149" t="e">
        <f t="shared" si="47"/>
        <v>#REF!</v>
      </c>
      <c r="AH12" s="149" t="e">
        <f t="shared" si="47"/>
        <v>#REF!</v>
      </c>
      <c r="AI12" s="149" t="e">
        <f t="shared" si="47"/>
        <v>#REF!</v>
      </c>
      <c r="AJ12" s="149" t="e">
        <f t="shared" si="47"/>
        <v>#REF!</v>
      </c>
      <c r="AK12" s="149" t="e">
        <f t="shared" si="47"/>
        <v>#REF!</v>
      </c>
      <c r="AL12" s="149" t="e">
        <f t="shared" si="47"/>
        <v>#REF!</v>
      </c>
      <c r="AM12" s="149" t="e">
        <f t="shared" si="47"/>
        <v>#REF!</v>
      </c>
      <c r="AN12" s="149" t="e">
        <f t="shared" si="47"/>
        <v>#REF!</v>
      </c>
      <c r="AO12" s="149" t="e">
        <f t="shared" si="47"/>
        <v>#REF!</v>
      </c>
    </row>
    <row r="14" spans="2:41" x14ac:dyDescent="0.35">
      <c r="B14" s="12"/>
      <c r="C14" s="12"/>
      <c r="D14" s="168"/>
      <c r="M14" s="133" t="s">
        <v>478</v>
      </c>
      <c r="N14" s="133" t="s">
        <v>478</v>
      </c>
      <c r="O14" s="133"/>
      <c r="W14" s="139" t="s">
        <v>307</v>
      </c>
      <c r="X14" s="139"/>
      <c r="Y14" s="140">
        <f>D14</f>
        <v>0</v>
      </c>
    </row>
    <row r="15" spans="2:41" x14ac:dyDescent="0.35">
      <c r="B15" s="139" t="s">
        <v>308</v>
      </c>
      <c r="C15" s="139"/>
      <c r="D15" s="140">
        <v>0.1</v>
      </c>
      <c r="F15" s="139" t="s">
        <v>480</v>
      </c>
      <c r="G15" s="139"/>
      <c r="H15" s="140">
        <f>'Free Cash Flow '!T9</f>
        <v>0.52069008302899511</v>
      </c>
      <c r="M15" s="133" t="s">
        <v>362</v>
      </c>
      <c r="N15" s="133" t="s">
        <v>363</v>
      </c>
      <c r="O15" s="133" t="s">
        <v>364</v>
      </c>
      <c r="W15" s="139" t="s">
        <v>308</v>
      </c>
      <c r="X15" s="139"/>
      <c r="Y15" s="140">
        <v>5.8999999999999997E-2</v>
      </c>
    </row>
    <row r="16" spans="2:41" x14ac:dyDescent="0.35">
      <c r="B16" s="139" t="s">
        <v>309</v>
      </c>
      <c r="C16" s="139"/>
      <c r="D16" s="140">
        <v>0.129</v>
      </c>
      <c r="F16" s="139" t="s">
        <v>479</v>
      </c>
      <c r="G16" s="139"/>
      <c r="H16" s="140">
        <v>0.25</v>
      </c>
      <c r="W16" s="139" t="s">
        <v>309</v>
      </c>
      <c r="X16" s="139"/>
      <c r="Y16" s="140">
        <f>D16</f>
        <v>0.129</v>
      </c>
    </row>
    <row r="17" spans="2:41" x14ac:dyDescent="0.35">
      <c r="M17" s="169">
        <f>(J8/G8)^(1/3)-1</f>
        <v>0.52069008302899511</v>
      </c>
      <c r="N17" s="169">
        <f>(J8/E8)^(1/5)-1</f>
        <v>0.52069008302899511</v>
      </c>
      <c r="O17" s="169">
        <f>AVERAGE(M17:N17)</f>
        <v>0.52069008302899511</v>
      </c>
    </row>
    <row r="18" spans="2:41" ht="18.5" x14ac:dyDescent="0.45">
      <c r="B18" s="66" t="s">
        <v>310</v>
      </c>
      <c r="C18" s="64"/>
      <c r="D18" s="64"/>
      <c r="F18" s="9"/>
      <c r="G18" s="102"/>
      <c r="H18" s="102"/>
      <c r="W18" s="66" t="s">
        <v>310</v>
      </c>
      <c r="X18" s="64"/>
      <c r="Y18" s="64"/>
      <c r="AA18" s="155" t="s">
        <v>324</v>
      </c>
      <c r="AB18" s="64"/>
      <c r="AC18" s="64"/>
      <c r="AD18" s="151"/>
      <c r="AE18" s="151"/>
      <c r="AF18" s="151"/>
      <c r="AG18" s="151"/>
      <c r="AH18" s="151"/>
      <c r="AI18" s="151"/>
      <c r="AJ18" s="151"/>
      <c r="AK18" s="151"/>
      <c r="AL18" s="151"/>
      <c r="AM18" s="151"/>
      <c r="AN18" s="151"/>
      <c r="AO18" s="151"/>
    </row>
    <row r="19" spans="2:41" x14ac:dyDescent="0.35">
      <c r="F19" s="150"/>
      <c r="G19" s="205"/>
      <c r="H19" s="205"/>
      <c r="I19" s="205"/>
      <c r="J19" s="205"/>
      <c r="K19" s="205"/>
      <c r="AA19" s="150" t="e">
        <f>Y30</f>
        <v>#REF!</v>
      </c>
      <c r="AB19" s="153">
        <v>0.1</v>
      </c>
      <c r="AC19" s="153">
        <v>0.11</v>
      </c>
      <c r="AD19" s="153">
        <v>0.12</v>
      </c>
      <c r="AE19" s="153">
        <v>0.13</v>
      </c>
      <c r="AF19" s="153">
        <v>0.14000000000000001</v>
      </c>
      <c r="AG19" s="153">
        <v>0.1452</v>
      </c>
      <c r="AH19" s="153">
        <v>0.15</v>
      </c>
      <c r="AI19" s="153">
        <v>0.16</v>
      </c>
      <c r="AJ19" s="153">
        <v>0.17</v>
      </c>
      <c r="AK19" s="153">
        <v>0.18</v>
      </c>
      <c r="AL19" s="153">
        <v>0.19</v>
      </c>
      <c r="AM19" s="153">
        <v>0.2</v>
      </c>
      <c r="AN19" s="153">
        <v>0.21</v>
      </c>
      <c r="AO19" s="153">
        <v>0.22</v>
      </c>
    </row>
    <row r="20" spans="2:41" x14ac:dyDescent="0.35">
      <c r="B20" t="s">
        <v>311</v>
      </c>
      <c r="D20" s="135">
        <f>O8*(1+D15)</f>
        <v>7561.8156953437374</v>
      </c>
      <c r="F20" s="206"/>
      <c r="G20" s="109"/>
      <c r="H20" s="109"/>
      <c r="I20" s="109"/>
      <c r="J20" s="109"/>
      <c r="K20" s="109"/>
      <c r="W20" t="s">
        <v>311</v>
      </c>
      <c r="Y20" s="135" t="e">
        <f>AE8*(1+Y14)</f>
        <v>#REF!</v>
      </c>
      <c r="AA20" s="152">
        <v>0.02</v>
      </c>
      <c r="AB20" s="109" t="e">
        <f t="dataTable" ref="AB20:AO35" dt2D="1" dtr="1" r1="Y21" r2="Y22"/>
        <v>#REF!</v>
      </c>
      <c r="AC20" s="109" t="e">
        <v>#REF!</v>
      </c>
      <c r="AD20" s="109" t="e">
        <v>#REF!</v>
      </c>
      <c r="AE20" s="109" t="e">
        <v>#REF!</v>
      </c>
      <c r="AF20" s="109" t="e">
        <v>#REF!</v>
      </c>
      <c r="AG20" s="109" t="e">
        <v>#REF!</v>
      </c>
      <c r="AH20" s="109" t="e">
        <v>#REF!</v>
      </c>
      <c r="AI20" s="109" t="e">
        <v>#REF!</v>
      </c>
      <c r="AJ20" s="109" t="e">
        <v>#REF!</v>
      </c>
      <c r="AK20" s="109" t="e">
        <v>#REF!</v>
      </c>
      <c r="AL20" s="109" t="e">
        <v>#REF!</v>
      </c>
      <c r="AM20" s="109" t="e">
        <v>#REF!</v>
      </c>
      <c r="AN20" s="109" t="e">
        <v>#REF!</v>
      </c>
      <c r="AO20" s="109" t="e">
        <v>#REF!</v>
      </c>
    </row>
    <row r="21" spans="2:41" x14ac:dyDescent="0.35">
      <c r="B21" t="s">
        <v>309</v>
      </c>
      <c r="D21" s="50">
        <f>D16</f>
        <v>0.129</v>
      </c>
      <c r="F21" s="206"/>
      <c r="G21" s="109"/>
      <c r="H21" s="109"/>
      <c r="I21" s="109"/>
      <c r="J21" s="109"/>
      <c r="K21" s="109"/>
      <c r="M21" s="169">
        <f>(J12/G12)^(1/3)-1</f>
        <v>0.52906078096929154</v>
      </c>
      <c r="N21" s="169">
        <f>(J12/E12)^(1/5)-1</f>
        <v>0.52067921852378629</v>
      </c>
      <c r="O21" s="169">
        <f>AVERAGE(M21:N21)</f>
        <v>0.52486999974653892</v>
      </c>
      <c r="W21" t="s">
        <v>309</v>
      </c>
      <c r="Y21" s="50">
        <f>Y16</f>
        <v>0.129</v>
      </c>
      <c r="AA21" s="152">
        <v>0.03</v>
      </c>
      <c r="AB21" s="109" t="e">
        <v>#REF!</v>
      </c>
      <c r="AC21" s="109" t="e">
        <v>#REF!</v>
      </c>
      <c r="AD21" s="109" t="e">
        <v>#REF!</v>
      </c>
      <c r="AE21" s="109" t="e">
        <v>#REF!</v>
      </c>
      <c r="AF21" s="109" t="e">
        <v>#REF!</v>
      </c>
      <c r="AG21" s="109" t="e">
        <v>#REF!</v>
      </c>
      <c r="AH21" s="109" t="e">
        <v>#REF!</v>
      </c>
      <c r="AI21" s="109" t="e">
        <v>#REF!</v>
      </c>
      <c r="AJ21" s="109" t="e">
        <v>#REF!</v>
      </c>
      <c r="AK21" s="109" t="e">
        <v>#REF!</v>
      </c>
      <c r="AL21" s="109" t="e">
        <v>#REF!</v>
      </c>
      <c r="AM21" s="109" t="e">
        <v>#REF!</v>
      </c>
      <c r="AN21" s="109" t="e">
        <v>#REF!</v>
      </c>
      <c r="AO21" s="109" t="e">
        <v>#REF!</v>
      </c>
    </row>
    <row r="22" spans="2:41" x14ac:dyDescent="0.35">
      <c r="B22" t="s">
        <v>312</v>
      </c>
      <c r="D22" s="50">
        <f>D15</f>
        <v>0.1</v>
      </c>
      <c r="F22" s="206"/>
      <c r="G22" s="109"/>
      <c r="H22" s="138"/>
      <c r="I22" s="109"/>
      <c r="J22" s="109"/>
      <c r="K22" s="109"/>
      <c r="W22" t="s">
        <v>312</v>
      </c>
      <c r="Y22" s="50">
        <f>Y15</f>
        <v>5.8999999999999997E-2</v>
      </c>
      <c r="AA22" s="152">
        <v>0.04</v>
      </c>
      <c r="AB22" s="109" t="e">
        <v>#REF!</v>
      </c>
      <c r="AC22" s="109" t="e">
        <v>#REF!</v>
      </c>
      <c r="AD22" s="154" t="e">
        <v>#REF!</v>
      </c>
      <c r="AE22" s="109" t="e">
        <v>#REF!</v>
      </c>
      <c r="AF22" s="109" t="e">
        <v>#REF!</v>
      </c>
      <c r="AG22" s="109" t="e">
        <v>#REF!</v>
      </c>
      <c r="AH22" s="109" t="e">
        <v>#REF!</v>
      </c>
      <c r="AI22" s="109" t="e">
        <v>#REF!</v>
      </c>
      <c r="AJ22" s="109" t="e">
        <v>#REF!</v>
      </c>
      <c r="AK22" s="109" t="e">
        <v>#REF!</v>
      </c>
      <c r="AL22" s="109" t="e">
        <v>#REF!</v>
      </c>
      <c r="AM22" s="109" t="e">
        <v>#REF!</v>
      </c>
      <c r="AN22" s="109" t="e">
        <v>#REF!</v>
      </c>
      <c r="AO22" s="109" t="e">
        <v>#REF!</v>
      </c>
    </row>
    <row r="23" spans="2:41" ht="3" customHeight="1" x14ac:dyDescent="0.35">
      <c r="F23" s="206"/>
      <c r="G23" s="109"/>
      <c r="H23" s="109"/>
      <c r="I23" s="109"/>
      <c r="J23" s="109"/>
      <c r="K23" s="109"/>
      <c r="AA23" s="152"/>
      <c r="AB23" s="109" t="e">
        <v>#REF!</v>
      </c>
      <c r="AC23" s="109" t="e">
        <v>#REF!</v>
      </c>
      <c r="AD23" s="109" t="e">
        <v>#REF!</v>
      </c>
      <c r="AE23" s="109" t="e">
        <v>#REF!</v>
      </c>
      <c r="AF23" s="109" t="e">
        <v>#REF!</v>
      </c>
      <c r="AG23" s="109" t="e">
        <v>#REF!</v>
      </c>
      <c r="AH23" s="109" t="e">
        <v>#REF!</v>
      </c>
      <c r="AI23" s="109" t="e">
        <v>#REF!</v>
      </c>
      <c r="AJ23" s="109" t="e">
        <v>#REF!</v>
      </c>
      <c r="AK23" s="109" t="e">
        <v>#REF!</v>
      </c>
      <c r="AL23" s="109" t="e">
        <v>#REF!</v>
      </c>
      <c r="AM23" s="109" t="e">
        <v>#REF!</v>
      </c>
      <c r="AN23" s="109" t="e">
        <v>#REF!</v>
      </c>
      <c r="AO23" s="109" t="e">
        <v>#REF!</v>
      </c>
    </row>
    <row r="24" spans="2:41" ht="15" thickBot="1" x14ac:dyDescent="0.4">
      <c r="B24" s="136" t="s">
        <v>313</v>
      </c>
      <c r="C24" s="136"/>
      <c r="D24" s="137">
        <f>D20/(D21-D22)</f>
        <v>260752.26535668061</v>
      </c>
      <c r="F24" s="206"/>
      <c r="G24" s="109"/>
      <c r="H24" s="109"/>
      <c r="I24" s="109"/>
      <c r="J24" s="109"/>
      <c r="K24" s="109"/>
      <c r="W24" s="136" t="s">
        <v>313</v>
      </c>
      <c r="X24" s="136"/>
      <c r="Y24" s="137" t="e">
        <f>Y20/(Y21-Y22)</f>
        <v>#REF!</v>
      </c>
      <c r="AA24" s="152">
        <v>0.05</v>
      </c>
      <c r="AB24" s="109" t="e">
        <v>#REF!</v>
      </c>
      <c r="AC24" s="109" t="e">
        <v>#REF!</v>
      </c>
      <c r="AD24" s="109" t="e">
        <v>#REF!</v>
      </c>
      <c r="AE24" s="109" t="e">
        <v>#REF!</v>
      </c>
      <c r="AF24" s="109" t="e">
        <v>#REF!</v>
      </c>
      <c r="AG24" s="109" t="e">
        <v>#REF!</v>
      </c>
      <c r="AH24" s="109" t="e">
        <v>#REF!</v>
      </c>
      <c r="AI24" s="109" t="e">
        <v>#REF!</v>
      </c>
      <c r="AJ24" s="109" t="e">
        <v>#REF!</v>
      </c>
      <c r="AK24" s="109" t="e">
        <v>#REF!</v>
      </c>
      <c r="AL24" s="109" t="e">
        <v>#REF!</v>
      </c>
      <c r="AM24" s="109" t="e">
        <v>#REF!</v>
      </c>
      <c r="AN24" s="109" t="e">
        <v>#REF!</v>
      </c>
      <c r="AO24" s="109" t="e">
        <v>#REF!</v>
      </c>
    </row>
    <row r="25" spans="2:41" x14ac:dyDescent="0.35">
      <c r="F25" s="206"/>
      <c r="G25" s="109"/>
      <c r="H25" s="109"/>
      <c r="I25" s="109"/>
      <c r="J25" s="109"/>
      <c r="K25" s="109"/>
      <c r="AA25" s="152">
        <v>5.8999999999999997E-2</v>
      </c>
      <c r="AB25" s="109" t="e">
        <v>#REF!</v>
      </c>
      <c r="AC25" s="109" t="e">
        <v>#REF!</v>
      </c>
      <c r="AD25" s="109" t="e">
        <v>#REF!</v>
      </c>
      <c r="AE25" s="109" t="e">
        <v>#REF!</v>
      </c>
      <c r="AF25" s="109" t="e">
        <v>#REF!</v>
      </c>
      <c r="AG25" s="110" t="e">
        <v>#REF!</v>
      </c>
      <c r="AH25" s="109" t="e">
        <v>#REF!</v>
      </c>
      <c r="AI25" s="109" t="e">
        <v>#REF!</v>
      </c>
      <c r="AJ25" s="109" t="e">
        <v>#REF!</v>
      </c>
      <c r="AK25" s="109" t="e">
        <v>#REF!</v>
      </c>
      <c r="AL25" s="109" t="e">
        <v>#REF!</v>
      </c>
      <c r="AM25" s="109" t="e">
        <v>#REF!</v>
      </c>
      <c r="AN25" s="109" t="e">
        <v>#REF!</v>
      </c>
      <c r="AO25" s="109" t="e">
        <v>#REF!</v>
      </c>
    </row>
    <row r="26" spans="2:41" x14ac:dyDescent="0.35">
      <c r="B26" s="66" t="s">
        <v>318</v>
      </c>
      <c r="C26" s="64"/>
      <c r="D26" s="64"/>
      <c r="F26" s="66" t="s">
        <v>324</v>
      </c>
      <c r="G26" s="64"/>
      <c r="H26" s="64"/>
      <c r="I26" s="151"/>
      <c r="J26" s="151"/>
      <c r="K26" s="151"/>
      <c r="L26" s="151"/>
      <c r="M26" s="151"/>
      <c r="N26" s="151"/>
      <c r="O26" s="151"/>
      <c r="P26" s="151"/>
      <c r="W26" s="66" t="s">
        <v>318</v>
      </c>
      <c r="X26" s="64"/>
      <c r="Y26" s="64"/>
      <c r="AA26" s="152">
        <v>0.06</v>
      </c>
      <c r="AB26" s="109" t="e">
        <v>#REF!</v>
      </c>
      <c r="AC26" s="109" t="e">
        <v>#REF!</v>
      </c>
      <c r="AD26" s="109" t="e">
        <v>#REF!</v>
      </c>
      <c r="AE26" s="109" t="e">
        <v>#REF!</v>
      </c>
      <c r="AF26" s="109" t="e">
        <v>#REF!</v>
      </c>
      <c r="AG26" s="109" t="e">
        <v>#REF!</v>
      </c>
      <c r="AH26" s="109" t="e">
        <v>#REF!</v>
      </c>
      <c r="AI26" s="109" t="e">
        <v>#REF!</v>
      </c>
      <c r="AJ26" s="109" t="e">
        <v>#REF!</v>
      </c>
      <c r="AK26" s="109" t="e">
        <v>#REF!</v>
      </c>
      <c r="AL26" s="109" t="e">
        <v>#REF!</v>
      </c>
      <c r="AM26" s="109" t="e">
        <v>#REF!</v>
      </c>
      <c r="AN26" s="109" t="e">
        <v>#REF!</v>
      </c>
      <c r="AO26" s="109" t="e">
        <v>#REF!</v>
      </c>
    </row>
    <row r="27" spans="2:41" x14ac:dyDescent="0.35">
      <c r="F27" s="150">
        <f>D37</f>
        <v>4095.343777602302</v>
      </c>
      <c r="G27" s="153">
        <v>0.05</v>
      </c>
      <c r="H27" s="153">
        <v>0.06</v>
      </c>
      <c r="I27" s="153">
        <v>7.0000000000000007E-2</v>
      </c>
      <c r="J27" s="153">
        <v>0.08</v>
      </c>
      <c r="K27" s="153">
        <v>0.09</v>
      </c>
      <c r="L27" s="153">
        <v>0.1</v>
      </c>
      <c r="M27" s="153">
        <v>0.11</v>
      </c>
      <c r="N27" s="153">
        <v>0.12</v>
      </c>
      <c r="O27" s="153">
        <v>0.13</v>
      </c>
      <c r="P27" s="153">
        <v>0.14000000000000001</v>
      </c>
      <c r="Q27" s="209" t="s">
        <v>474</v>
      </c>
      <c r="AA27" s="152">
        <v>7.0000000000000007E-2</v>
      </c>
      <c r="AB27" s="109" t="e">
        <v>#REF!</v>
      </c>
      <c r="AC27" s="109" t="e">
        <v>#REF!</v>
      </c>
      <c r="AD27" s="109" t="e">
        <v>#REF!</v>
      </c>
      <c r="AE27" s="109" t="e">
        <v>#REF!</v>
      </c>
      <c r="AF27" s="109" t="e">
        <v>#REF!</v>
      </c>
      <c r="AG27" s="109" t="e">
        <v>#REF!</v>
      </c>
      <c r="AH27" s="109" t="e">
        <v>#REF!</v>
      </c>
      <c r="AI27" s="109" t="e">
        <v>#REF!</v>
      </c>
      <c r="AJ27" s="109" t="e">
        <v>#REF!</v>
      </c>
      <c r="AK27" s="109" t="e">
        <v>#REF!</v>
      </c>
      <c r="AL27" s="109" t="e">
        <v>#REF!</v>
      </c>
      <c r="AM27" s="109" t="e">
        <v>#REF!</v>
      </c>
      <c r="AN27" s="109" t="e">
        <v>#REF!</v>
      </c>
      <c r="AO27" s="109" t="e">
        <v>#REF!</v>
      </c>
    </row>
    <row r="28" spans="2:41" x14ac:dyDescent="0.35">
      <c r="B28" t="s">
        <v>306</v>
      </c>
      <c r="D28" s="135">
        <f>SUM(F12:J12)</f>
        <v>5708.59200460187</v>
      </c>
      <c r="F28" s="152">
        <v>0.1</v>
      </c>
      <c r="G28" s="109">
        <f t="dataTable" ref="G28:P33" dt2D="1" dtr="1" r1="D15" r2="D16"/>
        <v>2307.0983169718538</v>
      </c>
      <c r="H28" s="109">
        <v>2888.1153598201649</v>
      </c>
      <c r="I28" s="109">
        <v>3856.4770979006848</v>
      </c>
      <c r="J28" s="109">
        <v>5793.2005740617215</v>
      </c>
      <c r="K28" s="109">
        <v>11603.371002544825</v>
      </c>
      <c r="L28" s="156" t="e">
        <v>#DIV/0!</v>
      </c>
      <c r="M28" s="109">
        <v>-11637.310711387621</v>
      </c>
      <c r="N28" s="109">
        <v>-5827.1402829045055</v>
      </c>
      <c r="O28" s="109">
        <v>-3890.4168067434657</v>
      </c>
      <c r="P28" s="109">
        <v>-2922.0550686629467</v>
      </c>
      <c r="W28" t="s">
        <v>306</v>
      </c>
      <c r="Y28" s="135" t="e">
        <f>SUM(AA12:AE12)</f>
        <v>#REF!</v>
      </c>
      <c r="AA28" s="152">
        <v>0.08</v>
      </c>
      <c r="AB28" s="109" t="e">
        <v>#REF!</v>
      </c>
      <c r="AC28" s="109" t="e">
        <v>#REF!</v>
      </c>
      <c r="AD28" s="109" t="e">
        <v>#REF!</v>
      </c>
      <c r="AE28" s="109" t="e">
        <v>#REF!</v>
      </c>
      <c r="AF28" s="109" t="e">
        <v>#REF!</v>
      </c>
      <c r="AG28" s="109" t="e">
        <v>#REF!</v>
      </c>
      <c r="AH28" s="109" t="e">
        <v>#REF!</v>
      </c>
      <c r="AI28" s="109" t="e">
        <v>#REF!</v>
      </c>
      <c r="AJ28" s="109" t="e">
        <v>#REF!</v>
      </c>
      <c r="AK28" s="109" t="e">
        <v>#REF!</v>
      </c>
      <c r="AL28" s="109" t="e">
        <v>#REF!</v>
      </c>
      <c r="AM28" s="109" t="e">
        <v>#REF!</v>
      </c>
      <c r="AN28" s="109" t="e">
        <v>#REF!</v>
      </c>
      <c r="AO28" s="109" t="e">
        <v>#REF!</v>
      </c>
    </row>
    <row r="29" spans="2:41" x14ac:dyDescent="0.35">
      <c r="B29" t="s">
        <v>314</v>
      </c>
      <c r="D29" s="135">
        <f>D24*J10</f>
        <v>260742.95082278125</v>
      </c>
      <c r="F29" s="152">
        <v>0.11</v>
      </c>
      <c r="G29" s="109">
        <v>1937.2694639366478</v>
      </c>
      <c r="H29" s="109">
        <v>2328.1330883424066</v>
      </c>
      <c r="I29" s="109">
        <v>2914.428524951044</v>
      </c>
      <c r="J29" s="109">
        <v>3891.5875859654402</v>
      </c>
      <c r="K29" s="109">
        <v>5845.9057079942322</v>
      </c>
      <c r="L29" s="109">
        <v>11708.860074080616</v>
      </c>
      <c r="M29" s="156" t="e">
        <v>#DIV/0!</v>
      </c>
      <c r="N29" s="109">
        <v>-11742.957390264903</v>
      </c>
      <c r="O29" s="109">
        <v>-5880.003024178518</v>
      </c>
      <c r="P29" s="109">
        <v>-3925.6849021497269</v>
      </c>
      <c r="W29" t="s">
        <v>314</v>
      </c>
      <c r="Y29" s="135" t="e">
        <f>Y24*AE10</f>
        <v>#REF!</v>
      </c>
      <c r="AA29" s="152">
        <v>0.09</v>
      </c>
      <c r="AB29" s="109" t="e">
        <v>#REF!</v>
      </c>
      <c r="AC29" s="109" t="e">
        <v>#REF!</v>
      </c>
      <c r="AD29" s="109" t="e">
        <v>#REF!</v>
      </c>
      <c r="AE29" s="109" t="e">
        <v>#REF!</v>
      </c>
      <c r="AF29" s="109" t="e">
        <v>#REF!</v>
      </c>
      <c r="AG29" s="109" t="e">
        <v>#REF!</v>
      </c>
      <c r="AH29" s="109" t="e">
        <v>#REF!</v>
      </c>
      <c r="AI29" s="109" t="e">
        <v>#REF!</v>
      </c>
      <c r="AJ29" s="109" t="e">
        <v>#REF!</v>
      </c>
      <c r="AK29" s="109" t="e">
        <v>#REF!</v>
      </c>
      <c r="AL29" s="109" t="e">
        <v>#REF!</v>
      </c>
      <c r="AM29" s="109" t="e">
        <v>#REF!</v>
      </c>
      <c r="AN29" s="109" t="e">
        <v>#REF!</v>
      </c>
      <c r="AO29" s="109" t="e">
        <v>#REF!</v>
      </c>
    </row>
    <row r="30" spans="2:41" x14ac:dyDescent="0.35">
      <c r="B30" s="12" t="s">
        <v>315</v>
      </c>
      <c r="D30" s="138">
        <f>SUM(D28:D29)</f>
        <v>266451.54282738309</v>
      </c>
      <c r="F30" s="152">
        <v>0.12</v>
      </c>
      <c r="G30" s="109">
        <v>1673.0767747390014</v>
      </c>
      <c r="H30" s="109">
        <v>1954.7778150641543</v>
      </c>
      <c r="I30" s="109">
        <v>2349.1592715193692</v>
      </c>
      <c r="J30" s="109">
        <v>2940.7314562021911</v>
      </c>
      <c r="K30" s="109">
        <v>3926.685097340227</v>
      </c>
      <c r="L30" s="109">
        <v>5898.5923796163042</v>
      </c>
      <c r="M30" s="109">
        <v>11814.314226444525</v>
      </c>
      <c r="N30" s="156" t="e">
        <v>#DIV/0!</v>
      </c>
      <c r="O30" s="109">
        <v>-11848.573160868342</v>
      </c>
      <c r="P30" s="109">
        <v>-5932.8513140401319</v>
      </c>
      <c r="W30" s="12" t="s">
        <v>315</v>
      </c>
      <c r="Y30" s="138" t="e">
        <f>SUM(Y28:Y29)</f>
        <v>#REF!</v>
      </c>
      <c r="AA30" s="152">
        <v>0.1</v>
      </c>
      <c r="AB30" s="156" t="e">
        <v>#REF!</v>
      </c>
      <c r="AC30" s="109" t="e">
        <v>#REF!</v>
      </c>
      <c r="AD30" s="109" t="e">
        <v>#REF!</v>
      </c>
      <c r="AE30" s="109" t="e">
        <v>#REF!</v>
      </c>
      <c r="AF30" s="109" t="e">
        <v>#REF!</v>
      </c>
      <c r="AG30" s="109" t="e">
        <v>#REF!</v>
      </c>
      <c r="AH30" s="109" t="e">
        <v>#REF!</v>
      </c>
      <c r="AI30" s="109" t="e">
        <v>#REF!</v>
      </c>
      <c r="AJ30" s="109" t="e">
        <v>#REF!</v>
      </c>
      <c r="AK30" s="109" t="e">
        <v>#REF!</v>
      </c>
      <c r="AL30" s="109" t="e">
        <v>#REF!</v>
      </c>
      <c r="AM30" s="109" t="e">
        <v>#REF!</v>
      </c>
      <c r="AN30" s="109" t="e">
        <v>#REF!</v>
      </c>
      <c r="AO30" s="109" t="e">
        <v>#REF!</v>
      </c>
    </row>
    <row r="31" spans="2:41" x14ac:dyDescent="0.35">
      <c r="B31" s="12"/>
      <c r="F31" s="152">
        <v>0.129</v>
      </c>
      <c r="G31" s="109">
        <v>1492.4654454982501</v>
      </c>
      <c r="H31" s="109">
        <v>1711.2581168925035</v>
      </c>
      <c r="I31" s="109">
        <v>2004.2177955390468</v>
      </c>
      <c r="J31" s="109">
        <v>2416.7528532249949</v>
      </c>
      <c r="K31" s="109">
        <v>3040.8443507498905</v>
      </c>
      <c r="L31" s="110">
        <v>4095.343777602302</v>
      </c>
      <c r="M31" s="109">
        <v>6259.8426011414595</v>
      </c>
      <c r="N31" s="109">
        <v>13234.338810323181</v>
      </c>
      <c r="O31" s="109">
        <v>-119281.0891641296</v>
      </c>
      <c r="P31" s="109">
        <v>-10859.375366850056</v>
      </c>
      <c r="W31" s="12"/>
      <c r="AA31" s="152">
        <v>0.11</v>
      </c>
      <c r="AB31" s="109" t="e">
        <v>#REF!</v>
      </c>
      <c r="AC31" s="156" t="e">
        <v>#REF!</v>
      </c>
      <c r="AD31" s="109" t="e">
        <v>#REF!</v>
      </c>
      <c r="AE31" s="109" t="e">
        <v>#REF!</v>
      </c>
      <c r="AF31" s="109" t="e">
        <v>#REF!</v>
      </c>
      <c r="AG31" s="109" t="e">
        <v>#REF!</v>
      </c>
      <c r="AH31" s="109" t="e">
        <v>#REF!</v>
      </c>
      <c r="AI31" s="109" t="e">
        <v>#REF!</v>
      </c>
      <c r="AJ31" s="109" t="e">
        <v>#REF!</v>
      </c>
      <c r="AK31" s="109" t="e">
        <v>#REF!</v>
      </c>
      <c r="AL31" s="109" t="e">
        <v>#REF!</v>
      </c>
      <c r="AM31" s="109" t="e">
        <v>#REF!</v>
      </c>
      <c r="AN31" s="109" t="e">
        <v>#REF!</v>
      </c>
      <c r="AO31" s="109" t="e">
        <v>#REF!</v>
      </c>
    </row>
    <row r="32" spans="2:41" x14ac:dyDescent="0.35">
      <c r="B32" t="s">
        <v>316</v>
      </c>
      <c r="D32" s="135">
        <f>'Historical Financial Statement '!L68</f>
        <v>638.17999999999995</v>
      </c>
      <c r="F32" s="152">
        <v>0.13</v>
      </c>
      <c r="G32" s="109">
        <v>1474.9045510209028</v>
      </c>
      <c r="H32" s="109">
        <v>1688.0641118514568</v>
      </c>
      <c r="I32" s="109">
        <v>1972.2768596255296</v>
      </c>
      <c r="J32" s="109">
        <v>2370.1747065092309</v>
      </c>
      <c r="K32" s="109">
        <v>2967.0214768347828</v>
      </c>
      <c r="L32" s="109">
        <v>3961.7660940440373</v>
      </c>
      <c r="M32" s="109">
        <v>5951.2553284625437</v>
      </c>
      <c r="N32" s="109">
        <v>11919.723031718057</v>
      </c>
      <c r="O32" s="156" t="e">
        <v>#DIV/0!</v>
      </c>
      <c r="P32" s="109">
        <v>-11954.147781304013</v>
      </c>
      <c r="W32" t="s">
        <v>316</v>
      </c>
      <c r="Y32" s="135">
        <f>D32</f>
        <v>638.17999999999995</v>
      </c>
      <c r="AA32" s="152">
        <v>0.12</v>
      </c>
      <c r="AB32" s="109" t="e">
        <v>#REF!</v>
      </c>
      <c r="AC32" s="109" t="e">
        <v>#REF!</v>
      </c>
      <c r="AD32" s="156" t="e">
        <v>#REF!</v>
      </c>
      <c r="AE32" s="109" t="e">
        <v>#REF!</v>
      </c>
      <c r="AF32" s="109" t="e">
        <v>#REF!</v>
      </c>
      <c r="AG32" s="109" t="e">
        <v>#REF!</v>
      </c>
      <c r="AH32" s="109" t="e">
        <v>#REF!</v>
      </c>
      <c r="AI32" s="109" t="e">
        <v>#REF!</v>
      </c>
      <c r="AJ32" s="109" t="e">
        <v>#REF!</v>
      </c>
      <c r="AK32" s="109" t="e">
        <v>#REF!</v>
      </c>
      <c r="AL32" s="109" t="e">
        <v>#REF!</v>
      </c>
      <c r="AM32" s="109" t="e">
        <v>#REF!</v>
      </c>
      <c r="AN32" s="109" t="e">
        <v>#REF!</v>
      </c>
      <c r="AO32" s="109" t="e">
        <v>#REF!</v>
      </c>
    </row>
    <row r="33" spans="2:41" x14ac:dyDescent="0.35">
      <c r="B33" t="s">
        <v>317</v>
      </c>
      <c r="D33" s="135">
        <f>'Historical Financial Statement '!L54</f>
        <v>592.16</v>
      </c>
      <c r="F33" s="152">
        <v>0.14000000000000001</v>
      </c>
      <c r="G33" s="109">
        <v>1320.7438087026646</v>
      </c>
      <c r="H33" s="109">
        <v>1487.9989679756966</v>
      </c>
      <c r="I33" s="109">
        <v>1703.0413156124519</v>
      </c>
      <c r="J33" s="109">
        <v>1989.764445794792</v>
      </c>
      <c r="K33" s="109">
        <v>2391.1768280500683</v>
      </c>
      <c r="L33" s="109">
        <v>2993.295401432983</v>
      </c>
      <c r="M33" s="109">
        <v>3996.8263570711724</v>
      </c>
      <c r="N33" s="109">
        <v>6003.8882683475531</v>
      </c>
      <c r="O33">
        <v>12025.074002176691</v>
      </c>
      <c r="P33" s="156" t="e">
        <v>#DIV/0!</v>
      </c>
      <c r="W33" t="s">
        <v>317</v>
      </c>
      <c r="Y33" s="135">
        <f>D33</f>
        <v>592.16</v>
      </c>
      <c r="AA33" s="152">
        <v>0.13</v>
      </c>
      <c r="AB33" s="109" t="e">
        <v>#REF!</v>
      </c>
      <c r="AC33" s="109" t="e">
        <v>#REF!</v>
      </c>
      <c r="AD33" s="109" t="e">
        <v>#REF!</v>
      </c>
      <c r="AE33" s="156" t="e">
        <v>#REF!</v>
      </c>
      <c r="AF33" s="109" t="e">
        <v>#REF!</v>
      </c>
      <c r="AG33" s="109" t="e">
        <v>#REF!</v>
      </c>
      <c r="AH33" s="109" t="e">
        <v>#REF!</v>
      </c>
      <c r="AI33" s="109" t="e">
        <v>#REF!</v>
      </c>
      <c r="AJ33" s="109" t="e">
        <v>#REF!</v>
      </c>
      <c r="AK33" s="109" t="e">
        <v>#REF!</v>
      </c>
      <c r="AL33" s="109" t="e">
        <v>#REF!</v>
      </c>
      <c r="AM33" s="109" t="e">
        <v>#REF!</v>
      </c>
      <c r="AN33" s="109" t="e">
        <v>#REF!</v>
      </c>
      <c r="AO33" s="109" t="e">
        <v>#REF!</v>
      </c>
    </row>
    <row r="34" spans="2:41" x14ac:dyDescent="0.35">
      <c r="B34" s="12" t="s">
        <v>319</v>
      </c>
      <c r="D34" s="135">
        <f>D30+D32-D33</f>
        <v>266497.56282738311</v>
      </c>
      <c r="F34" s="209" t="s">
        <v>309</v>
      </c>
      <c r="W34" s="12" t="s">
        <v>319</v>
      </c>
      <c r="Y34" s="135" t="e">
        <f>Y30+Y32-Y33</f>
        <v>#REF!</v>
      </c>
      <c r="AA34" s="152">
        <v>0.14000000000000001</v>
      </c>
      <c r="AB34" s="109" t="e">
        <v>#REF!</v>
      </c>
      <c r="AC34" s="109" t="e">
        <v>#REF!</v>
      </c>
      <c r="AD34" s="109" t="e">
        <v>#REF!</v>
      </c>
      <c r="AE34" s="109" t="e">
        <v>#REF!</v>
      </c>
      <c r="AF34" s="156" t="e">
        <v>#REF!</v>
      </c>
      <c r="AG34" s="109" t="e">
        <v>#REF!</v>
      </c>
      <c r="AH34" s="109" t="e">
        <v>#REF!</v>
      </c>
      <c r="AI34" s="109" t="e">
        <v>#REF!</v>
      </c>
      <c r="AJ34" s="109" t="e">
        <v>#REF!</v>
      </c>
      <c r="AK34" s="109" t="e">
        <v>#REF!</v>
      </c>
      <c r="AL34" s="109" t="e">
        <v>#REF!</v>
      </c>
      <c r="AM34" s="109" t="e">
        <v>#REF!</v>
      </c>
      <c r="AN34" s="109" t="e">
        <v>#REF!</v>
      </c>
      <c r="AO34" s="109" t="e">
        <v>#REF!</v>
      </c>
    </row>
    <row r="35" spans="2:41" x14ac:dyDescent="0.35">
      <c r="B35" t="s">
        <v>320</v>
      </c>
      <c r="D35" s="135">
        <f>'Data Sheet'!B6</f>
        <v>65.073306979715696</v>
      </c>
      <c r="W35" t="s">
        <v>320</v>
      </c>
      <c r="Y35" s="135">
        <f>D35</f>
        <v>65.073306979715696</v>
      </c>
      <c r="AA35" s="152">
        <v>0.15</v>
      </c>
      <c r="AB35" s="109" t="e">
        <v>#REF!</v>
      </c>
      <c r="AC35" s="109" t="e">
        <v>#REF!</v>
      </c>
      <c r="AD35" s="109" t="e">
        <v>#REF!</v>
      </c>
      <c r="AE35" s="109" t="e">
        <v>#REF!</v>
      </c>
      <c r="AF35" s="109" t="e">
        <v>#REF!</v>
      </c>
      <c r="AG35" s="109" t="e">
        <v>#REF!</v>
      </c>
      <c r="AH35" s="156" t="e">
        <v>#REF!</v>
      </c>
      <c r="AI35" s="109" t="e">
        <v>#REF!</v>
      </c>
      <c r="AJ35" s="109" t="e">
        <v>#REF!</v>
      </c>
      <c r="AK35" s="109" t="e">
        <v>#REF!</v>
      </c>
      <c r="AL35" s="109" t="e">
        <v>#REF!</v>
      </c>
      <c r="AM35" s="109" t="e">
        <v>#REF!</v>
      </c>
      <c r="AN35" s="109" t="e">
        <v>#REF!</v>
      </c>
      <c r="AO35" s="109" t="e">
        <v>#REF!</v>
      </c>
    </row>
    <row r="36" spans="2:41" ht="4" customHeight="1" x14ac:dyDescent="0.35">
      <c r="D36" s="135"/>
      <c r="Y36" s="135"/>
      <c r="AA36" s="152"/>
    </row>
    <row r="37" spans="2:41" ht="15" thickBot="1" x14ac:dyDescent="0.4">
      <c r="B37" s="136" t="s">
        <v>321</v>
      </c>
      <c r="C37" s="136"/>
      <c r="D37" s="137">
        <f>D34/D35</f>
        <v>4095.343777602302</v>
      </c>
      <c r="W37" s="136" t="s">
        <v>321</v>
      </c>
      <c r="X37" s="136"/>
      <c r="Y37" s="137" t="e">
        <f>Y34/Y35</f>
        <v>#REF!</v>
      </c>
      <c r="AA37" s="152"/>
    </row>
    <row r="38" spans="2:41" x14ac:dyDescent="0.35">
      <c r="D38" s="135"/>
      <c r="Y38" s="135"/>
      <c r="AA38" s="152"/>
    </row>
    <row r="39" spans="2:41" x14ac:dyDescent="0.35">
      <c r="B39" t="s">
        <v>322</v>
      </c>
      <c r="D39" s="135">
        <f>'Google Sheet Data '!C2</f>
        <v>5308.85</v>
      </c>
      <c r="W39" t="s">
        <v>322</v>
      </c>
      <c r="Y39" s="135">
        <v>3811</v>
      </c>
      <c r="AA39" s="152"/>
    </row>
    <row r="40" spans="2:41" x14ac:dyDescent="0.35">
      <c r="B40" t="s">
        <v>471</v>
      </c>
      <c r="D40" s="147">
        <f>D39/D37-1</f>
        <v>0.29631364014773109</v>
      </c>
      <c r="W40" t="s">
        <v>323</v>
      </c>
      <c r="Y40" s="147" t="e">
        <f>Y39/Y37-1</f>
        <v>#REF!</v>
      </c>
      <c r="AA40" s="152"/>
    </row>
  </sheetData>
  <mergeCells count="1">
    <mergeCell ref="M5:O5"/>
  </mergeCells>
  <pageMargins left="0.7" right="0.7" top="0.75" bottom="0.75" header="0.3" footer="0.3"/>
  <pageSetup scale="77"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AE70A-C566-4555-B53D-BF4246E437B3}">
  <dimension ref="A2:U32"/>
  <sheetViews>
    <sheetView showGridLines="0" topLeftCell="A7" zoomScale="76" zoomScaleNormal="54" workbookViewId="0">
      <selection activeCell="N19" sqref="N19"/>
    </sheetView>
  </sheetViews>
  <sheetFormatPr defaultRowHeight="14.5" x14ac:dyDescent="0.35"/>
  <cols>
    <col min="1" max="1" width="1.81640625" bestFit="1" customWidth="1"/>
    <col min="2" max="2" width="19.36328125" customWidth="1"/>
    <col min="3" max="3" width="15.1796875" customWidth="1"/>
    <col min="4" max="4" width="14.1796875" customWidth="1"/>
    <col min="5" max="5" width="9.81640625" customWidth="1"/>
    <col min="6" max="6" width="12.08984375" customWidth="1"/>
    <col min="7" max="7" width="18.90625" customWidth="1"/>
    <col min="8" max="8" width="11.453125" customWidth="1"/>
    <col min="9" max="9" width="9.36328125" bestFit="1" customWidth="1"/>
    <col min="10" max="10" width="12" customWidth="1"/>
    <col min="11" max="11" width="15.81640625" bestFit="1" customWidth="1"/>
    <col min="13" max="13" width="9.7265625" bestFit="1" customWidth="1"/>
    <col min="14" max="14" width="9.26953125" bestFit="1" customWidth="1"/>
  </cols>
  <sheetData>
    <row r="2" spans="1:21" x14ac:dyDescent="0.35">
      <c r="A2" t="s">
        <v>57</v>
      </c>
      <c r="B2" s="222" t="s">
        <v>302</v>
      </c>
      <c r="C2" s="222"/>
      <c r="D2" s="222"/>
      <c r="E2" s="106"/>
      <c r="F2" s="106"/>
      <c r="G2" s="222" t="s">
        <v>183</v>
      </c>
      <c r="H2" s="222"/>
      <c r="I2" s="222"/>
      <c r="J2" s="222"/>
      <c r="K2" s="222"/>
      <c r="M2" s="12" t="s">
        <v>466</v>
      </c>
    </row>
    <row r="3" spans="1:21" x14ac:dyDescent="0.35">
      <c r="G3" s="58" t="s">
        <v>182</v>
      </c>
      <c r="H3" s="58"/>
      <c r="I3" s="58"/>
      <c r="K3" s="56">
        <f>'Data&gt; Relative Valuation'!D3</f>
        <v>5308.85</v>
      </c>
      <c r="M3" t="s">
        <v>465</v>
      </c>
    </row>
    <row r="4" spans="1:21" x14ac:dyDescent="0.35">
      <c r="B4" s="103" t="s">
        <v>168</v>
      </c>
      <c r="C4" s="103" t="s">
        <v>169</v>
      </c>
      <c r="D4" s="103" t="s">
        <v>167</v>
      </c>
      <c r="G4" t="s">
        <v>180</v>
      </c>
      <c r="K4" s="56">
        <f>'Forcasted Financial Statement'!F43</f>
        <v>50.224874713183546</v>
      </c>
    </row>
    <row r="5" spans="1:21" x14ac:dyDescent="0.35">
      <c r="B5" s="122">
        <f>'Ratio Analysis'!L25</f>
        <v>1</v>
      </c>
      <c r="C5" s="50">
        <f>'Ratio Analysis'!L26</f>
        <v>0.13560992671872982</v>
      </c>
      <c r="D5" s="54">
        <f>B5*C5</f>
        <v>0.13560992671872982</v>
      </c>
      <c r="G5" t="s">
        <v>181</v>
      </c>
      <c r="K5" s="57">
        <f>D5</f>
        <v>0.13560992671872982</v>
      </c>
    </row>
    <row r="6" spans="1:21" x14ac:dyDescent="0.35">
      <c r="G6" s="61" t="s">
        <v>184</v>
      </c>
      <c r="H6" s="61"/>
      <c r="I6" s="61"/>
      <c r="K6" s="121">
        <f>K4/K3+K5</f>
        <v>0.14507052076700461</v>
      </c>
    </row>
    <row r="8" spans="1:21" x14ac:dyDescent="0.35">
      <c r="B8" s="225" t="s">
        <v>199</v>
      </c>
      <c r="C8" s="225"/>
      <c r="D8" s="225"/>
      <c r="E8" s="225"/>
      <c r="F8" s="225"/>
      <c r="G8" s="225"/>
      <c r="H8" s="225"/>
      <c r="I8" s="225"/>
      <c r="J8" s="225"/>
      <c r="K8" s="225"/>
      <c r="L8" s="70"/>
      <c r="M8" s="70"/>
      <c r="N8" s="52"/>
      <c r="O8" s="52"/>
      <c r="P8" s="52"/>
      <c r="Q8" s="52"/>
      <c r="R8" s="52"/>
      <c r="S8" s="52"/>
      <c r="T8" s="52"/>
      <c r="U8" s="52"/>
    </row>
    <row r="11" spans="1:21" x14ac:dyDescent="0.35">
      <c r="B11" s="60" t="s">
        <v>189</v>
      </c>
      <c r="C11" s="59"/>
      <c r="D11" s="59"/>
      <c r="E11" s="59"/>
      <c r="G11" s="60" t="s">
        <v>296</v>
      </c>
      <c r="H11" s="59"/>
      <c r="I11" s="59"/>
      <c r="J11" s="59"/>
      <c r="K11" s="59"/>
    </row>
    <row r="13" spans="1:21" x14ac:dyDescent="0.35">
      <c r="B13" t="s">
        <v>295</v>
      </c>
      <c r="E13" s="115">
        <f>58.13/'Historical Financial Statement '!L54</f>
        <v>9.8166036206430704E-2</v>
      </c>
      <c r="G13" t="s">
        <v>191</v>
      </c>
      <c r="K13" s="115">
        <v>6.9800000000000001E-2</v>
      </c>
      <c r="L13" s="12" t="s">
        <v>467</v>
      </c>
    </row>
    <row r="14" spans="1:21" x14ac:dyDescent="0.35">
      <c r="B14" t="s">
        <v>187</v>
      </c>
      <c r="E14" s="125">
        <f>'Historical Financial Statement '!L36</f>
        <v>0.26744632843444566</v>
      </c>
      <c r="G14" t="s">
        <v>192</v>
      </c>
      <c r="K14" s="115">
        <f>Rm!G7-WACC!K13</f>
        <v>5.3851751546518084E-2</v>
      </c>
    </row>
    <row r="15" spans="1:21" ht="16.5" x14ac:dyDescent="0.35">
      <c r="B15" s="62" t="s">
        <v>190</v>
      </c>
      <c r="C15" s="62"/>
      <c r="D15" s="62"/>
      <c r="E15" s="114">
        <f>E13*(1-E14)</f>
        <v>7.1911890246057944E-2</v>
      </c>
      <c r="G15" t="s">
        <v>481</v>
      </c>
      <c r="K15" s="109">
        <f>'Beta-Regression'!K10</f>
        <v>1.1312375456611354</v>
      </c>
    </row>
    <row r="16" spans="1:21" x14ac:dyDescent="0.35">
      <c r="G16" s="62" t="s">
        <v>193</v>
      </c>
      <c r="H16" s="62"/>
      <c r="I16" s="62"/>
      <c r="J16" s="62"/>
      <c r="K16" s="119">
        <f>K13+K14*K15</f>
        <v>0.13071912324903637</v>
      </c>
    </row>
    <row r="19" spans="2:12" x14ac:dyDescent="0.35">
      <c r="B19" s="60" t="s">
        <v>194</v>
      </c>
      <c r="C19" s="59"/>
      <c r="D19" s="59"/>
      <c r="E19" s="59"/>
      <c r="G19" s="60" t="s">
        <v>198</v>
      </c>
      <c r="H19" s="59"/>
      <c r="I19" s="59"/>
      <c r="J19" s="59"/>
      <c r="K19" s="59"/>
    </row>
    <row r="20" spans="2:12" x14ac:dyDescent="0.35">
      <c r="G20" s="116" t="s">
        <v>198</v>
      </c>
      <c r="H20" s="116"/>
      <c r="I20" s="116"/>
      <c r="J20" s="116"/>
      <c r="K20" s="120">
        <f>K15</f>
        <v>1.1312375456611354</v>
      </c>
    </row>
    <row r="21" spans="2:12" x14ac:dyDescent="0.35">
      <c r="D21" s="63" t="s">
        <v>195</v>
      </c>
      <c r="E21" s="63" t="s">
        <v>196</v>
      </c>
    </row>
    <row r="22" spans="2:12" x14ac:dyDescent="0.35">
      <c r="B22" t="s">
        <v>186</v>
      </c>
      <c r="C22" s="113">
        <f>'Historical Financial Statement '!L54</f>
        <v>592.16</v>
      </c>
      <c r="D22" s="43">
        <f>C22/$C$24</f>
        <v>1.7112520540114393E-3</v>
      </c>
      <c r="E22" s="115">
        <v>0</v>
      </c>
      <c r="G22" s="60" t="s">
        <v>185</v>
      </c>
      <c r="H22" s="60"/>
      <c r="I22" s="60"/>
      <c r="J22" s="60"/>
      <c r="K22" s="60"/>
    </row>
    <row r="23" spans="2:12" x14ac:dyDescent="0.35">
      <c r="B23" t="s">
        <v>11</v>
      </c>
      <c r="C23" s="113">
        <f>D29*D30</f>
        <v>345446.86949999997</v>
      </c>
      <c r="D23" s="43">
        <f>C23/$C$24</f>
        <v>0.99828874794598865</v>
      </c>
      <c r="E23" s="43">
        <f>E24-E22</f>
        <v>1</v>
      </c>
    </row>
    <row r="24" spans="2:12" x14ac:dyDescent="0.35">
      <c r="B24" s="62" t="s">
        <v>197</v>
      </c>
      <c r="C24" s="62">
        <f>C22+C23</f>
        <v>346039.02949999995</v>
      </c>
      <c r="D24" s="118">
        <f>C24/$C$24</f>
        <v>1</v>
      </c>
      <c r="E24" s="118">
        <f>D24</f>
        <v>1</v>
      </c>
      <c r="G24" t="s">
        <v>193</v>
      </c>
      <c r="J24" s="103"/>
      <c r="K24" s="50">
        <f>K16</f>
        <v>0.13071912324903637</v>
      </c>
    </row>
    <row r="25" spans="2:12" x14ac:dyDescent="0.35">
      <c r="G25" t="s">
        <v>299</v>
      </c>
      <c r="I25" s="41"/>
      <c r="K25" s="50">
        <f>E23</f>
        <v>1</v>
      </c>
    </row>
    <row r="26" spans="2:12" x14ac:dyDescent="0.35">
      <c r="B26" t="s">
        <v>294</v>
      </c>
      <c r="D26" s="117">
        <f>D22/D23</f>
        <v>1.7141854573963652E-3</v>
      </c>
      <c r="E26" s="117">
        <f>E22/E23</f>
        <v>0</v>
      </c>
      <c r="L26" s="12"/>
    </row>
    <row r="27" spans="2:12" x14ac:dyDescent="0.35">
      <c r="G27" t="s">
        <v>189</v>
      </c>
      <c r="K27" s="50">
        <f>E15</f>
        <v>7.1911890246057944E-2</v>
      </c>
    </row>
    <row r="28" spans="2:12" x14ac:dyDescent="0.35">
      <c r="B28" s="123"/>
      <c r="G28" t="s">
        <v>300</v>
      </c>
      <c r="K28" s="50">
        <f>E22</f>
        <v>0</v>
      </c>
    </row>
    <row r="29" spans="2:12" x14ac:dyDescent="0.35">
      <c r="B29" s="12" t="s">
        <v>470</v>
      </c>
      <c r="D29" s="202">
        <f>'Google Sheet Data '!C2</f>
        <v>5308.85</v>
      </c>
    </row>
    <row r="30" spans="2:12" x14ac:dyDescent="0.35">
      <c r="B30" s="12" t="s">
        <v>43</v>
      </c>
      <c r="D30" s="201">
        <f>'Historical Financial Statement '!L41</f>
        <v>65.069999999999993</v>
      </c>
      <c r="G30" s="127" t="s">
        <v>301</v>
      </c>
      <c r="H30" s="127"/>
      <c r="I30" s="127"/>
      <c r="J30" s="127"/>
      <c r="K30" s="128">
        <f>(K24*K25)+(K27*K28)</f>
        <v>0.13071912324903637</v>
      </c>
    </row>
    <row r="31" spans="2:12" x14ac:dyDescent="0.35">
      <c r="B31" s="124"/>
    </row>
    <row r="32" spans="2:12" x14ac:dyDescent="0.35">
      <c r="B32" s="124"/>
    </row>
  </sheetData>
  <mergeCells count="3">
    <mergeCell ref="B8:K8"/>
    <mergeCell ref="B2:D2"/>
    <mergeCell ref="G2:K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EE4-93E1-4DF1-8D5C-5BA5EBBC503F}">
  <sheetPr>
    <tabColor rgb="FF002060"/>
  </sheetPr>
  <dimension ref="A5:W54"/>
  <sheetViews>
    <sheetView showGridLines="0" topLeftCell="C24" zoomScale="76" zoomScaleNormal="66" zoomScalePageLayoutView="70" workbookViewId="0">
      <selection activeCell="U39" sqref="U39"/>
    </sheetView>
  </sheetViews>
  <sheetFormatPr defaultRowHeight="14.5" x14ac:dyDescent="0.35"/>
  <cols>
    <col min="1" max="1" width="1.81640625" bestFit="1" customWidth="1"/>
    <col min="2" max="2" width="23.08984375" customWidth="1"/>
    <col min="3" max="3" width="18.26953125" customWidth="1"/>
    <col min="5" max="5" width="13.36328125" customWidth="1"/>
    <col min="6" max="6" width="14.7265625" customWidth="1"/>
    <col min="7" max="8" width="12" customWidth="1"/>
    <col min="9" max="9" width="15.7265625" customWidth="1"/>
    <col min="10" max="10" width="1.81640625" customWidth="1"/>
    <col min="13" max="13" width="11.54296875" customWidth="1"/>
    <col min="14" max="14" width="1.81640625" customWidth="1"/>
    <col min="15" max="15" width="12" customWidth="1"/>
    <col min="16" max="16" width="12.1796875" bestFit="1" customWidth="1"/>
    <col min="17" max="17" width="10.90625" bestFit="1" customWidth="1"/>
    <col min="18" max="18" width="12.90625" customWidth="1"/>
    <col min="19" max="19" width="20.7265625" customWidth="1"/>
    <col min="20" max="20" width="15.453125" bestFit="1" customWidth="1"/>
  </cols>
  <sheetData>
    <row r="5" spans="1:17" x14ac:dyDescent="0.35">
      <c r="B5" s="12" t="s">
        <v>257</v>
      </c>
    </row>
    <row r="6" spans="1:17" ht="15.5" x14ac:dyDescent="0.35">
      <c r="A6" t="s">
        <v>57</v>
      </c>
      <c r="B6" s="98" t="s">
        <v>200</v>
      </c>
      <c r="C6" s="65"/>
      <c r="D6" s="65"/>
      <c r="E6" s="65"/>
      <c r="F6" s="65"/>
      <c r="G6" s="65"/>
      <c r="H6" s="65"/>
      <c r="I6" s="65"/>
      <c r="J6" s="65"/>
      <c r="K6" s="65"/>
      <c r="L6" s="65"/>
      <c r="M6" s="65"/>
      <c r="N6" s="65"/>
      <c r="O6" s="65"/>
      <c r="P6" s="65"/>
      <c r="Q6" s="65"/>
    </row>
    <row r="7" spans="1:17" ht="3" customHeight="1" x14ac:dyDescent="0.35">
      <c r="B7" s="12"/>
      <c r="C7" s="12"/>
      <c r="D7" s="12"/>
      <c r="E7" s="12"/>
      <c r="F7" s="12"/>
      <c r="G7" s="12"/>
      <c r="H7" s="12"/>
      <c r="I7" s="12"/>
      <c r="J7" s="12"/>
      <c r="K7" s="12"/>
      <c r="L7" s="12"/>
      <c r="M7" s="12"/>
      <c r="N7" s="12"/>
      <c r="O7" s="12"/>
      <c r="P7" s="12"/>
      <c r="Q7" s="12"/>
    </row>
    <row r="8" spans="1:17" x14ac:dyDescent="0.35">
      <c r="B8" s="66"/>
      <c r="C8" s="66"/>
      <c r="D8" s="226" t="s">
        <v>207</v>
      </c>
      <c r="E8" s="226"/>
      <c r="F8" s="226"/>
      <c r="G8" s="226"/>
      <c r="H8" s="226"/>
      <c r="I8" s="226"/>
      <c r="J8" s="66"/>
      <c r="K8" s="226" t="s">
        <v>211</v>
      </c>
      <c r="L8" s="226"/>
      <c r="M8" s="226"/>
      <c r="N8" s="66"/>
      <c r="O8" s="226" t="s">
        <v>210</v>
      </c>
      <c r="P8" s="226"/>
      <c r="Q8" s="226"/>
    </row>
    <row r="9" spans="1:17" ht="40.5" customHeight="1" x14ac:dyDescent="0.35">
      <c r="B9" s="67" t="s">
        <v>201</v>
      </c>
      <c r="C9" s="67" t="s">
        <v>202</v>
      </c>
      <c r="D9" s="68" t="s">
        <v>203</v>
      </c>
      <c r="E9" s="68" t="s">
        <v>204</v>
      </c>
      <c r="F9" s="68" t="s">
        <v>258</v>
      </c>
      <c r="G9" s="68" t="s">
        <v>205</v>
      </c>
      <c r="H9" s="68" t="s">
        <v>206</v>
      </c>
      <c r="I9" s="68"/>
      <c r="J9" s="69"/>
      <c r="K9" s="69" t="s">
        <v>208</v>
      </c>
      <c r="L9" s="69" t="s">
        <v>65</v>
      </c>
      <c r="M9" s="69" t="s">
        <v>209</v>
      </c>
      <c r="N9" s="69"/>
      <c r="O9" s="69" t="s">
        <v>245</v>
      </c>
      <c r="P9" s="69" t="s">
        <v>246</v>
      </c>
      <c r="Q9" s="69" t="s">
        <v>247</v>
      </c>
    </row>
    <row r="10" spans="1:17" ht="3.5" customHeight="1" x14ac:dyDescent="0.35">
      <c r="B10" s="70"/>
      <c r="C10" s="70"/>
      <c r="D10" s="71"/>
      <c r="E10" s="71"/>
      <c r="F10" s="71"/>
      <c r="G10" s="71"/>
      <c r="H10" s="71"/>
      <c r="I10" s="71"/>
      <c r="J10" s="72"/>
      <c r="K10" s="72"/>
      <c r="L10" s="72"/>
      <c r="M10" s="72"/>
      <c r="N10" s="72"/>
      <c r="O10" s="72"/>
      <c r="P10" s="72"/>
      <c r="Q10" s="72"/>
    </row>
    <row r="11" spans="1:17" ht="21" customHeight="1" x14ac:dyDescent="0.35">
      <c r="B11" s="70"/>
      <c r="C11" s="70"/>
      <c r="D11" s="71"/>
      <c r="E11" s="71"/>
      <c r="F11" s="71"/>
      <c r="G11" s="71"/>
      <c r="H11" s="71"/>
      <c r="I11" s="71"/>
      <c r="J11" s="72"/>
      <c r="K11" s="72"/>
      <c r="L11" s="72"/>
      <c r="M11" s="72"/>
      <c r="N11" s="72"/>
      <c r="O11" s="72"/>
      <c r="P11" s="72"/>
      <c r="Q11" s="72"/>
    </row>
    <row r="12" spans="1:17" x14ac:dyDescent="0.35">
      <c r="B12" s="73" t="str">
        <f>'Data&gt; Relative Valuation'!C3</f>
        <v>Avenue Super.</v>
      </c>
      <c r="C12" s="74" t="s">
        <v>236</v>
      </c>
      <c r="D12" s="75">
        <f>'Data&gt; Relative Valuation'!D3</f>
        <v>5308.85</v>
      </c>
      <c r="E12" s="76">
        <f>'Data&gt; Relative Valuation'!E3</f>
        <v>65.069999999999993</v>
      </c>
      <c r="F12" s="75">
        <f>D12*E12</f>
        <v>345446.86949999997</v>
      </c>
      <c r="G12" s="75">
        <f>'Data&gt; Relative Valuation'!I3</f>
        <v>-46.019999999999982</v>
      </c>
      <c r="H12" s="75">
        <f>F12+G12</f>
        <v>345400.84949999995</v>
      </c>
      <c r="I12" s="75"/>
      <c r="J12" s="75"/>
      <c r="K12" s="75">
        <f>'Data&gt; Relative Valuation'!K3</f>
        <v>52992.53</v>
      </c>
      <c r="L12" s="75">
        <f>'Data&gt; Relative Valuation'!L3</f>
        <v>4224.9799999999996</v>
      </c>
      <c r="M12" s="75">
        <f>'Data&gt; Relative Valuation'!M3</f>
        <v>2650.58</v>
      </c>
      <c r="N12" s="77"/>
      <c r="O12" s="78">
        <f>$H12/K12</f>
        <v>6.517915817569004</v>
      </c>
      <c r="P12" s="78">
        <f t="shared" ref="P12:P21" si="0">$H12/L12</f>
        <v>81.752067347064369</v>
      </c>
      <c r="Q12" s="78">
        <f>F12/M12</f>
        <v>130.32878445472312</v>
      </c>
    </row>
    <row r="13" spans="1:17" x14ac:dyDescent="0.35">
      <c r="B13" s="79" t="str">
        <f>'Data&gt; Relative Valuation'!C4</f>
        <v>Trent</v>
      </c>
      <c r="C13" s="80" t="s">
        <v>237</v>
      </c>
      <c r="D13" s="81">
        <f>'Data&gt; Relative Valuation'!D4</f>
        <v>7170.05</v>
      </c>
      <c r="E13" s="82">
        <f>'Data&gt; Relative Valuation'!E4</f>
        <v>35.549999999999997</v>
      </c>
      <c r="F13" s="75">
        <f t="shared" ref="F13:F21" si="1">D13*E13</f>
        <v>254895.2775</v>
      </c>
      <c r="G13" s="81">
        <f>'Data&gt; Relative Valuation'!I4</f>
        <v>1455.43</v>
      </c>
      <c r="H13" s="81">
        <f t="shared" ref="H13:H21" si="2">F13+G13</f>
        <v>256350.70749999999</v>
      </c>
      <c r="I13" s="81"/>
      <c r="J13" s="81"/>
      <c r="K13" s="81">
        <f>'Data&gt; Relative Valuation'!K4</f>
        <v>13851.18</v>
      </c>
      <c r="L13" s="81">
        <f>'Data&gt; Relative Valuation'!L4</f>
        <v>2215.29</v>
      </c>
      <c r="M13" s="81">
        <f>'Data&gt; Relative Valuation'!M4</f>
        <v>1702</v>
      </c>
      <c r="N13" s="83"/>
      <c r="O13" s="84">
        <f t="shared" ref="O13:O21" si="3">$H13/K13</f>
        <v>18.507499541555305</v>
      </c>
      <c r="P13" s="84">
        <f t="shared" si="0"/>
        <v>115.71880318152476</v>
      </c>
      <c r="Q13" s="84">
        <f t="shared" ref="Q13:Q21" si="4">F13/M13</f>
        <v>149.76220769682726</v>
      </c>
    </row>
    <row r="14" spans="1:17" x14ac:dyDescent="0.35">
      <c r="B14" s="79" t="str">
        <f>'Data&gt; Relative Valuation'!C5</f>
        <v>Brainbees Solut.</v>
      </c>
      <c r="C14" s="80" t="s">
        <v>420</v>
      </c>
      <c r="D14" s="81">
        <f>'Data&gt; Relative Valuation'!D5</f>
        <v>611</v>
      </c>
      <c r="E14" s="82">
        <f>'Data&gt; Relative Valuation'!E5</f>
        <v>51.92</v>
      </c>
      <c r="F14" s="75">
        <f t="shared" si="1"/>
        <v>31723.120000000003</v>
      </c>
      <c r="G14" s="81">
        <f>'Data&gt; Relative Valuation'!I5</f>
        <v>755.8</v>
      </c>
      <c r="H14" s="81">
        <f t="shared" si="2"/>
        <v>32478.920000000002</v>
      </c>
      <c r="I14" s="81"/>
      <c r="J14" s="81"/>
      <c r="K14" s="81">
        <f>'Data&gt; Relative Valuation'!K5</f>
        <v>6480.86</v>
      </c>
      <c r="L14" s="81">
        <f>'Data&gt; Relative Valuation'!L5</f>
        <v>164.71</v>
      </c>
      <c r="M14" s="81">
        <f>'Data&gt; Relative Valuation'!M5</f>
        <v>-321.51</v>
      </c>
      <c r="N14" s="83"/>
      <c r="O14" s="84">
        <f t="shared" si="3"/>
        <v>5.0115139040189121</v>
      </c>
      <c r="P14" s="84">
        <f t="shared" si="0"/>
        <v>197.18851314431424</v>
      </c>
      <c r="Q14" s="84">
        <f t="shared" si="4"/>
        <v>-98.669154925196736</v>
      </c>
    </row>
    <row r="15" spans="1:17" x14ac:dyDescent="0.35">
      <c r="B15" s="79" t="str">
        <f>'Data&gt; Relative Valuation'!C6</f>
        <v>Aditya Bir. Fas.</v>
      </c>
      <c r="C15" s="80" t="s">
        <v>238</v>
      </c>
      <c r="D15" s="81">
        <f>'Data&gt; Relative Valuation'!D6</f>
        <v>315</v>
      </c>
      <c r="E15" s="82">
        <f>'Data&gt; Relative Valuation'!E6</f>
        <v>101.61</v>
      </c>
      <c r="F15" s="75">
        <f t="shared" si="1"/>
        <v>32007.15</v>
      </c>
      <c r="G15" s="81">
        <f>'Data&gt; Relative Valuation'!I6</f>
        <v>8989.01</v>
      </c>
      <c r="H15" s="81">
        <f t="shared" si="2"/>
        <v>40996.160000000003</v>
      </c>
      <c r="I15" s="81"/>
      <c r="J15" s="81"/>
      <c r="K15" s="81">
        <f>'Data&gt; Relative Valuation'!K6</f>
        <v>14227.62</v>
      </c>
      <c r="L15" s="81">
        <f>'Data&gt; Relative Valuation'!L6</f>
        <v>1685.03</v>
      </c>
      <c r="M15" s="81">
        <f>'Data&gt; Relative Valuation'!M6</f>
        <v>-789.21</v>
      </c>
      <c r="N15" s="83"/>
      <c r="O15" s="84">
        <f t="shared" si="3"/>
        <v>2.8814489000971353</v>
      </c>
      <c r="P15" s="84">
        <f t="shared" si="0"/>
        <v>24.329632113374839</v>
      </c>
      <c r="Q15" s="84">
        <f t="shared" si="4"/>
        <v>-40.555935682517962</v>
      </c>
    </row>
    <row r="16" spans="1:17" x14ac:dyDescent="0.35">
      <c r="B16" s="79" t="str">
        <f>'Data&gt; Relative Valuation'!C7</f>
        <v>Redtape</v>
      </c>
      <c r="C16" s="85" t="s">
        <v>242</v>
      </c>
      <c r="D16" s="81">
        <f>'Data&gt; Relative Valuation'!D7</f>
        <v>699.95</v>
      </c>
      <c r="E16" s="82">
        <f>'Data&gt; Relative Valuation'!E7</f>
        <v>13.82</v>
      </c>
      <c r="F16" s="75">
        <f t="shared" si="1"/>
        <v>9673.3090000000011</v>
      </c>
      <c r="G16" s="81">
        <f>'Data&gt; Relative Valuation'!I7</f>
        <v>459.02</v>
      </c>
      <c r="H16" s="81">
        <f t="shared" si="2"/>
        <v>10132.329000000002</v>
      </c>
      <c r="I16" s="81"/>
      <c r="J16" s="81"/>
      <c r="K16" s="81">
        <f>'Data&gt; Relative Valuation'!K7</f>
        <v>1892.94</v>
      </c>
      <c r="L16" s="81">
        <f>'Data&gt; Relative Valuation'!L7</f>
        <v>327.99</v>
      </c>
      <c r="M16" s="81">
        <f>'Data&gt; Relative Valuation'!M7</f>
        <v>160.16</v>
      </c>
      <c r="N16" s="83"/>
      <c r="O16" s="84">
        <f t="shared" si="3"/>
        <v>5.3526942216869005</v>
      </c>
      <c r="P16" s="84">
        <f t="shared" si="0"/>
        <v>30.892188786243487</v>
      </c>
      <c r="Q16" s="84">
        <f t="shared" si="4"/>
        <v>60.397783466533475</v>
      </c>
    </row>
    <row r="17" spans="1:23" x14ac:dyDescent="0.35">
      <c r="B17" s="79" t="str">
        <f>'Data&gt; Relative Valuation'!C8</f>
        <v>Shoppers Stop</v>
      </c>
      <c r="C17" s="85" t="s">
        <v>241</v>
      </c>
      <c r="D17" s="81">
        <f>'Data&gt; Relative Valuation'!D8</f>
        <v>830.3</v>
      </c>
      <c r="E17" s="82">
        <f>'Data&gt; Relative Valuation'!E8</f>
        <v>11</v>
      </c>
      <c r="F17" s="75">
        <f t="shared" si="1"/>
        <v>9133.2999999999993</v>
      </c>
      <c r="G17" s="81">
        <f>'Data&gt; Relative Valuation'!I8</f>
        <v>2767.8</v>
      </c>
      <c r="H17" s="81">
        <f t="shared" si="2"/>
        <v>11901.099999999999</v>
      </c>
      <c r="I17" s="81"/>
      <c r="J17" s="81"/>
      <c r="K17" s="81">
        <f>'Data&gt; Relative Valuation'!K8</f>
        <v>4392.29</v>
      </c>
      <c r="L17" s="81">
        <f>'Data&gt; Relative Valuation'!L8</f>
        <v>771.97</v>
      </c>
      <c r="M17" s="81">
        <f>'Data&gt; Relative Valuation'!M8</f>
        <v>40.04</v>
      </c>
      <c r="N17" s="83"/>
      <c r="O17" s="84">
        <f t="shared" si="3"/>
        <v>2.7095433133968836</v>
      </c>
      <c r="P17" s="84">
        <f t="shared" si="0"/>
        <v>15.416531730507661</v>
      </c>
      <c r="Q17" s="84">
        <f t="shared" si="4"/>
        <v>228.10439560439559</v>
      </c>
    </row>
    <row r="18" spans="1:23" x14ac:dyDescent="0.35">
      <c r="B18" s="79" t="str">
        <f>'Data&gt; Relative Valuation'!C9</f>
        <v>Electronics Mart</v>
      </c>
      <c r="C18" s="85" t="s">
        <v>240</v>
      </c>
      <c r="D18" s="81">
        <f>'Data&gt; Relative Valuation'!D9</f>
        <v>217.4</v>
      </c>
      <c r="E18" s="82">
        <f>'Data&gt; Relative Valuation'!E9</f>
        <v>38.47</v>
      </c>
      <c r="F18" s="75">
        <f t="shared" si="1"/>
        <v>8363.3780000000006</v>
      </c>
      <c r="G18" s="81">
        <f>'Data&gt; Relative Valuation'!I9</f>
        <v>1486.1899999999998</v>
      </c>
      <c r="H18" s="81">
        <f t="shared" si="2"/>
        <v>9849.5680000000011</v>
      </c>
      <c r="I18" s="81"/>
      <c r="J18" s="81"/>
      <c r="K18" s="81">
        <f>'Data&gt; Relative Valuation'!K9</f>
        <v>6586.9</v>
      </c>
      <c r="L18" s="81">
        <f>'Data&gt; Relative Valuation'!L9</f>
        <v>459.56</v>
      </c>
      <c r="M18" s="81">
        <f>'Data&gt; Relative Valuation'!M9</f>
        <v>196.23</v>
      </c>
      <c r="N18" s="83"/>
      <c r="O18" s="84">
        <f t="shared" si="3"/>
        <v>1.4953267849823135</v>
      </c>
      <c r="P18" s="84">
        <f t="shared" si="0"/>
        <v>21.432605100530946</v>
      </c>
      <c r="Q18" s="84">
        <f t="shared" si="4"/>
        <v>42.620282321765281</v>
      </c>
    </row>
    <row r="19" spans="1:23" x14ac:dyDescent="0.35">
      <c r="B19" s="79" t="str">
        <f>'Data&gt; Relative Valuation'!C10</f>
        <v>Medplus Health</v>
      </c>
      <c r="C19" s="80" t="s">
        <v>239</v>
      </c>
      <c r="D19" s="81">
        <f>'Data&gt; Relative Valuation'!D10</f>
        <v>724.65</v>
      </c>
      <c r="E19" s="82">
        <f>'Data&gt; Relative Valuation'!E10</f>
        <v>11.95</v>
      </c>
      <c r="F19" s="75">
        <f t="shared" si="1"/>
        <v>8659.5674999999992</v>
      </c>
      <c r="G19" s="81">
        <f>'Data&gt; Relative Valuation'!I10</f>
        <v>867.8900000000001</v>
      </c>
      <c r="H19" s="81">
        <f t="shared" si="2"/>
        <v>9527.4574999999986</v>
      </c>
      <c r="I19" s="81"/>
      <c r="J19" s="81"/>
      <c r="K19" s="81">
        <f>'Data&gt; Relative Valuation'!K10</f>
        <v>5829.39</v>
      </c>
      <c r="L19" s="81">
        <f>'Data&gt; Relative Valuation'!L10</f>
        <v>394.09</v>
      </c>
      <c r="M19" s="81">
        <f>'Data&gt; Relative Valuation'!M10</f>
        <v>76.16</v>
      </c>
      <c r="N19" s="83"/>
      <c r="O19" s="84">
        <f t="shared" si="3"/>
        <v>1.6343832716630724</v>
      </c>
      <c r="P19" s="84">
        <f t="shared" si="0"/>
        <v>24.175841812783879</v>
      </c>
      <c r="Q19" s="84">
        <f t="shared" si="4"/>
        <v>113.7023043592437</v>
      </c>
    </row>
    <row r="20" spans="1:23" x14ac:dyDescent="0.35">
      <c r="B20" s="79" t="str">
        <f>'Data&gt; Relative Valuation'!C11</f>
        <v>Ethos Ltd</v>
      </c>
      <c r="C20" s="80" t="s">
        <v>243</v>
      </c>
      <c r="D20" s="81">
        <f>'Data&gt; Relative Valuation'!D11</f>
        <v>3400</v>
      </c>
      <c r="E20" s="82">
        <f>'Data&gt; Relative Valuation'!E11</f>
        <v>2.4500000000000002</v>
      </c>
      <c r="F20" s="75">
        <f t="shared" si="1"/>
        <v>8330</v>
      </c>
      <c r="G20" s="81">
        <f>'Data&gt; Relative Valuation'!I11</f>
        <v>-200.43999999999997</v>
      </c>
      <c r="H20" s="81">
        <f t="shared" si="2"/>
        <v>8129.56</v>
      </c>
      <c r="I20" s="81"/>
      <c r="J20" s="81"/>
      <c r="K20" s="81">
        <f>'Data&gt; Relative Valuation'!K11</f>
        <v>1042.21</v>
      </c>
      <c r="L20" s="81">
        <f>'Data&gt; Relative Valuation'!L11</f>
        <v>176.01</v>
      </c>
      <c r="M20" s="81">
        <f>'Data&gt; Relative Valuation'!M11</f>
        <v>87.94</v>
      </c>
      <c r="N20" s="83"/>
      <c r="O20" s="84">
        <f t="shared" si="3"/>
        <v>7.8003089588470651</v>
      </c>
      <c r="P20" s="84">
        <f t="shared" si="0"/>
        <v>46.188057496733144</v>
      </c>
      <c r="Q20" s="84">
        <f t="shared" si="4"/>
        <v>94.723675233113482</v>
      </c>
    </row>
    <row r="21" spans="1:23" x14ac:dyDescent="0.35">
      <c r="B21" s="79" t="str">
        <f>'Data&gt; Relative Valuation'!C12</f>
        <v>V-Mart Retail</v>
      </c>
      <c r="C21" s="80" t="s">
        <v>244</v>
      </c>
      <c r="D21" s="81">
        <f>'Data&gt; Relative Valuation'!D12</f>
        <v>3591.45</v>
      </c>
      <c r="E21" s="82">
        <f>'Data&gt; Relative Valuation'!E12</f>
        <v>1.98</v>
      </c>
      <c r="F21" s="75">
        <f t="shared" si="1"/>
        <v>7111.0709999999999</v>
      </c>
      <c r="G21" s="81">
        <f>'Data&gt; Relative Valuation'!I12</f>
        <v>1364.02</v>
      </c>
      <c r="H21" s="81">
        <f t="shared" si="2"/>
        <v>8475.0910000000003</v>
      </c>
      <c r="I21" s="81"/>
      <c r="J21" s="81"/>
      <c r="K21" s="81">
        <f>'Data&gt; Relative Valuation'!K12</f>
        <v>2893.16</v>
      </c>
      <c r="L21" s="81">
        <f>'Data&gt; Relative Valuation'!L12</f>
        <v>233.88</v>
      </c>
      <c r="M21" s="81">
        <f>'Data&gt; Relative Valuation'!M12</f>
        <v>-62.67</v>
      </c>
      <c r="N21" s="83"/>
      <c r="O21" s="84">
        <f t="shared" si="3"/>
        <v>2.9293544083286096</v>
      </c>
      <c r="P21" s="84">
        <f t="shared" si="0"/>
        <v>36.236920643064821</v>
      </c>
      <c r="Q21" s="84">
        <f t="shared" si="4"/>
        <v>-113.46850167544279</v>
      </c>
    </row>
    <row r="22" spans="1:23" ht="7" customHeight="1" x14ac:dyDescent="0.35"/>
    <row r="23" spans="1:23" ht="14.5" customHeight="1" x14ac:dyDescent="0.35">
      <c r="B23" s="92" t="s">
        <v>248</v>
      </c>
      <c r="C23" s="92"/>
      <c r="D23" s="92"/>
      <c r="E23" s="92"/>
      <c r="F23" s="92"/>
      <c r="G23" s="92"/>
      <c r="H23" s="92"/>
      <c r="I23" s="92"/>
      <c r="J23" s="92"/>
      <c r="K23" s="92"/>
      <c r="L23" s="92"/>
      <c r="M23" s="92"/>
      <c r="N23" s="92"/>
      <c r="O23" s="93">
        <f>MAX(O12:O21)</f>
        <v>18.507499541555305</v>
      </c>
      <c r="P23" s="93">
        <f t="shared" ref="P23:Q23" si="5">MAX(P12:P21)</f>
        <v>197.18851314431424</v>
      </c>
      <c r="Q23" s="93">
        <f t="shared" si="5"/>
        <v>228.10439560439559</v>
      </c>
    </row>
    <row r="24" spans="1:23" x14ac:dyDescent="0.35">
      <c r="B24" s="92" t="s">
        <v>250</v>
      </c>
      <c r="C24" s="92"/>
      <c r="D24" s="92"/>
      <c r="E24" s="92"/>
      <c r="F24" s="92"/>
      <c r="G24" s="92"/>
      <c r="H24" s="92"/>
      <c r="I24" s="92"/>
      <c r="J24" s="92"/>
      <c r="K24" s="92"/>
      <c r="L24" s="92"/>
      <c r="M24" s="92"/>
      <c r="N24" s="92"/>
      <c r="O24" s="93">
        <f>QUARTILE(O12:O21,3)</f>
        <v>6.2266104185984776</v>
      </c>
      <c r="P24" s="93">
        <f t="shared" ref="P24:Q24" si="6">QUARTILE(P12:P21,3)</f>
        <v>72.861064884481564</v>
      </c>
      <c r="Q24" s="93">
        <f t="shared" si="6"/>
        <v>126.17216443085326</v>
      </c>
    </row>
    <row r="25" spans="1:23" x14ac:dyDescent="0.35">
      <c r="B25" s="94" t="s">
        <v>188</v>
      </c>
      <c r="C25" s="94"/>
      <c r="D25" s="94"/>
      <c r="E25" s="94"/>
      <c r="F25" s="94"/>
      <c r="G25" s="94"/>
      <c r="H25" s="94"/>
      <c r="I25" s="94"/>
      <c r="J25" s="94"/>
      <c r="K25" s="94"/>
      <c r="L25" s="94"/>
      <c r="M25" s="94"/>
      <c r="N25" s="94"/>
      <c r="O25" s="95">
        <f>AVERAGE(O12:O21)</f>
        <v>5.4839989122145196</v>
      </c>
      <c r="P25" s="95">
        <f t="shared" ref="P25:Q25" si="7">AVERAGE(P12:P21)</f>
        <v>59.333116135614205</v>
      </c>
      <c r="Q25" s="95">
        <f t="shared" si="7"/>
        <v>56.694584085344431</v>
      </c>
    </row>
    <row r="26" spans="1:23" x14ac:dyDescent="0.35">
      <c r="B26" s="94" t="s">
        <v>150</v>
      </c>
      <c r="C26" s="94"/>
      <c r="D26" s="94"/>
      <c r="E26" s="94"/>
      <c r="F26" s="94"/>
      <c r="G26" s="94"/>
      <c r="H26" s="94"/>
      <c r="I26" s="94"/>
      <c r="J26" s="94"/>
      <c r="K26" s="94"/>
      <c r="L26" s="94"/>
      <c r="M26" s="94"/>
      <c r="N26" s="94"/>
      <c r="O26" s="95">
        <f>MEDIAN(O12:O21)</f>
        <v>3.9704341561737611</v>
      </c>
      <c r="P26" s="95">
        <f t="shared" ref="P26:Q26" si="8">MEDIAN(P12:P21)</f>
        <v>33.56455471465415</v>
      </c>
      <c r="Q26" s="95">
        <f t="shared" si="8"/>
        <v>77.560729349823475</v>
      </c>
    </row>
    <row r="27" spans="1:23" x14ac:dyDescent="0.35">
      <c r="B27" s="92" t="s">
        <v>251</v>
      </c>
      <c r="C27" s="92"/>
      <c r="D27" s="92"/>
      <c r="E27" s="92"/>
      <c r="F27" s="92"/>
      <c r="G27" s="92"/>
      <c r="H27" s="92"/>
      <c r="I27" s="92"/>
      <c r="J27" s="92"/>
      <c r="K27" s="92"/>
      <c r="L27" s="92"/>
      <c r="M27" s="92"/>
      <c r="N27" s="92"/>
      <c r="O27" s="93">
        <f>QUARTILE(O12:O21,1)</f>
        <v>2.7525197100719465</v>
      </c>
      <c r="P27" s="93">
        <f t="shared" ref="P27:Q27" si="9">QUARTILE(P12:P21,1)</f>
        <v>24.214289387931618</v>
      </c>
      <c r="Q27" s="93">
        <f t="shared" si="9"/>
        <v>-19.761881181447151</v>
      </c>
    </row>
    <row r="28" spans="1:23" x14ac:dyDescent="0.35">
      <c r="B28" s="92" t="s">
        <v>249</v>
      </c>
      <c r="C28" s="92"/>
      <c r="D28" s="92"/>
      <c r="E28" s="92"/>
      <c r="F28" s="92"/>
      <c r="G28" s="92"/>
      <c r="H28" s="92"/>
      <c r="I28" s="92"/>
      <c r="J28" s="92"/>
      <c r="K28" s="92"/>
      <c r="L28" s="92"/>
      <c r="M28" s="92"/>
      <c r="N28" s="92"/>
      <c r="O28" s="93">
        <f>MIN(O12:O21)</f>
        <v>1.4953267849823135</v>
      </c>
      <c r="P28" s="93">
        <f t="shared" ref="P28:Q28" si="10">MIN(P12:P21)</f>
        <v>15.416531730507661</v>
      </c>
      <c r="Q28" s="93">
        <f t="shared" si="10"/>
        <v>-113.46850167544279</v>
      </c>
    </row>
    <row r="30" spans="1:23" x14ac:dyDescent="0.35">
      <c r="A30" t="s">
        <v>57</v>
      </c>
      <c r="B30" s="87" t="s">
        <v>252</v>
      </c>
      <c r="C30" s="64"/>
      <c r="D30" s="64"/>
      <c r="E30" s="64"/>
      <c r="F30" s="64"/>
      <c r="G30" s="64"/>
      <c r="H30" s="64"/>
      <c r="I30" s="64"/>
      <c r="J30" s="64"/>
      <c r="K30" s="64"/>
      <c r="L30" s="64"/>
      <c r="M30" s="64"/>
      <c r="N30" s="64"/>
      <c r="O30" s="69" t="s">
        <v>245</v>
      </c>
      <c r="P30" s="69" t="s">
        <v>246</v>
      </c>
      <c r="Q30" s="69" t="s">
        <v>247</v>
      </c>
      <c r="S30" s="69" t="s">
        <v>472</v>
      </c>
      <c r="T30" s="12">
        <v>120</v>
      </c>
      <c r="V30" s="66" t="s">
        <v>324</v>
      </c>
      <c r="W30" s="64"/>
    </row>
    <row r="31" spans="1:23" ht="4" customHeight="1" x14ac:dyDescent="0.35">
      <c r="T31" s="12"/>
    </row>
    <row r="32" spans="1:23" x14ac:dyDescent="0.35">
      <c r="B32" s="89" t="s">
        <v>253</v>
      </c>
      <c r="C32" s="89"/>
      <c r="D32" s="89"/>
      <c r="E32" s="89"/>
      <c r="F32" s="89"/>
      <c r="G32" s="89"/>
      <c r="H32" s="89"/>
      <c r="I32" s="89"/>
      <c r="J32" s="89"/>
      <c r="K32" s="89"/>
      <c r="L32" s="89"/>
      <c r="M32" s="89"/>
      <c r="N32" s="89"/>
      <c r="O32" s="90">
        <f>O$25*K12</f>
        <v>290610.97687549528</v>
      </c>
      <c r="P32" s="90">
        <f>P$25*L12</f>
        <v>250681.22901064728</v>
      </c>
      <c r="Q32" s="90">
        <f>Q34+Q33</f>
        <v>334383.39559713099</v>
      </c>
      <c r="S32" s="69" t="s">
        <v>473</v>
      </c>
      <c r="T32" s="55">
        <f>'Forcasted Financial Statement'!F43</f>
        <v>50.224874713183546</v>
      </c>
      <c r="V32" s="207">
        <f>S37</f>
        <v>6026.9849655820253</v>
      </c>
      <c r="W32" s="55">
        <f>T32</f>
        <v>50.224874713183546</v>
      </c>
    </row>
    <row r="33" spans="1:23" ht="15.5" x14ac:dyDescent="0.35">
      <c r="B33" s="89" t="s">
        <v>205</v>
      </c>
      <c r="C33" s="89"/>
      <c r="D33" s="89"/>
      <c r="E33" s="89"/>
      <c r="F33" s="89"/>
      <c r="G33" s="89"/>
      <c r="H33" s="89"/>
      <c r="I33" s="89"/>
      <c r="J33" s="89"/>
      <c r="K33" s="89"/>
      <c r="L33" s="89"/>
      <c r="M33" s="89"/>
      <c r="N33" s="89"/>
      <c r="O33" s="99">
        <f>$G$12</f>
        <v>-46.019999999999982</v>
      </c>
      <c r="P33" s="99">
        <f>$G$12</f>
        <v>-46.019999999999982</v>
      </c>
      <c r="Q33" s="99">
        <f t="shared" ref="Q33" si="11">$G$12</f>
        <v>-46.019999999999982</v>
      </c>
      <c r="V33" s="12">
        <v>110</v>
      </c>
      <c r="W33" s="109">
        <f t="dataTable" ref="W33:W35" dt2D="1" dtr="1" r1="T32" r2="T30" ca="1"/>
        <v>5524.7362184501899</v>
      </c>
    </row>
    <row r="34" spans="1:23" x14ac:dyDescent="0.35">
      <c r="B34" s="89" t="s">
        <v>360</v>
      </c>
      <c r="C34" s="89"/>
      <c r="D34" s="89"/>
      <c r="E34" s="89"/>
      <c r="F34" s="89"/>
      <c r="G34" s="89"/>
      <c r="H34" s="89"/>
      <c r="I34" s="89"/>
      <c r="J34" s="89"/>
      <c r="K34" s="89"/>
      <c r="L34" s="89"/>
      <c r="M34" s="89"/>
      <c r="N34" s="89"/>
      <c r="O34" s="90">
        <f>O32-O33</f>
        <v>290656.9968754953</v>
      </c>
      <c r="P34" s="90">
        <f t="shared" ref="P34" si="12">P32-P33</f>
        <v>250727.24901064727</v>
      </c>
      <c r="Q34" s="101">
        <f>Q24*M12</f>
        <v>334429.41559713101</v>
      </c>
      <c r="S34" s="13"/>
      <c r="V34" s="103">
        <v>120</v>
      </c>
      <c r="W34" s="109">
        <v>6026.9849655820253</v>
      </c>
    </row>
    <row r="35" spans="1:23" x14ac:dyDescent="0.35">
      <c r="B35" s="89" t="s">
        <v>204</v>
      </c>
      <c r="C35" s="89"/>
      <c r="D35" s="89"/>
      <c r="E35" s="89"/>
      <c r="F35" s="89"/>
      <c r="G35" s="89"/>
      <c r="H35" s="89"/>
      <c r="I35" s="89"/>
      <c r="J35" s="89"/>
      <c r="K35" s="89"/>
      <c r="L35" s="89"/>
      <c r="M35" s="89"/>
      <c r="N35" s="89"/>
      <c r="O35" s="91">
        <f>$E$12</f>
        <v>65.069999999999993</v>
      </c>
      <c r="P35" s="91">
        <f t="shared" ref="P35:Q35" si="13">$E$12</f>
        <v>65.069999999999993</v>
      </c>
      <c r="Q35" s="91">
        <f t="shared" si="13"/>
        <v>65.069999999999993</v>
      </c>
      <c r="V35" s="12">
        <v>130</v>
      </c>
      <c r="W35" s="109">
        <v>6529.2337127138608</v>
      </c>
    </row>
    <row r="36" spans="1:23" ht="3" customHeight="1" x14ac:dyDescent="0.35"/>
    <row r="37" spans="1:23" x14ac:dyDescent="0.35">
      <c r="B37" s="88" t="s">
        <v>255</v>
      </c>
      <c r="C37" s="88"/>
      <c r="D37" s="88"/>
      <c r="E37" s="88"/>
      <c r="F37" s="88"/>
      <c r="G37" s="88"/>
      <c r="H37" s="88"/>
      <c r="I37" s="88"/>
      <c r="J37" s="88"/>
      <c r="K37" s="88"/>
      <c r="L37" s="88"/>
      <c r="M37" s="88"/>
      <c r="N37" s="88"/>
      <c r="O37" s="100">
        <f>O34/O35</f>
        <v>4466.8356673658418</v>
      </c>
      <c r="P37" s="100">
        <f>P34/P35</f>
        <v>3853.1927003326768</v>
      </c>
      <c r="Q37" s="100">
        <f>Q34/Q35</f>
        <v>5139.533050516844</v>
      </c>
      <c r="S37" s="100">
        <f>T30*T32</f>
        <v>6026.9849655820253</v>
      </c>
    </row>
    <row r="38" spans="1:23" ht="3.5" customHeight="1" x14ac:dyDescent="0.35">
      <c r="B38" s="96"/>
      <c r="C38" s="96"/>
      <c r="D38" s="96"/>
      <c r="E38" s="96"/>
      <c r="F38" s="96"/>
      <c r="G38" s="96"/>
      <c r="H38" s="96"/>
      <c r="I38" s="96"/>
      <c r="J38" s="96"/>
      <c r="K38" s="96"/>
      <c r="L38" s="96"/>
      <c r="M38" s="96"/>
      <c r="N38" s="96"/>
      <c r="O38" s="97"/>
      <c r="P38" s="97"/>
      <c r="Q38" s="97"/>
    </row>
    <row r="39" spans="1:23" ht="18.5" x14ac:dyDescent="0.45">
      <c r="B39" s="1" t="s">
        <v>256</v>
      </c>
      <c r="S39" s="167"/>
    </row>
    <row r="40" spans="1:23" x14ac:dyDescent="0.35">
      <c r="O40" t="str">
        <f>IF(O37&gt;$D$12,"Undervalued","Overvalued")</f>
        <v>Overvalued</v>
      </c>
      <c r="P40" t="str">
        <f t="shared" ref="P40:S40" si="14">IF(P37&gt;$D$12,"Undervalued","Overvalued")</f>
        <v>Overvalued</v>
      </c>
      <c r="Q40" t="str">
        <f t="shared" si="14"/>
        <v>Overvalued</v>
      </c>
      <c r="S40" t="str">
        <f t="shared" si="14"/>
        <v>Undervalued</v>
      </c>
      <c r="V40" s="12"/>
    </row>
    <row r="44" spans="1:23" x14ac:dyDescent="0.35">
      <c r="A44" t="s">
        <v>57</v>
      </c>
      <c r="B44" s="87" t="s">
        <v>260</v>
      </c>
      <c r="C44" s="64"/>
      <c r="D44" s="64"/>
      <c r="E44" s="64"/>
      <c r="F44" s="64"/>
      <c r="G44" s="64"/>
      <c r="H44" s="64"/>
      <c r="I44" s="64"/>
      <c r="J44" s="64"/>
      <c r="K44" s="64"/>
      <c r="L44" s="64"/>
      <c r="M44" s="64"/>
      <c r="N44" s="64"/>
      <c r="O44" s="69" t="s">
        <v>245</v>
      </c>
      <c r="P44" s="69" t="s">
        <v>246</v>
      </c>
      <c r="Q44" s="69" t="s">
        <v>247</v>
      </c>
    </row>
    <row r="45" spans="1:23" ht="3" customHeight="1" x14ac:dyDescent="0.35">
      <c r="B45" s="9"/>
      <c r="C45" s="102"/>
      <c r="D45" s="102"/>
      <c r="E45" s="102"/>
      <c r="F45" s="102"/>
      <c r="G45" s="102"/>
      <c r="H45" s="102"/>
      <c r="I45" s="102"/>
      <c r="J45" s="102"/>
      <c r="K45" s="102"/>
      <c r="L45" s="102"/>
      <c r="M45" s="102"/>
      <c r="N45" s="102"/>
      <c r="O45" s="72"/>
      <c r="P45" s="72"/>
      <c r="Q45" s="72"/>
    </row>
    <row r="46" spans="1:23" x14ac:dyDescent="0.35">
      <c r="B46" s="89" t="s">
        <v>253</v>
      </c>
      <c r="C46" s="89"/>
      <c r="D46" s="89"/>
      <c r="E46" s="89"/>
      <c r="F46" s="89"/>
      <c r="G46" s="89"/>
      <c r="H46" s="89"/>
      <c r="I46" s="89"/>
      <c r="J46" s="89"/>
      <c r="K46" s="89"/>
      <c r="L46" s="89"/>
      <c r="M46" s="89"/>
      <c r="N46" s="89"/>
      <c r="O46" s="90">
        <f>O$25*K13</f>
        <v>75959.85605288751</v>
      </c>
      <c r="P46" s="90">
        <f>P$25*L13</f>
        <v>131440.0588440648</v>
      </c>
      <c r="Q46" s="90">
        <f>Q48+Q47</f>
        <v>97949.612113256211</v>
      </c>
    </row>
    <row r="47" spans="1:23" ht="15.5" x14ac:dyDescent="0.35">
      <c r="B47" s="89" t="s">
        <v>205</v>
      </c>
      <c r="C47" s="89"/>
      <c r="D47" s="89"/>
      <c r="E47" s="89"/>
      <c r="F47" s="89"/>
      <c r="G47" s="89"/>
      <c r="H47" s="89"/>
      <c r="I47" s="89"/>
      <c r="J47" s="89"/>
      <c r="K47" s="89"/>
      <c r="L47" s="89"/>
      <c r="M47" s="89"/>
      <c r="N47" s="89"/>
      <c r="O47" s="99">
        <f>$G$13</f>
        <v>1455.43</v>
      </c>
      <c r="P47" s="99">
        <f t="shared" ref="P47:Q47" si="15">$G$13</f>
        <v>1455.43</v>
      </c>
      <c r="Q47" s="99">
        <f t="shared" si="15"/>
        <v>1455.43</v>
      </c>
    </row>
    <row r="48" spans="1:23" x14ac:dyDescent="0.35">
      <c r="B48" s="89" t="s">
        <v>254</v>
      </c>
      <c r="C48" s="89"/>
      <c r="D48" s="89"/>
      <c r="E48" s="89"/>
      <c r="F48" s="89"/>
      <c r="G48" s="89"/>
      <c r="H48" s="89"/>
      <c r="I48" s="89"/>
      <c r="J48" s="89"/>
      <c r="K48" s="89"/>
      <c r="L48" s="89"/>
      <c r="M48" s="89"/>
      <c r="N48" s="89"/>
      <c r="O48" s="90">
        <f>O46-O47</f>
        <v>74504.426052887517</v>
      </c>
      <c r="P48" s="90">
        <f t="shared" ref="P48" si="16">P46-P47</f>
        <v>129984.62884406481</v>
      </c>
      <c r="Q48" s="101">
        <f>Q25*M13</f>
        <v>96494.182113256218</v>
      </c>
    </row>
    <row r="49" spans="2:19" x14ac:dyDescent="0.35">
      <c r="B49" s="89" t="s">
        <v>204</v>
      </c>
      <c r="C49" s="89"/>
      <c r="D49" s="89"/>
      <c r="E49" s="89"/>
      <c r="F49" s="89"/>
      <c r="G49" s="89"/>
      <c r="H49" s="89"/>
      <c r="I49" s="89"/>
      <c r="J49" s="89"/>
      <c r="K49" s="89"/>
      <c r="L49" s="89"/>
      <c r="M49" s="89"/>
      <c r="N49" s="89"/>
      <c r="O49" s="91">
        <f>$E$13</f>
        <v>35.549999999999997</v>
      </c>
      <c r="P49" s="91">
        <f t="shared" ref="P49:Q49" si="17">$E$13</f>
        <v>35.549999999999997</v>
      </c>
      <c r="Q49" s="91">
        <f t="shared" si="17"/>
        <v>35.549999999999997</v>
      </c>
      <c r="S49" s="12"/>
    </row>
    <row r="50" spans="2:19" ht="3.5" customHeight="1" x14ac:dyDescent="0.35"/>
    <row r="51" spans="2:19" ht="18.5" x14ac:dyDescent="0.45">
      <c r="B51" s="88" t="s">
        <v>255</v>
      </c>
      <c r="C51" s="88"/>
      <c r="D51" s="88"/>
      <c r="E51" s="88"/>
      <c r="F51" s="88"/>
      <c r="G51" s="88"/>
      <c r="H51" s="88"/>
      <c r="I51" s="88"/>
      <c r="J51" s="88"/>
      <c r="K51" s="88"/>
      <c r="L51" s="88"/>
      <c r="M51" s="88"/>
      <c r="N51" s="88"/>
      <c r="O51" s="100">
        <f>O48/O49</f>
        <v>2095.7644459321386</v>
      </c>
      <c r="P51" s="100">
        <f>P48/P49</f>
        <v>3656.3889970201071</v>
      </c>
      <c r="Q51" s="100">
        <f>Q48/Q49</f>
        <v>2714.3229849017221</v>
      </c>
      <c r="S51" s="167"/>
    </row>
    <row r="52" spans="2:19" x14ac:dyDescent="0.35">
      <c r="B52" s="96"/>
      <c r="C52" s="96"/>
      <c r="D52" s="96"/>
      <c r="E52" s="96"/>
      <c r="F52" s="96"/>
      <c r="G52" s="96"/>
      <c r="H52" s="96"/>
      <c r="I52" s="96"/>
      <c r="J52" s="96"/>
      <c r="K52" s="96"/>
      <c r="L52" s="96"/>
      <c r="M52" s="96"/>
      <c r="N52" s="96"/>
      <c r="O52" s="97"/>
      <c r="P52" s="97"/>
      <c r="Q52" s="97"/>
    </row>
    <row r="53" spans="2:19" x14ac:dyDescent="0.35">
      <c r="B53" s="1"/>
    </row>
    <row r="54" spans="2:19" x14ac:dyDescent="0.35">
      <c r="O54" t="str">
        <f>IF(O51&gt;$D$13,"Undervalued","Overvalued")</f>
        <v>Overvalued</v>
      </c>
      <c r="P54" t="str">
        <f t="shared" ref="P54:Q54" si="18">IF(P51&gt;$D$13,"Undervalued","Overvalued")</f>
        <v>Overvalued</v>
      </c>
      <c r="Q54" t="str">
        <f t="shared" si="18"/>
        <v>Overvalued</v>
      </c>
    </row>
  </sheetData>
  <mergeCells count="3">
    <mergeCell ref="D8:I8"/>
    <mergeCell ref="K8:M8"/>
    <mergeCell ref="O8:Q8"/>
  </mergeCells>
  <pageMargins left="0.7" right="0.7" top="0.75" bottom="0.75" header="0.3" footer="0.3"/>
  <pageSetup scale="65" orientation="landscape"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5C49B-E553-4765-9EA6-05B253B84616}">
  <dimension ref="A1:S169"/>
  <sheetViews>
    <sheetView showGridLines="0" topLeftCell="A3" zoomScale="85" zoomScaleNormal="70" workbookViewId="0">
      <selection activeCell="I6" sqref="I6"/>
    </sheetView>
  </sheetViews>
  <sheetFormatPr defaultRowHeight="14.5" x14ac:dyDescent="0.35"/>
  <cols>
    <col min="1" max="1" width="2.1796875" customWidth="1"/>
    <col min="2" max="2" width="14.54296875" customWidth="1"/>
    <col min="3" max="3" width="12.1796875" bestFit="1" customWidth="1"/>
    <col min="4" max="4" width="15.90625" bestFit="1" customWidth="1"/>
    <col min="6" max="6" width="16" customWidth="1"/>
    <col min="7" max="7" width="11.36328125" customWidth="1"/>
    <col min="9" max="9" width="10.54296875" customWidth="1"/>
    <col min="10" max="10" width="17.26953125" bestFit="1" customWidth="1"/>
    <col min="11" max="11" width="13.08984375" bestFit="1" customWidth="1"/>
    <col min="12" max="12" width="13.6328125" bestFit="1" customWidth="1"/>
    <col min="13" max="13" width="13.08984375" bestFit="1" customWidth="1"/>
    <col min="14" max="14" width="12.453125" bestFit="1" customWidth="1"/>
    <col min="15" max="15" width="13.08984375" bestFit="1" customWidth="1"/>
    <col min="16" max="17" width="12.453125" bestFit="1" customWidth="1"/>
    <col min="18" max="18" width="12" bestFit="1" customWidth="1"/>
  </cols>
  <sheetData>
    <row r="1" spans="1:19" x14ac:dyDescent="0.35">
      <c r="A1" t="s">
        <v>57</v>
      </c>
    </row>
    <row r="5" spans="1:19" x14ac:dyDescent="0.35">
      <c r="B5" s="96" t="s">
        <v>429</v>
      </c>
    </row>
    <row r="7" spans="1:19" x14ac:dyDescent="0.35">
      <c r="B7" s="222" t="s">
        <v>262</v>
      </c>
      <c r="C7" s="222"/>
      <c r="D7" s="222"/>
      <c r="F7" s="222" t="s">
        <v>266</v>
      </c>
      <c r="G7" s="222"/>
      <c r="H7" s="106"/>
      <c r="I7" s="106"/>
      <c r="J7" s="12" t="s">
        <v>267</v>
      </c>
      <c r="K7" s="210">
        <f>SLOPE(D11:D162,G11:G162)</f>
        <v>1.13123748118403</v>
      </c>
      <c r="M7" s="227" t="s">
        <v>359</v>
      </c>
      <c r="N7" s="227"/>
      <c r="O7" s="227"/>
      <c r="P7" s="227"/>
      <c r="Q7" s="227"/>
      <c r="R7" s="227"/>
      <c r="S7" s="227"/>
    </row>
    <row r="8" spans="1:19" x14ac:dyDescent="0.35">
      <c r="B8" s="106"/>
      <c r="C8" s="106"/>
      <c r="D8" s="106"/>
      <c r="J8" s="12" t="s">
        <v>268</v>
      </c>
      <c r="K8" s="210">
        <f>_xlfn.COVARIANCE.S(D10:D162,G10:G162)/_xlfn.VAR.S(G10:G162)</f>
        <v>1.1312374811840293</v>
      </c>
      <c r="M8" s="227"/>
      <c r="N8" s="227"/>
      <c r="O8" s="227"/>
      <c r="P8" s="227"/>
      <c r="Q8" s="227"/>
      <c r="R8" s="227"/>
      <c r="S8" s="227"/>
    </row>
    <row r="9" spans="1:19" x14ac:dyDescent="0.35">
      <c r="B9" s="108" t="s">
        <v>261</v>
      </c>
      <c r="C9" s="107" t="s">
        <v>265</v>
      </c>
      <c r="D9" s="107" t="s">
        <v>264</v>
      </c>
      <c r="F9" s="107" t="s">
        <v>265</v>
      </c>
      <c r="G9" s="107" t="s">
        <v>263</v>
      </c>
      <c r="J9" s="12"/>
      <c r="K9" s="12"/>
      <c r="M9" s="227"/>
      <c r="N9" s="227"/>
      <c r="O9" s="227"/>
      <c r="P9" s="227"/>
      <c r="Q9" s="227"/>
      <c r="R9" s="227"/>
      <c r="S9" s="227"/>
    </row>
    <row r="10" spans="1:19" x14ac:dyDescent="0.35">
      <c r="B10" s="104">
        <f>Sheet1[[#This Row],[symbol]]</f>
        <v>44442.645830000001</v>
      </c>
      <c r="C10" s="182">
        <f>Sheet1[[#This Row],[NSE:DMART]]</f>
        <v>3938.9</v>
      </c>
      <c r="D10" s="43"/>
      <c r="F10" s="105">
        <f>Sheet1[[#This Row],[NSE:NIFTYBEES
]]</f>
        <v>186.91</v>
      </c>
      <c r="J10" s="12" t="s">
        <v>269</v>
      </c>
      <c r="K10" s="210">
        <f>K30</f>
        <v>1.1312375456611354</v>
      </c>
      <c r="M10" s="227"/>
      <c r="N10" s="227"/>
      <c r="O10" s="227"/>
      <c r="P10" s="227"/>
      <c r="Q10" s="227"/>
      <c r="R10" s="227"/>
      <c r="S10" s="227"/>
    </row>
    <row r="11" spans="1:19" x14ac:dyDescent="0.35">
      <c r="B11" s="104">
        <f>Sheet1[[#This Row],[symbol]]</f>
        <v>44448.645830000001</v>
      </c>
      <c r="C11" s="182">
        <f>Sheet1[[#This Row],[NSE:DMART]]</f>
        <v>3950.5</v>
      </c>
      <c r="D11" s="43">
        <f t="shared" ref="D11:D68" si="0">C11/C10-1</f>
        <v>2.9449846403817315E-3</v>
      </c>
      <c r="F11" s="105">
        <f>Sheet1[[#This Row],[NSE:NIFTYBEES
]]</f>
        <v>187.42</v>
      </c>
      <c r="G11" s="43">
        <f>F11/F10-1</f>
        <v>2.7285859504573295E-3</v>
      </c>
      <c r="M11" s="227"/>
      <c r="N11" s="227"/>
      <c r="O11" s="227"/>
      <c r="P11" s="227"/>
      <c r="Q11" s="227"/>
      <c r="R11" s="227"/>
      <c r="S11" s="227"/>
    </row>
    <row r="12" spans="1:19" x14ac:dyDescent="0.35">
      <c r="B12" s="104">
        <f>Sheet1[[#This Row],[symbol]]</f>
        <v>44456.645830000001</v>
      </c>
      <c r="C12" s="182">
        <f>Sheet1[[#This Row],[NSE:DMART]]</f>
        <v>4239.6499999999996</v>
      </c>
      <c r="D12" s="43">
        <f t="shared" si="0"/>
        <v>7.3193266675104285E-2</v>
      </c>
      <c r="F12" s="105">
        <f>Sheet1[[#This Row],[NSE:NIFTYBEES
]]</f>
        <v>189.82</v>
      </c>
      <c r="G12" s="43">
        <f t="shared" ref="G12:G75" si="1">F12/F11-1</f>
        <v>1.2805463664496974E-2</v>
      </c>
    </row>
    <row r="13" spans="1:19" x14ac:dyDescent="0.35">
      <c r="B13" s="104">
        <f>Sheet1[[#This Row],[symbol]]</f>
        <v>44463.645830000001</v>
      </c>
      <c r="C13" s="182">
        <f>Sheet1[[#This Row],[NSE:DMART]]</f>
        <v>4422.3500000000004</v>
      </c>
      <c r="D13" s="43">
        <f t="shared" si="0"/>
        <v>4.3093179861545261E-2</v>
      </c>
      <c r="F13" s="105">
        <f>Sheet1[[#This Row],[NSE:NIFTYBEES
]]</f>
        <v>192.63</v>
      </c>
      <c r="G13" s="43">
        <f t="shared" si="1"/>
        <v>1.4803498050784958E-2</v>
      </c>
      <c r="J13" t="s">
        <v>270</v>
      </c>
    </row>
    <row r="14" spans="1:19" ht="15" thickBot="1" x14ac:dyDescent="0.4">
      <c r="B14" s="104">
        <f>Sheet1[[#This Row],[symbol]]</f>
        <v>44470.645830000001</v>
      </c>
      <c r="C14" s="182">
        <f>Sheet1[[#This Row],[NSE:DMART]]</f>
        <v>4235.6000000000004</v>
      </c>
      <c r="D14" s="43">
        <f t="shared" si="0"/>
        <v>-4.2228679322079854E-2</v>
      </c>
      <c r="F14" s="105">
        <f>Sheet1[[#This Row],[NSE:NIFTYBEES
]]</f>
        <v>189.22</v>
      </c>
      <c r="G14" s="43">
        <f t="shared" si="1"/>
        <v>-1.7702330893422658E-2</v>
      </c>
    </row>
    <row r="15" spans="1:19" x14ac:dyDescent="0.35">
      <c r="B15" s="104">
        <f>Sheet1[[#This Row],[symbol]]</f>
        <v>44477.645830000001</v>
      </c>
      <c r="C15" s="182">
        <f>Sheet1[[#This Row],[NSE:DMART]]</f>
        <v>4407.95</v>
      </c>
      <c r="D15" s="43">
        <f t="shared" si="0"/>
        <v>4.0690811219189493E-2</v>
      </c>
      <c r="F15" s="105">
        <f>Sheet1[[#This Row],[NSE:NIFTYBEES
]]</f>
        <v>192.58</v>
      </c>
      <c r="G15" s="43">
        <f t="shared" si="1"/>
        <v>1.7757108128104937E-2</v>
      </c>
      <c r="J15" s="185" t="s">
        <v>271</v>
      </c>
      <c r="K15" s="185"/>
    </row>
    <row r="16" spans="1:19" x14ac:dyDescent="0.35">
      <c r="B16" s="104">
        <f>Sheet1[[#This Row],[symbol]]</f>
        <v>44483.645830000001</v>
      </c>
      <c r="C16" s="182">
        <f>Sheet1[[#This Row],[NSE:DMART]]</f>
        <v>5323.75</v>
      </c>
      <c r="D16" s="43">
        <f t="shared" si="0"/>
        <v>0.20776097732506038</v>
      </c>
      <c r="F16" s="105">
        <f>Sheet1[[#This Row],[NSE:NIFTYBEES
]]</f>
        <v>197.11</v>
      </c>
      <c r="G16" s="43">
        <f t="shared" si="1"/>
        <v>2.352269186831446E-2</v>
      </c>
      <c r="J16" t="s">
        <v>272</v>
      </c>
      <c r="K16">
        <v>0.4406047537415243</v>
      </c>
    </row>
    <row r="17" spans="2:18" x14ac:dyDescent="0.35">
      <c r="B17" s="104">
        <f>Sheet1[[#This Row],[symbol]]</f>
        <v>44491.645830000001</v>
      </c>
      <c r="C17" s="182">
        <f>Sheet1[[#This Row],[NSE:DMART]]</f>
        <v>4521.45</v>
      </c>
      <c r="D17" s="43">
        <f t="shared" si="0"/>
        <v>-0.150702042733036</v>
      </c>
      <c r="F17" s="105">
        <f>Sheet1[[#This Row],[NSE:NIFTYBEES
]]</f>
        <v>195.68</v>
      </c>
      <c r="G17" s="43">
        <f t="shared" si="1"/>
        <v>-7.254832327126981E-3</v>
      </c>
      <c r="J17" t="s">
        <v>273</v>
      </c>
      <c r="K17">
        <v>0.19413254901962926</v>
      </c>
    </row>
    <row r="18" spans="2:18" x14ac:dyDescent="0.35">
      <c r="B18" s="104">
        <f>Sheet1[[#This Row],[symbol]]</f>
        <v>44498.645830000001</v>
      </c>
      <c r="C18" s="182">
        <f>Sheet1[[#This Row],[NSE:DMART]]</f>
        <v>4635.45</v>
      </c>
      <c r="D18" s="43">
        <f t="shared" si="0"/>
        <v>2.52131506485751E-2</v>
      </c>
      <c r="F18" s="105">
        <f>Sheet1[[#This Row],[NSE:NIFTYBEES
]]</f>
        <v>191.16</v>
      </c>
      <c r="G18" s="43">
        <f t="shared" si="1"/>
        <v>-2.3098937040065493E-2</v>
      </c>
      <c r="J18" t="s">
        <v>274</v>
      </c>
      <c r="K18">
        <v>0.18872404263721065</v>
      </c>
    </row>
    <row r="19" spans="2:18" x14ac:dyDescent="0.35">
      <c r="B19" s="104">
        <f>Sheet1[[#This Row],[symbol]]</f>
        <v>44504.802080000001</v>
      </c>
      <c r="C19" s="182">
        <f>Sheet1[[#This Row],[NSE:DMART]]</f>
        <v>4783.7</v>
      </c>
      <c r="D19" s="43">
        <f t="shared" si="0"/>
        <v>3.1981792490481054E-2</v>
      </c>
      <c r="F19" s="105">
        <f>Sheet1[[#This Row],[NSE:NIFTYBEES
]]</f>
        <v>193.59</v>
      </c>
      <c r="G19" s="43">
        <f t="shared" si="1"/>
        <v>1.2711864406779627E-2</v>
      </c>
      <c r="J19" t="s">
        <v>275</v>
      </c>
      <c r="K19">
        <v>4.0560105302851729E-2</v>
      </c>
    </row>
    <row r="20" spans="2:18" ht="15" thickBot="1" x14ac:dyDescent="0.4">
      <c r="B20" s="104">
        <f>Sheet1[[#This Row],[symbol]]</f>
        <v>44512.645830000001</v>
      </c>
      <c r="C20" s="182">
        <f>Sheet1[[#This Row],[NSE:DMART]]</f>
        <v>5078.55</v>
      </c>
      <c r="D20" s="43">
        <f t="shared" si="0"/>
        <v>6.163639024186307E-2</v>
      </c>
      <c r="F20" s="105">
        <f>Sheet1[[#This Row],[NSE:NIFTYBEES
]]</f>
        <v>195.46</v>
      </c>
      <c r="G20" s="43">
        <f t="shared" si="1"/>
        <v>9.6595898548479386E-3</v>
      </c>
      <c r="J20" s="183" t="s">
        <v>276</v>
      </c>
      <c r="K20" s="183">
        <v>151</v>
      </c>
    </row>
    <row r="21" spans="2:18" x14ac:dyDescent="0.35">
      <c r="B21" s="104">
        <f>Sheet1[[#This Row],[symbol]]</f>
        <v>44518.645830000001</v>
      </c>
      <c r="C21" s="182">
        <f>Sheet1[[#This Row],[NSE:DMART]]</f>
        <v>5080.8999999999996</v>
      </c>
      <c r="D21" s="43">
        <f t="shared" si="0"/>
        <v>4.6273050378542457E-4</v>
      </c>
      <c r="F21" s="105">
        <f>Sheet1[[#This Row],[NSE:NIFTYBEES
]]</f>
        <v>192.14</v>
      </c>
      <c r="G21" s="43">
        <f t="shared" si="1"/>
        <v>-1.6985572495651358E-2</v>
      </c>
    </row>
    <row r="22" spans="2:18" ht="15" thickBot="1" x14ac:dyDescent="0.4">
      <c r="B22" s="104">
        <f>Sheet1[[#This Row],[symbol]]</f>
        <v>44526.645830000001</v>
      </c>
      <c r="C22" s="182">
        <f>Sheet1[[#This Row],[NSE:DMART]]</f>
        <v>4718.75</v>
      </c>
      <c r="D22" s="43">
        <f t="shared" si="0"/>
        <v>-7.1276742309433261E-2</v>
      </c>
      <c r="F22" s="105">
        <f>Sheet1[[#This Row],[NSE:NIFTYBEES
]]</f>
        <v>184.51</v>
      </c>
      <c r="G22" s="43">
        <f t="shared" si="1"/>
        <v>-3.9710627667325915E-2</v>
      </c>
      <c r="J22" t="s">
        <v>277</v>
      </c>
    </row>
    <row r="23" spans="2:18" x14ac:dyDescent="0.35">
      <c r="B23" s="104">
        <f>Sheet1[[#This Row],[symbol]]</f>
        <v>44533.645830000001</v>
      </c>
      <c r="C23" s="182">
        <f>Sheet1[[#This Row],[NSE:DMART]]</f>
        <v>4799.05</v>
      </c>
      <c r="D23" s="43">
        <f t="shared" si="0"/>
        <v>1.7017218543046386E-2</v>
      </c>
      <c r="F23" s="105">
        <f>Sheet1[[#This Row],[NSE:NIFTYBEES
]]</f>
        <v>186</v>
      </c>
      <c r="G23" s="43">
        <f t="shared" si="1"/>
        <v>8.075443065416632E-3</v>
      </c>
      <c r="J23" s="184"/>
      <c r="K23" s="184" t="s">
        <v>281</v>
      </c>
      <c r="L23" s="184" t="s">
        <v>282</v>
      </c>
      <c r="M23" s="184" t="s">
        <v>283</v>
      </c>
      <c r="N23" s="184" t="s">
        <v>284</v>
      </c>
      <c r="O23" s="184" t="s">
        <v>285</v>
      </c>
    </row>
    <row r="24" spans="2:18" x14ac:dyDescent="0.35">
      <c r="B24" s="104">
        <f>Sheet1[[#This Row],[symbol]]</f>
        <v>44540.645830000001</v>
      </c>
      <c r="C24" s="182">
        <f>Sheet1[[#This Row],[NSE:DMART]]</f>
        <v>4796.6000000000004</v>
      </c>
      <c r="D24" s="43">
        <f t="shared" si="0"/>
        <v>-5.1051770662935425E-4</v>
      </c>
      <c r="F24" s="105">
        <f>Sheet1[[#This Row],[NSE:NIFTYBEES
]]</f>
        <v>189.09</v>
      </c>
      <c r="G24" s="43">
        <f t="shared" si="1"/>
        <v>1.6612903225806441E-2</v>
      </c>
      <c r="J24" t="s">
        <v>278</v>
      </c>
      <c r="K24">
        <v>1</v>
      </c>
      <c r="L24">
        <v>5.9049898868181044E-2</v>
      </c>
      <c r="M24">
        <v>5.9049898868181044E-2</v>
      </c>
      <c r="N24">
        <v>35.893929912090876</v>
      </c>
      <c r="O24">
        <v>1.4996393100095651E-8</v>
      </c>
    </row>
    <row r="25" spans="2:18" x14ac:dyDescent="0.35">
      <c r="B25" s="104">
        <f>Sheet1[[#This Row],[symbol]]</f>
        <v>44547.645830000001</v>
      </c>
      <c r="C25" s="182">
        <f>Sheet1[[#This Row],[NSE:DMART]]</f>
        <v>4697.8</v>
      </c>
      <c r="D25" s="43">
        <f t="shared" si="0"/>
        <v>-2.0597923529166562E-2</v>
      </c>
      <c r="F25" s="105">
        <f>Sheet1[[#This Row],[NSE:NIFTYBEES
]]</f>
        <v>183.77</v>
      </c>
      <c r="G25" s="43">
        <f t="shared" si="1"/>
        <v>-2.8134750647839657E-2</v>
      </c>
      <c r="J25" t="s">
        <v>279</v>
      </c>
      <c r="K25">
        <v>149</v>
      </c>
      <c r="L25">
        <v>0.24512319918458472</v>
      </c>
      <c r="M25">
        <v>1.6451221421784209E-3</v>
      </c>
    </row>
    <row r="26" spans="2:18" ht="15" thickBot="1" x14ac:dyDescent="0.4">
      <c r="B26" s="104">
        <f>Sheet1[[#This Row],[symbol]]</f>
        <v>44554.645830000001</v>
      </c>
      <c r="C26" s="182">
        <f>Sheet1[[#This Row],[NSE:DMART]]</f>
        <v>4628.8999999999996</v>
      </c>
      <c r="D26" s="43">
        <f t="shared" si="0"/>
        <v>-1.4666439610030335E-2</v>
      </c>
      <c r="F26" s="105">
        <f>Sheet1[[#This Row],[NSE:NIFTYBEES
]]</f>
        <v>183.45</v>
      </c>
      <c r="G26" s="43">
        <f t="shared" si="1"/>
        <v>-1.741307068618525E-3</v>
      </c>
      <c r="J26" s="183" t="s">
        <v>35</v>
      </c>
      <c r="K26" s="183">
        <v>150</v>
      </c>
      <c r="L26" s="183">
        <v>0.30417309805276577</v>
      </c>
      <c r="M26" s="183"/>
      <c r="N26" s="183"/>
      <c r="O26" s="183"/>
    </row>
    <row r="27" spans="2:18" ht="15" thickBot="1" x14ac:dyDescent="0.4">
      <c r="B27" s="104">
        <f>Sheet1[[#This Row],[symbol]]</f>
        <v>44561.645830000001</v>
      </c>
      <c r="C27" s="182">
        <f>Sheet1[[#This Row],[NSE:DMART]]</f>
        <v>4671.45</v>
      </c>
      <c r="D27" s="43">
        <f t="shared" si="0"/>
        <v>9.1922486983948559E-3</v>
      </c>
      <c r="F27" s="105">
        <f>Sheet1[[#This Row],[NSE:NIFTYBEES
]]</f>
        <v>187.79</v>
      </c>
      <c r="G27" s="43">
        <f t="shared" si="1"/>
        <v>2.3657672390297035E-2</v>
      </c>
    </row>
    <row r="28" spans="2:18" x14ac:dyDescent="0.35">
      <c r="B28" s="104">
        <f>Sheet1[[#This Row],[symbol]]</f>
        <v>44568.645830000001</v>
      </c>
      <c r="C28" s="182">
        <f>Sheet1[[#This Row],[NSE:DMART]]</f>
        <v>4731.3500000000004</v>
      </c>
      <c r="D28" s="43">
        <f t="shared" si="0"/>
        <v>1.28225711502854E-2</v>
      </c>
      <c r="F28" s="105">
        <f>Sheet1[[#This Row],[NSE:NIFTYBEES
]]</f>
        <v>192.42</v>
      </c>
      <c r="G28" s="43">
        <f t="shared" si="1"/>
        <v>2.4655199957399176E-2</v>
      </c>
      <c r="J28" s="184"/>
      <c r="K28" s="184" t="s">
        <v>286</v>
      </c>
      <c r="L28" s="184" t="s">
        <v>275</v>
      </c>
      <c r="M28" s="184" t="s">
        <v>287</v>
      </c>
      <c r="N28" s="184" t="s">
        <v>288</v>
      </c>
      <c r="O28" s="184" t="s">
        <v>289</v>
      </c>
      <c r="P28" s="184" t="s">
        <v>290</v>
      </c>
      <c r="Q28" s="184" t="s">
        <v>291</v>
      </c>
      <c r="R28" s="184" t="s">
        <v>292</v>
      </c>
    </row>
    <row r="29" spans="2:18" x14ac:dyDescent="0.35">
      <c r="B29" s="104">
        <f>Sheet1[[#This Row],[symbol]]</f>
        <v>44575.645830000001</v>
      </c>
      <c r="C29" s="182">
        <f>Sheet1[[#This Row],[NSE:DMART]]</f>
        <v>4322.7</v>
      </c>
      <c r="D29" s="43">
        <f t="shared" si="0"/>
        <v>-8.6370697581028777E-2</v>
      </c>
      <c r="F29" s="105">
        <f>Sheet1[[#This Row],[NSE:NIFTYBEES
]]</f>
        <v>197.36</v>
      </c>
      <c r="G29" s="43">
        <f t="shared" si="1"/>
        <v>2.5673006963933265E-2</v>
      </c>
      <c r="J29" t="s">
        <v>280</v>
      </c>
      <c r="K29">
        <v>-6.7190729338503915E-4</v>
      </c>
      <c r="L29">
        <v>3.3408660549696296E-3</v>
      </c>
      <c r="M29">
        <v>-0.2011176989228762</v>
      </c>
      <c r="N29">
        <v>0.84088082869352465</v>
      </c>
      <c r="O29">
        <v>-7.2735026428995455E-3</v>
      </c>
      <c r="P29">
        <v>5.9296880561294663E-3</v>
      </c>
      <c r="Q29">
        <v>-7.2735026428995455E-3</v>
      </c>
      <c r="R29">
        <v>5.9296880561294663E-3</v>
      </c>
    </row>
    <row r="30" spans="2:18" ht="15" thickBot="1" x14ac:dyDescent="0.4">
      <c r="B30" s="104">
        <f>Sheet1[[#This Row],[symbol]]</f>
        <v>44582.645830000001</v>
      </c>
      <c r="C30" s="182">
        <f>Sheet1[[#This Row],[NSE:DMART]]</f>
        <v>4299.8</v>
      </c>
      <c r="D30" s="43">
        <f t="shared" si="0"/>
        <v>-5.2976149166029662E-3</v>
      </c>
      <c r="F30" s="105">
        <f>Sheet1[[#This Row],[NSE:NIFTYBEES
]]</f>
        <v>190.64</v>
      </c>
      <c r="G30" s="43">
        <f t="shared" si="1"/>
        <v>-3.4049452776651945E-2</v>
      </c>
      <c r="J30" s="183">
        <v>2.7285859504573295E-3</v>
      </c>
      <c r="K30" s="183">
        <v>1.1312375456611354</v>
      </c>
      <c r="L30" s="183">
        <v>0.18881796194534792</v>
      </c>
      <c r="M30" s="183">
        <v>5.9911543054816176</v>
      </c>
      <c r="N30" s="183">
        <v>1.4996393100095101E-8</v>
      </c>
      <c r="O30" s="183">
        <v>0.75813076467271079</v>
      </c>
      <c r="P30" s="183">
        <v>1.50434432664956</v>
      </c>
      <c r="Q30" s="183">
        <v>0.75813076467271079</v>
      </c>
      <c r="R30" s="183">
        <v>1.50434432664956</v>
      </c>
    </row>
    <row r="31" spans="2:18" x14ac:dyDescent="0.35">
      <c r="B31" s="104">
        <f>Sheet1[[#This Row],[symbol]]</f>
        <v>44589.645830000001</v>
      </c>
      <c r="C31" s="182">
        <f>Sheet1[[#This Row],[NSE:DMART]]</f>
        <v>4076</v>
      </c>
      <c r="D31" s="43">
        <f t="shared" si="0"/>
        <v>-5.2048932508488854E-2</v>
      </c>
      <c r="F31" s="105">
        <f>Sheet1[[#This Row],[NSE:NIFTYBEES
]]</f>
        <v>185.1</v>
      </c>
      <c r="G31" s="43">
        <f t="shared" si="1"/>
        <v>-2.9060008392782222E-2</v>
      </c>
    </row>
    <row r="32" spans="2:18" x14ac:dyDescent="0.35">
      <c r="B32" s="104">
        <f>Sheet1[[#This Row],[symbol]]</f>
        <v>44596.645830000001</v>
      </c>
      <c r="C32" s="182">
        <f>Sheet1[[#This Row],[NSE:DMART]]</f>
        <v>4081.9</v>
      </c>
      <c r="D32" s="43">
        <f t="shared" si="0"/>
        <v>1.4474975466143292E-3</v>
      </c>
      <c r="F32" s="105">
        <f>Sheet1[[#This Row],[NSE:NIFTYBEES
]]</f>
        <v>189.59</v>
      </c>
      <c r="G32" s="43">
        <f t="shared" si="1"/>
        <v>2.4257158292814829E-2</v>
      </c>
    </row>
    <row r="33" spans="2:7" x14ac:dyDescent="0.35">
      <c r="B33" s="104">
        <f>Sheet1[[#This Row],[symbol]]</f>
        <v>44603.645830000001</v>
      </c>
      <c r="C33" s="182">
        <f>Sheet1[[#This Row],[NSE:DMART]]</f>
        <v>4142.25</v>
      </c>
      <c r="D33" s="43">
        <f t="shared" si="0"/>
        <v>1.4784781596805407E-2</v>
      </c>
      <c r="F33" s="105">
        <f>Sheet1[[#This Row],[NSE:NIFTYBEES
]]</f>
        <v>188</v>
      </c>
      <c r="G33" s="43">
        <f t="shared" si="1"/>
        <v>-8.3865182762804524E-3</v>
      </c>
    </row>
    <row r="34" spans="2:7" x14ac:dyDescent="0.35">
      <c r="B34" s="104">
        <f>Sheet1[[#This Row],[symbol]]</f>
        <v>44610.645830000001</v>
      </c>
      <c r="C34" s="182">
        <f>Sheet1[[#This Row],[NSE:DMART]]</f>
        <v>4073.1</v>
      </c>
      <c r="D34" s="43">
        <f t="shared" si="0"/>
        <v>-1.6693825819301122E-2</v>
      </c>
      <c r="F34" s="105">
        <f>Sheet1[[#This Row],[NSE:NIFTYBEES
]]</f>
        <v>186.64</v>
      </c>
      <c r="G34" s="43">
        <f t="shared" si="1"/>
        <v>-7.2340425531915997E-3</v>
      </c>
    </row>
    <row r="35" spans="2:7" x14ac:dyDescent="0.35">
      <c r="B35" s="104">
        <f>Sheet1[[#This Row],[symbol]]</f>
        <v>44617.645830000001</v>
      </c>
      <c r="C35" s="182">
        <f>Sheet1[[#This Row],[NSE:DMART]]</f>
        <v>4190.75</v>
      </c>
      <c r="D35" s="43">
        <f t="shared" si="0"/>
        <v>2.8884633325968023E-2</v>
      </c>
      <c r="F35" s="105">
        <f>Sheet1[[#This Row],[NSE:NIFTYBEES
]]</f>
        <v>180.85</v>
      </c>
      <c r="G35" s="43">
        <f t="shared" si="1"/>
        <v>-3.1022288898413963E-2</v>
      </c>
    </row>
    <row r="36" spans="2:7" x14ac:dyDescent="0.35">
      <c r="B36" s="104">
        <f>Sheet1[[#This Row],[symbol]]</f>
        <v>44624.645830000001</v>
      </c>
      <c r="C36" s="182">
        <f>Sheet1[[#This Row],[NSE:DMART]]</f>
        <v>4110.2</v>
      </c>
      <c r="D36" s="43">
        <f t="shared" si="0"/>
        <v>-1.9220903179621884E-2</v>
      </c>
      <c r="F36" s="105">
        <f>Sheet1[[#This Row],[NSE:NIFTYBEES
]]</f>
        <v>176.26</v>
      </c>
      <c r="G36" s="43">
        <f t="shared" si="1"/>
        <v>-2.538014929499588E-2</v>
      </c>
    </row>
    <row r="37" spans="2:7" x14ac:dyDescent="0.35">
      <c r="B37" s="104">
        <f>Sheet1[[#This Row],[symbol]]</f>
        <v>44631.645830000001</v>
      </c>
      <c r="C37" s="182">
        <f>Sheet1[[#This Row],[NSE:DMART]]</f>
        <v>4198.95</v>
      </c>
      <c r="D37" s="43">
        <f t="shared" si="0"/>
        <v>2.1592623230013208E-2</v>
      </c>
      <c r="F37" s="105">
        <f>Sheet1[[#This Row],[NSE:NIFTYBEES
]]</f>
        <v>179.98</v>
      </c>
      <c r="G37" s="43">
        <f t="shared" si="1"/>
        <v>2.1105185521388847E-2</v>
      </c>
    </row>
    <row r="38" spans="2:7" x14ac:dyDescent="0.35">
      <c r="B38" s="104">
        <f>Sheet1[[#This Row],[symbol]]</f>
        <v>44637.645830000001</v>
      </c>
      <c r="C38" s="182">
        <f>Sheet1[[#This Row],[NSE:DMART]]</f>
        <v>4192.75</v>
      </c>
      <c r="D38" s="43">
        <f t="shared" si="0"/>
        <v>-1.4765596160944972E-3</v>
      </c>
      <c r="F38" s="105">
        <f>Sheet1[[#This Row],[NSE:NIFTYBEES
]]</f>
        <v>186.71</v>
      </c>
      <c r="G38" s="43">
        <f t="shared" si="1"/>
        <v>3.7393043671519077E-2</v>
      </c>
    </row>
    <row r="39" spans="2:7" x14ac:dyDescent="0.35">
      <c r="B39" s="104">
        <f>Sheet1[[#This Row],[symbol]]</f>
        <v>44645.645830000001</v>
      </c>
      <c r="C39" s="182">
        <f>Sheet1[[#This Row],[NSE:DMART]]</f>
        <v>4001.3</v>
      </c>
      <c r="D39" s="43">
        <f t="shared" si="0"/>
        <v>-4.566215491026171E-2</v>
      </c>
      <c r="F39" s="105">
        <f>Sheet1[[#This Row],[NSE:NIFTYBEES
]]</f>
        <v>185.82</v>
      </c>
      <c r="G39" s="43">
        <f t="shared" si="1"/>
        <v>-4.7667505757592599E-3</v>
      </c>
    </row>
    <row r="40" spans="2:7" x14ac:dyDescent="0.35">
      <c r="B40" s="104">
        <f>Sheet1[[#This Row],[symbol]]</f>
        <v>44652.645830000001</v>
      </c>
      <c r="C40" s="182">
        <f>Sheet1[[#This Row],[NSE:DMART]]</f>
        <v>4082.2</v>
      </c>
      <c r="D40" s="43">
        <f t="shared" si="0"/>
        <v>2.0218429010571581E-2</v>
      </c>
      <c r="F40" s="105">
        <f>Sheet1[[#This Row],[NSE:NIFTYBEES
]]</f>
        <v>190.47</v>
      </c>
      <c r="G40" s="43">
        <f t="shared" si="1"/>
        <v>2.5024216984178338E-2</v>
      </c>
    </row>
    <row r="41" spans="2:7" x14ac:dyDescent="0.35">
      <c r="B41" s="104">
        <f>Sheet1[[#This Row],[symbol]]</f>
        <v>44659.645830000001</v>
      </c>
      <c r="C41" s="182">
        <f>Sheet1[[#This Row],[NSE:DMART]]</f>
        <v>4146.25</v>
      </c>
      <c r="D41" s="43">
        <f t="shared" si="0"/>
        <v>1.5690069080397828E-2</v>
      </c>
      <c r="F41" s="105">
        <f>Sheet1[[#This Row],[NSE:NIFTYBEES
]]</f>
        <v>192.76</v>
      </c>
      <c r="G41" s="43">
        <f t="shared" si="1"/>
        <v>1.2022890743949244E-2</v>
      </c>
    </row>
    <row r="42" spans="2:7" x14ac:dyDescent="0.35">
      <c r="B42" s="104">
        <f>Sheet1[[#This Row],[symbol]]</f>
        <v>44664.645830000001</v>
      </c>
      <c r="C42" s="182">
        <f>Sheet1[[#This Row],[NSE:DMART]]</f>
        <v>4090.9</v>
      </c>
      <c r="D42" s="43">
        <f t="shared" si="0"/>
        <v>-1.3349412119385007E-2</v>
      </c>
      <c r="F42" s="105">
        <f>Sheet1[[#This Row],[NSE:NIFTYBEES
]]</f>
        <v>189.54</v>
      </c>
      <c r="G42" s="43">
        <f t="shared" si="1"/>
        <v>-1.6704710520854982E-2</v>
      </c>
    </row>
    <row r="43" spans="2:7" x14ac:dyDescent="0.35">
      <c r="B43" s="104">
        <f>Sheet1[[#This Row],[symbol]]</f>
        <v>44673.645830000001</v>
      </c>
      <c r="C43" s="182">
        <f>Sheet1[[#This Row],[NSE:DMART]]</f>
        <v>4028.85</v>
      </c>
      <c r="D43" s="43">
        <f t="shared" si="0"/>
        <v>-1.5167811484025573E-2</v>
      </c>
      <c r="F43" s="105">
        <f>Sheet1[[#This Row],[NSE:NIFTYBEES
]]</f>
        <v>186.09</v>
      </c>
      <c r="G43" s="43">
        <f t="shared" si="1"/>
        <v>-1.8201962646407055E-2</v>
      </c>
    </row>
    <row r="44" spans="2:7" x14ac:dyDescent="0.35">
      <c r="B44" s="104">
        <f>Sheet1[[#This Row],[symbol]]</f>
        <v>44680.645830000001</v>
      </c>
      <c r="C44" s="182">
        <f>Sheet1[[#This Row],[NSE:DMART]]</f>
        <v>3944.25</v>
      </c>
      <c r="D44" s="43">
        <f t="shared" si="0"/>
        <v>-2.0998547972746584E-2</v>
      </c>
      <c r="F44" s="105">
        <f>Sheet1[[#This Row],[NSE:NIFTYBEES
]]</f>
        <v>185.43</v>
      </c>
      <c r="G44" s="43">
        <f t="shared" si="1"/>
        <v>-3.5466709656617468E-3</v>
      </c>
    </row>
    <row r="45" spans="2:7" x14ac:dyDescent="0.35">
      <c r="B45" s="104">
        <f>Sheet1[[#This Row],[symbol]]</f>
        <v>44687.645830000001</v>
      </c>
      <c r="C45" s="182">
        <f>Sheet1[[#This Row],[NSE:DMART]]</f>
        <v>3666.2</v>
      </c>
      <c r="D45" s="43">
        <f t="shared" si="0"/>
        <v>-7.0495024402611461E-2</v>
      </c>
      <c r="F45" s="105">
        <f>Sheet1[[#This Row],[NSE:NIFTYBEES
]]</f>
        <v>177.94</v>
      </c>
      <c r="G45" s="43">
        <f t="shared" si="1"/>
        <v>-4.0392600981502547E-2</v>
      </c>
    </row>
    <row r="46" spans="2:7" x14ac:dyDescent="0.35">
      <c r="B46" s="104">
        <f>Sheet1[[#This Row],[symbol]]</f>
        <v>44694.645830000001</v>
      </c>
      <c r="C46" s="182">
        <f>Sheet1[[#This Row],[NSE:DMART]]</f>
        <v>3230.6</v>
      </c>
      <c r="D46" s="43">
        <f t="shared" si="0"/>
        <v>-0.11881512192460852</v>
      </c>
      <c r="F46" s="105">
        <f>Sheet1[[#This Row],[NSE:NIFTYBEES
]]</f>
        <v>171.4</v>
      </c>
      <c r="G46" s="43">
        <f t="shared" si="1"/>
        <v>-3.6753962009666186E-2</v>
      </c>
    </row>
    <row r="47" spans="2:7" x14ac:dyDescent="0.35">
      <c r="B47" s="104">
        <f>Sheet1[[#This Row],[symbol]]</f>
        <v>44701.645830000001</v>
      </c>
      <c r="C47" s="182">
        <f>Sheet1[[#This Row],[NSE:DMART]]</f>
        <v>3630.4</v>
      </c>
      <c r="D47" s="43">
        <f t="shared" si="0"/>
        <v>0.12375410140531184</v>
      </c>
      <c r="F47" s="105">
        <f>Sheet1[[#This Row],[NSE:NIFTYBEES
]]</f>
        <v>175.92</v>
      </c>
      <c r="G47" s="43">
        <f t="shared" si="1"/>
        <v>2.6371061843640575E-2</v>
      </c>
    </row>
    <row r="48" spans="2:7" x14ac:dyDescent="0.35">
      <c r="B48" s="104">
        <f>Sheet1[[#This Row],[symbol]]</f>
        <v>44708.645830000001</v>
      </c>
      <c r="C48" s="182">
        <f>Sheet1[[#This Row],[NSE:DMART]]</f>
        <v>3613.85</v>
      </c>
      <c r="D48" s="43">
        <f t="shared" si="0"/>
        <v>-4.5587263111502851E-3</v>
      </c>
      <c r="F48" s="105">
        <f>Sheet1[[#This Row],[NSE:NIFTYBEES
]]</f>
        <v>177.1</v>
      </c>
      <c r="G48" s="43">
        <f t="shared" si="1"/>
        <v>6.7075943610732658E-3</v>
      </c>
    </row>
    <row r="49" spans="2:7" x14ac:dyDescent="0.35">
      <c r="B49" s="104">
        <f>Sheet1[[#This Row],[symbol]]</f>
        <v>44715.645830000001</v>
      </c>
      <c r="C49" s="182">
        <f>Sheet1[[#This Row],[NSE:DMART]]</f>
        <v>3820.1</v>
      </c>
      <c r="D49" s="43">
        <f t="shared" si="0"/>
        <v>5.7072097624417228E-2</v>
      </c>
      <c r="F49" s="105">
        <f>Sheet1[[#This Row],[NSE:NIFTYBEES
]]</f>
        <v>180.21</v>
      </c>
      <c r="G49" s="43">
        <f t="shared" si="1"/>
        <v>1.7560700169395815E-2</v>
      </c>
    </row>
    <row r="50" spans="2:7" x14ac:dyDescent="0.35">
      <c r="B50" s="104">
        <f>Sheet1[[#This Row],[symbol]]</f>
        <v>44722.645830000001</v>
      </c>
      <c r="C50" s="182">
        <f>Sheet1[[#This Row],[NSE:DMART]]</f>
        <v>3755.65</v>
      </c>
      <c r="D50" s="43">
        <f t="shared" si="0"/>
        <v>-1.687128609198707E-2</v>
      </c>
      <c r="F50" s="105">
        <f>Sheet1[[#This Row],[NSE:NIFTYBEES
]]</f>
        <v>176.46</v>
      </c>
      <c r="G50" s="43">
        <f t="shared" si="1"/>
        <v>-2.0809056101215195E-2</v>
      </c>
    </row>
    <row r="51" spans="2:7" x14ac:dyDescent="0.35">
      <c r="B51" s="104">
        <f>Sheet1[[#This Row],[symbol]]</f>
        <v>44729.645830000001</v>
      </c>
      <c r="C51" s="182">
        <f>Sheet1[[#This Row],[NSE:DMART]]</f>
        <v>3460.55</v>
      </c>
      <c r="D51" s="43">
        <f t="shared" si="0"/>
        <v>-7.8574947079733226E-2</v>
      </c>
      <c r="F51" s="105">
        <f>Sheet1[[#This Row],[NSE:NIFTYBEES
]]</f>
        <v>166.87</v>
      </c>
      <c r="G51" s="43">
        <f t="shared" si="1"/>
        <v>-5.4346594128981129E-2</v>
      </c>
    </row>
    <row r="52" spans="2:7" x14ac:dyDescent="0.35">
      <c r="B52" s="104">
        <f>Sheet1[[#This Row],[symbol]]</f>
        <v>44736.645830000001</v>
      </c>
      <c r="C52" s="182">
        <f>Sheet1[[#This Row],[NSE:DMART]]</f>
        <v>3412</v>
      </c>
      <c r="D52" s="43">
        <f t="shared" si="0"/>
        <v>-1.4029561774862476E-2</v>
      </c>
      <c r="F52" s="105">
        <f>Sheet1[[#This Row],[NSE:NIFTYBEES
]]</f>
        <v>171.16</v>
      </c>
      <c r="G52" s="43">
        <f t="shared" si="1"/>
        <v>2.5708635464732899E-2</v>
      </c>
    </row>
    <row r="53" spans="2:7" x14ac:dyDescent="0.35">
      <c r="B53" s="104">
        <f>Sheet1[[#This Row],[symbol]]</f>
        <v>44743.645830000001</v>
      </c>
      <c r="C53" s="182">
        <f>Sheet1[[#This Row],[NSE:DMART]]</f>
        <v>3388.75</v>
      </c>
      <c r="D53" s="43">
        <f t="shared" si="0"/>
        <v>-6.8141852286048854E-3</v>
      </c>
      <c r="F53" s="105">
        <f>Sheet1[[#This Row],[NSE:NIFTYBEES
]]</f>
        <v>171.64</v>
      </c>
      <c r="G53" s="43">
        <f t="shared" si="1"/>
        <v>2.8043935498947015E-3</v>
      </c>
    </row>
    <row r="54" spans="2:7" x14ac:dyDescent="0.35">
      <c r="B54" s="104">
        <f>Sheet1[[#This Row],[symbol]]</f>
        <v>44750.645830000001</v>
      </c>
      <c r="C54" s="182">
        <f>Sheet1[[#This Row],[NSE:DMART]]</f>
        <v>3941.7</v>
      </c>
      <c r="D54" s="43">
        <f t="shared" si="0"/>
        <v>0.16317226115824424</v>
      </c>
      <c r="F54" s="105">
        <f>Sheet1[[#This Row],[NSE:NIFTYBEES
]]</f>
        <v>176.28</v>
      </c>
      <c r="G54" s="43">
        <f t="shared" si="1"/>
        <v>2.703332556513649E-2</v>
      </c>
    </row>
    <row r="55" spans="2:7" x14ac:dyDescent="0.35">
      <c r="B55" s="104">
        <f>Sheet1[[#This Row],[symbol]]</f>
        <v>44757.645830000001</v>
      </c>
      <c r="C55" s="182">
        <f>Sheet1[[#This Row],[NSE:DMART]]</f>
        <v>3926.8</v>
      </c>
      <c r="D55" s="43">
        <f t="shared" si="0"/>
        <v>-3.7800948829184167E-3</v>
      </c>
      <c r="F55" s="105">
        <f>Sheet1[[#This Row],[NSE:NIFTYBEES
]]</f>
        <v>175.02</v>
      </c>
      <c r="G55" s="43">
        <f t="shared" si="1"/>
        <v>-7.1477195371000279E-3</v>
      </c>
    </row>
    <row r="56" spans="2:7" x14ac:dyDescent="0.35">
      <c r="B56" s="104">
        <f>Sheet1[[#This Row],[symbol]]</f>
        <v>44764.645830000001</v>
      </c>
      <c r="C56" s="182">
        <f>Sheet1[[#This Row],[NSE:DMART]]</f>
        <v>3963.4</v>
      </c>
      <c r="D56" s="43">
        <f t="shared" si="0"/>
        <v>9.3205663644697623E-3</v>
      </c>
      <c r="F56" s="105">
        <f>Sheet1[[#This Row],[NSE:NIFTYBEES
]]</f>
        <v>181.89</v>
      </c>
      <c r="G56" s="43">
        <f t="shared" si="1"/>
        <v>3.9252656839218192E-2</v>
      </c>
    </row>
    <row r="57" spans="2:7" x14ac:dyDescent="0.35">
      <c r="B57" s="104">
        <f>Sheet1[[#This Row],[symbol]]</f>
        <v>44771.645830000001</v>
      </c>
      <c r="C57" s="182">
        <f>Sheet1[[#This Row],[NSE:DMART]]</f>
        <v>4243.8500000000004</v>
      </c>
      <c r="D57" s="43">
        <f t="shared" si="0"/>
        <v>7.0759953575213252E-2</v>
      </c>
      <c r="F57" s="105">
        <f>Sheet1[[#This Row],[NSE:NIFTYBEES
]]</f>
        <v>186.54</v>
      </c>
      <c r="G57" s="43">
        <f t="shared" si="1"/>
        <v>2.5564901863763811E-2</v>
      </c>
    </row>
    <row r="58" spans="2:7" x14ac:dyDescent="0.35">
      <c r="B58" s="104">
        <f>Sheet1[[#This Row],[symbol]]</f>
        <v>44778.645830000001</v>
      </c>
      <c r="C58" s="182">
        <f>Sheet1[[#This Row],[NSE:DMART]]</f>
        <v>4232.25</v>
      </c>
      <c r="D58" s="43">
        <f t="shared" si="0"/>
        <v>-2.7333671076971156E-3</v>
      </c>
      <c r="F58" s="105">
        <f>Sheet1[[#This Row],[NSE:NIFTYBEES
]]</f>
        <v>189.25</v>
      </c>
      <c r="G58" s="43">
        <f t="shared" si="1"/>
        <v>1.4527715235338245E-2</v>
      </c>
    </row>
    <row r="59" spans="2:7" x14ac:dyDescent="0.35">
      <c r="B59" s="104">
        <f>Sheet1[[#This Row],[symbol]]</f>
        <v>44785.645830000001</v>
      </c>
      <c r="C59" s="182">
        <f>Sheet1[[#This Row],[NSE:DMART]]</f>
        <v>4336.7</v>
      </c>
      <c r="D59" s="43">
        <f t="shared" si="0"/>
        <v>2.4679543977789598E-2</v>
      </c>
      <c r="F59" s="105">
        <f>Sheet1[[#This Row],[NSE:NIFTYBEES
]]</f>
        <v>192.86</v>
      </c>
      <c r="G59" s="43">
        <f t="shared" si="1"/>
        <v>1.9075297225891852E-2</v>
      </c>
    </row>
    <row r="60" spans="2:7" x14ac:dyDescent="0.35">
      <c r="B60" s="104">
        <f>Sheet1[[#This Row],[symbol]]</f>
        <v>44792.645830000001</v>
      </c>
      <c r="C60" s="182">
        <f>Sheet1[[#This Row],[NSE:DMART]]</f>
        <v>4382</v>
      </c>
      <c r="D60" s="43">
        <f t="shared" si="0"/>
        <v>1.0445730624668581E-2</v>
      </c>
      <c r="F60" s="105">
        <f>Sheet1[[#This Row],[NSE:NIFTYBEES
]]</f>
        <v>193.61</v>
      </c>
      <c r="G60" s="43">
        <f t="shared" si="1"/>
        <v>3.8888312765736899E-3</v>
      </c>
    </row>
    <row r="61" spans="2:7" x14ac:dyDescent="0.35">
      <c r="B61" s="104">
        <f>Sheet1[[#This Row],[symbol]]</f>
        <v>44799.645830000001</v>
      </c>
      <c r="C61" s="182">
        <f>Sheet1[[#This Row],[NSE:DMART]]</f>
        <v>4409.6499999999996</v>
      </c>
      <c r="D61" s="43">
        <f t="shared" si="0"/>
        <v>6.3099041533545286E-3</v>
      </c>
      <c r="F61" s="105">
        <f>Sheet1[[#This Row],[NSE:NIFTYBEES
]]</f>
        <v>191.92</v>
      </c>
      <c r="G61" s="43">
        <f t="shared" si="1"/>
        <v>-8.7288879706628464E-3</v>
      </c>
    </row>
    <row r="62" spans="2:7" x14ac:dyDescent="0.35">
      <c r="B62" s="104">
        <f>Sheet1[[#This Row],[symbol]]</f>
        <v>44806.645830000001</v>
      </c>
      <c r="C62" s="182">
        <f>Sheet1[[#This Row],[NSE:DMART]]</f>
        <v>4576.8</v>
      </c>
      <c r="D62" s="43">
        <f t="shared" si="0"/>
        <v>3.790550270429649E-2</v>
      </c>
      <c r="F62" s="105">
        <f>Sheet1[[#This Row],[NSE:NIFTYBEES
]]</f>
        <v>191.61</v>
      </c>
      <c r="G62" s="43">
        <f t="shared" si="1"/>
        <v>-1.6152563568152534E-3</v>
      </c>
    </row>
    <row r="63" spans="2:7" x14ac:dyDescent="0.35">
      <c r="B63" s="104">
        <f>Sheet1[[#This Row],[symbol]]</f>
        <v>44813.645830000001</v>
      </c>
      <c r="C63" s="182">
        <f>Sheet1[[#This Row],[NSE:DMART]]</f>
        <v>4386.1000000000004</v>
      </c>
      <c r="D63" s="43">
        <f t="shared" si="0"/>
        <v>-4.166666666666663E-2</v>
      </c>
      <c r="F63" s="105">
        <f>Sheet1[[#This Row],[NSE:NIFTYBEES
]]</f>
        <v>194.6</v>
      </c>
      <c r="G63" s="43">
        <f t="shared" si="1"/>
        <v>1.5604613537915535E-2</v>
      </c>
    </row>
    <row r="64" spans="2:7" x14ac:dyDescent="0.35">
      <c r="B64" s="104">
        <f>Sheet1[[#This Row],[symbol]]</f>
        <v>44820.645830000001</v>
      </c>
      <c r="C64" s="182">
        <f>Sheet1[[#This Row],[NSE:DMART]]</f>
        <v>4327.55</v>
      </c>
      <c r="D64" s="43">
        <f t="shared" si="0"/>
        <v>-1.334898885114344E-2</v>
      </c>
      <c r="F64" s="105">
        <f>Sheet1[[#This Row],[NSE:NIFTYBEES
]]</f>
        <v>191.9</v>
      </c>
      <c r="G64" s="43">
        <f t="shared" si="1"/>
        <v>-1.3874614594039048E-2</v>
      </c>
    </row>
    <row r="65" spans="2:7" x14ac:dyDescent="0.35">
      <c r="B65" s="104">
        <f>Sheet1[[#This Row],[symbol]]</f>
        <v>44827.645830000001</v>
      </c>
      <c r="C65" s="182">
        <f>Sheet1[[#This Row],[NSE:DMART]]</f>
        <v>4367</v>
      </c>
      <c r="D65" s="43">
        <f t="shared" si="0"/>
        <v>9.1160125244076351E-3</v>
      </c>
      <c r="F65" s="105">
        <f>Sheet1[[#This Row],[NSE:NIFTYBEES
]]</f>
        <v>189.64</v>
      </c>
      <c r="G65" s="43">
        <f t="shared" si="1"/>
        <v>-1.1776967170401331E-2</v>
      </c>
    </row>
    <row r="66" spans="2:7" x14ac:dyDescent="0.35">
      <c r="B66" s="104">
        <f>Sheet1[[#This Row],[symbol]]</f>
        <v>44834.645830000001</v>
      </c>
      <c r="C66" s="182">
        <f>Sheet1[[#This Row],[NSE:DMART]]</f>
        <v>4386.55</v>
      </c>
      <c r="D66" s="43">
        <f t="shared" si="0"/>
        <v>4.4767574994275527E-3</v>
      </c>
      <c r="F66" s="105">
        <f>Sheet1[[#This Row],[NSE:NIFTYBEES
]]</f>
        <v>186.83</v>
      </c>
      <c r="G66" s="43">
        <f t="shared" si="1"/>
        <v>-1.4817549040286759E-2</v>
      </c>
    </row>
    <row r="67" spans="2:7" x14ac:dyDescent="0.35">
      <c r="B67" s="104">
        <f>Sheet1[[#This Row],[symbol]]</f>
        <v>44841.645830000001</v>
      </c>
      <c r="C67" s="182">
        <f>Sheet1[[#This Row],[NSE:DMART]]</f>
        <v>4471.45</v>
      </c>
      <c r="D67" s="43">
        <f t="shared" si="0"/>
        <v>1.9354618093946119E-2</v>
      </c>
      <c r="F67" s="105">
        <f>Sheet1[[#This Row],[NSE:NIFTYBEES
]]</f>
        <v>189.19</v>
      </c>
      <c r="G67" s="43">
        <f t="shared" si="1"/>
        <v>1.2631804314082284E-2</v>
      </c>
    </row>
    <row r="68" spans="2:7" x14ac:dyDescent="0.35">
      <c r="B68" s="104">
        <f>Sheet1[[#This Row],[symbol]]</f>
        <v>44848.645830000001</v>
      </c>
      <c r="C68" s="182">
        <f>Sheet1[[#This Row],[NSE:DMART]]</f>
        <v>4306.1499999999996</v>
      </c>
      <c r="D68" s="43">
        <f t="shared" si="0"/>
        <v>-3.6967873955875641E-2</v>
      </c>
      <c r="F68" s="105">
        <f>Sheet1[[#This Row],[NSE:NIFTYBEES
]]</f>
        <v>188.02</v>
      </c>
      <c r="G68" s="43">
        <f t="shared" si="1"/>
        <v>-6.1842592103176219E-3</v>
      </c>
    </row>
    <row r="69" spans="2:7" x14ac:dyDescent="0.35">
      <c r="B69" s="104">
        <f>Sheet1[[#This Row],[symbol]]</f>
        <v>44855.645830000001</v>
      </c>
      <c r="C69" s="182">
        <f>Sheet1[[#This Row],[NSE:DMART]]</f>
        <v>4215.55</v>
      </c>
      <c r="D69" s="43">
        <f t="shared" ref="D69:D132" si="2">C69/C68-1</f>
        <v>-2.1039675812500547E-2</v>
      </c>
      <c r="F69" s="105">
        <f>Sheet1[[#This Row],[NSE:NIFTYBEES
]]</f>
        <v>191.52</v>
      </c>
      <c r="G69" s="43">
        <f t="shared" si="1"/>
        <v>1.8615040953090078E-2</v>
      </c>
    </row>
    <row r="70" spans="2:7" x14ac:dyDescent="0.35">
      <c r="B70" s="104">
        <f>Sheet1[[#This Row],[symbol]]</f>
        <v>44862.645830000001</v>
      </c>
      <c r="C70" s="182">
        <f>Sheet1[[#This Row],[NSE:DMART]]</f>
        <v>4307.3500000000004</v>
      </c>
      <c r="D70" s="43">
        <f t="shared" si="2"/>
        <v>2.1776517892090119E-2</v>
      </c>
      <c r="F70" s="105">
        <f>Sheet1[[#This Row],[NSE:NIFTYBEES
]]</f>
        <v>193.96</v>
      </c>
      <c r="G70" s="43">
        <f t="shared" si="1"/>
        <v>1.2740183792815385E-2</v>
      </c>
    </row>
    <row r="71" spans="2:7" x14ac:dyDescent="0.35">
      <c r="B71" s="104">
        <f>Sheet1[[#This Row],[symbol]]</f>
        <v>44869.645830000001</v>
      </c>
      <c r="C71" s="182">
        <f>Sheet1[[#This Row],[NSE:DMART]]</f>
        <v>4167.3500000000004</v>
      </c>
      <c r="D71" s="43">
        <f t="shared" si="2"/>
        <v>-3.250258279452567E-2</v>
      </c>
      <c r="F71" s="105">
        <f>Sheet1[[#This Row],[NSE:NIFTYBEES
]]</f>
        <v>197.77</v>
      </c>
      <c r="G71" s="43">
        <f t="shared" si="1"/>
        <v>1.9643225407300458E-2</v>
      </c>
    </row>
    <row r="72" spans="2:7" x14ac:dyDescent="0.35">
      <c r="B72" s="104">
        <f>Sheet1[[#This Row],[symbol]]</f>
        <v>44876.645830000001</v>
      </c>
      <c r="C72" s="182">
        <f>Sheet1[[#This Row],[NSE:DMART]]</f>
        <v>4128.3500000000004</v>
      </c>
      <c r="D72" s="43">
        <f t="shared" si="2"/>
        <v>-9.3584652117052469E-3</v>
      </c>
      <c r="F72" s="105">
        <f>Sheet1[[#This Row],[NSE:NIFTYBEES
]]</f>
        <v>200.22</v>
      </c>
      <c r="G72" s="43">
        <f t="shared" si="1"/>
        <v>1.2388127622996459E-2</v>
      </c>
    </row>
    <row r="73" spans="2:7" x14ac:dyDescent="0.35">
      <c r="B73" s="104">
        <f>Sheet1[[#This Row],[symbol]]</f>
        <v>44883.645830000001</v>
      </c>
      <c r="C73" s="182">
        <f>Sheet1[[#This Row],[NSE:DMART]]</f>
        <v>3910.6</v>
      </c>
      <c r="D73" s="43">
        <f t="shared" si="2"/>
        <v>-5.2745043419283877E-2</v>
      </c>
      <c r="F73" s="105">
        <f>Sheet1[[#This Row],[NSE:NIFTYBEES
]]</f>
        <v>199.92</v>
      </c>
      <c r="G73" s="43">
        <f t="shared" si="1"/>
        <v>-1.4983518130057272E-3</v>
      </c>
    </row>
    <row r="74" spans="2:7" x14ac:dyDescent="0.35">
      <c r="B74" s="104">
        <f>Sheet1[[#This Row],[symbol]]</f>
        <v>44890.645830000001</v>
      </c>
      <c r="C74" s="182">
        <f>Sheet1[[#This Row],[NSE:DMART]]</f>
        <v>3904.45</v>
      </c>
      <c r="D74" s="43">
        <f t="shared" si="2"/>
        <v>-1.5726486984094512E-3</v>
      </c>
      <c r="F74" s="105">
        <f>Sheet1[[#This Row],[NSE:NIFTYBEES
]]</f>
        <v>202.35</v>
      </c>
      <c r="G74" s="43">
        <f t="shared" si="1"/>
        <v>1.2154861944777995E-2</v>
      </c>
    </row>
    <row r="75" spans="2:7" x14ac:dyDescent="0.35">
      <c r="B75" s="104">
        <f>Sheet1[[#This Row],[symbol]]</f>
        <v>44897.645830000001</v>
      </c>
      <c r="C75" s="182">
        <f>Sheet1[[#This Row],[NSE:DMART]]</f>
        <v>4005.75</v>
      </c>
      <c r="D75" s="43">
        <f t="shared" si="2"/>
        <v>2.5944755343262127E-2</v>
      </c>
      <c r="F75" s="105">
        <f>Sheet1[[#This Row],[NSE:NIFTYBEES
]]</f>
        <v>204.81</v>
      </c>
      <c r="G75" s="43">
        <f t="shared" si="1"/>
        <v>1.2157153446997748E-2</v>
      </c>
    </row>
    <row r="76" spans="2:7" x14ac:dyDescent="0.35">
      <c r="B76" s="104">
        <f>Sheet1[[#This Row],[symbol]]</f>
        <v>44904.645830000001</v>
      </c>
      <c r="C76" s="182">
        <f>Sheet1[[#This Row],[NSE:DMART]]</f>
        <v>4002.4</v>
      </c>
      <c r="D76" s="43">
        <f t="shared" si="2"/>
        <v>-8.3629782188099355E-4</v>
      </c>
      <c r="F76" s="105">
        <f>Sheet1[[#This Row],[NSE:NIFTYBEES
]]</f>
        <v>202.48</v>
      </c>
      <c r="G76" s="43">
        <f t="shared" ref="G76:G139" si="3">F76/F75-1</f>
        <v>-1.1376397636834179E-2</v>
      </c>
    </row>
    <row r="77" spans="2:7" x14ac:dyDescent="0.35">
      <c r="B77" s="104">
        <f>Sheet1[[#This Row],[symbol]]</f>
        <v>44911.645830000001</v>
      </c>
      <c r="C77" s="182">
        <f>Sheet1[[#This Row],[NSE:DMART]]</f>
        <v>3990</v>
      </c>
      <c r="D77" s="43">
        <f t="shared" si="2"/>
        <v>-3.0981411153307992E-3</v>
      </c>
      <c r="F77" s="105">
        <f>Sheet1[[#This Row],[NSE:NIFTYBEES
]]</f>
        <v>200.16</v>
      </c>
      <c r="G77" s="43">
        <f t="shared" si="3"/>
        <v>-1.1457921770051338E-2</v>
      </c>
    </row>
    <row r="78" spans="2:7" x14ac:dyDescent="0.35">
      <c r="B78" s="104">
        <f>Sheet1[[#This Row],[symbol]]</f>
        <v>44918.645830000001</v>
      </c>
      <c r="C78" s="182">
        <f>Sheet1[[#This Row],[NSE:DMART]]</f>
        <v>3875.6</v>
      </c>
      <c r="D78" s="43">
        <f t="shared" si="2"/>
        <v>-2.8671679197994959E-2</v>
      </c>
      <c r="F78" s="105">
        <f>Sheet1[[#This Row],[NSE:NIFTYBEES
]]</f>
        <v>195.15</v>
      </c>
      <c r="G78" s="43">
        <f t="shared" si="3"/>
        <v>-2.5029976019184552E-2</v>
      </c>
    </row>
    <row r="79" spans="2:7" x14ac:dyDescent="0.35">
      <c r="B79" s="104">
        <f>Sheet1[[#This Row],[symbol]]</f>
        <v>44925.645830000001</v>
      </c>
      <c r="C79" s="182">
        <f>Sheet1[[#This Row],[NSE:DMART]]</f>
        <v>4068.75</v>
      </c>
      <c r="D79" s="43">
        <f t="shared" si="2"/>
        <v>4.9837444524718721E-2</v>
      </c>
      <c r="F79" s="105">
        <f>Sheet1[[#This Row],[NSE:NIFTYBEES
]]</f>
        <v>198.04</v>
      </c>
      <c r="G79" s="43">
        <f t="shared" si="3"/>
        <v>1.4809121188829044E-2</v>
      </c>
    </row>
    <row r="80" spans="2:7" x14ac:dyDescent="0.35">
      <c r="B80" s="104">
        <f>Sheet1[[#This Row],[symbol]]</f>
        <v>44932.645830000001</v>
      </c>
      <c r="C80" s="182">
        <f>Sheet1[[#This Row],[NSE:DMART]]</f>
        <v>3842.5</v>
      </c>
      <c r="D80" s="43">
        <f t="shared" si="2"/>
        <v>-5.5606758832565273E-2</v>
      </c>
      <c r="F80" s="105">
        <f>Sheet1[[#This Row],[NSE:NIFTYBEES
]]</f>
        <v>195.72</v>
      </c>
      <c r="G80" s="43">
        <f t="shared" si="3"/>
        <v>-1.1714805089880764E-2</v>
      </c>
    </row>
    <row r="81" spans="2:7" x14ac:dyDescent="0.35">
      <c r="B81" s="104">
        <f>Sheet1[[#This Row],[symbol]]</f>
        <v>44939.645830000001</v>
      </c>
      <c r="C81" s="182">
        <f>Sheet1[[#This Row],[NSE:DMART]]</f>
        <v>3863.7</v>
      </c>
      <c r="D81" s="43">
        <f t="shared" si="2"/>
        <v>5.5172413793103114E-3</v>
      </c>
      <c r="F81" s="105">
        <f>Sheet1[[#This Row],[NSE:NIFTYBEES
]]</f>
        <v>196.61</v>
      </c>
      <c r="G81" s="43">
        <f t="shared" si="3"/>
        <v>4.547312487226618E-3</v>
      </c>
    </row>
    <row r="82" spans="2:7" x14ac:dyDescent="0.35">
      <c r="B82" s="104">
        <f>Sheet1[[#This Row],[symbol]]</f>
        <v>44946.645830000001</v>
      </c>
      <c r="C82" s="182">
        <f>Sheet1[[#This Row],[NSE:DMART]]</f>
        <v>3513.75</v>
      </c>
      <c r="D82" s="43">
        <f t="shared" si="2"/>
        <v>-9.0573802313844154E-2</v>
      </c>
      <c r="F82" s="105">
        <f>Sheet1[[#This Row],[NSE:NIFTYBEES
]]</f>
        <v>197.45</v>
      </c>
      <c r="G82" s="43">
        <f t="shared" si="3"/>
        <v>4.2724174762218681E-3</v>
      </c>
    </row>
    <row r="83" spans="2:7" x14ac:dyDescent="0.35">
      <c r="B83" s="104">
        <f>Sheet1[[#This Row],[symbol]]</f>
        <v>44953.645830000001</v>
      </c>
      <c r="C83" s="182">
        <f>Sheet1[[#This Row],[NSE:DMART]]</f>
        <v>3562.35</v>
      </c>
      <c r="D83" s="43">
        <f t="shared" si="2"/>
        <v>1.3831376734258161E-2</v>
      </c>
      <c r="F83" s="105">
        <f>Sheet1[[#This Row],[NSE:NIFTYBEES
]]</f>
        <v>193</v>
      </c>
      <c r="G83" s="43">
        <f t="shared" si="3"/>
        <v>-2.2537351228158919E-2</v>
      </c>
    </row>
    <row r="84" spans="2:7" x14ac:dyDescent="0.35">
      <c r="B84" s="104">
        <f>Sheet1[[#This Row],[symbol]]</f>
        <v>44960.645830000001</v>
      </c>
      <c r="C84" s="182">
        <f>Sheet1[[#This Row],[NSE:DMART]]</f>
        <v>3470.35</v>
      </c>
      <c r="D84" s="43">
        <f t="shared" si="2"/>
        <v>-2.5825648799247647E-2</v>
      </c>
      <c r="F84" s="105">
        <f>Sheet1[[#This Row],[NSE:NIFTYBEES
]]</f>
        <v>195.12</v>
      </c>
      <c r="G84" s="43">
        <f t="shared" si="3"/>
        <v>1.0984455958549244E-2</v>
      </c>
    </row>
    <row r="85" spans="2:7" x14ac:dyDescent="0.35">
      <c r="B85" s="104">
        <f>Sheet1[[#This Row],[symbol]]</f>
        <v>44967.645830000001</v>
      </c>
      <c r="C85" s="182">
        <f>Sheet1[[#This Row],[NSE:DMART]]</f>
        <v>3498.85</v>
      </c>
      <c r="D85" s="43">
        <f t="shared" si="2"/>
        <v>8.2124281412536693E-3</v>
      </c>
      <c r="F85" s="105">
        <f>Sheet1[[#This Row],[NSE:NIFTYBEES
]]</f>
        <v>195.49</v>
      </c>
      <c r="G85" s="43">
        <f t="shared" si="3"/>
        <v>1.8962689626895735E-3</v>
      </c>
    </row>
    <row r="86" spans="2:7" x14ac:dyDescent="0.35">
      <c r="B86" s="104">
        <f>Sheet1[[#This Row],[symbol]]</f>
        <v>44974.645830000001</v>
      </c>
      <c r="C86" s="182">
        <f>Sheet1[[#This Row],[NSE:DMART]]</f>
        <v>3545</v>
      </c>
      <c r="D86" s="43">
        <f t="shared" si="2"/>
        <v>1.3190048158680634E-2</v>
      </c>
      <c r="F86" s="105">
        <f>Sheet1[[#This Row],[NSE:NIFTYBEES
]]</f>
        <v>196.3</v>
      </c>
      <c r="G86" s="43">
        <f t="shared" si="3"/>
        <v>4.1434344467747852E-3</v>
      </c>
    </row>
    <row r="87" spans="2:7" x14ac:dyDescent="0.35">
      <c r="B87" s="104">
        <f>Sheet1[[#This Row],[symbol]]</f>
        <v>44981.645830000001</v>
      </c>
      <c r="C87" s="182">
        <f>Sheet1[[#This Row],[NSE:DMART]]</f>
        <v>3499.2</v>
      </c>
      <c r="D87" s="43">
        <f t="shared" si="2"/>
        <v>-1.2919605077574059E-2</v>
      </c>
      <c r="F87" s="105">
        <f>Sheet1[[#This Row],[NSE:NIFTYBEES
]]</f>
        <v>191.46</v>
      </c>
      <c r="G87" s="43">
        <f t="shared" si="3"/>
        <v>-2.4656138563423302E-2</v>
      </c>
    </row>
    <row r="88" spans="2:7" x14ac:dyDescent="0.35">
      <c r="B88" s="104">
        <f>Sheet1[[#This Row],[symbol]]</f>
        <v>44988.645830000001</v>
      </c>
      <c r="C88" s="182">
        <f>Sheet1[[#This Row],[NSE:DMART]]</f>
        <v>3463.25</v>
      </c>
      <c r="D88" s="43">
        <f t="shared" si="2"/>
        <v>-1.0273776863283013E-2</v>
      </c>
      <c r="F88" s="105">
        <f>Sheet1[[#This Row],[NSE:NIFTYBEES
]]</f>
        <v>192.51</v>
      </c>
      <c r="G88" s="43">
        <f t="shared" si="3"/>
        <v>5.4841742400499882E-3</v>
      </c>
    </row>
    <row r="89" spans="2:7" x14ac:dyDescent="0.35">
      <c r="B89" s="104">
        <f>Sheet1[[#This Row],[symbol]]</f>
        <v>44995.645830000001</v>
      </c>
      <c r="C89" s="182">
        <f>Sheet1[[#This Row],[NSE:DMART]]</f>
        <v>3391.85</v>
      </c>
      <c r="D89" s="43">
        <f t="shared" si="2"/>
        <v>-2.061647296614455E-2</v>
      </c>
      <c r="F89" s="105">
        <f>Sheet1[[#This Row],[NSE:NIFTYBEES
]]</f>
        <v>190.75</v>
      </c>
      <c r="G89" s="43">
        <f t="shared" si="3"/>
        <v>-9.142382213910949E-3</v>
      </c>
    </row>
    <row r="90" spans="2:7" x14ac:dyDescent="0.35">
      <c r="B90" s="104">
        <f>Sheet1[[#This Row],[symbol]]</f>
        <v>45002.645830000001</v>
      </c>
      <c r="C90" s="182">
        <f>Sheet1[[#This Row],[NSE:DMART]]</f>
        <v>3311.3</v>
      </c>
      <c r="D90" s="43">
        <f t="shared" si="2"/>
        <v>-2.3748102068192778E-2</v>
      </c>
      <c r="F90" s="105">
        <f>Sheet1[[#This Row],[NSE:NIFTYBEES
]]</f>
        <v>187.42</v>
      </c>
      <c r="G90" s="43">
        <f t="shared" si="3"/>
        <v>-1.7457404980340874E-2</v>
      </c>
    </row>
    <row r="91" spans="2:7" x14ac:dyDescent="0.35">
      <c r="B91" s="104">
        <f>Sheet1[[#This Row],[symbol]]</f>
        <v>45009.645830000001</v>
      </c>
      <c r="C91" s="182">
        <f>Sheet1[[#This Row],[NSE:DMART]]</f>
        <v>3358.4</v>
      </c>
      <c r="D91" s="43">
        <f t="shared" si="2"/>
        <v>1.4224020777338087E-2</v>
      </c>
      <c r="F91" s="105">
        <f>Sheet1[[#This Row],[NSE:NIFTYBEES
]]</f>
        <v>185.68</v>
      </c>
      <c r="G91" s="43">
        <f t="shared" si="3"/>
        <v>-9.2839611567601121E-3</v>
      </c>
    </row>
    <row r="92" spans="2:7" x14ac:dyDescent="0.35">
      <c r="B92" s="104">
        <f>Sheet1[[#This Row],[symbol]]</f>
        <v>45016.645830000001</v>
      </c>
      <c r="C92" s="182">
        <f>Sheet1[[#This Row],[NSE:DMART]]</f>
        <v>3401.05</v>
      </c>
      <c r="D92" s="43">
        <f t="shared" si="2"/>
        <v>1.26994997617913E-2</v>
      </c>
      <c r="F92" s="105">
        <f>Sheet1[[#This Row],[NSE:NIFTYBEES
]]</f>
        <v>189.86</v>
      </c>
      <c r="G92" s="43">
        <f t="shared" si="3"/>
        <v>2.2511848341232321E-2</v>
      </c>
    </row>
    <row r="93" spans="2:7" x14ac:dyDescent="0.35">
      <c r="B93" s="104">
        <f>Sheet1[[#This Row],[symbol]]</f>
        <v>45022.645830000001</v>
      </c>
      <c r="C93" s="182">
        <f>Sheet1[[#This Row],[NSE:DMART]]</f>
        <v>3496.1</v>
      </c>
      <c r="D93" s="43">
        <f t="shared" si="2"/>
        <v>2.7947251584069521E-2</v>
      </c>
      <c r="F93" s="105">
        <f>Sheet1[[#This Row],[NSE:NIFTYBEES
]]</f>
        <v>192.94</v>
      </c>
      <c r="G93" s="43">
        <f t="shared" si="3"/>
        <v>1.6222479721900163E-2</v>
      </c>
    </row>
    <row r="94" spans="2:7" x14ac:dyDescent="0.35">
      <c r="B94" s="104">
        <f>Sheet1[[#This Row],[symbol]]</f>
        <v>45029.645830000001</v>
      </c>
      <c r="C94" s="182">
        <f>Sheet1[[#This Row],[NSE:DMART]]</f>
        <v>3501.05</v>
      </c>
      <c r="D94" s="43">
        <f t="shared" si="2"/>
        <v>1.4158633906353746E-3</v>
      </c>
      <c r="F94" s="105">
        <f>Sheet1[[#This Row],[NSE:NIFTYBEES
]]</f>
        <v>194.77</v>
      </c>
      <c r="G94" s="43">
        <f t="shared" si="3"/>
        <v>9.4848139317922353E-3</v>
      </c>
    </row>
    <row r="95" spans="2:7" x14ac:dyDescent="0.35">
      <c r="B95" s="104">
        <f>Sheet1[[#This Row],[symbol]]</f>
        <v>45037.645830000001</v>
      </c>
      <c r="C95" s="182">
        <f>Sheet1[[#This Row],[NSE:DMART]]</f>
        <v>3455.9</v>
      </c>
      <c r="D95" s="43">
        <f t="shared" si="2"/>
        <v>-1.2896131160651803E-2</v>
      </c>
      <c r="F95" s="105">
        <f>Sheet1[[#This Row],[NSE:NIFTYBEES
]]</f>
        <v>192.85</v>
      </c>
      <c r="G95" s="43">
        <f t="shared" si="3"/>
        <v>-9.8577809724290644E-3</v>
      </c>
    </row>
    <row r="96" spans="2:7" x14ac:dyDescent="0.35">
      <c r="B96" s="104">
        <f>Sheet1[[#This Row],[symbol]]</f>
        <v>45044.645830000001</v>
      </c>
      <c r="C96" s="182">
        <f>Sheet1[[#This Row],[NSE:DMART]]</f>
        <v>3511.95</v>
      </c>
      <c r="D96" s="43">
        <f t="shared" si="2"/>
        <v>1.6218640585665023E-2</v>
      </c>
      <c r="F96" s="105">
        <f>Sheet1[[#This Row],[NSE:NIFTYBEES
]]</f>
        <v>197.29</v>
      </c>
      <c r="G96" s="43">
        <f t="shared" si="3"/>
        <v>2.3023074928701037E-2</v>
      </c>
    </row>
    <row r="97" spans="2:7" x14ac:dyDescent="0.35">
      <c r="B97" s="104">
        <f>Sheet1[[#This Row],[symbol]]</f>
        <v>45051.645830000001</v>
      </c>
      <c r="C97" s="182">
        <f>Sheet1[[#This Row],[NSE:DMART]]</f>
        <v>3598.2</v>
      </c>
      <c r="D97" s="43">
        <f t="shared" si="2"/>
        <v>2.4559005680604873E-2</v>
      </c>
      <c r="F97" s="105">
        <f>Sheet1[[#This Row],[NSE:NIFTYBEES
]]</f>
        <v>197.84</v>
      </c>
      <c r="G97" s="43">
        <f t="shared" si="3"/>
        <v>2.7877743423387891E-3</v>
      </c>
    </row>
    <row r="98" spans="2:7" x14ac:dyDescent="0.35">
      <c r="B98" s="104">
        <f>Sheet1[[#This Row],[symbol]]</f>
        <v>45058.645830000001</v>
      </c>
      <c r="C98" s="182">
        <f>Sheet1[[#This Row],[NSE:DMART]]</f>
        <v>3677.55</v>
      </c>
      <c r="D98" s="43">
        <f t="shared" si="2"/>
        <v>2.2052693013173252E-2</v>
      </c>
      <c r="F98" s="105">
        <f>Sheet1[[#This Row],[NSE:NIFTYBEES
]]</f>
        <v>200.26</v>
      </c>
      <c r="G98" s="43">
        <f t="shared" si="3"/>
        <v>1.2232106752931626E-2</v>
      </c>
    </row>
    <row r="99" spans="2:7" x14ac:dyDescent="0.35">
      <c r="B99" s="104">
        <f>Sheet1[[#This Row],[symbol]]</f>
        <v>45065.645830000001</v>
      </c>
      <c r="C99" s="182">
        <f>Sheet1[[#This Row],[NSE:DMART]]</f>
        <v>3395.25</v>
      </c>
      <c r="D99" s="43">
        <f t="shared" si="2"/>
        <v>-7.6763062364889723E-2</v>
      </c>
      <c r="F99" s="105">
        <f>Sheet1[[#This Row],[NSE:NIFTYBEES
]]</f>
        <v>199.82</v>
      </c>
      <c r="G99" s="43">
        <f t="shared" si="3"/>
        <v>-2.1971437131728111E-3</v>
      </c>
    </row>
    <row r="100" spans="2:7" x14ac:dyDescent="0.35">
      <c r="B100" s="104">
        <f>Sheet1[[#This Row],[symbol]]</f>
        <v>45072.645830000001</v>
      </c>
      <c r="C100" s="182">
        <f>Sheet1[[#This Row],[NSE:DMART]]</f>
        <v>3501.75</v>
      </c>
      <c r="D100" s="43">
        <f t="shared" si="2"/>
        <v>3.1367351446874414E-2</v>
      </c>
      <c r="F100" s="105">
        <f>Sheet1[[#This Row],[NSE:NIFTYBEES
]]</f>
        <v>202.85</v>
      </c>
      <c r="G100" s="43">
        <f t="shared" si="3"/>
        <v>1.516364728255426E-2</v>
      </c>
    </row>
    <row r="101" spans="2:7" x14ac:dyDescent="0.35">
      <c r="B101" s="104">
        <f>Sheet1[[#This Row],[symbol]]</f>
        <v>45079.645830000001</v>
      </c>
      <c r="C101" s="182">
        <f>Sheet1[[#This Row],[NSE:DMART]]</f>
        <v>3531.6</v>
      </c>
      <c r="D101" s="43">
        <f t="shared" si="2"/>
        <v>8.5243092739344384E-3</v>
      </c>
      <c r="F101" s="105">
        <f>Sheet1[[#This Row],[NSE:NIFTYBEES
]]</f>
        <v>203.84</v>
      </c>
      <c r="G101" s="43">
        <f t="shared" si="3"/>
        <v>4.8804535370963187E-3</v>
      </c>
    </row>
    <row r="102" spans="2:7" x14ac:dyDescent="0.35">
      <c r="B102" s="104">
        <f>Sheet1[[#This Row],[symbol]]</f>
        <v>45086.645830000001</v>
      </c>
      <c r="C102" s="182">
        <f>Sheet1[[#This Row],[NSE:DMART]]</f>
        <v>3632.1</v>
      </c>
      <c r="D102" s="43">
        <f t="shared" si="2"/>
        <v>2.8457356439007819E-2</v>
      </c>
      <c r="F102" s="105">
        <f>Sheet1[[#This Row],[NSE:NIFTYBEES
]]</f>
        <v>204.03</v>
      </c>
      <c r="G102" s="43">
        <f t="shared" si="3"/>
        <v>9.3210361067508352E-4</v>
      </c>
    </row>
    <row r="103" spans="2:7" x14ac:dyDescent="0.35">
      <c r="B103" s="104">
        <f>Sheet1[[#This Row],[symbol]]</f>
        <v>45093.645830000001</v>
      </c>
      <c r="C103" s="182">
        <f>Sheet1[[#This Row],[NSE:DMART]]</f>
        <v>4085.6</v>
      </c>
      <c r="D103" s="43">
        <f t="shared" si="2"/>
        <v>0.1248588970567992</v>
      </c>
      <c r="F103" s="105">
        <f>Sheet1[[#This Row],[NSE:NIFTYBEES
]]</f>
        <v>206.69</v>
      </c>
      <c r="G103" s="43">
        <f t="shared" si="3"/>
        <v>1.3037298436504363E-2</v>
      </c>
    </row>
    <row r="104" spans="2:7" x14ac:dyDescent="0.35">
      <c r="B104" s="104">
        <f>Sheet1[[#This Row],[symbol]]</f>
        <v>45100.645830000001</v>
      </c>
      <c r="C104" s="182">
        <f>Sheet1[[#This Row],[NSE:DMART]]</f>
        <v>3744.05</v>
      </c>
      <c r="D104" s="43">
        <f t="shared" si="2"/>
        <v>-8.3598492265517854E-2</v>
      </c>
      <c r="F104" s="105">
        <f>Sheet1[[#This Row],[NSE:NIFTYBEES
]]</f>
        <v>204.98</v>
      </c>
      <c r="G104" s="43">
        <f t="shared" si="3"/>
        <v>-8.2732594707050078E-3</v>
      </c>
    </row>
    <row r="105" spans="2:7" x14ac:dyDescent="0.35">
      <c r="B105" s="104">
        <f>Sheet1[[#This Row],[symbol]]</f>
        <v>45107.645830000001</v>
      </c>
      <c r="C105" s="182">
        <f>Sheet1[[#This Row],[NSE:DMART]]</f>
        <v>3889.2</v>
      </c>
      <c r="D105" s="43">
        <f t="shared" si="2"/>
        <v>3.8768178843765266E-2</v>
      </c>
      <c r="F105" s="105">
        <f>Sheet1[[#This Row],[NSE:NIFTYBEES
]]</f>
        <v>210.61</v>
      </c>
      <c r="G105" s="43">
        <f t="shared" si="3"/>
        <v>2.7466094253097983E-2</v>
      </c>
    </row>
    <row r="106" spans="2:7" x14ac:dyDescent="0.35">
      <c r="B106" s="104">
        <f>Sheet1[[#This Row],[symbol]]</f>
        <v>45114.645830000001</v>
      </c>
      <c r="C106" s="182">
        <f>Sheet1[[#This Row],[NSE:DMART]]</f>
        <v>3808.95</v>
      </c>
      <c r="D106" s="43">
        <f t="shared" si="2"/>
        <v>-2.0634063560629468E-2</v>
      </c>
      <c r="F106" s="105">
        <f>Sheet1[[#This Row],[NSE:NIFTYBEES
]]</f>
        <v>212.72</v>
      </c>
      <c r="G106" s="43">
        <f t="shared" si="3"/>
        <v>1.0018517639238222E-2</v>
      </c>
    </row>
    <row r="107" spans="2:7" x14ac:dyDescent="0.35">
      <c r="B107" s="104">
        <f>Sheet1[[#This Row],[symbol]]</f>
        <v>45121.645830000001</v>
      </c>
      <c r="C107" s="182">
        <f>Sheet1[[#This Row],[NSE:DMART]]</f>
        <v>3838.75</v>
      </c>
      <c r="D107" s="43">
        <f t="shared" si="2"/>
        <v>7.8236784415652849E-3</v>
      </c>
      <c r="F107" s="105">
        <f>Sheet1[[#This Row],[NSE:NIFTYBEES
]]</f>
        <v>214.83</v>
      </c>
      <c r="G107" s="43">
        <f t="shared" si="3"/>
        <v>9.9191425347875395E-3</v>
      </c>
    </row>
    <row r="108" spans="2:7" x14ac:dyDescent="0.35">
      <c r="B108" s="104">
        <f>Sheet1[[#This Row],[symbol]]</f>
        <v>45128.645830000001</v>
      </c>
      <c r="C108" s="182">
        <f>Sheet1[[#This Row],[NSE:DMART]]</f>
        <v>3675.7</v>
      </c>
      <c r="D108" s="43">
        <f t="shared" si="2"/>
        <v>-4.2474763920547054E-2</v>
      </c>
      <c r="F108" s="105">
        <f>Sheet1[[#This Row],[NSE:NIFTYBEES
]]</f>
        <v>217.48</v>
      </c>
      <c r="G108" s="43">
        <f t="shared" si="3"/>
        <v>1.2335334915980045E-2</v>
      </c>
    </row>
    <row r="109" spans="2:7" x14ac:dyDescent="0.35">
      <c r="B109" s="104">
        <f>Sheet1[[#This Row],[symbol]]</f>
        <v>45135.645830000001</v>
      </c>
      <c r="C109" s="182">
        <f>Sheet1[[#This Row],[NSE:DMART]]</f>
        <v>3713.9</v>
      </c>
      <c r="D109" s="43">
        <f t="shared" si="2"/>
        <v>1.0392578284408538E-2</v>
      </c>
      <c r="F109" s="105">
        <f>Sheet1[[#This Row],[NSE:NIFTYBEES
]]</f>
        <v>216.34</v>
      </c>
      <c r="G109" s="43">
        <f t="shared" si="3"/>
        <v>-5.2418613205811315E-3</v>
      </c>
    </row>
    <row r="110" spans="2:7" x14ac:dyDescent="0.35">
      <c r="B110" s="104">
        <f>Sheet1[[#This Row],[symbol]]</f>
        <v>45142.645830000001</v>
      </c>
      <c r="C110" s="182">
        <f>Sheet1[[#This Row],[NSE:DMART]]</f>
        <v>3652.1</v>
      </c>
      <c r="D110" s="43">
        <f t="shared" si="2"/>
        <v>-1.6640189558146501E-2</v>
      </c>
      <c r="F110" s="105">
        <f>Sheet1[[#This Row],[NSE:NIFTYBEES
]]</f>
        <v>215.04</v>
      </c>
      <c r="G110" s="43">
        <f t="shared" si="3"/>
        <v>-6.009059813256945E-3</v>
      </c>
    </row>
    <row r="111" spans="2:7" x14ac:dyDescent="0.35">
      <c r="B111" s="104">
        <f>Sheet1[[#This Row],[symbol]]</f>
        <v>45149.645830000001</v>
      </c>
      <c r="C111" s="182">
        <f>Sheet1[[#This Row],[NSE:DMART]]</f>
        <v>3550.05</v>
      </c>
      <c r="D111" s="43">
        <f t="shared" si="2"/>
        <v>-2.7942827414364269E-2</v>
      </c>
      <c r="F111" s="105">
        <f>Sheet1[[#This Row],[NSE:NIFTYBEES
]]</f>
        <v>214.4</v>
      </c>
      <c r="G111" s="43">
        <f t="shared" si="3"/>
        <v>-2.9761904761904656E-3</v>
      </c>
    </row>
    <row r="112" spans="2:7" x14ac:dyDescent="0.35">
      <c r="B112" s="104">
        <f>Sheet1[[#This Row],[symbol]]</f>
        <v>45156.645830000001</v>
      </c>
      <c r="C112" s="182">
        <f>Sheet1[[#This Row],[NSE:DMART]]</f>
        <v>3540.95</v>
      </c>
      <c r="D112" s="43">
        <f t="shared" si="2"/>
        <v>-2.5633441782511035E-3</v>
      </c>
      <c r="F112" s="105">
        <f>Sheet1[[#This Row],[NSE:NIFTYBEES
]]</f>
        <v>213</v>
      </c>
      <c r="G112" s="43">
        <f t="shared" si="3"/>
        <v>-6.5298507462686617E-3</v>
      </c>
    </row>
    <row r="113" spans="2:7" x14ac:dyDescent="0.35">
      <c r="B113" s="104">
        <f>Sheet1[[#This Row],[symbol]]</f>
        <v>45163.645830000001</v>
      </c>
      <c r="C113" s="182">
        <f>Sheet1[[#This Row],[NSE:DMART]]</f>
        <v>3534.6</v>
      </c>
      <c r="D113" s="43">
        <f t="shared" si="2"/>
        <v>-1.7933040568208769E-3</v>
      </c>
      <c r="F113" s="105">
        <f>Sheet1[[#This Row],[NSE:NIFTYBEES
]]</f>
        <v>212.76</v>
      </c>
      <c r="G113" s="43">
        <f t="shared" si="3"/>
        <v>-1.1267605633803468E-3</v>
      </c>
    </row>
    <row r="114" spans="2:7" x14ac:dyDescent="0.35">
      <c r="B114" s="104">
        <f>Sheet1[[#This Row],[symbol]]</f>
        <v>45170.645830000001</v>
      </c>
      <c r="C114" s="182">
        <f>Sheet1[[#This Row],[NSE:DMART]]</f>
        <v>3761.05</v>
      </c>
      <c r="D114" s="43">
        <f t="shared" si="2"/>
        <v>6.4066655349968915E-2</v>
      </c>
      <c r="F114" s="105">
        <f>Sheet1[[#This Row],[NSE:NIFTYBEES
]]</f>
        <v>214.27</v>
      </c>
      <c r="G114" s="43">
        <f t="shared" si="3"/>
        <v>7.097198721564224E-3</v>
      </c>
    </row>
    <row r="115" spans="2:7" x14ac:dyDescent="0.35">
      <c r="B115" s="104">
        <f>Sheet1[[#This Row],[symbol]]</f>
        <v>45177.645830000001</v>
      </c>
      <c r="C115" s="182">
        <f>Sheet1[[#This Row],[NSE:DMART]]</f>
        <v>3782.4</v>
      </c>
      <c r="D115" s="43">
        <f t="shared" si="2"/>
        <v>5.6766062668669459E-3</v>
      </c>
      <c r="F115" s="105">
        <f>Sheet1[[#This Row],[NSE:NIFTYBEES
]]</f>
        <v>218.41</v>
      </c>
      <c r="G115" s="43">
        <f t="shared" si="3"/>
        <v>1.9321416903906208E-2</v>
      </c>
    </row>
    <row r="116" spans="2:7" x14ac:dyDescent="0.35">
      <c r="B116" s="104">
        <f>Sheet1[[#This Row],[symbol]]</f>
        <v>45184.645830000001</v>
      </c>
      <c r="C116" s="182">
        <f>Sheet1[[#This Row],[NSE:DMART]]</f>
        <v>3796</v>
      </c>
      <c r="D116" s="43">
        <f t="shared" si="2"/>
        <v>3.5956006768189663E-3</v>
      </c>
      <c r="F116" s="105">
        <f>Sheet1[[#This Row],[NSE:NIFTYBEES
]]</f>
        <v>222.57</v>
      </c>
      <c r="G116" s="43">
        <f t="shared" si="3"/>
        <v>1.9046746943821136E-2</v>
      </c>
    </row>
    <row r="117" spans="2:7" x14ac:dyDescent="0.35">
      <c r="B117" s="104">
        <f>Sheet1[[#This Row],[symbol]]</f>
        <v>45191.645830000001</v>
      </c>
      <c r="C117" s="182">
        <f>Sheet1[[#This Row],[NSE:DMART]]</f>
        <v>3689.1</v>
      </c>
      <c r="D117" s="43">
        <f t="shared" si="2"/>
        <v>-2.8161222339304515E-2</v>
      </c>
      <c r="F117" s="105">
        <f>Sheet1[[#This Row],[NSE:NIFTYBEES
]]</f>
        <v>216.81</v>
      </c>
      <c r="G117" s="43">
        <f t="shared" si="3"/>
        <v>-2.5879498584714833E-2</v>
      </c>
    </row>
    <row r="118" spans="2:7" x14ac:dyDescent="0.35">
      <c r="B118" s="104">
        <f>Sheet1[[#This Row],[symbol]]</f>
        <v>45198.645830000001</v>
      </c>
      <c r="C118" s="182">
        <f>Sheet1[[#This Row],[NSE:DMART]]</f>
        <v>3675.6</v>
      </c>
      <c r="D118" s="43">
        <f t="shared" si="2"/>
        <v>-3.6594291290558134E-3</v>
      </c>
      <c r="F118" s="105">
        <f>Sheet1[[#This Row],[NSE:NIFTYBEES
]]</f>
        <v>216.75</v>
      </c>
      <c r="G118" s="43">
        <f t="shared" si="3"/>
        <v>-2.7674000276745048E-4</v>
      </c>
    </row>
    <row r="119" spans="2:7" x14ac:dyDescent="0.35">
      <c r="B119" s="104">
        <f>Sheet1[[#This Row],[symbol]]</f>
        <v>45205.645830000001</v>
      </c>
      <c r="C119" s="182">
        <f>Sheet1[[#This Row],[NSE:DMART]]</f>
        <v>3833.95</v>
      </c>
      <c r="D119" s="43">
        <f t="shared" si="2"/>
        <v>4.3081401675916897E-2</v>
      </c>
      <c r="F119" s="105">
        <f>Sheet1[[#This Row],[NSE:NIFTYBEES
]]</f>
        <v>216.62</v>
      </c>
      <c r="G119" s="43">
        <f t="shared" si="3"/>
        <v>-5.9976931949246026E-4</v>
      </c>
    </row>
    <row r="120" spans="2:7" x14ac:dyDescent="0.35">
      <c r="B120" s="104">
        <f>Sheet1[[#This Row],[symbol]]</f>
        <v>45212.645830000001</v>
      </c>
      <c r="C120" s="182">
        <f>Sheet1[[#This Row],[NSE:DMART]]</f>
        <v>3935.85</v>
      </c>
      <c r="D120" s="43">
        <f t="shared" si="2"/>
        <v>2.6578333050770064E-2</v>
      </c>
      <c r="F120" s="105">
        <f>Sheet1[[#This Row],[NSE:NIFTYBEES
]]</f>
        <v>218.07</v>
      </c>
      <c r="G120" s="43">
        <f t="shared" si="3"/>
        <v>6.693749422952644E-3</v>
      </c>
    </row>
    <row r="121" spans="2:7" x14ac:dyDescent="0.35">
      <c r="B121" s="104">
        <f>Sheet1[[#This Row],[symbol]]</f>
        <v>45219.645830000001</v>
      </c>
      <c r="C121" s="182">
        <f>Sheet1[[#This Row],[NSE:DMART]]</f>
        <v>3749.5</v>
      </c>
      <c r="D121" s="43">
        <f t="shared" si="2"/>
        <v>-4.7346824701144596E-2</v>
      </c>
      <c r="F121" s="105">
        <f>Sheet1[[#This Row],[NSE:NIFTYBEES
]]</f>
        <v>215.3</v>
      </c>
      <c r="G121" s="43">
        <f t="shared" si="3"/>
        <v>-1.2702343284266449E-2</v>
      </c>
    </row>
    <row r="122" spans="2:7" x14ac:dyDescent="0.35">
      <c r="B122" s="104">
        <f>Sheet1[[#This Row],[symbol]]</f>
        <v>45226.645830000001</v>
      </c>
      <c r="C122" s="182">
        <f>Sheet1[[#This Row],[NSE:DMART]]</f>
        <v>3665.45</v>
      </c>
      <c r="D122" s="43">
        <f t="shared" si="2"/>
        <v>-2.2416322176290193E-2</v>
      </c>
      <c r="F122" s="105">
        <f>Sheet1[[#This Row],[NSE:NIFTYBEES
]]</f>
        <v>210.57</v>
      </c>
      <c r="G122" s="43">
        <f t="shared" si="3"/>
        <v>-2.1969345099860704E-2</v>
      </c>
    </row>
    <row r="123" spans="2:7" x14ac:dyDescent="0.35">
      <c r="B123" s="104">
        <f>Sheet1[[#This Row],[symbol]]</f>
        <v>45233.645830000001</v>
      </c>
      <c r="C123" s="182">
        <f>Sheet1[[#This Row],[NSE:DMART]]</f>
        <v>3649.7</v>
      </c>
      <c r="D123" s="43">
        <f t="shared" si="2"/>
        <v>-4.2968803284726409E-3</v>
      </c>
      <c r="F123" s="105">
        <f>Sheet1[[#This Row],[NSE:NIFTYBEES
]]</f>
        <v>212.69</v>
      </c>
      <c r="G123" s="43">
        <f t="shared" si="3"/>
        <v>1.0067910908486466E-2</v>
      </c>
    </row>
    <row r="124" spans="2:7" x14ac:dyDescent="0.35">
      <c r="B124" s="104">
        <f>Sheet1[[#This Row],[symbol]]</f>
        <v>45240.645830000001</v>
      </c>
      <c r="C124" s="182">
        <f>Sheet1[[#This Row],[NSE:DMART]]</f>
        <v>3798.4</v>
      </c>
      <c r="D124" s="43">
        <f t="shared" si="2"/>
        <v>4.0743074773269106E-2</v>
      </c>
      <c r="F124" s="105">
        <f>Sheet1[[#This Row],[NSE:NIFTYBEES
]]</f>
        <v>214.24</v>
      </c>
      <c r="G124" s="43">
        <f t="shared" si="3"/>
        <v>7.2876016737974947E-3</v>
      </c>
    </row>
    <row r="125" spans="2:7" x14ac:dyDescent="0.35">
      <c r="B125" s="104">
        <f>Sheet1[[#This Row],[symbol]]</f>
        <v>45247.645830000001</v>
      </c>
      <c r="C125" s="182">
        <f>Sheet1[[#This Row],[NSE:DMART]]</f>
        <v>3810.9</v>
      </c>
      <c r="D125" s="43">
        <f t="shared" si="2"/>
        <v>3.2908593091827143E-3</v>
      </c>
      <c r="F125" s="105">
        <f>Sheet1[[#This Row],[NSE:NIFTYBEES
]]</f>
        <v>218.02</v>
      </c>
      <c r="G125" s="43">
        <f t="shared" si="3"/>
        <v>1.7643764002987394E-2</v>
      </c>
    </row>
    <row r="126" spans="2:7" x14ac:dyDescent="0.35">
      <c r="B126" s="104">
        <f>Sheet1[[#This Row],[symbol]]</f>
        <v>45254.645830000001</v>
      </c>
      <c r="C126" s="182">
        <f>Sheet1[[#This Row],[NSE:DMART]]</f>
        <v>3842.9</v>
      </c>
      <c r="D126" s="43">
        <f t="shared" si="2"/>
        <v>8.3969665958172346E-3</v>
      </c>
      <c r="F126" s="105">
        <f>Sheet1[[#This Row],[NSE:NIFTYBEES
]]</f>
        <v>218.48</v>
      </c>
      <c r="G126" s="43">
        <f t="shared" si="3"/>
        <v>2.1098981744793743E-3</v>
      </c>
    </row>
    <row r="127" spans="2:7" x14ac:dyDescent="0.35">
      <c r="B127" s="104">
        <f>Sheet1[[#This Row],[symbol]]</f>
        <v>45261.645830000001</v>
      </c>
      <c r="C127" s="182">
        <f>Sheet1[[#This Row],[NSE:DMART]]</f>
        <v>3988.4</v>
      </c>
      <c r="D127" s="43">
        <f t="shared" si="2"/>
        <v>3.7862031278461661E-2</v>
      </c>
      <c r="F127" s="105">
        <f>Sheet1[[#This Row],[NSE:NIFTYBEES
]]</f>
        <v>223.75</v>
      </c>
      <c r="G127" s="43">
        <f t="shared" si="3"/>
        <v>2.4121201025265604E-2</v>
      </c>
    </row>
    <row r="128" spans="2:7" x14ac:dyDescent="0.35">
      <c r="B128" s="104">
        <f>Sheet1[[#This Row],[symbol]]</f>
        <v>45268.645830000001</v>
      </c>
      <c r="C128" s="182">
        <f>Sheet1[[#This Row],[NSE:DMART]]</f>
        <v>4070.65</v>
      </c>
      <c r="D128" s="43">
        <f t="shared" si="2"/>
        <v>2.0622304683582282E-2</v>
      </c>
      <c r="F128" s="105">
        <f>Sheet1[[#This Row],[NSE:NIFTYBEES
]]</f>
        <v>231.36</v>
      </c>
      <c r="G128" s="43">
        <f t="shared" si="3"/>
        <v>3.4011173184357535E-2</v>
      </c>
    </row>
    <row r="129" spans="2:7" x14ac:dyDescent="0.35">
      <c r="B129" s="104">
        <f>Sheet1[[#This Row],[symbol]]</f>
        <v>45275.645830000001</v>
      </c>
      <c r="C129" s="182">
        <f>Sheet1[[#This Row],[NSE:DMART]]</f>
        <v>4045.65</v>
      </c>
      <c r="D129" s="43">
        <f t="shared" si="2"/>
        <v>-6.1415253092258482E-3</v>
      </c>
      <c r="F129" s="105">
        <f>Sheet1[[#This Row],[NSE:NIFTYBEES
]]</f>
        <v>236.62</v>
      </c>
      <c r="G129" s="43">
        <f t="shared" si="3"/>
        <v>2.2735131396957042E-2</v>
      </c>
    </row>
    <row r="130" spans="2:7" x14ac:dyDescent="0.35">
      <c r="B130" s="104">
        <f>Sheet1[[#This Row],[symbol]]</f>
        <v>45282.645830000001</v>
      </c>
      <c r="C130" s="182">
        <f>Sheet1[[#This Row],[NSE:DMART]]</f>
        <v>4007.95</v>
      </c>
      <c r="D130" s="43">
        <f t="shared" si="2"/>
        <v>-9.3186508966421888E-3</v>
      </c>
      <c r="F130" s="105">
        <f>Sheet1[[#This Row],[NSE:NIFTYBEES
]]</f>
        <v>235.5</v>
      </c>
      <c r="G130" s="43">
        <f t="shared" si="3"/>
        <v>-4.7333276984193873E-3</v>
      </c>
    </row>
    <row r="131" spans="2:7" x14ac:dyDescent="0.35">
      <c r="B131" s="104">
        <f>Sheet1[[#This Row],[symbol]]</f>
        <v>45289.645830000001</v>
      </c>
      <c r="C131" s="182">
        <f>Sheet1[[#This Row],[NSE:DMART]]</f>
        <v>4082.65</v>
      </c>
      <c r="D131" s="43">
        <f t="shared" si="2"/>
        <v>1.8637957060342547E-2</v>
      </c>
      <c r="F131" s="105">
        <f>Sheet1[[#This Row],[NSE:NIFTYBEES
]]</f>
        <v>239.65</v>
      </c>
      <c r="G131" s="43">
        <f t="shared" si="3"/>
        <v>1.7622080679405627E-2</v>
      </c>
    </row>
    <row r="132" spans="2:7" x14ac:dyDescent="0.35">
      <c r="B132" s="104">
        <f>Sheet1[[#This Row],[symbol]]</f>
        <v>45296.645830000001</v>
      </c>
      <c r="C132" s="182">
        <f>Sheet1[[#This Row],[NSE:DMART]]</f>
        <v>3863.5</v>
      </c>
      <c r="D132" s="43">
        <f t="shared" si="2"/>
        <v>-5.3678370666111475E-2</v>
      </c>
      <c r="F132" s="105">
        <f>Sheet1[[#This Row],[NSE:NIFTYBEES
]]</f>
        <v>239.74</v>
      </c>
      <c r="G132" s="43">
        <f t="shared" si="3"/>
        <v>3.7554767369085695E-4</v>
      </c>
    </row>
    <row r="133" spans="2:7" x14ac:dyDescent="0.35">
      <c r="B133" s="104">
        <f>Sheet1[[#This Row],[symbol]]</f>
        <v>45303.645830000001</v>
      </c>
      <c r="C133" s="182">
        <f>Sheet1[[#This Row],[NSE:DMART]]</f>
        <v>3841</v>
      </c>
      <c r="D133" s="43">
        <f t="shared" ref="D133:D162" si="4">C133/C132-1</f>
        <v>-5.8237349553513784E-3</v>
      </c>
      <c r="F133" s="105">
        <f>Sheet1[[#This Row],[NSE:NIFTYBEES
]]</f>
        <v>241.73</v>
      </c>
      <c r="G133" s="43">
        <f t="shared" si="3"/>
        <v>8.300659047301151E-3</v>
      </c>
    </row>
    <row r="134" spans="2:7" x14ac:dyDescent="0.35">
      <c r="B134" s="104">
        <f>Sheet1[[#This Row],[symbol]]</f>
        <v>45316.645830000001</v>
      </c>
      <c r="C134" s="182">
        <f>Sheet1[[#This Row],[NSE:DMART]]</f>
        <v>3734.25</v>
      </c>
      <c r="D134" s="43">
        <f t="shared" si="4"/>
        <v>-2.7792241603749046E-2</v>
      </c>
      <c r="F134" s="105">
        <f>Sheet1[[#This Row],[NSE:NIFTYBEES
]]</f>
        <v>236.15</v>
      </c>
      <c r="G134" s="43">
        <f t="shared" si="3"/>
        <v>-2.3083605675753849E-2</v>
      </c>
    </row>
    <row r="135" spans="2:7" x14ac:dyDescent="0.35">
      <c r="B135" s="104">
        <f>Sheet1[[#This Row],[symbol]]</f>
        <v>45324.645830000001</v>
      </c>
      <c r="C135" s="182">
        <f>Sheet1[[#This Row],[NSE:DMART]]</f>
        <v>3784.3</v>
      </c>
      <c r="D135" s="43">
        <f t="shared" si="4"/>
        <v>1.3402959094865219E-2</v>
      </c>
      <c r="F135" s="105">
        <f>Sheet1[[#This Row],[NSE:NIFTYBEES
]]</f>
        <v>241.3</v>
      </c>
      <c r="G135" s="43">
        <f t="shared" si="3"/>
        <v>2.1808172771543566E-2</v>
      </c>
    </row>
    <row r="136" spans="2:7" x14ac:dyDescent="0.35">
      <c r="B136" s="104">
        <f>Sheet1[[#This Row],[symbol]]</f>
        <v>45331.645830000001</v>
      </c>
      <c r="C136" s="182">
        <f>Sheet1[[#This Row],[NSE:DMART]]</f>
        <v>3719.2</v>
      </c>
      <c r="D136" s="43">
        <f t="shared" si="4"/>
        <v>-1.720265306661739E-2</v>
      </c>
      <c r="F136" s="105">
        <f>Sheet1[[#This Row],[NSE:NIFTYBEES
]]</f>
        <v>240.78</v>
      </c>
      <c r="G136" s="43">
        <f t="shared" si="3"/>
        <v>-2.1549937836717881E-3</v>
      </c>
    </row>
    <row r="137" spans="2:7" x14ac:dyDescent="0.35">
      <c r="B137" s="104">
        <f>Sheet1[[#This Row],[symbol]]</f>
        <v>45338.645830000001</v>
      </c>
      <c r="C137" s="182">
        <f>Sheet1[[#This Row],[NSE:DMART]]</f>
        <v>3693.3</v>
      </c>
      <c r="D137" s="43">
        <f t="shared" si="4"/>
        <v>-6.9638631963861997E-3</v>
      </c>
      <c r="F137" s="105">
        <f>Sheet1[[#This Row],[NSE:NIFTYBEES
]]</f>
        <v>243.99</v>
      </c>
      <c r="G137" s="43">
        <f t="shared" si="3"/>
        <v>1.3331672065786337E-2</v>
      </c>
    </row>
    <row r="138" spans="2:7" x14ac:dyDescent="0.35">
      <c r="B138" s="104">
        <f>Sheet1[[#This Row],[symbol]]</f>
        <v>45345.645830000001</v>
      </c>
      <c r="C138" s="182">
        <f>Sheet1[[#This Row],[NSE:DMART]]</f>
        <v>3840.55</v>
      </c>
      <c r="D138" s="43">
        <f t="shared" si="4"/>
        <v>3.9869493406980094E-2</v>
      </c>
      <c r="F138" s="105">
        <f>Sheet1[[#This Row],[NSE:NIFTYBEES
]]</f>
        <v>245.69</v>
      </c>
      <c r="G138" s="43">
        <f t="shared" si="3"/>
        <v>6.9674986679781892E-3</v>
      </c>
    </row>
    <row r="139" spans="2:7" x14ac:dyDescent="0.35">
      <c r="B139" s="104">
        <f>Sheet1[[#This Row],[symbol]]</f>
        <v>45358.645830000001</v>
      </c>
      <c r="C139" s="182">
        <f>Sheet1[[#This Row],[NSE:DMART]]</f>
        <v>3925.95</v>
      </c>
      <c r="D139" s="43">
        <f t="shared" si="4"/>
        <v>2.2236398432516014E-2</v>
      </c>
      <c r="F139" s="105">
        <f>Sheet1[[#This Row],[NSE:NIFTYBEES
]]</f>
        <v>248.67</v>
      </c>
      <c r="G139" s="43">
        <f t="shared" si="3"/>
        <v>1.212910578371118E-2</v>
      </c>
    </row>
    <row r="140" spans="2:7" x14ac:dyDescent="0.35">
      <c r="B140" s="104">
        <f>Sheet1[[#This Row],[symbol]]</f>
        <v>45366.645830000001</v>
      </c>
      <c r="C140" s="182">
        <f>Sheet1[[#This Row],[NSE:DMART]]</f>
        <v>3932.1</v>
      </c>
      <c r="D140" s="43">
        <f t="shared" si="4"/>
        <v>1.5664998280671139E-3</v>
      </c>
      <c r="F140" s="105">
        <f>Sheet1[[#This Row],[NSE:NIFTYBEES
]]</f>
        <v>243.8</v>
      </c>
      <c r="G140" s="43">
        <f t="shared" ref="G140:G162" si="5">F140/F139-1</f>
        <v>-1.9584187879518988E-2</v>
      </c>
    </row>
    <row r="141" spans="2:7" x14ac:dyDescent="0.35">
      <c r="B141" s="104">
        <f>Sheet1[[#This Row],[symbol]]</f>
        <v>45373.645830000001</v>
      </c>
      <c r="C141" s="182">
        <f>Sheet1[[#This Row],[NSE:DMART]]</f>
        <v>4297.6000000000004</v>
      </c>
      <c r="D141" s="43">
        <f t="shared" si="4"/>
        <v>9.2952875054042483E-2</v>
      </c>
      <c r="F141" s="105">
        <f>Sheet1[[#This Row],[NSE:NIFTYBEES
]]</f>
        <v>244.74</v>
      </c>
      <c r="G141" s="43">
        <f t="shared" si="5"/>
        <v>3.855619360131346E-3</v>
      </c>
    </row>
    <row r="142" spans="2:7" x14ac:dyDescent="0.35">
      <c r="B142" s="104">
        <f>Sheet1[[#This Row],[symbol]]</f>
        <v>45379.645830000001</v>
      </c>
      <c r="C142" s="182">
        <f>Sheet1[[#This Row],[NSE:DMART]]</f>
        <v>4525.6000000000004</v>
      </c>
      <c r="D142" s="43">
        <f t="shared" si="4"/>
        <v>5.3052866716306823E-2</v>
      </c>
      <c r="F142" s="105">
        <f>Sheet1[[#This Row],[NSE:NIFTYBEES
]]</f>
        <v>246.96</v>
      </c>
      <c r="G142" s="43">
        <f t="shared" si="5"/>
        <v>9.0708506987007276E-3</v>
      </c>
    </row>
    <row r="143" spans="2:7" x14ac:dyDescent="0.35">
      <c r="B143" s="104">
        <f>Sheet1[[#This Row],[symbol]]</f>
        <v>45387.645830000001</v>
      </c>
      <c r="C143" s="182">
        <f>Sheet1[[#This Row],[NSE:DMART]]</f>
        <v>4619.25</v>
      </c>
      <c r="D143" s="43">
        <f t="shared" si="4"/>
        <v>2.0693388721937378E-2</v>
      </c>
      <c r="F143" s="105">
        <f>Sheet1[[#This Row],[NSE:NIFTYBEES
]]</f>
        <v>249.05</v>
      </c>
      <c r="G143" s="43">
        <f t="shared" si="5"/>
        <v>8.4629089731129703E-3</v>
      </c>
    </row>
    <row r="144" spans="2:7" x14ac:dyDescent="0.35">
      <c r="B144" s="104">
        <f>Sheet1[[#This Row],[symbol]]</f>
        <v>45394.645830000001</v>
      </c>
      <c r="C144" s="182">
        <f>Sheet1[[#This Row],[NSE:DMART]]</f>
        <v>4765.05</v>
      </c>
      <c r="D144" s="43">
        <f t="shared" si="4"/>
        <v>3.1563565513882175E-2</v>
      </c>
      <c r="F144" s="105">
        <f>Sheet1[[#This Row],[NSE:NIFTYBEES
]]</f>
        <v>249.56</v>
      </c>
      <c r="G144" s="43">
        <f t="shared" si="5"/>
        <v>2.0477815699657675E-3</v>
      </c>
    </row>
    <row r="145" spans="2:7" x14ac:dyDescent="0.35">
      <c r="B145" s="104">
        <f>Sheet1[[#This Row],[symbol]]</f>
        <v>45401.645830000001</v>
      </c>
      <c r="C145" s="182">
        <f>Sheet1[[#This Row],[NSE:DMART]]</f>
        <v>4696</v>
      </c>
      <c r="D145" s="43">
        <f t="shared" si="4"/>
        <v>-1.4490928741566211E-2</v>
      </c>
      <c r="F145" s="105">
        <f>Sheet1[[#This Row],[NSE:NIFTYBEES
]]</f>
        <v>245.53</v>
      </c>
      <c r="G145" s="43">
        <f t="shared" si="5"/>
        <v>-1.6148421221349629E-2</v>
      </c>
    </row>
    <row r="146" spans="2:7" x14ac:dyDescent="0.35">
      <c r="B146" s="104">
        <f>Sheet1[[#This Row],[symbol]]</f>
        <v>45408.645830000001</v>
      </c>
      <c r="C146" s="182">
        <f>Sheet1[[#This Row],[NSE:DMART]]</f>
        <v>4553.1499999999996</v>
      </c>
      <c r="D146" s="43">
        <f t="shared" si="4"/>
        <v>-3.0419505962521409E-2</v>
      </c>
      <c r="F146" s="105">
        <f>Sheet1[[#This Row],[NSE:NIFTYBEES
]]</f>
        <v>248.44</v>
      </c>
      <c r="G146" s="43">
        <f t="shared" si="5"/>
        <v>1.1851912189956515E-2</v>
      </c>
    </row>
    <row r="147" spans="2:7" x14ac:dyDescent="0.35">
      <c r="B147" s="104">
        <f>Sheet1[[#This Row],[symbol]]</f>
        <v>45415.645830000001</v>
      </c>
      <c r="C147" s="182">
        <f>Sheet1[[#This Row],[NSE:DMART]]</f>
        <v>4612.3500000000004</v>
      </c>
      <c r="D147" s="43">
        <f t="shared" si="4"/>
        <v>1.300198763493432E-2</v>
      </c>
      <c r="F147" s="105">
        <f>Sheet1[[#This Row],[NSE:NIFTYBEES
]]</f>
        <v>248.75</v>
      </c>
      <c r="G147" s="43">
        <f t="shared" si="5"/>
        <v>1.2477861857993489E-3</v>
      </c>
    </row>
    <row r="148" spans="2:7" x14ac:dyDescent="0.35">
      <c r="B148" s="104">
        <f>Sheet1[[#This Row],[symbol]]</f>
        <v>45422.645830000001</v>
      </c>
      <c r="C148" s="182">
        <f>Sheet1[[#This Row],[NSE:DMART]]</f>
        <v>4796.8</v>
      </c>
      <c r="D148" s="43">
        <f t="shared" si="4"/>
        <v>3.9990460394375926E-2</v>
      </c>
      <c r="F148" s="105">
        <f>Sheet1[[#This Row],[NSE:NIFTYBEES
]]</f>
        <v>244.97</v>
      </c>
      <c r="G148" s="43">
        <f t="shared" si="5"/>
        <v>-1.5195979899497503E-2</v>
      </c>
    </row>
    <row r="149" spans="2:7" x14ac:dyDescent="0.35">
      <c r="B149" s="104">
        <f>Sheet1[[#This Row],[symbol]]</f>
        <v>45436.645830000001</v>
      </c>
      <c r="C149" s="182">
        <f>Sheet1[[#This Row],[NSE:DMART]]</f>
        <v>4684.5</v>
      </c>
      <c r="D149" s="43">
        <f t="shared" si="4"/>
        <v>-2.3411440960640517E-2</v>
      </c>
      <c r="F149" s="105">
        <f>Sheet1[[#This Row],[NSE:NIFTYBEES
]]</f>
        <v>254.98</v>
      </c>
      <c r="G149" s="43">
        <f t="shared" si="5"/>
        <v>4.0862146385271636E-2</v>
      </c>
    </row>
    <row r="150" spans="2:7" x14ac:dyDescent="0.35">
      <c r="B150" s="104">
        <f>Sheet1[[#This Row],[symbol]]</f>
        <v>45443.645830000001</v>
      </c>
      <c r="C150" s="182">
        <f>Sheet1[[#This Row],[NSE:DMART]]</f>
        <v>4302.1499999999996</v>
      </c>
      <c r="D150" s="43">
        <f t="shared" si="4"/>
        <v>-8.1620236951649106E-2</v>
      </c>
      <c r="F150" s="105">
        <f>Sheet1[[#This Row],[NSE:NIFTYBEES
]]</f>
        <v>251.15</v>
      </c>
      <c r="G150" s="43">
        <f t="shared" si="5"/>
        <v>-1.5020785943995585E-2</v>
      </c>
    </row>
    <row r="151" spans="2:7" x14ac:dyDescent="0.35">
      <c r="B151" s="104">
        <f>Sheet1[[#This Row],[symbol]]</f>
        <v>45450.645830000001</v>
      </c>
      <c r="C151" s="182">
        <f>Sheet1[[#This Row],[NSE:DMART]]</f>
        <v>4747.25</v>
      </c>
      <c r="D151" s="43">
        <f t="shared" si="4"/>
        <v>0.10345989795799793</v>
      </c>
      <c r="F151" s="105">
        <f>Sheet1[[#This Row],[NSE:NIFTYBEES
]]</f>
        <v>258.42</v>
      </c>
      <c r="G151" s="43">
        <f t="shared" si="5"/>
        <v>2.8946844515229886E-2</v>
      </c>
    </row>
    <row r="152" spans="2:7" x14ac:dyDescent="0.35">
      <c r="B152" s="104">
        <f>Sheet1[[#This Row],[symbol]]</f>
        <v>45457.645830000001</v>
      </c>
      <c r="C152" s="182">
        <f>Sheet1[[#This Row],[NSE:DMART]]</f>
        <v>4739.95</v>
      </c>
      <c r="D152" s="43">
        <f t="shared" si="4"/>
        <v>-1.5377323713728908E-3</v>
      </c>
      <c r="F152" s="105">
        <f>Sheet1[[#This Row],[NSE:NIFTYBEES
]]</f>
        <v>260.64999999999998</v>
      </c>
      <c r="G152" s="43">
        <f t="shared" si="5"/>
        <v>8.6293630523952558E-3</v>
      </c>
    </row>
    <row r="153" spans="2:7" x14ac:dyDescent="0.35">
      <c r="B153" s="104">
        <f>Sheet1[[#This Row],[symbol]]</f>
        <v>45464.645830000001</v>
      </c>
      <c r="C153" s="182">
        <f>Sheet1[[#This Row],[NSE:DMART]]</f>
        <v>4804.8500000000004</v>
      </c>
      <c r="D153" s="43">
        <f t="shared" si="4"/>
        <v>1.3692127554088218E-2</v>
      </c>
      <c r="F153" s="105">
        <f>Sheet1[[#This Row],[NSE:NIFTYBEES
]]</f>
        <v>260.87</v>
      </c>
      <c r="G153" s="43">
        <f t="shared" si="5"/>
        <v>8.4404373681201683E-4</v>
      </c>
    </row>
    <row r="154" spans="2:7" x14ac:dyDescent="0.35">
      <c r="B154" s="104">
        <f>Sheet1[[#This Row],[symbol]]</f>
        <v>45471.645830000001</v>
      </c>
      <c r="C154" s="182">
        <f>Sheet1[[#This Row],[NSE:DMART]]</f>
        <v>4716.75</v>
      </c>
      <c r="D154" s="43">
        <f t="shared" si="4"/>
        <v>-1.8335640030386013E-2</v>
      </c>
      <c r="F154" s="105">
        <f>Sheet1[[#This Row],[NSE:NIFTYBEES
]]</f>
        <v>267.48</v>
      </c>
      <c r="G154" s="43">
        <f t="shared" si="5"/>
        <v>2.5338291102848132E-2</v>
      </c>
    </row>
    <row r="155" spans="2:7" x14ac:dyDescent="0.35">
      <c r="B155" s="104">
        <f>Sheet1[[#This Row],[symbol]]</f>
        <v>45478.645830000001</v>
      </c>
      <c r="C155" s="182">
        <f>Sheet1[[#This Row],[NSE:DMART]]</f>
        <v>4853.1000000000004</v>
      </c>
      <c r="D155" s="43">
        <f t="shared" si="4"/>
        <v>2.8907616473207165E-2</v>
      </c>
      <c r="F155" s="105">
        <f>Sheet1[[#This Row],[NSE:NIFTYBEES
]]</f>
        <v>270.52999999999997</v>
      </c>
      <c r="G155" s="43">
        <f t="shared" si="5"/>
        <v>1.1402721698818397E-2</v>
      </c>
    </row>
    <row r="156" spans="2:7" x14ac:dyDescent="0.35">
      <c r="B156" s="104">
        <f>Sheet1[[#This Row],[symbol]]</f>
        <v>45485.645830000001</v>
      </c>
      <c r="C156" s="182">
        <f>Sheet1[[#This Row],[NSE:DMART]]</f>
        <v>4943.6499999999996</v>
      </c>
      <c r="D156" s="43">
        <f t="shared" si="4"/>
        <v>1.865817724753227E-2</v>
      </c>
      <c r="F156" s="105">
        <f>Sheet1[[#This Row],[NSE:NIFTYBEES
]]</f>
        <v>271.94</v>
      </c>
      <c r="G156" s="43">
        <f t="shared" si="5"/>
        <v>5.2119912763834986E-3</v>
      </c>
    </row>
    <row r="157" spans="2:7" x14ac:dyDescent="0.35">
      <c r="B157" s="104">
        <f>Sheet1[[#This Row],[symbol]]</f>
        <v>45492.645830000001</v>
      </c>
      <c r="C157" s="182">
        <f>Sheet1[[#This Row],[NSE:DMART]]</f>
        <v>5010.7</v>
      </c>
      <c r="D157" s="43">
        <f t="shared" si="4"/>
        <v>1.3562853357337312E-2</v>
      </c>
      <c r="F157" s="105">
        <f>Sheet1[[#This Row],[NSE:NIFTYBEES
]]</f>
        <v>273.29000000000002</v>
      </c>
      <c r="G157" s="43">
        <f t="shared" si="5"/>
        <v>4.9643303669928418E-3</v>
      </c>
    </row>
    <row r="158" spans="2:7" x14ac:dyDescent="0.35">
      <c r="B158" s="104">
        <f>Sheet1[[#This Row],[symbol]]</f>
        <v>45499.645830000001</v>
      </c>
      <c r="C158" s="182">
        <f>Sheet1[[#This Row],[NSE:DMART]]</f>
        <v>5071.6000000000004</v>
      </c>
      <c r="D158" s="43">
        <f t="shared" si="4"/>
        <v>1.2153990460414876E-2</v>
      </c>
      <c r="F158" s="105">
        <f>Sheet1[[#This Row],[NSE:NIFTYBEES
]]</f>
        <v>276.06</v>
      </c>
      <c r="G158" s="43">
        <f t="shared" si="5"/>
        <v>1.0135753229170374E-2</v>
      </c>
    </row>
    <row r="159" spans="2:7" x14ac:dyDescent="0.35">
      <c r="B159" s="104">
        <f>Sheet1[[#This Row],[symbol]]</f>
        <v>45506.645830000001</v>
      </c>
      <c r="C159" s="182">
        <f>Sheet1[[#This Row],[NSE:DMART]]</f>
        <v>4909.7</v>
      </c>
      <c r="D159" s="43">
        <f t="shared" si="4"/>
        <v>-3.1922864579225552E-2</v>
      </c>
      <c r="F159" s="105">
        <f>Sheet1[[#This Row],[NSE:NIFTYBEES
]]</f>
        <v>275.69</v>
      </c>
      <c r="G159" s="43">
        <f t="shared" si="5"/>
        <v>-1.3402883431138379E-3</v>
      </c>
    </row>
    <row r="160" spans="2:7" x14ac:dyDescent="0.35">
      <c r="B160" s="104">
        <f>Sheet1[[#This Row],[symbol]]</f>
        <v>45513.645830000001</v>
      </c>
      <c r="C160" s="182">
        <f>Sheet1[[#This Row],[NSE:DMART]]</f>
        <v>4989.95</v>
      </c>
      <c r="D160" s="43">
        <f t="shared" si="4"/>
        <v>1.6345194207385338E-2</v>
      </c>
      <c r="F160" s="105">
        <f>Sheet1[[#This Row],[NSE:NIFTYBEES
]]</f>
        <v>271.58999999999997</v>
      </c>
      <c r="G160" s="43">
        <f t="shared" si="5"/>
        <v>-1.4871776270448778E-2</v>
      </c>
    </row>
    <row r="161" spans="2:7" x14ac:dyDescent="0.35">
      <c r="B161" s="104">
        <f>Sheet1[[#This Row],[symbol]]</f>
        <v>45520.645830000001</v>
      </c>
      <c r="C161" s="182">
        <f>Sheet1[[#This Row],[NSE:DMART]]</f>
        <v>5021.3</v>
      </c>
      <c r="D161" s="43">
        <f t="shared" si="4"/>
        <v>6.2826280824457292E-3</v>
      </c>
      <c r="F161" s="105">
        <f>Sheet1[[#This Row],[NSE:NIFTYBEES
]]</f>
        <v>273.81</v>
      </c>
      <c r="G161" s="43">
        <f t="shared" si="5"/>
        <v>8.174085938362996E-3</v>
      </c>
    </row>
    <row r="162" spans="2:7" x14ac:dyDescent="0.35">
      <c r="B162" s="104">
        <f>Sheet1[[#This Row],[symbol]]</f>
        <v>45527.645830000001</v>
      </c>
      <c r="C162" s="182">
        <f>Sheet1[[#This Row],[NSE:DMART]]</f>
        <v>4901.5</v>
      </c>
      <c r="D162" s="43">
        <f t="shared" si="4"/>
        <v>-2.3858363372035174E-2</v>
      </c>
      <c r="F162" s="105">
        <f>Sheet1[[#This Row],[NSE:NIFTYBEES
]]</f>
        <v>276.60000000000002</v>
      </c>
      <c r="G162" s="43">
        <f t="shared" si="5"/>
        <v>1.01895474964393E-2</v>
      </c>
    </row>
    <row r="163" spans="2:7" x14ac:dyDescent="0.35">
      <c r="C163" s="182"/>
    </row>
    <row r="164" spans="2:7" x14ac:dyDescent="0.35">
      <c r="C164" s="182"/>
    </row>
    <row r="165" spans="2:7" x14ac:dyDescent="0.35">
      <c r="C165" s="182"/>
    </row>
    <row r="166" spans="2:7" x14ac:dyDescent="0.35">
      <c r="C166" s="182"/>
    </row>
    <row r="167" spans="2:7" x14ac:dyDescent="0.35">
      <c r="C167" s="182"/>
    </row>
    <row r="168" spans="2:7" x14ac:dyDescent="0.35">
      <c r="C168" s="105"/>
    </row>
    <row r="169" spans="2:7" x14ac:dyDescent="0.35">
      <c r="C169" s="105"/>
    </row>
  </sheetData>
  <mergeCells count="3">
    <mergeCell ref="B7:D7"/>
    <mergeCell ref="F7:G7"/>
    <mergeCell ref="M7:S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8033F-54E0-4DFE-9A04-0A53971AB59E}">
  <dimension ref="A1:G32"/>
  <sheetViews>
    <sheetView showGridLines="0" zoomScale="93" workbookViewId="0">
      <selection activeCell="K13" sqref="K13"/>
    </sheetView>
  </sheetViews>
  <sheetFormatPr defaultRowHeight="14.5" x14ac:dyDescent="0.35"/>
  <cols>
    <col min="1" max="1" width="2.1796875" customWidth="1"/>
    <col min="5" max="5" width="10.81640625" customWidth="1"/>
    <col min="6" max="6" width="12" customWidth="1"/>
  </cols>
  <sheetData>
    <row r="1" spans="1:7" x14ac:dyDescent="0.35">
      <c r="A1" s="41"/>
    </row>
    <row r="5" spans="1:7" x14ac:dyDescent="0.35">
      <c r="B5" s="66" t="s">
        <v>298</v>
      </c>
      <c r="C5" s="66"/>
      <c r="D5" s="66"/>
      <c r="E5" s="66"/>
      <c r="F5" s="186" t="s">
        <v>469</v>
      </c>
      <c r="G5" s="66" t="s">
        <v>468</v>
      </c>
    </row>
    <row r="7" spans="1:7" x14ac:dyDescent="0.35">
      <c r="B7" s="52" t="s">
        <v>154</v>
      </c>
      <c r="C7" s="103" t="s">
        <v>297</v>
      </c>
      <c r="D7" s="12">
        <v>1</v>
      </c>
      <c r="F7" s="168">
        <f>D31-D7/D7</f>
        <v>13.605951742285253</v>
      </c>
      <c r="G7" s="153">
        <f>(1+F7)^(1/23)-1</f>
        <v>0.12365175154651808</v>
      </c>
    </row>
    <row r="8" spans="1:7" x14ac:dyDescent="0.35">
      <c r="B8" s="42">
        <v>2000</v>
      </c>
      <c r="C8" s="112">
        <v>-0.14649999999999999</v>
      </c>
      <c r="D8">
        <f>D7*(1+C8)</f>
        <v>0.85350000000000004</v>
      </c>
    </row>
    <row r="9" spans="1:7" x14ac:dyDescent="0.35">
      <c r="B9" s="42">
        <v>2001</v>
      </c>
      <c r="C9" s="112">
        <v>-0.1618</v>
      </c>
      <c r="D9">
        <f t="shared" ref="D9:D30" si="0">D8*(1+C9)</f>
        <v>0.71540370000000009</v>
      </c>
      <c r="G9" s="122"/>
    </row>
    <row r="10" spans="1:7" x14ac:dyDescent="0.35">
      <c r="B10" s="42">
        <v>2002</v>
      </c>
      <c r="C10" s="112">
        <v>3.2500000000000001E-2</v>
      </c>
      <c r="D10">
        <f t="shared" si="0"/>
        <v>0.73865432025000011</v>
      </c>
      <c r="E10" s="96"/>
      <c r="F10" s="96"/>
      <c r="G10" s="126"/>
    </row>
    <row r="11" spans="1:7" x14ac:dyDescent="0.35">
      <c r="B11" s="42">
        <v>2003</v>
      </c>
      <c r="C11" s="112">
        <v>0.71900000000000008</v>
      </c>
      <c r="D11">
        <f t="shared" si="0"/>
        <v>1.2697467765097503</v>
      </c>
    </row>
    <row r="12" spans="1:7" x14ac:dyDescent="0.35">
      <c r="B12" s="42">
        <v>2004</v>
      </c>
      <c r="C12" s="112">
        <v>0.10679999999999999</v>
      </c>
      <c r="D12">
        <f t="shared" si="0"/>
        <v>1.4053557322409918</v>
      </c>
    </row>
    <row r="13" spans="1:7" x14ac:dyDescent="0.35">
      <c r="B13" s="42">
        <v>2005</v>
      </c>
      <c r="C13" s="112">
        <v>0.36340000000000006</v>
      </c>
      <c r="D13">
        <f t="shared" si="0"/>
        <v>1.916062005337368</v>
      </c>
    </row>
    <row r="14" spans="1:7" x14ac:dyDescent="0.35">
      <c r="B14" s="42">
        <v>2006</v>
      </c>
      <c r="C14" s="112">
        <v>0.39829999999999999</v>
      </c>
      <c r="D14">
        <f t="shared" si="0"/>
        <v>2.6792295020632415</v>
      </c>
    </row>
    <row r="15" spans="1:7" x14ac:dyDescent="0.35">
      <c r="B15" s="42">
        <v>2007</v>
      </c>
      <c r="C15" s="112">
        <v>0.54770000000000008</v>
      </c>
      <c r="D15">
        <f t="shared" si="0"/>
        <v>4.1466435003432789</v>
      </c>
    </row>
    <row r="16" spans="1:7" x14ac:dyDescent="0.35">
      <c r="B16" s="42">
        <v>2008</v>
      </c>
      <c r="C16" s="112">
        <v>-0.51790000000000003</v>
      </c>
      <c r="D16">
        <f t="shared" si="0"/>
        <v>1.9990968315154947</v>
      </c>
    </row>
    <row r="17" spans="2:4" x14ac:dyDescent="0.35">
      <c r="B17" s="42">
        <v>2009</v>
      </c>
      <c r="C17" s="112">
        <v>0.75760000000000005</v>
      </c>
      <c r="D17">
        <f t="shared" si="0"/>
        <v>3.5136125910716336</v>
      </c>
    </row>
    <row r="18" spans="2:4" x14ac:dyDescent="0.35">
      <c r="B18" s="42">
        <v>2010</v>
      </c>
      <c r="C18" s="112">
        <v>0.17949999999999999</v>
      </c>
      <c r="D18">
        <f t="shared" si="0"/>
        <v>4.144306051168992</v>
      </c>
    </row>
    <row r="19" spans="2:4" x14ac:dyDescent="0.35">
      <c r="B19" s="42">
        <v>2011</v>
      </c>
      <c r="C19" s="112">
        <v>-0.2462</v>
      </c>
      <c r="D19">
        <f t="shared" si="0"/>
        <v>3.1239779013711861</v>
      </c>
    </row>
    <row r="20" spans="2:4" x14ac:dyDescent="0.35">
      <c r="B20" s="42">
        <v>2012</v>
      </c>
      <c r="C20" s="112">
        <v>0.27699999999999997</v>
      </c>
      <c r="D20">
        <f t="shared" si="0"/>
        <v>3.9893197800510043</v>
      </c>
    </row>
    <row r="21" spans="2:4" x14ac:dyDescent="0.35">
      <c r="B21" s="42">
        <v>2013</v>
      </c>
      <c r="C21" s="112">
        <v>6.7599999999999993E-2</v>
      </c>
      <c r="D21">
        <f t="shared" si="0"/>
        <v>4.2589977971824524</v>
      </c>
    </row>
    <row r="22" spans="2:4" x14ac:dyDescent="0.35">
      <c r="B22" s="42">
        <v>2014</v>
      </c>
      <c r="C22" s="112">
        <v>0.31390000000000001</v>
      </c>
      <c r="D22">
        <f t="shared" si="0"/>
        <v>5.5958972057180247</v>
      </c>
    </row>
    <row r="23" spans="2:4" x14ac:dyDescent="0.35">
      <c r="B23" s="42">
        <v>2015</v>
      </c>
      <c r="C23" s="112">
        <v>-4.0599999999999997E-2</v>
      </c>
      <c r="D23">
        <f t="shared" si="0"/>
        <v>5.3687037791658732</v>
      </c>
    </row>
    <row r="24" spans="2:4" x14ac:dyDescent="0.35">
      <c r="B24" s="42">
        <v>2016</v>
      </c>
      <c r="C24" s="112">
        <v>3.0099999999999998E-2</v>
      </c>
      <c r="D24">
        <f t="shared" si="0"/>
        <v>5.5303017629187661</v>
      </c>
    </row>
    <row r="25" spans="2:4" x14ac:dyDescent="0.35">
      <c r="B25" s="42">
        <v>2017</v>
      </c>
      <c r="C25" s="112">
        <v>0.28649999999999998</v>
      </c>
      <c r="D25">
        <f t="shared" si="0"/>
        <v>7.114733217994992</v>
      </c>
    </row>
    <row r="26" spans="2:4" x14ac:dyDescent="0.35">
      <c r="B26" s="42">
        <v>2018</v>
      </c>
      <c r="C26" s="112">
        <v>3.15E-2</v>
      </c>
      <c r="D26">
        <f t="shared" si="0"/>
        <v>7.3388473143618347</v>
      </c>
    </row>
    <row r="27" spans="2:4" x14ac:dyDescent="0.35">
      <c r="B27" s="42">
        <v>2019</v>
      </c>
      <c r="C27" s="112">
        <v>0.1202</v>
      </c>
      <c r="D27">
        <f t="shared" si="0"/>
        <v>8.220976761548128</v>
      </c>
    </row>
    <row r="28" spans="2:4" x14ac:dyDescent="0.35">
      <c r="B28" s="42">
        <v>2020</v>
      </c>
      <c r="C28" s="112">
        <v>0.14899999999999999</v>
      </c>
      <c r="D28">
        <f t="shared" si="0"/>
        <v>9.4459022990187993</v>
      </c>
    </row>
    <row r="29" spans="2:4" x14ac:dyDescent="0.35">
      <c r="B29" s="42">
        <v>2021</v>
      </c>
      <c r="C29" s="112">
        <v>0.2412</v>
      </c>
      <c r="D29">
        <f t="shared" si="0"/>
        <v>11.724253933542135</v>
      </c>
    </row>
    <row r="30" spans="2:4" x14ac:dyDescent="0.35">
      <c r="B30" s="42">
        <v>2022</v>
      </c>
      <c r="C30" s="112">
        <v>4.3200000000000002E-2</v>
      </c>
      <c r="D30">
        <f t="shared" si="0"/>
        <v>12.230741703471155</v>
      </c>
    </row>
    <row r="31" spans="2:4" x14ac:dyDescent="0.35">
      <c r="B31" s="42">
        <v>2023</v>
      </c>
      <c r="C31" s="112">
        <v>0.19420000000000001</v>
      </c>
      <c r="D31">
        <f>D30*(1+C31)</f>
        <v>14.605951742285253</v>
      </c>
    </row>
    <row r="32" spans="2:4" x14ac:dyDescent="0.35">
      <c r="B32" s="42">
        <v>2024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E3453-BF3E-464A-BDA9-06150AC61CD8}">
  <sheetPr>
    <tabColor rgb="FF002060"/>
  </sheetPr>
  <dimension ref="B2:AA38"/>
  <sheetViews>
    <sheetView zoomScale="83" workbookViewId="0">
      <selection activeCell="D3" sqref="D3"/>
    </sheetView>
  </sheetViews>
  <sheetFormatPr defaultRowHeight="14.5" x14ac:dyDescent="0.35"/>
  <cols>
    <col min="3" max="3" width="16.08984375" bestFit="1" customWidth="1"/>
    <col min="4" max="4" width="13.453125" customWidth="1"/>
    <col min="5" max="5" width="15.7265625" bestFit="1" customWidth="1"/>
    <col min="6" max="6" width="15.7265625" customWidth="1"/>
    <col min="7" max="7" width="11.453125" customWidth="1"/>
    <col min="8" max="9" width="14.90625" customWidth="1"/>
    <col min="10" max="10" width="12" customWidth="1"/>
    <col min="11" max="11" width="10.26953125" bestFit="1" customWidth="1"/>
    <col min="12" max="12" width="14.90625" bestFit="1" customWidth="1"/>
    <col min="13" max="13" width="12.7265625" bestFit="1" customWidth="1"/>
    <col min="14" max="14" width="12.81640625" customWidth="1"/>
    <col min="15" max="16" width="13.36328125" bestFit="1" customWidth="1"/>
    <col min="18" max="18" width="14.54296875" customWidth="1"/>
    <col min="19" max="19" width="8.453125" bestFit="1" customWidth="1"/>
    <col min="20" max="20" width="15.81640625" bestFit="1" customWidth="1"/>
    <col min="21" max="21" width="15.81640625" customWidth="1"/>
    <col min="22" max="22" width="10.1796875" bestFit="1" customWidth="1"/>
    <col min="23" max="23" width="13.90625" bestFit="1" customWidth="1"/>
    <col min="24" max="24" width="13.90625" customWidth="1"/>
    <col min="25" max="25" width="10.36328125" bestFit="1" customWidth="1"/>
    <col min="26" max="26" width="15" bestFit="1" customWidth="1"/>
    <col min="27" max="27" width="12.6328125" bestFit="1" customWidth="1"/>
  </cols>
  <sheetData>
    <row r="2" spans="2:27" x14ac:dyDescent="0.35">
      <c r="B2" t="s">
        <v>212</v>
      </c>
      <c r="C2" s="12" t="s">
        <v>213</v>
      </c>
      <c r="D2" s="12" t="s">
        <v>214</v>
      </c>
      <c r="E2" s="12" t="s">
        <v>215</v>
      </c>
      <c r="F2" s="12" t="s">
        <v>234</v>
      </c>
      <c r="G2" s="12" t="s">
        <v>216</v>
      </c>
      <c r="H2" s="12" t="s">
        <v>217</v>
      </c>
      <c r="I2" s="12" t="s">
        <v>235</v>
      </c>
      <c r="J2" s="12" t="s">
        <v>419</v>
      </c>
      <c r="K2" s="12" t="s">
        <v>218</v>
      </c>
      <c r="L2" s="12" t="s">
        <v>411</v>
      </c>
      <c r="M2" s="12" t="s">
        <v>219</v>
      </c>
      <c r="O2" t="s">
        <v>128</v>
      </c>
    </row>
    <row r="3" spans="2:27" x14ac:dyDescent="0.35">
      <c r="B3">
        <v>1</v>
      </c>
      <c r="C3" t="s">
        <v>220</v>
      </c>
      <c r="D3" s="56">
        <f>'Google Sheet Data '!C2</f>
        <v>5308.85</v>
      </c>
      <c r="E3" s="56">
        <v>65.069999999999993</v>
      </c>
      <c r="F3" s="56">
        <f t="shared" ref="F3:F12" si="0">D3*E3</f>
        <v>345446.86949999997</v>
      </c>
      <c r="G3" s="56">
        <v>592.16</v>
      </c>
      <c r="H3" s="56">
        <v>638.17999999999995</v>
      </c>
      <c r="I3" s="56">
        <f>G3-H3</f>
        <v>-46.019999999999982</v>
      </c>
      <c r="J3" s="56">
        <f>F3+G3-H3</f>
        <v>345400.84949999995</v>
      </c>
      <c r="K3" s="56">
        <v>52992.53</v>
      </c>
      <c r="L3" s="56">
        <v>4224.9799999999996</v>
      </c>
      <c r="M3" s="56">
        <v>2650.58</v>
      </c>
      <c r="O3" s="51">
        <v>8.1000000000000003E-2</v>
      </c>
      <c r="Q3" t="s">
        <v>212</v>
      </c>
      <c r="R3" s="12" t="s">
        <v>213</v>
      </c>
      <c r="S3" s="12" t="s">
        <v>214</v>
      </c>
      <c r="T3" s="12" t="s">
        <v>215</v>
      </c>
      <c r="U3" s="12" t="s">
        <v>234</v>
      </c>
      <c r="V3" s="12" t="s">
        <v>216</v>
      </c>
      <c r="W3" s="12" t="s">
        <v>217</v>
      </c>
      <c r="X3" s="12" t="s">
        <v>419</v>
      </c>
      <c r="Y3" s="12" t="s">
        <v>218</v>
      </c>
      <c r="Z3" s="12" t="s">
        <v>411</v>
      </c>
      <c r="AA3" s="12" t="s">
        <v>219</v>
      </c>
    </row>
    <row r="4" spans="2:27" x14ac:dyDescent="0.35">
      <c r="B4">
        <v>2</v>
      </c>
      <c r="C4" t="s">
        <v>221</v>
      </c>
      <c r="D4" s="56">
        <f>'Google Sheet Data '!C3</f>
        <v>7170.05</v>
      </c>
      <c r="E4" s="56">
        <v>35.549999999999997</v>
      </c>
      <c r="F4" s="56">
        <f t="shared" si="0"/>
        <v>254895.2775</v>
      </c>
      <c r="G4" s="56">
        <v>1752.99</v>
      </c>
      <c r="H4" s="56">
        <v>297.56</v>
      </c>
      <c r="I4" s="56">
        <f t="shared" ref="I4:I12" si="1">G4-H4</f>
        <v>1455.43</v>
      </c>
      <c r="J4" s="56">
        <f t="shared" ref="J4:J12" si="2">F4+G4-H4</f>
        <v>256350.70749999999</v>
      </c>
      <c r="K4" s="56">
        <v>13851.18</v>
      </c>
      <c r="L4" s="56">
        <v>2215.29</v>
      </c>
      <c r="M4" s="56">
        <v>1702</v>
      </c>
      <c r="O4" s="51">
        <v>0.13369999999999999</v>
      </c>
      <c r="Q4">
        <v>1</v>
      </c>
      <c r="R4" t="s">
        <v>220</v>
      </c>
      <c r="S4" s="56">
        <v>4927.45</v>
      </c>
      <c r="T4" s="56">
        <v>65.069999999999993</v>
      </c>
      <c r="U4" s="56">
        <f t="shared" ref="U4:U13" si="3">S4*T4</f>
        <v>320629.17149999994</v>
      </c>
      <c r="V4" s="56">
        <v>592.16</v>
      </c>
      <c r="W4" s="56">
        <v>638.17999999999995</v>
      </c>
      <c r="X4" s="56">
        <f t="shared" ref="X4:X13" si="4">U4+V4-W4</f>
        <v>320583.15149999992</v>
      </c>
      <c r="Y4" s="56">
        <v>52992.53</v>
      </c>
      <c r="Z4" s="56">
        <v>4224.9799999999996</v>
      </c>
      <c r="AA4" s="56">
        <v>2650.58</v>
      </c>
    </row>
    <row r="5" spans="2:27" x14ac:dyDescent="0.35">
      <c r="B5">
        <v>3</v>
      </c>
      <c r="C5" t="s">
        <v>407</v>
      </c>
      <c r="D5" s="56">
        <f>'Google Sheet Data '!C4</f>
        <v>611</v>
      </c>
      <c r="E5" s="56">
        <v>51.92</v>
      </c>
      <c r="F5" s="56">
        <f t="shared" si="0"/>
        <v>31723.120000000003</v>
      </c>
      <c r="G5" s="56">
        <v>1429.59</v>
      </c>
      <c r="H5" s="56">
        <v>673.79</v>
      </c>
      <c r="I5" s="56">
        <f t="shared" si="1"/>
        <v>755.8</v>
      </c>
      <c r="J5" s="56">
        <f t="shared" si="2"/>
        <v>32478.92</v>
      </c>
      <c r="K5" s="56">
        <v>6480.86</v>
      </c>
      <c r="L5" s="56">
        <v>164.71</v>
      </c>
      <c r="M5" s="56">
        <v>-321.51</v>
      </c>
      <c r="O5" s="51">
        <v>0.4824</v>
      </c>
      <c r="Q5">
        <v>2</v>
      </c>
      <c r="R5" t="s">
        <v>221</v>
      </c>
      <c r="S5" s="56">
        <v>7158.75</v>
      </c>
      <c r="T5" s="56">
        <v>35.549999999999997</v>
      </c>
      <c r="U5" s="56">
        <f t="shared" si="3"/>
        <v>254493.56249999997</v>
      </c>
      <c r="V5" s="56">
        <v>1752.99</v>
      </c>
      <c r="W5" s="56">
        <v>297.56</v>
      </c>
      <c r="X5" s="56">
        <f t="shared" si="4"/>
        <v>255948.99249999996</v>
      </c>
      <c r="Y5" s="56">
        <v>13851.18</v>
      </c>
      <c r="Z5" s="56">
        <v>2215.29</v>
      </c>
      <c r="AA5" s="56">
        <v>1702</v>
      </c>
    </row>
    <row r="6" spans="2:27" x14ac:dyDescent="0.35">
      <c r="B6">
        <v>4</v>
      </c>
      <c r="C6" t="s">
        <v>222</v>
      </c>
      <c r="D6" s="56">
        <f>'Google Sheet Data '!C5</f>
        <v>315</v>
      </c>
      <c r="E6" s="56">
        <v>101.61</v>
      </c>
      <c r="F6" s="56">
        <f t="shared" si="0"/>
        <v>32007.15</v>
      </c>
      <c r="G6" s="56">
        <v>9451.4</v>
      </c>
      <c r="H6" s="56">
        <v>462.39</v>
      </c>
      <c r="I6" s="56">
        <f t="shared" si="1"/>
        <v>8989.01</v>
      </c>
      <c r="J6" s="56">
        <f t="shared" si="2"/>
        <v>40996.160000000003</v>
      </c>
      <c r="K6" s="56">
        <v>14227.62</v>
      </c>
      <c r="L6" s="56">
        <v>1685.03</v>
      </c>
      <c r="M6" s="56">
        <v>-789.21</v>
      </c>
      <c r="O6" s="51">
        <v>9.6500000000000002E-2</v>
      </c>
      <c r="Q6">
        <v>3</v>
      </c>
      <c r="R6" t="s">
        <v>407</v>
      </c>
      <c r="S6" s="56">
        <v>640.54999999999995</v>
      </c>
      <c r="T6" s="56">
        <v>51.92</v>
      </c>
      <c r="U6" s="56">
        <f t="shared" si="3"/>
        <v>33257.356</v>
      </c>
      <c r="V6" s="56">
        <v>1429.59</v>
      </c>
      <c r="W6" s="56">
        <v>673.79</v>
      </c>
      <c r="X6" s="56">
        <f t="shared" si="4"/>
        <v>34013.155999999995</v>
      </c>
      <c r="Y6" s="56">
        <v>6480.86</v>
      </c>
      <c r="Z6" s="56">
        <v>164.71</v>
      </c>
      <c r="AA6" s="56">
        <v>-321.51</v>
      </c>
    </row>
    <row r="7" spans="2:27" x14ac:dyDescent="0.35">
      <c r="B7">
        <v>5</v>
      </c>
      <c r="C7" t="s">
        <v>226</v>
      </c>
      <c r="D7" s="56">
        <f>'Google Sheet Data '!C6</f>
        <v>699.95</v>
      </c>
      <c r="E7" s="56">
        <v>13.82</v>
      </c>
      <c r="F7" s="56">
        <f t="shared" si="0"/>
        <v>9673.3090000000011</v>
      </c>
      <c r="G7" s="56">
        <v>480.06</v>
      </c>
      <c r="H7" s="56">
        <v>21.04</v>
      </c>
      <c r="I7" s="56">
        <f t="shared" si="1"/>
        <v>459.02</v>
      </c>
      <c r="J7" s="56">
        <f t="shared" si="2"/>
        <v>10132.329</v>
      </c>
      <c r="K7" s="56">
        <v>1892.94</v>
      </c>
      <c r="L7" s="56">
        <v>327.99</v>
      </c>
      <c r="M7" s="56">
        <v>160.16</v>
      </c>
      <c r="O7" s="51">
        <v>6.0299999999999999E-2</v>
      </c>
      <c r="Q7">
        <v>4</v>
      </c>
      <c r="R7" t="s">
        <v>222</v>
      </c>
      <c r="S7" s="56">
        <v>311.7</v>
      </c>
      <c r="T7" s="56">
        <v>101.61</v>
      </c>
      <c r="U7" s="56">
        <f t="shared" si="3"/>
        <v>31671.837</v>
      </c>
      <c r="V7" s="56">
        <v>9451.4</v>
      </c>
      <c r="W7" s="56">
        <v>462.39</v>
      </c>
      <c r="X7" s="56">
        <f t="shared" si="4"/>
        <v>40660.847000000002</v>
      </c>
      <c r="Y7" s="56">
        <v>14227.62</v>
      </c>
      <c r="Z7" s="56">
        <v>1685.03</v>
      </c>
      <c r="AA7" s="56">
        <v>-789.21</v>
      </c>
    </row>
    <row r="8" spans="2:27" x14ac:dyDescent="0.35">
      <c r="B8">
        <v>6</v>
      </c>
      <c r="C8" t="s">
        <v>225</v>
      </c>
      <c r="D8" s="56">
        <f>'Google Sheet Data '!C7</f>
        <v>830.3</v>
      </c>
      <c r="E8" s="56">
        <v>11</v>
      </c>
      <c r="F8" s="56">
        <f t="shared" si="0"/>
        <v>9133.2999999999993</v>
      </c>
      <c r="G8" s="56">
        <v>2784.54</v>
      </c>
      <c r="H8" s="56">
        <v>16.739999999999998</v>
      </c>
      <c r="I8" s="56">
        <f t="shared" si="1"/>
        <v>2767.8</v>
      </c>
      <c r="J8" s="56">
        <f t="shared" si="2"/>
        <v>11901.1</v>
      </c>
      <c r="K8" s="56">
        <v>4392.29</v>
      </c>
      <c r="L8" s="56">
        <v>771.97</v>
      </c>
      <c r="M8" s="56">
        <v>40.04</v>
      </c>
      <c r="O8" s="51">
        <v>6.7099999999999993E-2</v>
      </c>
      <c r="Q8">
        <v>5</v>
      </c>
      <c r="R8" t="s">
        <v>226</v>
      </c>
      <c r="S8" s="56">
        <v>678.3</v>
      </c>
      <c r="T8" s="56">
        <v>13.82</v>
      </c>
      <c r="U8" s="56">
        <f t="shared" si="3"/>
        <v>9374.1059999999998</v>
      </c>
      <c r="V8" s="56">
        <v>480.06</v>
      </c>
      <c r="W8" s="56">
        <v>21.04</v>
      </c>
      <c r="X8" s="56">
        <f t="shared" si="4"/>
        <v>9833.1259999999984</v>
      </c>
      <c r="Y8" s="56">
        <v>1892.94</v>
      </c>
      <c r="Z8" s="56">
        <v>327.99</v>
      </c>
      <c r="AA8" s="56">
        <v>160.16</v>
      </c>
    </row>
    <row r="9" spans="2:27" x14ac:dyDescent="0.35">
      <c r="B9">
        <v>7</v>
      </c>
      <c r="C9" t="s">
        <v>224</v>
      </c>
      <c r="D9" s="56">
        <f>'Google Sheet Data '!C8</f>
        <v>217.4</v>
      </c>
      <c r="E9" s="56">
        <v>38.47</v>
      </c>
      <c r="F9" s="56">
        <f t="shared" si="0"/>
        <v>8363.3780000000006</v>
      </c>
      <c r="G9" s="56">
        <v>1569.86</v>
      </c>
      <c r="H9" s="56">
        <v>83.67</v>
      </c>
      <c r="I9" s="56">
        <f t="shared" si="1"/>
        <v>1486.1899999999998</v>
      </c>
      <c r="J9" s="56">
        <f t="shared" si="2"/>
        <v>9849.5680000000011</v>
      </c>
      <c r="K9" s="56">
        <v>6586.9</v>
      </c>
      <c r="L9" s="56">
        <v>459.56</v>
      </c>
      <c r="M9" s="56">
        <v>196.23</v>
      </c>
      <c r="O9" s="51">
        <v>0.1711</v>
      </c>
      <c r="Q9">
        <v>6</v>
      </c>
      <c r="R9" t="s">
        <v>225</v>
      </c>
      <c r="S9" s="56">
        <v>810.15</v>
      </c>
      <c r="T9" s="56">
        <v>11</v>
      </c>
      <c r="U9" s="56">
        <f t="shared" si="3"/>
        <v>8911.65</v>
      </c>
      <c r="V9" s="56">
        <v>2784.54</v>
      </c>
      <c r="W9" s="56">
        <v>16.739999999999998</v>
      </c>
      <c r="X9" s="56">
        <f t="shared" si="4"/>
        <v>11679.449999999999</v>
      </c>
      <c r="Y9" s="56">
        <v>4392.29</v>
      </c>
      <c r="Z9" s="56">
        <v>771.97</v>
      </c>
      <c r="AA9" s="56">
        <v>40.04</v>
      </c>
    </row>
    <row r="10" spans="2:27" x14ac:dyDescent="0.35">
      <c r="B10">
        <v>8</v>
      </c>
      <c r="C10" t="s">
        <v>223</v>
      </c>
      <c r="D10" s="56">
        <f>'Google Sheet Data '!C9</f>
        <v>724.65</v>
      </c>
      <c r="E10" s="56">
        <v>11.95</v>
      </c>
      <c r="F10" s="56">
        <f t="shared" si="0"/>
        <v>8659.5674999999992</v>
      </c>
      <c r="G10" s="56">
        <v>1009.57</v>
      </c>
      <c r="H10" s="56">
        <v>141.68</v>
      </c>
      <c r="I10" s="56">
        <f t="shared" si="1"/>
        <v>867.8900000000001</v>
      </c>
      <c r="J10" s="56">
        <f t="shared" si="2"/>
        <v>9527.4574999999986</v>
      </c>
      <c r="K10" s="56">
        <v>5829.39</v>
      </c>
      <c r="L10" s="56">
        <v>394.09</v>
      </c>
      <c r="M10" s="56">
        <v>76.16</v>
      </c>
      <c r="O10" s="51">
        <v>0.16639999999999999</v>
      </c>
      <c r="Q10">
        <v>7</v>
      </c>
      <c r="R10" t="s">
        <v>224</v>
      </c>
      <c r="S10" s="56">
        <v>224.27</v>
      </c>
      <c r="T10" s="56">
        <v>38.47</v>
      </c>
      <c r="U10" s="56">
        <f t="shared" si="3"/>
        <v>8627.6669000000002</v>
      </c>
      <c r="V10" s="56">
        <v>1569.86</v>
      </c>
      <c r="W10" s="56">
        <v>83.67</v>
      </c>
      <c r="X10" s="56">
        <f t="shared" si="4"/>
        <v>10113.856900000001</v>
      </c>
      <c r="Y10" s="56">
        <v>6586.9</v>
      </c>
      <c r="Z10" s="56">
        <v>459.56</v>
      </c>
      <c r="AA10" s="56">
        <v>196.23</v>
      </c>
    </row>
    <row r="11" spans="2:27" x14ac:dyDescent="0.35">
      <c r="B11">
        <v>9</v>
      </c>
      <c r="C11" t="s">
        <v>227</v>
      </c>
      <c r="D11" s="56">
        <f>'Google Sheet Data '!C10</f>
        <v>3400</v>
      </c>
      <c r="E11" s="56">
        <v>2.4500000000000002</v>
      </c>
      <c r="F11" s="56">
        <f t="shared" si="0"/>
        <v>8330</v>
      </c>
      <c r="G11" s="56">
        <v>145.02000000000001</v>
      </c>
      <c r="H11" s="56">
        <v>345.46</v>
      </c>
      <c r="I11" s="56">
        <f t="shared" si="1"/>
        <v>-200.43999999999997</v>
      </c>
      <c r="J11" s="56">
        <f t="shared" si="2"/>
        <v>8129.56</v>
      </c>
      <c r="K11" s="56">
        <v>1042.21</v>
      </c>
      <c r="L11" s="56">
        <v>176.01</v>
      </c>
      <c r="M11" s="56">
        <v>87.94</v>
      </c>
      <c r="O11" s="51">
        <v>0.1454</v>
      </c>
      <c r="Q11">
        <v>8</v>
      </c>
      <c r="R11" t="s">
        <v>223</v>
      </c>
      <c r="S11" s="56">
        <v>679.4</v>
      </c>
      <c r="T11" s="56">
        <v>11.95</v>
      </c>
      <c r="U11" s="56">
        <f t="shared" si="3"/>
        <v>8118.829999999999</v>
      </c>
      <c r="V11" s="56">
        <v>1009.57</v>
      </c>
      <c r="W11" s="56">
        <v>141.68</v>
      </c>
      <c r="X11" s="56">
        <f t="shared" si="4"/>
        <v>8986.7199999999993</v>
      </c>
      <c r="Y11" s="56">
        <v>5829.39</v>
      </c>
      <c r="Z11" s="56">
        <v>394.09</v>
      </c>
      <c r="AA11" s="56">
        <v>76.16</v>
      </c>
    </row>
    <row r="12" spans="2:27" x14ac:dyDescent="0.35">
      <c r="B12">
        <v>10</v>
      </c>
      <c r="C12" t="s">
        <v>228</v>
      </c>
      <c r="D12" s="56">
        <f>'Google Sheet Data '!C11</f>
        <v>3591.45</v>
      </c>
      <c r="E12" s="56">
        <v>1.98</v>
      </c>
      <c r="F12" s="56">
        <f t="shared" si="0"/>
        <v>7111.0709999999999</v>
      </c>
      <c r="G12" s="56">
        <v>1391.25</v>
      </c>
      <c r="H12" s="56">
        <v>27.23</v>
      </c>
      <c r="I12" s="56">
        <f t="shared" si="1"/>
        <v>1364.02</v>
      </c>
      <c r="J12" s="56">
        <f t="shared" si="2"/>
        <v>8475.0910000000003</v>
      </c>
      <c r="K12" s="56">
        <v>2893.16</v>
      </c>
      <c r="L12" s="56">
        <v>233.88</v>
      </c>
      <c r="M12" s="56">
        <v>-62.67</v>
      </c>
      <c r="O12" s="51">
        <v>6.9199999999999998E-2</v>
      </c>
      <c r="Q12">
        <v>9</v>
      </c>
      <c r="R12" t="s">
        <v>227</v>
      </c>
      <c r="S12" s="56">
        <v>3273.5</v>
      </c>
      <c r="T12" s="56">
        <v>2.4500000000000002</v>
      </c>
      <c r="U12" s="56">
        <f t="shared" si="3"/>
        <v>8020.0750000000007</v>
      </c>
      <c r="V12" s="56">
        <v>145.02000000000001</v>
      </c>
      <c r="W12" s="56">
        <v>345.46</v>
      </c>
      <c r="X12" s="56">
        <f t="shared" si="4"/>
        <v>7819.6350000000011</v>
      </c>
      <c r="Y12" s="56">
        <v>1042.21</v>
      </c>
      <c r="Z12" s="56">
        <v>176.01</v>
      </c>
      <c r="AA12" s="56">
        <v>87.94</v>
      </c>
    </row>
    <row r="13" spans="2:27" x14ac:dyDescent="0.35">
      <c r="D13" s="56"/>
      <c r="E13" s="56"/>
      <c r="F13" s="56"/>
      <c r="G13" s="56"/>
      <c r="H13" s="56"/>
      <c r="I13" s="56"/>
      <c r="J13" s="56"/>
      <c r="K13" s="56"/>
      <c r="L13" s="51"/>
      <c r="M13" s="56"/>
      <c r="N13" s="56"/>
      <c r="P13" s="56"/>
      <c r="Q13">
        <v>10</v>
      </c>
      <c r="R13" t="s">
        <v>228</v>
      </c>
      <c r="S13" s="56">
        <v>3601</v>
      </c>
      <c r="T13" s="56">
        <v>1.98</v>
      </c>
      <c r="U13" s="56">
        <f t="shared" si="3"/>
        <v>7129.98</v>
      </c>
      <c r="V13" s="56">
        <v>1391.25</v>
      </c>
      <c r="W13" s="56">
        <v>27.23</v>
      </c>
      <c r="X13" s="56">
        <f t="shared" si="4"/>
        <v>8494</v>
      </c>
      <c r="Y13" s="56">
        <v>2893.16</v>
      </c>
      <c r="Z13" s="56">
        <v>233.88</v>
      </c>
      <c r="AA13" s="56">
        <v>-62.67</v>
      </c>
    </row>
    <row r="14" spans="2:27" x14ac:dyDescent="0.35">
      <c r="D14" s="56"/>
      <c r="E14" s="56"/>
      <c r="F14" s="56"/>
      <c r="G14" s="56"/>
      <c r="H14" s="56"/>
      <c r="I14" s="56"/>
      <c r="J14" s="56"/>
      <c r="K14" s="56"/>
      <c r="L14" s="51"/>
      <c r="M14" s="56"/>
      <c r="N14" s="56"/>
      <c r="P14" s="56"/>
    </row>
    <row r="15" spans="2:27" x14ac:dyDescent="0.35">
      <c r="D15" s="56"/>
      <c r="E15" s="56"/>
      <c r="F15" s="56"/>
      <c r="G15" s="56"/>
      <c r="H15" s="56"/>
      <c r="I15" s="56"/>
      <c r="J15" s="56"/>
      <c r="K15" s="56"/>
      <c r="L15" s="51"/>
      <c r="M15" s="56"/>
      <c r="N15" s="56"/>
      <c r="P15" s="56"/>
    </row>
    <row r="16" spans="2:27" x14ac:dyDescent="0.35">
      <c r="D16" s="56"/>
      <c r="E16" s="56"/>
      <c r="F16" s="56"/>
      <c r="G16" s="56"/>
      <c r="H16" s="56"/>
      <c r="I16" s="56"/>
      <c r="J16" s="56"/>
      <c r="K16" s="56"/>
      <c r="L16" s="51"/>
      <c r="M16" s="56"/>
      <c r="N16" s="56"/>
      <c r="P16" s="56"/>
    </row>
    <row r="17" spans="2:27" x14ac:dyDescent="0.35">
      <c r="D17" s="56"/>
      <c r="E17" s="56"/>
      <c r="F17" s="56"/>
      <c r="G17" s="56"/>
      <c r="H17" s="56"/>
      <c r="I17" s="56"/>
      <c r="J17" s="56"/>
      <c r="K17" s="56"/>
      <c r="L17" s="51"/>
      <c r="M17" s="56"/>
      <c r="N17" s="56"/>
      <c r="P17" s="56"/>
    </row>
    <row r="18" spans="2:27" x14ac:dyDescent="0.35">
      <c r="D18" s="56"/>
      <c r="E18" s="56"/>
      <c r="F18" s="56"/>
      <c r="G18" s="56"/>
      <c r="H18" s="56"/>
      <c r="I18" s="56"/>
      <c r="J18" s="56"/>
      <c r="K18" s="56"/>
      <c r="L18" s="51"/>
      <c r="M18" s="56"/>
      <c r="N18" s="56"/>
      <c r="P18" s="56"/>
    </row>
    <row r="19" spans="2:27" x14ac:dyDescent="0.35">
      <c r="D19" s="56"/>
      <c r="E19" s="56"/>
      <c r="F19" s="56"/>
      <c r="G19" s="56"/>
      <c r="H19" s="56"/>
      <c r="I19" s="56"/>
      <c r="J19" s="56"/>
      <c r="K19" s="56"/>
      <c r="L19" s="51"/>
      <c r="M19" s="56"/>
      <c r="N19" s="56"/>
      <c r="P19" s="56"/>
    </row>
    <row r="20" spans="2:27" x14ac:dyDescent="0.35">
      <c r="D20" s="56"/>
      <c r="E20" s="56"/>
      <c r="F20" s="56"/>
      <c r="G20" s="56"/>
      <c r="H20" s="56"/>
      <c r="I20" s="56"/>
      <c r="J20" s="56"/>
      <c r="K20" s="56"/>
      <c r="L20" s="51"/>
      <c r="M20" s="56"/>
      <c r="N20" s="56"/>
      <c r="P20" s="56"/>
    </row>
    <row r="21" spans="2:27" x14ac:dyDescent="0.35">
      <c r="D21" s="56"/>
      <c r="E21" s="56"/>
      <c r="F21" s="56"/>
      <c r="G21" s="56"/>
      <c r="H21" s="56"/>
      <c r="I21" s="56"/>
      <c r="J21" s="56"/>
      <c r="K21" s="56"/>
      <c r="L21" s="51"/>
      <c r="M21" s="56"/>
      <c r="N21" s="56"/>
      <c r="P21" s="56"/>
    </row>
    <row r="22" spans="2:27" x14ac:dyDescent="0.35">
      <c r="D22" s="56"/>
      <c r="E22" s="56"/>
      <c r="F22" s="56"/>
      <c r="G22" s="56"/>
      <c r="H22" s="56"/>
      <c r="I22" s="56"/>
      <c r="J22" s="56"/>
      <c r="K22" s="56"/>
      <c r="L22" s="51"/>
      <c r="M22" s="56"/>
      <c r="N22" s="56"/>
      <c r="P22" s="56"/>
    </row>
    <row r="23" spans="2:27" x14ac:dyDescent="0.35">
      <c r="D23" s="56"/>
      <c r="E23" s="56"/>
      <c r="F23" s="56"/>
      <c r="G23" s="56"/>
      <c r="H23" s="56"/>
      <c r="I23" s="56"/>
      <c r="J23" s="56"/>
      <c r="K23" s="56"/>
      <c r="L23" s="51"/>
      <c r="M23" s="56"/>
      <c r="N23" s="56"/>
      <c r="P23" s="56"/>
    </row>
    <row r="24" spans="2:27" x14ac:dyDescent="0.35">
      <c r="B24">
        <v>11</v>
      </c>
      <c r="C24" t="s">
        <v>229</v>
      </c>
      <c r="D24" s="56">
        <v>268.14999999999998</v>
      </c>
      <c r="E24" s="56">
        <v>15.34</v>
      </c>
      <c r="F24" s="56">
        <f t="shared" ref="F24:F28" si="5">D24*E24</f>
        <v>4113.4209999999994</v>
      </c>
      <c r="G24" s="56">
        <v>519.87</v>
      </c>
      <c r="H24" s="56">
        <v>49.7</v>
      </c>
      <c r="I24" s="56"/>
      <c r="J24" s="56">
        <f t="shared" ref="J24:J28" si="6">F24+G24-H24</f>
        <v>4583.5909999999994</v>
      </c>
      <c r="K24" s="56">
        <v>1351.47</v>
      </c>
      <c r="L24" s="51">
        <f>P24/100</f>
        <v>0.1623</v>
      </c>
      <c r="M24" s="56">
        <f>K24*L24</f>
        <v>219.343581</v>
      </c>
      <c r="N24" s="56">
        <v>97.59</v>
      </c>
      <c r="P24" s="56">
        <v>16.23</v>
      </c>
      <c r="Q24">
        <v>11</v>
      </c>
      <c r="R24" t="s">
        <v>408</v>
      </c>
      <c r="S24" s="56">
        <v>486.1</v>
      </c>
      <c r="T24" s="56">
        <v>12.87</v>
      </c>
      <c r="U24" s="56">
        <f t="shared" ref="U24:U38" si="7">S24*T24</f>
        <v>6256.107</v>
      </c>
      <c r="V24" s="56">
        <v>318.64</v>
      </c>
      <c r="W24" s="56">
        <v>96.16</v>
      </c>
      <c r="X24" s="56">
        <f t="shared" ref="X24:X38" si="8">U24+V24-W24</f>
        <v>6478.5870000000004</v>
      </c>
      <c r="Y24" s="56">
        <v>1990.84</v>
      </c>
      <c r="Z24" s="56">
        <v>176.44</v>
      </c>
      <c r="AA24" s="56">
        <v>92.73</v>
      </c>
    </row>
    <row r="25" spans="2:27" x14ac:dyDescent="0.35">
      <c r="B25">
        <v>12</v>
      </c>
      <c r="C25" t="s">
        <v>230</v>
      </c>
      <c r="D25" s="56">
        <v>706</v>
      </c>
      <c r="E25" s="56">
        <v>4.6900000000000004</v>
      </c>
      <c r="F25" s="56">
        <f t="shared" si="5"/>
        <v>3311.1400000000003</v>
      </c>
      <c r="G25" s="56">
        <v>5.36</v>
      </c>
      <c r="H25" s="56">
        <v>11.85</v>
      </c>
      <c r="I25" s="56"/>
      <c r="J25" s="56">
        <f t="shared" si="6"/>
        <v>3304.6500000000005</v>
      </c>
      <c r="K25" s="56">
        <v>172.92</v>
      </c>
      <c r="L25" s="51">
        <f>P25/100</f>
        <v>2.2000000000000002E-2</v>
      </c>
      <c r="M25" s="56">
        <f>K25*L25</f>
        <v>3.8042400000000001</v>
      </c>
      <c r="N25" s="56">
        <v>45.96</v>
      </c>
      <c r="P25" s="56">
        <v>2.2000000000000002</v>
      </c>
      <c r="Q25">
        <v>12</v>
      </c>
      <c r="R25" t="s">
        <v>409</v>
      </c>
      <c r="S25" s="56">
        <v>1368.05</v>
      </c>
      <c r="T25" s="56">
        <v>4.3499999999999996</v>
      </c>
      <c r="U25" s="56">
        <f t="shared" si="7"/>
        <v>5951.017499999999</v>
      </c>
      <c r="V25" s="56">
        <v>337.98</v>
      </c>
      <c r="W25" s="56">
        <v>893.18</v>
      </c>
      <c r="X25" s="56">
        <f t="shared" si="8"/>
        <v>5395.8174999999992</v>
      </c>
      <c r="Y25" s="56">
        <v>4120.1499999999996</v>
      </c>
      <c r="Z25" s="56">
        <v>126.21</v>
      </c>
      <c r="AA25" s="56">
        <v>53.91</v>
      </c>
    </row>
    <row r="26" spans="2:27" x14ac:dyDescent="0.35">
      <c r="B26">
        <v>13</v>
      </c>
      <c r="C26" t="s">
        <v>231</v>
      </c>
      <c r="D26" s="56">
        <v>272.85000000000002</v>
      </c>
      <c r="E26" s="56">
        <v>6.43</v>
      </c>
      <c r="F26" s="56">
        <f t="shared" si="5"/>
        <v>1754.4255000000001</v>
      </c>
      <c r="G26" s="56">
        <v>191.92</v>
      </c>
      <c r="H26" s="56">
        <v>8.89</v>
      </c>
      <c r="I26" s="56"/>
      <c r="J26" s="56">
        <f t="shared" si="6"/>
        <v>1937.4555</v>
      </c>
      <c r="K26" s="56">
        <v>498.18</v>
      </c>
      <c r="L26" s="51">
        <f>P26/100</f>
        <v>0.3256</v>
      </c>
      <c r="M26" s="56">
        <f>K26*L26</f>
        <v>162.20740800000002</v>
      </c>
      <c r="N26" s="56">
        <v>77.45</v>
      </c>
      <c r="P26" s="56">
        <v>32.56</v>
      </c>
      <c r="Q26">
        <v>13</v>
      </c>
      <c r="R26" t="s">
        <v>230</v>
      </c>
      <c r="S26" s="56">
        <v>848.2</v>
      </c>
      <c r="T26" s="56">
        <v>4.7300000000000004</v>
      </c>
      <c r="U26" s="56">
        <f t="shared" si="7"/>
        <v>4011.9860000000008</v>
      </c>
      <c r="V26" s="56">
        <v>112.48</v>
      </c>
      <c r="W26" s="56">
        <v>99.45</v>
      </c>
      <c r="X26" s="56">
        <f t="shared" si="8"/>
        <v>4025.0160000000005</v>
      </c>
      <c r="Y26" s="56">
        <v>545.05999999999995</v>
      </c>
      <c r="Z26" s="56">
        <v>144.68</v>
      </c>
      <c r="AA26" s="56">
        <v>29.36</v>
      </c>
    </row>
    <row r="27" spans="2:27" x14ac:dyDescent="0.35">
      <c r="B27">
        <v>14</v>
      </c>
      <c r="C27" t="s">
        <v>232</v>
      </c>
      <c r="D27" s="56">
        <v>363</v>
      </c>
      <c r="E27" s="56">
        <v>3.46</v>
      </c>
      <c r="F27" s="56">
        <f>D27*E27</f>
        <v>1255.98</v>
      </c>
      <c r="G27" s="56">
        <v>445.33</v>
      </c>
      <c r="H27" s="56">
        <v>5.14</v>
      </c>
      <c r="I27" s="56"/>
      <c r="J27" s="56">
        <f t="shared" si="6"/>
        <v>1696.1699999999998</v>
      </c>
      <c r="K27" s="56">
        <v>928.02</v>
      </c>
      <c r="L27" s="51">
        <f>P27/100</f>
        <v>0.1162</v>
      </c>
      <c r="M27" s="56">
        <f>K27*L27</f>
        <v>107.83592399999999</v>
      </c>
      <c r="N27" s="56">
        <v>2.15</v>
      </c>
      <c r="P27" s="56">
        <v>11.62</v>
      </c>
      <c r="Q27">
        <v>14</v>
      </c>
      <c r="R27" t="s">
        <v>232</v>
      </c>
      <c r="S27" s="56">
        <v>1147.6500000000001</v>
      </c>
      <c r="T27" s="56">
        <v>3.46</v>
      </c>
      <c r="U27" s="56">
        <f t="shared" si="7"/>
        <v>3970.8690000000001</v>
      </c>
      <c r="V27" s="56">
        <v>502.22</v>
      </c>
      <c r="W27" s="56">
        <v>6.65</v>
      </c>
      <c r="X27" s="56">
        <f t="shared" si="8"/>
        <v>4466.4390000000003</v>
      </c>
      <c r="Y27" s="56">
        <v>1316.15</v>
      </c>
      <c r="Z27" s="56">
        <v>149.22999999999999</v>
      </c>
      <c r="AA27" s="56">
        <v>38.14</v>
      </c>
    </row>
    <row r="28" spans="2:27" x14ac:dyDescent="0.35">
      <c r="B28">
        <v>15</v>
      </c>
      <c r="C28" t="s">
        <v>233</v>
      </c>
      <c r="D28" s="56">
        <v>104.15</v>
      </c>
      <c r="E28" s="56">
        <v>9.01</v>
      </c>
      <c r="F28" s="56">
        <f t="shared" si="5"/>
        <v>938.39150000000006</v>
      </c>
      <c r="G28" s="56">
        <v>1444.61</v>
      </c>
      <c r="H28" s="56">
        <v>17.62</v>
      </c>
      <c r="I28" s="56"/>
      <c r="J28" s="56">
        <f t="shared" si="6"/>
        <v>2365.3815</v>
      </c>
      <c r="K28" s="56">
        <v>2326.5100000000002</v>
      </c>
      <c r="L28" s="51">
        <f>P28/100</f>
        <v>-6.6E-3</v>
      </c>
      <c r="M28" s="56">
        <f>K28*L28</f>
        <v>-15.354966000000001</v>
      </c>
      <c r="N28" s="56">
        <v>-257.24</v>
      </c>
      <c r="P28" s="56">
        <v>-0.66</v>
      </c>
      <c r="Q28">
        <v>15</v>
      </c>
      <c r="R28" t="s">
        <v>410</v>
      </c>
      <c r="S28" s="56"/>
      <c r="T28" s="56"/>
      <c r="U28" s="56">
        <f t="shared" si="7"/>
        <v>0</v>
      </c>
      <c r="V28" s="56">
        <v>657.49</v>
      </c>
      <c r="W28" s="56">
        <v>14.85</v>
      </c>
      <c r="X28" s="56">
        <f t="shared" si="8"/>
        <v>642.64</v>
      </c>
      <c r="Y28" s="56">
        <v>972.65</v>
      </c>
      <c r="Z28" s="56">
        <v>153.44</v>
      </c>
      <c r="AA28" s="56">
        <v>21.99</v>
      </c>
    </row>
    <row r="29" spans="2:27" x14ac:dyDescent="0.35">
      <c r="Q29">
        <v>16</v>
      </c>
      <c r="R29" t="s">
        <v>412</v>
      </c>
      <c r="S29" s="56">
        <v>369.8</v>
      </c>
      <c r="T29" s="56">
        <v>7.23</v>
      </c>
      <c r="U29" s="56">
        <f t="shared" si="7"/>
        <v>2673.6540000000005</v>
      </c>
      <c r="V29" s="56">
        <v>1046.21</v>
      </c>
      <c r="W29" s="56">
        <v>29.33</v>
      </c>
      <c r="X29" s="56">
        <f t="shared" si="8"/>
        <v>3690.5340000000006</v>
      </c>
      <c r="Y29" s="56">
        <v>2765.62</v>
      </c>
      <c r="Z29" s="56">
        <v>274.68</v>
      </c>
      <c r="AA29" s="56">
        <v>23.05</v>
      </c>
    </row>
    <row r="30" spans="2:27" x14ac:dyDescent="0.35">
      <c r="Q30">
        <v>17</v>
      </c>
      <c r="R30" t="s">
        <v>229</v>
      </c>
      <c r="S30" s="56">
        <v>170.59</v>
      </c>
      <c r="T30" s="56">
        <v>15.34</v>
      </c>
      <c r="U30" s="56">
        <f t="shared" si="7"/>
        <v>2616.8506000000002</v>
      </c>
      <c r="V30" s="56">
        <v>464.23</v>
      </c>
      <c r="W30" s="56">
        <v>401.64</v>
      </c>
      <c r="X30" s="56">
        <f t="shared" si="8"/>
        <v>2679.4406000000004</v>
      </c>
      <c r="Y30" s="56">
        <v>1336.22</v>
      </c>
      <c r="Z30" s="56">
        <v>235.45</v>
      </c>
      <c r="AA30" s="56">
        <v>86.16</v>
      </c>
    </row>
    <row r="31" spans="2:27" x14ac:dyDescent="0.35">
      <c r="Q31">
        <v>18</v>
      </c>
      <c r="R31" t="s">
        <v>413</v>
      </c>
      <c r="S31" s="56">
        <v>580.4</v>
      </c>
      <c r="T31" s="56">
        <v>4.13</v>
      </c>
      <c r="U31" s="56">
        <f t="shared" si="7"/>
        <v>2397.0519999999997</v>
      </c>
      <c r="V31" s="56">
        <v>627.02</v>
      </c>
      <c r="W31" s="56">
        <v>31.91</v>
      </c>
      <c r="X31" s="56">
        <f t="shared" si="8"/>
        <v>2992.1619999999998</v>
      </c>
      <c r="Y31" s="56">
        <v>3425.89</v>
      </c>
      <c r="Z31" s="56">
        <v>227.21</v>
      </c>
      <c r="AA31" s="56">
        <v>53.4</v>
      </c>
    </row>
    <row r="32" spans="2:27" x14ac:dyDescent="0.35">
      <c r="Q32">
        <v>19</v>
      </c>
      <c r="R32" t="s">
        <v>414</v>
      </c>
      <c r="S32" s="56">
        <v>56541</v>
      </c>
      <c r="T32" s="56">
        <v>0.03</v>
      </c>
      <c r="U32" s="56">
        <f t="shared" si="7"/>
        <v>1696.23</v>
      </c>
      <c r="V32" s="56">
        <v>0</v>
      </c>
      <c r="W32" s="56">
        <v>37.08</v>
      </c>
      <c r="X32" s="56">
        <f t="shared" si="8"/>
        <v>1659.15</v>
      </c>
      <c r="Y32" s="56">
        <v>62.01</v>
      </c>
      <c r="Z32" s="56">
        <v>112.6</v>
      </c>
      <c r="AA32" s="56">
        <v>130.97</v>
      </c>
    </row>
    <row r="33" spans="17:27" x14ac:dyDescent="0.35">
      <c r="Q33">
        <v>20</v>
      </c>
      <c r="R33" t="s">
        <v>415</v>
      </c>
      <c r="S33" s="56">
        <v>228.91</v>
      </c>
      <c r="T33" s="56">
        <v>7.12</v>
      </c>
      <c r="U33" s="56">
        <f t="shared" si="7"/>
        <v>1629.8391999999999</v>
      </c>
      <c r="V33" s="56">
        <v>925</v>
      </c>
      <c r="W33" s="56">
        <v>60.59</v>
      </c>
      <c r="X33" s="56">
        <f t="shared" si="8"/>
        <v>2494.2491999999997</v>
      </c>
      <c r="Y33" s="56">
        <v>5700.94</v>
      </c>
      <c r="Z33" s="56">
        <v>286.06</v>
      </c>
      <c r="AA33" s="56">
        <v>73.77</v>
      </c>
    </row>
    <row r="34" spans="17:27" x14ac:dyDescent="0.35">
      <c r="Q34">
        <v>21</v>
      </c>
      <c r="R34" t="s">
        <v>416</v>
      </c>
      <c r="S34" s="56">
        <v>103.65</v>
      </c>
      <c r="T34" s="56">
        <v>14.7</v>
      </c>
      <c r="U34" s="56">
        <f t="shared" si="7"/>
        <v>1523.655</v>
      </c>
      <c r="V34" s="56">
        <v>386.09</v>
      </c>
      <c r="W34" s="56">
        <v>175.39</v>
      </c>
      <c r="X34" s="56">
        <f t="shared" si="8"/>
        <v>1734.355</v>
      </c>
      <c r="Y34" s="56">
        <v>1680.04</v>
      </c>
      <c r="Z34" s="56">
        <v>63.67</v>
      </c>
      <c r="AA34" s="56">
        <v>6.7</v>
      </c>
    </row>
    <row r="35" spans="17:27" x14ac:dyDescent="0.35">
      <c r="Q35">
        <v>22</v>
      </c>
      <c r="R35" t="s">
        <v>417</v>
      </c>
      <c r="S35" s="56">
        <v>598.6</v>
      </c>
      <c r="T35" s="56">
        <v>2.42</v>
      </c>
      <c r="U35" s="56">
        <f t="shared" si="7"/>
        <v>1448.6120000000001</v>
      </c>
      <c r="V35" s="56">
        <v>86.65</v>
      </c>
      <c r="W35" s="56">
        <v>34.4</v>
      </c>
      <c r="X35" s="56">
        <f t="shared" si="8"/>
        <v>1500.8620000000001</v>
      </c>
      <c r="Y35" s="56">
        <v>4987.28</v>
      </c>
      <c r="Z35" s="56">
        <v>155.15</v>
      </c>
      <c r="AA35" s="56">
        <v>79.900000000000006</v>
      </c>
    </row>
    <row r="36" spans="17:27" x14ac:dyDescent="0.35">
      <c r="Q36">
        <v>23</v>
      </c>
      <c r="R36" t="s">
        <v>231</v>
      </c>
      <c r="S36" s="56">
        <v>207.86</v>
      </c>
      <c r="T36" s="56">
        <v>6.5</v>
      </c>
      <c r="U36" s="56">
        <f t="shared" si="7"/>
        <v>1351.0900000000001</v>
      </c>
      <c r="V36" s="56">
        <v>253.18</v>
      </c>
      <c r="W36" s="56">
        <v>2.48</v>
      </c>
      <c r="X36" s="56">
        <f t="shared" si="8"/>
        <v>1601.7900000000002</v>
      </c>
      <c r="Y36" s="56">
        <v>572.73</v>
      </c>
      <c r="Z36" s="56">
        <v>165.72</v>
      </c>
      <c r="AA36" s="56">
        <v>60.36</v>
      </c>
    </row>
    <row r="37" spans="17:27" x14ac:dyDescent="0.35">
      <c r="Q37">
        <v>24</v>
      </c>
      <c r="R37" t="s">
        <v>233</v>
      </c>
      <c r="S37" s="56">
        <v>104.31</v>
      </c>
      <c r="T37" s="56">
        <v>9.01</v>
      </c>
      <c r="U37" s="56">
        <f t="shared" si="7"/>
        <v>939.83309999999994</v>
      </c>
      <c r="V37" s="56">
        <v>1621.64</v>
      </c>
      <c r="W37" s="56">
        <v>36.31</v>
      </c>
      <c r="X37" s="56">
        <f t="shared" si="8"/>
        <v>2525.1631000000002</v>
      </c>
      <c r="Y37" s="56">
        <v>2323.16</v>
      </c>
      <c r="Z37" s="56">
        <v>9.2799999999999994</v>
      </c>
      <c r="AA37" s="56">
        <v>-245.44</v>
      </c>
    </row>
    <row r="38" spans="17:27" x14ac:dyDescent="0.35">
      <c r="Q38">
        <v>25</v>
      </c>
      <c r="R38" t="s">
        <v>418</v>
      </c>
      <c r="S38" s="56">
        <v>889.5</v>
      </c>
      <c r="T38" s="56">
        <v>0.96</v>
      </c>
      <c r="U38" s="56">
        <f t="shared" si="7"/>
        <v>853.92</v>
      </c>
      <c r="V38" s="56">
        <v>2.12</v>
      </c>
      <c r="W38" s="56">
        <v>0.7</v>
      </c>
      <c r="X38" s="56">
        <f t="shared" si="8"/>
        <v>855.33999999999992</v>
      </c>
      <c r="Y38" s="56">
        <v>88.41</v>
      </c>
      <c r="Z38" s="56">
        <v>11.84</v>
      </c>
      <c r="AA38" s="56">
        <v>17.649999999999999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CBD92-D580-4C2B-BCC9-5E26472E6E27}">
  <sheetPr>
    <tabColor rgb="FF002060"/>
  </sheetPr>
  <dimension ref="A1"/>
  <sheetViews>
    <sheetView workbookViewId="0">
      <selection activeCell="K11" sqref="K11"/>
    </sheetView>
  </sheetViews>
  <sheetFormatPr defaultRowHeight="14.5"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C8C1E-4D9C-42E9-83DE-CAC4752111B5}">
  <dimension ref="A1:K93"/>
  <sheetViews>
    <sheetView zoomScale="82" zoomScaleNormal="120" zoomScalePageLayoutView="120" workbookViewId="0">
      <pane xSplit="1" ySplit="1" topLeftCell="B17" activePane="bottomRight" state="frozen"/>
      <selection activeCell="C4" sqref="C4"/>
      <selection pane="topRight" activeCell="C4" sqref="C4"/>
      <selection pane="bottomLeft" activeCell="C4" sqref="C4"/>
      <selection pane="bottomRight" activeCell="B17" sqref="B17"/>
    </sheetView>
  </sheetViews>
  <sheetFormatPr defaultColWidth="8.81640625" defaultRowHeight="14.5" x14ac:dyDescent="0.35"/>
  <cols>
    <col min="1" max="1" width="27.6328125" style="3" bestFit="1" customWidth="1"/>
    <col min="2" max="11" width="13.453125" style="3" bestFit="1" customWidth="1"/>
    <col min="12" max="16384" width="8.81640625" style="3"/>
  </cols>
  <sheetData>
    <row r="1" spans="1:11" s="2" customFormat="1" x14ac:dyDescent="0.35">
      <c r="A1" s="2" t="s">
        <v>2</v>
      </c>
      <c r="B1" s="2" t="s">
        <v>3</v>
      </c>
      <c r="E1" s="228" t="str">
        <f>IF(B2&lt;&gt;B3, "A NEW VERSION OF THE WORKSHEET IS AVAILABLE", "")</f>
        <v/>
      </c>
      <c r="F1" s="228"/>
      <c r="G1" s="228"/>
      <c r="H1" s="228"/>
      <c r="I1" s="228"/>
      <c r="J1" s="228"/>
      <c r="K1" s="228"/>
    </row>
    <row r="2" spans="1:11" x14ac:dyDescent="0.35">
      <c r="A2" s="2" t="s">
        <v>4</v>
      </c>
      <c r="B2" s="3">
        <v>2.1</v>
      </c>
      <c r="E2" s="229" t="s">
        <v>5</v>
      </c>
      <c r="F2" s="229"/>
      <c r="G2" s="229"/>
      <c r="H2" s="229"/>
      <c r="I2" s="229"/>
      <c r="J2" s="229"/>
      <c r="K2" s="229"/>
    </row>
    <row r="3" spans="1:11" x14ac:dyDescent="0.35">
      <c r="A3" s="2" t="s">
        <v>6</v>
      </c>
      <c r="B3" s="3">
        <v>2.1</v>
      </c>
    </row>
    <row r="4" spans="1:11" x14ac:dyDescent="0.35">
      <c r="A4" s="2"/>
    </row>
    <row r="5" spans="1:11" x14ac:dyDescent="0.35">
      <c r="A5" s="2" t="s">
        <v>7</v>
      </c>
    </row>
    <row r="6" spans="1:11" x14ac:dyDescent="0.35">
      <c r="A6" s="3" t="s">
        <v>8</v>
      </c>
      <c r="B6" s="3">
        <f>IF(B9&gt;0, B9/B8, 0)</f>
        <v>65.073306979715696</v>
      </c>
    </row>
    <row r="7" spans="1:11" x14ac:dyDescent="0.35">
      <c r="A7" s="3" t="s">
        <v>9</v>
      </c>
      <c r="B7">
        <v>10</v>
      </c>
    </row>
    <row r="8" spans="1:11" x14ac:dyDescent="0.35">
      <c r="A8" s="3" t="s">
        <v>10</v>
      </c>
      <c r="B8">
        <v>5008.8</v>
      </c>
    </row>
    <row r="9" spans="1:11" x14ac:dyDescent="0.35">
      <c r="A9" s="3" t="s">
        <v>11</v>
      </c>
      <c r="B9">
        <v>325939.18</v>
      </c>
    </row>
    <row r="15" spans="1:11" x14ac:dyDescent="0.35">
      <c r="A15" s="2" t="s">
        <v>12</v>
      </c>
    </row>
    <row r="16" spans="1:11" s="6" customFormat="1" x14ac:dyDescent="0.35">
      <c r="A16" s="4" t="s">
        <v>13</v>
      </c>
      <c r="B16" s="5">
        <v>42094</v>
      </c>
      <c r="C16" s="5">
        <v>42460</v>
      </c>
      <c r="D16" s="5">
        <v>42825</v>
      </c>
      <c r="E16" s="5">
        <v>43190</v>
      </c>
      <c r="F16" s="5">
        <v>43555</v>
      </c>
      <c r="G16" s="5">
        <v>43921</v>
      </c>
      <c r="H16" s="5">
        <v>44286</v>
      </c>
      <c r="I16" s="5">
        <v>44651</v>
      </c>
      <c r="J16" s="5">
        <v>45016</v>
      </c>
      <c r="K16" s="5">
        <v>45382</v>
      </c>
    </row>
    <row r="17" spans="1:11" s="7" customFormat="1" x14ac:dyDescent="0.35">
      <c r="A17" s="7" t="s">
        <v>14</v>
      </c>
      <c r="B17">
        <v>6439.43</v>
      </c>
      <c r="C17">
        <v>8583.76</v>
      </c>
      <c r="D17">
        <v>11897.7</v>
      </c>
      <c r="E17">
        <v>15033.2</v>
      </c>
      <c r="F17">
        <v>20004.52</v>
      </c>
      <c r="G17">
        <v>24870.2</v>
      </c>
      <c r="H17">
        <v>24143.06</v>
      </c>
      <c r="I17">
        <v>30976.27</v>
      </c>
      <c r="J17">
        <v>42839.56</v>
      </c>
      <c r="K17">
        <v>50788.83</v>
      </c>
    </row>
    <row r="18" spans="1:11" s="7" customFormat="1" x14ac:dyDescent="0.35">
      <c r="A18" s="3" t="s">
        <v>15</v>
      </c>
      <c r="B18">
        <v>5648.47</v>
      </c>
      <c r="C18">
        <v>7435.62</v>
      </c>
      <c r="D18">
        <v>10357.25</v>
      </c>
      <c r="E18">
        <v>12846.95</v>
      </c>
      <c r="F18">
        <v>17445.490000000002</v>
      </c>
      <c r="G18">
        <v>21441.68</v>
      </c>
      <c r="H18">
        <v>20855.560000000001</v>
      </c>
      <c r="I18">
        <v>26891.77</v>
      </c>
      <c r="J18">
        <v>36884.769999999997</v>
      </c>
      <c r="K18">
        <v>43958.31</v>
      </c>
    </row>
    <row r="19" spans="1:11" s="7" customFormat="1" x14ac:dyDescent="0.35">
      <c r="A19" s="3" t="s">
        <v>16</v>
      </c>
      <c r="B19">
        <v>161.28</v>
      </c>
      <c r="C19">
        <v>132.08000000000001</v>
      </c>
      <c r="D19">
        <v>276.22000000000003</v>
      </c>
      <c r="E19">
        <v>211.31</v>
      </c>
      <c r="F19">
        <v>444.65</v>
      </c>
      <c r="G19">
        <v>338.75</v>
      </c>
      <c r="H19">
        <v>300.88</v>
      </c>
      <c r="I19">
        <v>494.38</v>
      </c>
      <c r="J19">
        <v>500.82</v>
      </c>
      <c r="K19">
        <v>683.77</v>
      </c>
    </row>
    <row r="20" spans="1:11" s="7" customFormat="1" x14ac:dyDescent="0.35">
      <c r="A20" s="3" t="s">
        <v>17</v>
      </c>
      <c r="B20">
        <v>59.33</v>
      </c>
      <c r="C20">
        <v>79.239999999999995</v>
      </c>
      <c r="D20">
        <v>99.41</v>
      </c>
      <c r="E20">
        <v>121.26</v>
      </c>
      <c r="F20">
        <v>152.80000000000001</v>
      </c>
      <c r="G20">
        <v>188.24</v>
      </c>
      <c r="H20">
        <v>174.2</v>
      </c>
      <c r="I20">
        <v>207.86</v>
      </c>
      <c r="J20">
        <v>314.62</v>
      </c>
      <c r="K20">
        <v>376.59</v>
      </c>
    </row>
    <row r="21" spans="1:11" s="7" customFormat="1" x14ac:dyDescent="0.35">
      <c r="A21" s="3" t="s">
        <v>18</v>
      </c>
      <c r="B21">
        <v>155.35</v>
      </c>
      <c r="C21">
        <v>241.36</v>
      </c>
      <c r="D21">
        <v>332.9</v>
      </c>
      <c r="E21">
        <v>373.72</v>
      </c>
      <c r="F21">
        <v>499.72</v>
      </c>
      <c r="G21">
        <v>645.96</v>
      </c>
      <c r="H21">
        <v>746.43</v>
      </c>
      <c r="I21">
        <v>805.85</v>
      </c>
      <c r="J21">
        <v>1116.56</v>
      </c>
      <c r="K21">
        <v>1323.43</v>
      </c>
    </row>
    <row r="22" spans="1:11" s="7" customFormat="1" x14ac:dyDescent="0.35">
      <c r="A22" s="3" t="s">
        <v>19</v>
      </c>
      <c r="B22">
        <v>134.06</v>
      </c>
      <c r="C22">
        <v>149.04</v>
      </c>
      <c r="D22">
        <v>192.67</v>
      </c>
      <c r="E22">
        <v>283.14</v>
      </c>
      <c r="F22">
        <v>356.17</v>
      </c>
      <c r="G22">
        <v>457.14</v>
      </c>
      <c r="H22">
        <v>537.58000000000004</v>
      </c>
      <c r="I22">
        <v>617.36</v>
      </c>
      <c r="J22">
        <v>748.16</v>
      </c>
      <c r="K22">
        <v>907.82</v>
      </c>
    </row>
    <row r="23" spans="1:11" s="7" customFormat="1" x14ac:dyDescent="0.35">
      <c r="A23" s="3" t="s">
        <v>20</v>
      </c>
      <c r="B23">
        <v>582.79999999999995</v>
      </c>
      <c r="C23">
        <v>647.37</v>
      </c>
      <c r="D23">
        <v>71.239999999999995</v>
      </c>
      <c r="E23">
        <v>96</v>
      </c>
      <c r="F23">
        <v>135.84</v>
      </c>
      <c r="G23">
        <v>119.23</v>
      </c>
      <c r="H23">
        <v>108.69</v>
      </c>
      <c r="I23">
        <v>143.41</v>
      </c>
      <c r="J23">
        <v>212.04</v>
      </c>
      <c r="K23">
        <v>274.43</v>
      </c>
    </row>
    <row r="24" spans="1:11" s="7" customFormat="1" x14ac:dyDescent="0.35">
      <c r="A24" s="3" t="s">
        <v>21</v>
      </c>
      <c r="B24">
        <v>-435.56</v>
      </c>
      <c r="C24">
        <v>-501.25</v>
      </c>
      <c r="D24">
        <v>151.27000000000001</v>
      </c>
      <c r="E24">
        <v>170.58</v>
      </c>
      <c r="F24">
        <v>225.84</v>
      </c>
      <c r="G24">
        <v>228.39</v>
      </c>
      <c r="H24">
        <v>276.64999999999998</v>
      </c>
      <c r="I24">
        <v>302.05</v>
      </c>
      <c r="J24">
        <v>425.46</v>
      </c>
      <c r="K24">
        <v>526.38</v>
      </c>
    </row>
    <row r="25" spans="1:11" s="7" customFormat="1" x14ac:dyDescent="0.35">
      <c r="A25" s="7" t="s">
        <v>22</v>
      </c>
      <c r="B25">
        <v>20.27</v>
      </c>
      <c r="C25">
        <v>17.02</v>
      </c>
      <c r="D25">
        <v>27.7</v>
      </c>
      <c r="E25">
        <v>87.75</v>
      </c>
      <c r="F25">
        <v>48.33</v>
      </c>
      <c r="G25">
        <v>59.99</v>
      </c>
      <c r="H25">
        <v>194.43</v>
      </c>
      <c r="I25">
        <v>113.64</v>
      </c>
      <c r="J25">
        <v>127.6</v>
      </c>
      <c r="K25">
        <v>144.58000000000001</v>
      </c>
    </row>
    <row r="26" spans="1:11" s="7" customFormat="1" x14ac:dyDescent="0.35">
      <c r="A26" s="7" t="s">
        <v>0</v>
      </c>
      <c r="B26">
        <v>81.540000000000006</v>
      </c>
      <c r="C26">
        <v>98.43</v>
      </c>
      <c r="D26">
        <v>127.82</v>
      </c>
      <c r="E26">
        <v>159</v>
      </c>
      <c r="F26">
        <v>212.49</v>
      </c>
      <c r="G26">
        <v>374.41</v>
      </c>
      <c r="H26">
        <v>414.16</v>
      </c>
      <c r="I26">
        <v>498.08</v>
      </c>
      <c r="J26">
        <v>638.87</v>
      </c>
      <c r="K26">
        <v>730.76</v>
      </c>
    </row>
    <row r="27" spans="1:11" s="7" customFormat="1" x14ac:dyDescent="0.35">
      <c r="A27" s="7" t="s">
        <v>1</v>
      </c>
      <c r="B27">
        <v>72.36</v>
      </c>
      <c r="C27">
        <v>91.34</v>
      </c>
      <c r="D27">
        <v>121.98</v>
      </c>
      <c r="E27">
        <v>59.54</v>
      </c>
      <c r="F27">
        <v>47.21</v>
      </c>
      <c r="G27">
        <v>69.12</v>
      </c>
      <c r="H27">
        <v>41.65</v>
      </c>
      <c r="I27">
        <v>53.79</v>
      </c>
      <c r="J27">
        <v>67.41</v>
      </c>
      <c r="K27">
        <v>58.13</v>
      </c>
    </row>
    <row r="28" spans="1:11" s="7" customFormat="1" x14ac:dyDescent="0.35">
      <c r="A28" s="7" t="s">
        <v>23</v>
      </c>
      <c r="B28">
        <v>322.63</v>
      </c>
      <c r="C28">
        <v>491.71</v>
      </c>
      <c r="D28">
        <v>747.08</v>
      </c>
      <c r="E28">
        <v>1222.07</v>
      </c>
      <c r="F28">
        <v>1421.94</v>
      </c>
      <c r="G28">
        <v>1744.77</v>
      </c>
      <c r="H28">
        <v>1483.45</v>
      </c>
      <c r="I28">
        <v>2064.12</v>
      </c>
      <c r="J28">
        <v>3060.09</v>
      </c>
      <c r="K28">
        <v>3461.33</v>
      </c>
    </row>
    <row r="29" spans="1:11" s="7" customFormat="1" x14ac:dyDescent="0.35">
      <c r="A29" s="7" t="s">
        <v>24</v>
      </c>
      <c r="B29">
        <v>110.92</v>
      </c>
      <c r="C29">
        <v>171.47</v>
      </c>
      <c r="D29">
        <v>268.27999999999997</v>
      </c>
      <c r="E29">
        <v>415.79</v>
      </c>
      <c r="F29">
        <v>519.48</v>
      </c>
      <c r="G29">
        <v>443.79</v>
      </c>
      <c r="H29">
        <v>384.02</v>
      </c>
      <c r="I29">
        <v>571.72</v>
      </c>
      <c r="J29">
        <v>681.75</v>
      </c>
      <c r="K29">
        <v>925.72</v>
      </c>
    </row>
    <row r="30" spans="1:11" s="7" customFormat="1" x14ac:dyDescent="0.35">
      <c r="A30" s="7" t="s">
        <v>25</v>
      </c>
      <c r="B30">
        <v>211.67</v>
      </c>
      <c r="C30">
        <v>320.24</v>
      </c>
      <c r="D30">
        <v>478.75</v>
      </c>
      <c r="E30">
        <v>806.26</v>
      </c>
      <c r="F30">
        <v>902.54</v>
      </c>
      <c r="G30">
        <v>1301.08</v>
      </c>
      <c r="H30">
        <v>1099.49</v>
      </c>
      <c r="I30">
        <v>1492.55</v>
      </c>
      <c r="J30">
        <v>2378.5100000000002</v>
      </c>
      <c r="K30">
        <v>2536.17</v>
      </c>
    </row>
    <row r="31" spans="1:11" s="7" customFormat="1" x14ac:dyDescent="0.35">
      <c r="A31" s="7" t="s">
        <v>26</v>
      </c>
    </row>
    <row r="32" spans="1:11" s="7" customFormat="1" x14ac:dyDescent="0.35"/>
    <row r="33" spans="1:11" x14ac:dyDescent="0.35">
      <c r="A33" s="7"/>
    </row>
    <row r="34" spans="1:11" x14ac:dyDescent="0.35">
      <c r="A34" s="7"/>
    </row>
    <row r="35" spans="1:11" x14ac:dyDescent="0.35">
      <c r="A35" s="7"/>
    </row>
    <row r="36" spans="1:11" x14ac:dyDescent="0.35">
      <c r="A36" s="7"/>
    </row>
    <row r="37" spans="1:11" x14ac:dyDescent="0.35">
      <c r="A37" s="7"/>
    </row>
    <row r="38" spans="1:11" x14ac:dyDescent="0.35">
      <c r="A38" s="7"/>
    </row>
    <row r="39" spans="1:11" x14ac:dyDescent="0.35">
      <c r="A39" s="7"/>
    </row>
    <row r="40" spans="1:11" x14ac:dyDescent="0.35">
      <c r="A40" s="2" t="s">
        <v>27</v>
      </c>
    </row>
    <row r="41" spans="1:11" s="6" customFormat="1" x14ac:dyDescent="0.35">
      <c r="A41" s="4" t="s">
        <v>13</v>
      </c>
      <c r="B41" s="5">
        <v>44651</v>
      </c>
      <c r="C41" s="5">
        <v>44742</v>
      </c>
      <c r="D41" s="5">
        <v>44834</v>
      </c>
      <c r="E41" s="5">
        <v>44926</v>
      </c>
      <c r="F41" s="5">
        <v>45016</v>
      </c>
      <c r="G41" s="5">
        <v>45107</v>
      </c>
      <c r="H41" s="5">
        <v>45199</v>
      </c>
      <c r="I41" s="5">
        <v>45291</v>
      </c>
      <c r="J41" s="5">
        <v>45382</v>
      </c>
      <c r="K41" s="5">
        <v>45473</v>
      </c>
    </row>
    <row r="42" spans="1:11" s="7" customFormat="1" x14ac:dyDescent="0.35">
      <c r="A42" s="7" t="s">
        <v>14</v>
      </c>
      <c r="B42">
        <v>8786.4500000000007</v>
      </c>
      <c r="C42">
        <v>10038.07</v>
      </c>
      <c r="D42">
        <v>10638.33</v>
      </c>
      <c r="E42">
        <v>11569.05</v>
      </c>
      <c r="F42">
        <v>10594.11</v>
      </c>
      <c r="G42">
        <v>11865.44</v>
      </c>
      <c r="H42">
        <v>12624.37</v>
      </c>
      <c r="I42">
        <v>13572.47</v>
      </c>
      <c r="J42">
        <v>12726.55</v>
      </c>
      <c r="K42">
        <v>14069.14</v>
      </c>
    </row>
    <row r="43" spans="1:11" s="7" customFormat="1" x14ac:dyDescent="0.35">
      <c r="A43" s="7" t="s">
        <v>28</v>
      </c>
      <c r="B43">
        <v>8047.17</v>
      </c>
      <c r="C43">
        <v>9029.83</v>
      </c>
      <c r="D43">
        <v>9746.31</v>
      </c>
      <c r="E43">
        <v>10603.79</v>
      </c>
      <c r="F43">
        <v>9822.6</v>
      </c>
      <c r="G43">
        <v>10830.17</v>
      </c>
      <c r="H43">
        <v>11619.4</v>
      </c>
      <c r="I43">
        <v>12452.58</v>
      </c>
      <c r="J43">
        <v>11782.91</v>
      </c>
      <c r="K43">
        <v>12847.89</v>
      </c>
    </row>
    <row r="44" spans="1:11" s="7" customFormat="1" x14ac:dyDescent="0.35">
      <c r="A44" s="7" t="s">
        <v>22</v>
      </c>
      <c r="B44">
        <v>32.57</v>
      </c>
      <c r="C44">
        <v>29.14</v>
      </c>
      <c r="D44">
        <v>35.57</v>
      </c>
      <c r="E44">
        <v>31.56</v>
      </c>
      <c r="F44">
        <v>33.07</v>
      </c>
      <c r="G44">
        <v>38.74</v>
      </c>
      <c r="H44">
        <v>36.92</v>
      </c>
      <c r="I44">
        <v>32.92</v>
      </c>
      <c r="J44">
        <v>37.869999999999997</v>
      </c>
      <c r="K44">
        <v>41.6</v>
      </c>
    </row>
    <row r="45" spans="1:11" s="7" customFormat="1" x14ac:dyDescent="0.35">
      <c r="A45" s="7" t="s">
        <v>0</v>
      </c>
      <c r="B45">
        <v>146.33000000000001</v>
      </c>
      <c r="C45">
        <v>144.74</v>
      </c>
      <c r="D45">
        <v>161.96</v>
      </c>
      <c r="E45">
        <v>168.09</v>
      </c>
      <c r="F45">
        <v>164.08</v>
      </c>
      <c r="G45">
        <v>162.18</v>
      </c>
      <c r="H45">
        <v>174.36</v>
      </c>
      <c r="I45">
        <v>189.33</v>
      </c>
      <c r="J45">
        <v>204.89</v>
      </c>
      <c r="K45">
        <v>192.76</v>
      </c>
    </row>
    <row r="46" spans="1:11" s="7" customFormat="1" x14ac:dyDescent="0.35">
      <c r="A46" s="7" t="s">
        <v>1</v>
      </c>
      <c r="B46">
        <v>16.63</v>
      </c>
      <c r="C46">
        <v>17.22</v>
      </c>
      <c r="D46">
        <v>17.68</v>
      </c>
      <c r="E46">
        <v>16.98</v>
      </c>
      <c r="F46">
        <v>15.53</v>
      </c>
      <c r="G46">
        <v>14.57</v>
      </c>
      <c r="H46">
        <v>15.59</v>
      </c>
      <c r="I46">
        <v>14.55</v>
      </c>
      <c r="J46">
        <v>13.42</v>
      </c>
      <c r="K46">
        <v>15.96</v>
      </c>
    </row>
    <row r="47" spans="1:11" s="7" customFormat="1" x14ac:dyDescent="0.35">
      <c r="A47" s="7" t="s">
        <v>23</v>
      </c>
      <c r="B47">
        <v>608.89</v>
      </c>
      <c r="C47">
        <v>875.42</v>
      </c>
      <c r="D47">
        <v>747.95</v>
      </c>
      <c r="E47">
        <v>811.75</v>
      </c>
      <c r="F47">
        <v>624.97</v>
      </c>
      <c r="G47">
        <v>897.26</v>
      </c>
      <c r="H47">
        <v>851.94</v>
      </c>
      <c r="I47">
        <v>948.93</v>
      </c>
      <c r="J47">
        <v>763.2</v>
      </c>
      <c r="K47">
        <v>1054.1300000000001</v>
      </c>
    </row>
    <row r="48" spans="1:11" s="7" customFormat="1" x14ac:dyDescent="0.35">
      <c r="A48" s="7" t="s">
        <v>24</v>
      </c>
      <c r="B48">
        <v>182.14</v>
      </c>
      <c r="C48">
        <v>232.53</v>
      </c>
      <c r="D48">
        <v>62.24</v>
      </c>
      <c r="E48">
        <v>222.11</v>
      </c>
      <c r="F48">
        <v>164.87</v>
      </c>
      <c r="G48">
        <v>238.55</v>
      </c>
      <c r="H48">
        <v>228.59</v>
      </c>
      <c r="I48">
        <v>258.52</v>
      </c>
      <c r="J48">
        <v>200.06</v>
      </c>
      <c r="K48">
        <v>280.45</v>
      </c>
    </row>
    <row r="49" spans="1:11" s="7" customFormat="1" x14ac:dyDescent="0.35">
      <c r="A49" s="7" t="s">
        <v>25</v>
      </c>
      <c r="B49">
        <v>426.83</v>
      </c>
      <c r="C49">
        <v>642.92999999999995</v>
      </c>
      <c r="D49">
        <v>685.77</v>
      </c>
      <c r="E49">
        <v>589.67999999999995</v>
      </c>
      <c r="F49">
        <v>460.13</v>
      </c>
      <c r="G49">
        <v>658.75</v>
      </c>
      <c r="H49">
        <v>623.55999999999995</v>
      </c>
      <c r="I49">
        <v>690.61</v>
      </c>
      <c r="J49">
        <v>563.25</v>
      </c>
      <c r="K49">
        <v>773.82</v>
      </c>
    </row>
    <row r="50" spans="1:11" x14ac:dyDescent="0.35">
      <c r="A50" s="7" t="s">
        <v>29</v>
      </c>
      <c r="B50">
        <v>739.28</v>
      </c>
      <c r="C50">
        <v>1008.24</v>
      </c>
      <c r="D50">
        <v>892.02</v>
      </c>
      <c r="E50">
        <v>965.26</v>
      </c>
      <c r="F50">
        <v>771.51</v>
      </c>
      <c r="G50">
        <v>1035.27</v>
      </c>
      <c r="H50">
        <v>1004.97</v>
      </c>
      <c r="I50">
        <v>1119.8900000000001</v>
      </c>
      <c r="J50">
        <v>943.64</v>
      </c>
      <c r="K50">
        <v>1221.25</v>
      </c>
    </row>
    <row r="51" spans="1:11" x14ac:dyDescent="0.35">
      <c r="A51" s="7"/>
    </row>
    <row r="52" spans="1:11" x14ac:dyDescent="0.35">
      <c r="A52" s="7"/>
    </row>
    <row r="53" spans="1:11" x14ac:dyDescent="0.35">
      <c r="A53" s="7"/>
    </row>
    <row r="54" spans="1:11" x14ac:dyDescent="0.35">
      <c r="A54" s="7"/>
    </row>
    <row r="55" spans="1:11" x14ac:dyDescent="0.35">
      <c r="A55" s="2" t="s">
        <v>30</v>
      </c>
    </row>
    <row r="56" spans="1:11" s="6" customFormat="1" x14ac:dyDescent="0.35">
      <c r="A56" s="4" t="s">
        <v>13</v>
      </c>
      <c r="B56" s="5">
        <v>42094</v>
      </c>
      <c r="C56" s="5">
        <v>42460</v>
      </c>
      <c r="D56" s="5">
        <v>42825</v>
      </c>
      <c r="E56" s="5">
        <v>43190</v>
      </c>
      <c r="F56" s="5">
        <v>43555</v>
      </c>
      <c r="G56" s="5">
        <v>43921</v>
      </c>
      <c r="H56" s="5">
        <v>44286</v>
      </c>
      <c r="I56" s="5">
        <v>44651</v>
      </c>
      <c r="J56" s="5">
        <v>45016</v>
      </c>
      <c r="K56" s="5">
        <v>45382</v>
      </c>
    </row>
    <row r="57" spans="1:11" x14ac:dyDescent="0.35">
      <c r="A57" s="7" t="s">
        <v>31</v>
      </c>
      <c r="B57">
        <v>561.54</v>
      </c>
      <c r="C57">
        <v>561.54</v>
      </c>
      <c r="D57">
        <v>624.08000000000004</v>
      </c>
      <c r="E57">
        <v>624.08000000000004</v>
      </c>
      <c r="F57">
        <v>624.08000000000004</v>
      </c>
      <c r="G57">
        <v>647.77</v>
      </c>
      <c r="H57">
        <v>647.77</v>
      </c>
      <c r="I57">
        <v>647.77</v>
      </c>
      <c r="J57">
        <v>648.26</v>
      </c>
      <c r="K57">
        <v>650.73</v>
      </c>
    </row>
    <row r="58" spans="1:11" x14ac:dyDescent="0.35">
      <c r="A58" s="7" t="s">
        <v>32</v>
      </c>
      <c r="B58">
        <v>637.65</v>
      </c>
      <c r="C58">
        <v>958.9</v>
      </c>
      <c r="D58">
        <v>3217.7</v>
      </c>
      <c r="E58">
        <v>4044.97</v>
      </c>
      <c r="F58">
        <v>4963.37</v>
      </c>
      <c r="G58">
        <v>10431.969999999999</v>
      </c>
      <c r="H58">
        <v>11535.94</v>
      </c>
      <c r="I58">
        <v>13029.87</v>
      </c>
      <c r="J58">
        <v>15430.44</v>
      </c>
      <c r="K58">
        <v>18047.09</v>
      </c>
    </row>
    <row r="59" spans="1:11" x14ac:dyDescent="0.35">
      <c r="A59" s="7" t="s">
        <v>33</v>
      </c>
      <c r="B59">
        <v>904.26</v>
      </c>
      <c r="C59">
        <v>1192.3399999999999</v>
      </c>
      <c r="D59">
        <v>1497.32</v>
      </c>
      <c r="E59">
        <v>439.25</v>
      </c>
      <c r="F59">
        <v>700.15</v>
      </c>
      <c r="G59">
        <v>333.19</v>
      </c>
      <c r="H59">
        <v>392.71</v>
      </c>
      <c r="I59">
        <v>646.94000000000005</v>
      </c>
      <c r="J59">
        <v>642.98</v>
      </c>
      <c r="K59">
        <v>592.16</v>
      </c>
    </row>
    <row r="60" spans="1:11" x14ac:dyDescent="0.35">
      <c r="A60" s="7" t="s">
        <v>34</v>
      </c>
      <c r="B60">
        <v>251.36</v>
      </c>
      <c r="C60">
        <v>388.78</v>
      </c>
      <c r="D60">
        <v>480.18</v>
      </c>
      <c r="E60">
        <v>539.91999999999996</v>
      </c>
      <c r="F60">
        <v>717.9</v>
      </c>
      <c r="G60">
        <v>663.23</v>
      </c>
      <c r="H60">
        <v>1078.6300000000001</v>
      </c>
      <c r="I60">
        <v>1146.4000000000001</v>
      </c>
      <c r="J60">
        <v>1382.84</v>
      </c>
      <c r="K60">
        <v>1882.5</v>
      </c>
    </row>
    <row r="61" spans="1:11" s="2" customFormat="1" x14ac:dyDescent="0.35">
      <c r="A61" s="2" t="s">
        <v>35</v>
      </c>
      <c r="B61">
        <v>2354.81</v>
      </c>
      <c r="C61">
        <v>3101.56</v>
      </c>
      <c r="D61">
        <v>5819.28</v>
      </c>
      <c r="E61">
        <v>5648.22</v>
      </c>
      <c r="F61">
        <v>7005.5</v>
      </c>
      <c r="G61">
        <v>12076.16</v>
      </c>
      <c r="H61">
        <v>13655.05</v>
      </c>
      <c r="I61">
        <v>15470.98</v>
      </c>
      <c r="J61">
        <v>18104.52</v>
      </c>
      <c r="K61">
        <v>21172.48</v>
      </c>
    </row>
    <row r="62" spans="1:11" x14ac:dyDescent="0.35">
      <c r="A62" s="7" t="s">
        <v>36</v>
      </c>
      <c r="B62">
        <v>1528.08</v>
      </c>
      <c r="C62">
        <v>2093.52</v>
      </c>
      <c r="D62">
        <v>2577.75</v>
      </c>
      <c r="E62">
        <v>3399.97</v>
      </c>
      <c r="F62">
        <v>4400.37</v>
      </c>
      <c r="G62">
        <v>5948.03</v>
      </c>
      <c r="H62">
        <v>7008.8</v>
      </c>
      <c r="I62">
        <v>9260.02</v>
      </c>
      <c r="J62">
        <v>11340.48</v>
      </c>
      <c r="K62">
        <v>13415</v>
      </c>
    </row>
    <row r="63" spans="1:11" x14ac:dyDescent="0.35">
      <c r="A63" s="7" t="s">
        <v>37</v>
      </c>
      <c r="B63">
        <v>98.12</v>
      </c>
      <c r="C63">
        <v>81.69</v>
      </c>
      <c r="D63">
        <v>152.88999999999999</v>
      </c>
      <c r="E63">
        <v>147.07</v>
      </c>
      <c r="F63">
        <v>376.84</v>
      </c>
      <c r="G63">
        <v>364.4</v>
      </c>
      <c r="H63">
        <v>1019.59</v>
      </c>
      <c r="I63">
        <v>1129.3399999999999</v>
      </c>
      <c r="J63">
        <v>829.16</v>
      </c>
      <c r="K63">
        <v>935.22</v>
      </c>
    </row>
    <row r="64" spans="1:11" x14ac:dyDescent="0.35">
      <c r="A64" s="7" t="s">
        <v>38</v>
      </c>
      <c r="B64">
        <v>15.23</v>
      </c>
      <c r="C64">
        <v>29.33</v>
      </c>
      <c r="D64">
        <v>25.69</v>
      </c>
      <c r="E64">
        <v>68.180000000000007</v>
      </c>
      <c r="F64">
        <v>16.53</v>
      </c>
      <c r="G64">
        <v>14.68</v>
      </c>
      <c r="H64">
        <v>2.95</v>
      </c>
      <c r="I64">
        <v>5.94</v>
      </c>
      <c r="J64">
        <v>202.2</v>
      </c>
      <c r="K64">
        <v>106.67</v>
      </c>
    </row>
    <row r="65" spans="1:11" x14ac:dyDescent="0.35">
      <c r="A65" s="7" t="s">
        <v>39</v>
      </c>
      <c r="B65">
        <v>713.38</v>
      </c>
      <c r="C65">
        <v>897.02</v>
      </c>
      <c r="D65">
        <v>3062.95</v>
      </c>
      <c r="E65">
        <v>2033</v>
      </c>
      <c r="F65">
        <v>2211.7600000000002</v>
      </c>
      <c r="G65">
        <v>5749.05</v>
      </c>
      <c r="H65">
        <v>5623.71</v>
      </c>
      <c r="I65">
        <v>5075.68</v>
      </c>
      <c r="J65">
        <v>5732.68</v>
      </c>
      <c r="K65">
        <v>6715.59</v>
      </c>
    </row>
    <row r="66" spans="1:11" s="2" customFormat="1" x14ac:dyDescent="0.35">
      <c r="A66" s="2" t="s">
        <v>35</v>
      </c>
      <c r="B66">
        <v>2354.81</v>
      </c>
      <c r="C66">
        <v>3101.56</v>
      </c>
      <c r="D66">
        <v>5819.28</v>
      </c>
      <c r="E66">
        <v>5648.22</v>
      </c>
      <c r="F66">
        <v>7005.5</v>
      </c>
      <c r="G66">
        <v>12076.16</v>
      </c>
      <c r="H66">
        <v>13655.05</v>
      </c>
      <c r="I66">
        <v>15470.98</v>
      </c>
      <c r="J66">
        <v>18104.52</v>
      </c>
      <c r="K66">
        <v>21172.48</v>
      </c>
    </row>
    <row r="67" spans="1:11" s="7" customFormat="1" x14ac:dyDescent="0.35">
      <c r="A67" s="7" t="s">
        <v>40</v>
      </c>
      <c r="B67">
        <v>7.07</v>
      </c>
      <c r="C67">
        <v>8.42</v>
      </c>
      <c r="D67">
        <v>21</v>
      </c>
      <c r="E67">
        <v>33.520000000000003</v>
      </c>
      <c r="F67">
        <v>64.37</v>
      </c>
      <c r="G67">
        <v>19.55</v>
      </c>
      <c r="H67">
        <v>43.58</v>
      </c>
      <c r="I67">
        <v>66.89</v>
      </c>
      <c r="J67">
        <v>62.16</v>
      </c>
      <c r="K67">
        <v>166.37</v>
      </c>
    </row>
    <row r="68" spans="1:11" x14ac:dyDescent="0.35">
      <c r="A68" s="7" t="s">
        <v>41</v>
      </c>
      <c r="B68">
        <v>539.61</v>
      </c>
      <c r="C68">
        <v>671.69</v>
      </c>
      <c r="D68">
        <v>947.9</v>
      </c>
      <c r="E68">
        <v>1163.45</v>
      </c>
      <c r="F68">
        <v>1608.65</v>
      </c>
      <c r="G68">
        <v>1947.4</v>
      </c>
      <c r="H68">
        <v>2248.2800000000002</v>
      </c>
      <c r="I68">
        <v>2742.66</v>
      </c>
      <c r="J68">
        <v>3243.48</v>
      </c>
      <c r="K68">
        <v>3927.31</v>
      </c>
    </row>
    <row r="69" spans="1:11" x14ac:dyDescent="0.35">
      <c r="A69" s="3" t="s">
        <v>42</v>
      </c>
      <c r="B69">
        <v>38.04</v>
      </c>
      <c r="C69">
        <v>35.1</v>
      </c>
      <c r="D69">
        <v>1884.29</v>
      </c>
      <c r="E69">
        <v>560.17999999999995</v>
      </c>
      <c r="F69">
        <v>219.07</v>
      </c>
      <c r="G69">
        <v>107.88</v>
      </c>
      <c r="H69">
        <v>1445.58</v>
      </c>
      <c r="I69">
        <v>298.58</v>
      </c>
      <c r="J69">
        <v>1408.33</v>
      </c>
      <c r="K69">
        <v>638.17999999999995</v>
      </c>
    </row>
    <row r="70" spans="1:11" x14ac:dyDescent="0.35">
      <c r="A70" s="3" t="s">
        <v>43</v>
      </c>
      <c r="B70">
        <v>561542680</v>
      </c>
      <c r="C70">
        <v>561542680</v>
      </c>
      <c r="D70">
        <v>624084486</v>
      </c>
      <c r="E70">
        <v>624084486</v>
      </c>
      <c r="F70">
        <v>624084486</v>
      </c>
      <c r="G70">
        <v>647774691</v>
      </c>
      <c r="H70">
        <v>647774691</v>
      </c>
      <c r="I70">
        <v>647774691</v>
      </c>
      <c r="J70">
        <v>648263978</v>
      </c>
      <c r="K70">
        <v>650733068</v>
      </c>
    </row>
    <row r="71" spans="1:11" x14ac:dyDescent="0.35">
      <c r="A71" s="3" t="s">
        <v>44</v>
      </c>
    </row>
    <row r="72" spans="1:11" x14ac:dyDescent="0.35">
      <c r="A72" s="3" t="s">
        <v>45</v>
      </c>
      <c r="B72">
        <v>10</v>
      </c>
      <c r="C72">
        <v>10</v>
      </c>
      <c r="D72">
        <v>10</v>
      </c>
      <c r="E72">
        <v>10</v>
      </c>
      <c r="F72">
        <v>10</v>
      </c>
      <c r="G72">
        <v>10</v>
      </c>
      <c r="H72">
        <v>10</v>
      </c>
      <c r="I72">
        <v>10</v>
      </c>
      <c r="J72">
        <v>10</v>
      </c>
      <c r="K72">
        <v>10</v>
      </c>
    </row>
    <row r="74" spans="1:11" x14ac:dyDescent="0.35">
      <c r="A74" s="7"/>
    </row>
    <row r="75" spans="1:11" x14ac:dyDescent="0.35">
      <c r="A75" s="7"/>
    </row>
    <row r="76" spans="1:11" x14ac:dyDescent="0.35">
      <c r="A76" s="7"/>
    </row>
    <row r="77" spans="1:11" x14ac:dyDescent="0.35">
      <c r="A77" s="7"/>
    </row>
    <row r="78" spans="1:11" x14ac:dyDescent="0.35">
      <c r="A78" s="7"/>
    </row>
    <row r="79" spans="1:11" x14ac:dyDescent="0.35">
      <c r="A79" s="7"/>
    </row>
    <row r="80" spans="1:11" x14ac:dyDescent="0.35">
      <c r="A80" s="2" t="s">
        <v>46</v>
      </c>
    </row>
    <row r="81" spans="1:11" s="6" customFormat="1" x14ac:dyDescent="0.35">
      <c r="A81" s="4" t="s">
        <v>13</v>
      </c>
      <c r="B81" s="5">
        <v>42094</v>
      </c>
      <c r="C81" s="5">
        <v>42460</v>
      </c>
      <c r="D81" s="5">
        <v>42825</v>
      </c>
      <c r="E81" s="5">
        <v>43190</v>
      </c>
      <c r="F81" s="5">
        <v>43555</v>
      </c>
      <c r="G81" s="5">
        <v>43921</v>
      </c>
      <c r="H81" s="5">
        <v>44286</v>
      </c>
      <c r="I81" s="5">
        <v>44651</v>
      </c>
      <c r="J81" s="5">
        <v>45016</v>
      </c>
      <c r="K81" s="5">
        <v>45382</v>
      </c>
    </row>
    <row r="82" spans="1:11" s="2" customFormat="1" x14ac:dyDescent="0.35">
      <c r="A82" s="7" t="s">
        <v>47</v>
      </c>
      <c r="B82">
        <v>222.02</v>
      </c>
      <c r="C82">
        <v>433.47</v>
      </c>
      <c r="D82">
        <v>455.28</v>
      </c>
      <c r="E82">
        <v>729.99</v>
      </c>
      <c r="F82">
        <v>806.84</v>
      </c>
      <c r="G82">
        <v>1280.1400000000001</v>
      </c>
      <c r="H82">
        <v>1375.14</v>
      </c>
      <c r="I82">
        <v>1372.35</v>
      </c>
      <c r="J82">
        <v>2630.27</v>
      </c>
      <c r="K82">
        <v>2745.84</v>
      </c>
    </row>
    <row r="83" spans="1:11" s="7" customFormat="1" x14ac:dyDescent="0.35">
      <c r="A83" s="7" t="s">
        <v>48</v>
      </c>
      <c r="B83">
        <v>-473.88</v>
      </c>
      <c r="C83">
        <v>-632.89</v>
      </c>
      <c r="D83">
        <v>-2481.61</v>
      </c>
      <c r="E83">
        <v>463.55</v>
      </c>
      <c r="F83">
        <v>-958.37</v>
      </c>
      <c r="G83">
        <v>-4656.5600000000004</v>
      </c>
      <c r="H83">
        <v>-1110</v>
      </c>
      <c r="I83">
        <v>-1289.49</v>
      </c>
      <c r="J83">
        <v>-2313.1</v>
      </c>
      <c r="K83">
        <v>-2468.23</v>
      </c>
    </row>
    <row r="84" spans="1:11" s="7" customFormat="1" x14ac:dyDescent="0.35">
      <c r="A84" s="7" t="s">
        <v>49</v>
      </c>
      <c r="B84">
        <v>234.45</v>
      </c>
      <c r="C84">
        <v>196.44</v>
      </c>
      <c r="D84">
        <v>2025.26</v>
      </c>
      <c r="E84">
        <v>-1159.06</v>
      </c>
      <c r="F84">
        <v>208.98</v>
      </c>
      <c r="G84">
        <v>3357.42</v>
      </c>
      <c r="H84">
        <v>-179.5</v>
      </c>
      <c r="I84">
        <v>-179.24</v>
      </c>
      <c r="J84">
        <v>-205.14</v>
      </c>
      <c r="K84">
        <v>-147.63999999999999</v>
      </c>
    </row>
    <row r="85" spans="1:11" s="2" customFormat="1" x14ac:dyDescent="0.35">
      <c r="A85" s="7" t="s">
        <v>50</v>
      </c>
      <c r="B85">
        <v>-17.41</v>
      </c>
      <c r="C85">
        <v>-2.98</v>
      </c>
      <c r="D85">
        <v>-1.07</v>
      </c>
      <c r="E85">
        <v>34.479999999999997</v>
      </c>
      <c r="F85">
        <v>57.45</v>
      </c>
      <c r="G85">
        <v>-19</v>
      </c>
      <c r="H85">
        <v>85.64</v>
      </c>
      <c r="I85">
        <v>-96.38</v>
      </c>
      <c r="J85">
        <v>112.03</v>
      </c>
      <c r="K85">
        <v>129.97</v>
      </c>
    </row>
    <row r="86" spans="1:11" x14ac:dyDescent="0.35">
      <c r="A86" s="7"/>
    </row>
    <row r="87" spans="1:11" x14ac:dyDescent="0.35">
      <c r="A87" s="7"/>
    </row>
    <row r="88" spans="1:11" x14ac:dyDescent="0.35">
      <c r="A88" s="7"/>
    </row>
    <row r="89" spans="1:11" x14ac:dyDescent="0.35">
      <c r="A89" s="7"/>
    </row>
    <row r="90" spans="1:11" s="2" customFormat="1" x14ac:dyDescent="0.35">
      <c r="A90" s="2" t="s">
        <v>51</v>
      </c>
      <c r="D90">
        <v>637.85</v>
      </c>
      <c r="E90">
        <v>1324.8</v>
      </c>
      <c r="F90">
        <v>1471.1</v>
      </c>
      <c r="G90">
        <v>2187.5</v>
      </c>
      <c r="H90">
        <v>2859.05</v>
      </c>
      <c r="I90">
        <v>4003.35</v>
      </c>
      <c r="J90">
        <v>3401.05</v>
      </c>
      <c r="K90">
        <v>4525.6000000000004</v>
      </c>
    </row>
    <row r="92" spans="1:11" s="2" customFormat="1" x14ac:dyDescent="0.35">
      <c r="A92" s="2" t="s">
        <v>52</v>
      </c>
    </row>
    <row r="93" spans="1:11" x14ac:dyDescent="0.35">
      <c r="A93" s="3" t="s">
        <v>53</v>
      </c>
      <c r="B93" s="8">
        <v>56.15</v>
      </c>
      <c r="C93" s="8">
        <v>56.15</v>
      </c>
      <c r="D93" s="8">
        <v>62.41</v>
      </c>
      <c r="E93" s="8">
        <v>62.41</v>
      </c>
      <c r="F93" s="8">
        <v>62.41</v>
      </c>
      <c r="G93" s="8">
        <v>64.78</v>
      </c>
      <c r="H93" s="8">
        <v>64.78</v>
      </c>
      <c r="I93" s="8">
        <v>64.78</v>
      </c>
      <c r="J93" s="8">
        <v>64.83</v>
      </c>
      <c r="K93" s="8">
        <v>65.069999999999993</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3042C20A-E4EE-4916-882C-4333FBB54DB7}"/>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F9D45-5848-458A-A1A4-189F3C7D8954}">
  <sheetPr>
    <tabColor rgb="FFC00000"/>
  </sheetPr>
  <dimension ref="B2:N34"/>
  <sheetViews>
    <sheetView workbookViewId="0">
      <selection activeCell="O25" sqref="O25"/>
    </sheetView>
  </sheetViews>
  <sheetFormatPr defaultRowHeight="14.5" x14ac:dyDescent="0.35"/>
  <cols>
    <col min="2" max="2" width="26" bestFit="1" customWidth="1"/>
  </cols>
  <sheetData>
    <row r="2" spans="2:14" x14ac:dyDescent="0.35">
      <c r="C2" s="21">
        <v>41334</v>
      </c>
      <c r="D2" s="21">
        <v>41699</v>
      </c>
      <c r="E2" s="21">
        <v>42064</v>
      </c>
      <c r="F2" s="21">
        <v>42430</v>
      </c>
      <c r="G2" s="21">
        <v>42795</v>
      </c>
      <c r="H2" s="21">
        <v>43160</v>
      </c>
      <c r="I2" s="21">
        <v>43525</v>
      </c>
      <c r="J2" s="21">
        <v>43891</v>
      </c>
      <c r="K2" s="21">
        <v>44256</v>
      </c>
      <c r="L2" s="21">
        <v>44621</v>
      </c>
      <c r="M2" s="21">
        <v>44986</v>
      </c>
      <c r="N2" s="21">
        <v>45352</v>
      </c>
    </row>
    <row r="3" spans="2:14" x14ac:dyDescent="0.35">
      <c r="B3" s="12" t="s">
        <v>86</v>
      </c>
      <c r="C3">
        <v>127</v>
      </c>
      <c r="D3">
        <v>198</v>
      </c>
      <c r="E3">
        <v>222</v>
      </c>
      <c r="F3">
        <v>433</v>
      </c>
      <c r="G3">
        <v>455</v>
      </c>
      <c r="H3">
        <v>730</v>
      </c>
      <c r="I3">
        <v>807</v>
      </c>
      <c r="J3" s="22">
        <v>1280</v>
      </c>
      <c r="K3" s="22">
        <v>1375</v>
      </c>
      <c r="L3" s="22">
        <v>1372</v>
      </c>
      <c r="M3" s="22">
        <v>2630</v>
      </c>
      <c r="N3" s="22">
        <v>2746</v>
      </c>
    </row>
    <row r="4" spans="2:14" x14ac:dyDescent="0.35">
      <c r="B4" s="12" t="s">
        <v>87</v>
      </c>
      <c r="C4">
        <v>229</v>
      </c>
      <c r="D4">
        <v>356</v>
      </c>
      <c r="E4">
        <v>474</v>
      </c>
      <c r="F4">
        <v>666</v>
      </c>
      <c r="G4">
        <v>984</v>
      </c>
      <c r="H4" s="22">
        <v>1375</v>
      </c>
      <c r="I4" s="22">
        <v>1659</v>
      </c>
      <c r="J4" s="22">
        <v>2149</v>
      </c>
      <c r="K4" s="22">
        <v>1764</v>
      </c>
      <c r="L4" s="22">
        <v>2515</v>
      </c>
      <c r="M4" s="22">
        <v>3659</v>
      </c>
      <c r="N4" s="22">
        <v>4131</v>
      </c>
    </row>
    <row r="5" spans="2:14" x14ac:dyDescent="0.35">
      <c r="B5" t="s">
        <v>40</v>
      </c>
      <c r="C5">
        <v>-8</v>
      </c>
      <c r="D5">
        <v>4</v>
      </c>
      <c r="E5">
        <v>2</v>
      </c>
      <c r="F5">
        <v>-1</v>
      </c>
      <c r="G5">
        <v>54</v>
      </c>
      <c r="H5">
        <v>-13</v>
      </c>
      <c r="I5">
        <v>-31</v>
      </c>
      <c r="J5">
        <v>45</v>
      </c>
      <c r="K5">
        <v>-24</v>
      </c>
      <c r="L5">
        <v>-23</v>
      </c>
      <c r="M5">
        <v>5</v>
      </c>
      <c r="N5">
        <v>-104</v>
      </c>
    </row>
    <row r="6" spans="2:14" x14ac:dyDescent="0.35">
      <c r="B6" t="s">
        <v>41</v>
      </c>
      <c r="C6">
        <v>-80</v>
      </c>
      <c r="D6">
        <v>-102</v>
      </c>
      <c r="E6">
        <v>-161</v>
      </c>
      <c r="F6">
        <v>-132</v>
      </c>
      <c r="G6">
        <v>-276</v>
      </c>
      <c r="H6">
        <v>-212</v>
      </c>
      <c r="I6">
        <v>-445</v>
      </c>
      <c r="J6">
        <v>-339</v>
      </c>
      <c r="K6">
        <v>-301</v>
      </c>
      <c r="L6">
        <v>-494</v>
      </c>
      <c r="M6">
        <v>-501</v>
      </c>
      <c r="N6">
        <v>-684</v>
      </c>
    </row>
    <row r="7" spans="2:14" x14ac:dyDescent="0.35">
      <c r="B7" t="s">
        <v>88</v>
      </c>
      <c r="C7">
        <v>30</v>
      </c>
      <c r="D7">
        <v>28</v>
      </c>
      <c r="E7">
        <v>-4</v>
      </c>
      <c r="F7">
        <v>72</v>
      </c>
      <c r="G7">
        <v>0</v>
      </c>
      <c r="H7">
        <v>55</v>
      </c>
      <c r="I7">
        <v>146</v>
      </c>
      <c r="J7">
        <v>-30</v>
      </c>
      <c r="K7">
        <v>145</v>
      </c>
      <c r="L7">
        <v>11</v>
      </c>
      <c r="M7">
        <v>165</v>
      </c>
      <c r="N7">
        <v>231</v>
      </c>
    </row>
    <row r="8" spans="2:14" x14ac:dyDescent="0.35">
      <c r="B8" t="s">
        <v>89</v>
      </c>
      <c r="C8">
        <v>-13</v>
      </c>
      <c r="D8">
        <v>-18</v>
      </c>
      <c r="E8">
        <v>-5</v>
      </c>
      <c r="F8">
        <v>0</v>
      </c>
      <c r="G8">
        <v>0</v>
      </c>
      <c r="H8">
        <v>0</v>
      </c>
      <c r="I8">
        <v>0</v>
      </c>
      <c r="J8">
        <v>0</v>
      </c>
      <c r="K8">
        <v>0</v>
      </c>
      <c r="L8">
        <v>0</v>
      </c>
      <c r="M8">
        <v>0</v>
      </c>
      <c r="N8">
        <v>0</v>
      </c>
    </row>
    <row r="9" spans="2:14" x14ac:dyDescent="0.35">
      <c r="B9" t="s">
        <v>90</v>
      </c>
      <c r="C9">
        <v>0</v>
      </c>
      <c r="D9">
        <v>0</v>
      </c>
      <c r="E9">
        <v>0</v>
      </c>
      <c r="F9">
        <v>0</v>
      </c>
      <c r="G9">
        <v>-2</v>
      </c>
      <c r="H9">
        <v>-62</v>
      </c>
      <c r="I9">
        <v>52</v>
      </c>
      <c r="J9">
        <v>2</v>
      </c>
      <c r="K9">
        <v>12</v>
      </c>
      <c r="L9">
        <v>-3</v>
      </c>
      <c r="M9">
        <v>0</v>
      </c>
      <c r="N9">
        <v>0</v>
      </c>
    </row>
    <row r="10" spans="2:14" x14ac:dyDescent="0.35">
      <c r="B10" t="s">
        <v>91</v>
      </c>
      <c r="C10">
        <v>6</v>
      </c>
      <c r="D10">
        <v>6</v>
      </c>
      <c r="E10">
        <v>16</v>
      </c>
      <c r="F10">
        <v>-7</v>
      </c>
      <c r="G10">
        <v>-46</v>
      </c>
      <c r="H10">
        <v>-11</v>
      </c>
      <c r="I10">
        <v>-72</v>
      </c>
      <c r="J10">
        <v>-54</v>
      </c>
      <c r="K10">
        <v>41</v>
      </c>
      <c r="L10">
        <v>-73</v>
      </c>
      <c r="M10">
        <v>12</v>
      </c>
      <c r="N10">
        <v>-87</v>
      </c>
    </row>
    <row r="11" spans="2:14" x14ac:dyDescent="0.35">
      <c r="B11" s="12" t="s">
        <v>92</v>
      </c>
      <c r="C11">
        <v>-65</v>
      </c>
      <c r="D11">
        <v>-83</v>
      </c>
      <c r="E11">
        <v>-152</v>
      </c>
      <c r="F11">
        <v>-69</v>
      </c>
      <c r="G11">
        <v>-270</v>
      </c>
      <c r="H11">
        <v>-243</v>
      </c>
      <c r="I11">
        <v>-351</v>
      </c>
      <c r="J11">
        <v>-376</v>
      </c>
      <c r="K11">
        <v>-127</v>
      </c>
      <c r="L11">
        <v>-582</v>
      </c>
      <c r="M11">
        <v>-320</v>
      </c>
      <c r="N11">
        <v>-644</v>
      </c>
    </row>
    <row r="12" spans="2:14" x14ac:dyDescent="0.35">
      <c r="B12" t="s">
        <v>93</v>
      </c>
      <c r="C12">
        <v>-37</v>
      </c>
      <c r="D12">
        <v>-75</v>
      </c>
      <c r="E12">
        <v>-100</v>
      </c>
      <c r="F12">
        <v>-164</v>
      </c>
      <c r="G12">
        <v>-258</v>
      </c>
      <c r="H12">
        <v>-403</v>
      </c>
      <c r="I12">
        <v>-502</v>
      </c>
      <c r="J12">
        <v>-492</v>
      </c>
      <c r="K12">
        <v>-262</v>
      </c>
      <c r="L12">
        <v>-560</v>
      </c>
      <c r="M12">
        <v>-709</v>
      </c>
      <c r="N12">
        <v>-742</v>
      </c>
    </row>
    <row r="13" spans="2:14" x14ac:dyDescent="0.35">
      <c r="B13" s="12" t="s">
        <v>94</v>
      </c>
      <c r="C13">
        <v>-231</v>
      </c>
      <c r="D13">
        <v>-270</v>
      </c>
      <c r="E13">
        <v>-474</v>
      </c>
      <c r="F13">
        <v>-633</v>
      </c>
      <c r="G13" s="22">
        <v>-2482</v>
      </c>
      <c r="H13" s="22">
        <v>464</v>
      </c>
      <c r="I13">
        <v>-958</v>
      </c>
      <c r="J13" s="22">
        <v>-4657</v>
      </c>
      <c r="K13" s="22">
        <v>-1110</v>
      </c>
      <c r="L13" s="22">
        <v>-1289</v>
      </c>
      <c r="M13" s="22">
        <v>-2313</v>
      </c>
      <c r="N13" s="22">
        <v>-2468</v>
      </c>
    </row>
    <row r="14" spans="2:14" x14ac:dyDescent="0.35">
      <c r="B14" t="s">
        <v>95</v>
      </c>
      <c r="C14">
        <v>-239</v>
      </c>
      <c r="D14">
        <v>-272</v>
      </c>
      <c r="E14">
        <v>-477</v>
      </c>
      <c r="F14">
        <v>0</v>
      </c>
      <c r="G14">
        <v>-645</v>
      </c>
      <c r="H14">
        <v>-916</v>
      </c>
      <c r="I14" s="22">
        <v>-1417</v>
      </c>
      <c r="J14" s="22">
        <v>-1712</v>
      </c>
      <c r="K14" s="22">
        <v>-2029</v>
      </c>
      <c r="L14" s="22">
        <v>-2410</v>
      </c>
      <c r="M14" s="22">
        <v>-2212</v>
      </c>
      <c r="N14" s="22">
        <v>-2731</v>
      </c>
    </row>
    <row r="15" spans="2:14" x14ac:dyDescent="0.35">
      <c r="B15" t="s">
        <v>96</v>
      </c>
      <c r="C15">
        <v>2</v>
      </c>
      <c r="D15">
        <v>1</v>
      </c>
      <c r="E15">
        <v>0</v>
      </c>
      <c r="F15">
        <v>2</v>
      </c>
      <c r="G15">
        <v>10</v>
      </c>
      <c r="H15">
        <v>7</v>
      </c>
      <c r="I15">
        <v>8</v>
      </c>
      <c r="J15">
        <v>6</v>
      </c>
      <c r="K15">
        <v>2</v>
      </c>
      <c r="L15">
        <v>21</v>
      </c>
      <c r="M15">
        <v>5</v>
      </c>
      <c r="N15">
        <v>9</v>
      </c>
    </row>
    <row r="16" spans="2:14" x14ac:dyDescent="0.35">
      <c r="B16" t="s">
        <v>97</v>
      </c>
      <c r="C16">
        <v>-187</v>
      </c>
      <c r="D16">
        <v>-644</v>
      </c>
      <c r="E16" s="22">
        <v>-2901</v>
      </c>
      <c r="F16" s="22">
        <v>-638</v>
      </c>
      <c r="G16">
        <v>0</v>
      </c>
      <c r="H16">
        <v>0</v>
      </c>
      <c r="I16">
        <v>0</v>
      </c>
      <c r="J16">
        <v>0</v>
      </c>
      <c r="K16">
        <v>0</v>
      </c>
      <c r="L16">
        <v>0</v>
      </c>
      <c r="M16">
        <v>-193</v>
      </c>
      <c r="N16">
        <v>0</v>
      </c>
    </row>
    <row r="17" spans="2:14" x14ac:dyDescent="0.35">
      <c r="B17" t="s">
        <v>98</v>
      </c>
      <c r="C17">
        <v>194</v>
      </c>
      <c r="D17">
        <v>645</v>
      </c>
      <c r="E17" s="22">
        <v>2904</v>
      </c>
      <c r="F17" s="22">
        <v>0</v>
      </c>
      <c r="G17">
        <v>0</v>
      </c>
      <c r="H17" s="22">
        <v>1376</v>
      </c>
      <c r="I17" s="22">
        <v>410</v>
      </c>
      <c r="J17">
        <v>232</v>
      </c>
      <c r="K17">
        <v>3</v>
      </c>
      <c r="L17">
        <v>4</v>
      </c>
      <c r="M17">
        <v>6</v>
      </c>
      <c r="N17">
        <v>123</v>
      </c>
    </row>
    <row r="18" spans="2:14" x14ac:dyDescent="0.35">
      <c r="B18" t="s">
        <v>99</v>
      </c>
      <c r="C18">
        <v>0</v>
      </c>
      <c r="D18">
        <v>0</v>
      </c>
      <c r="E18">
        <v>0</v>
      </c>
      <c r="F18">
        <v>3</v>
      </c>
      <c r="G18">
        <v>8</v>
      </c>
      <c r="H18">
        <v>0</v>
      </c>
      <c r="I18">
        <v>0</v>
      </c>
      <c r="J18">
        <v>0</v>
      </c>
      <c r="K18">
        <v>0</v>
      </c>
      <c r="L18">
        <v>0</v>
      </c>
      <c r="M18">
        <v>0</v>
      </c>
      <c r="N18">
        <v>0</v>
      </c>
    </row>
    <row r="19" spans="2:14" x14ac:dyDescent="0.35">
      <c r="B19" t="s">
        <v>100</v>
      </c>
      <c r="C19">
        <v>0</v>
      </c>
      <c r="D19">
        <v>0</v>
      </c>
      <c r="E19">
        <v>0</v>
      </c>
      <c r="F19">
        <v>1</v>
      </c>
      <c r="G19">
        <v>1</v>
      </c>
      <c r="H19">
        <v>31</v>
      </c>
      <c r="I19">
        <v>36</v>
      </c>
      <c r="J19">
        <v>12</v>
      </c>
      <c r="K19">
        <v>129</v>
      </c>
      <c r="L19">
        <v>43</v>
      </c>
      <c r="M19">
        <v>39</v>
      </c>
      <c r="N19">
        <v>262</v>
      </c>
    </row>
    <row r="20" spans="2:14" x14ac:dyDescent="0.35">
      <c r="B20" t="s">
        <v>101</v>
      </c>
      <c r="C20">
        <v>0</v>
      </c>
      <c r="D20">
        <v>0</v>
      </c>
      <c r="E20">
        <v>0</v>
      </c>
      <c r="F20">
        <v>0</v>
      </c>
      <c r="G20">
        <v>0</v>
      </c>
      <c r="H20">
        <v>0</v>
      </c>
      <c r="I20">
        <v>0</v>
      </c>
      <c r="J20">
        <v>0</v>
      </c>
      <c r="K20">
        <v>0</v>
      </c>
      <c r="L20">
        <v>0</v>
      </c>
      <c r="M20">
        <v>0</v>
      </c>
      <c r="N20">
        <v>0</v>
      </c>
    </row>
    <row r="21" spans="2:14" x14ac:dyDescent="0.35">
      <c r="B21" t="s">
        <v>102</v>
      </c>
      <c r="C21">
        <v>0</v>
      </c>
      <c r="D21">
        <v>0</v>
      </c>
      <c r="E21">
        <v>0</v>
      </c>
      <c r="F21">
        <v>-14</v>
      </c>
      <c r="G21">
        <v>-21</v>
      </c>
      <c r="H21">
        <v>-49</v>
      </c>
      <c r="I21">
        <v>0</v>
      </c>
      <c r="J21">
        <v>0</v>
      </c>
      <c r="K21">
        <v>0</v>
      </c>
      <c r="L21">
        <v>0</v>
      </c>
      <c r="M21">
        <v>0</v>
      </c>
      <c r="N21">
        <v>0</v>
      </c>
    </row>
    <row r="22" spans="2:14" x14ac:dyDescent="0.35">
      <c r="B22" t="s">
        <v>103</v>
      </c>
      <c r="C22">
        <v>0</v>
      </c>
      <c r="D22">
        <v>0</v>
      </c>
      <c r="E22">
        <v>0</v>
      </c>
      <c r="F22">
        <v>0</v>
      </c>
      <c r="G22">
        <v>0</v>
      </c>
      <c r="H22">
        <v>8</v>
      </c>
      <c r="I22">
        <v>0</v>
      </c>
      <c r="J22">
        <v>0</v>
      </c>
      <c r="K22">
        <v>0</v>
      </c>
      <c r="L22">
        <v>0</v>
      </c>
      <c r="M22">
        <v>0</v>
      </c>
      <c r="N22">
        <v>0</v>
      </c>
    </row>
    <row r="23" spans="2:14" x14ac:dyDescent="0.35">
      <c r="B23" t="s">
        <v>104</v>
      </c>
      <c r="C23">
        <v>0</v>
      </c>
      <c r="D23">
        <v>0</v>
      </c>
      <c r="E23">
        <v>0</v>
      </c>
      <c r="F23">
        <v>14</v>
      </c>
      <c r="G23" s="22">
        <v>-1835</v>
      </c>
      <c r="H23" s="22">
        <v>7</v>
      </c>
      <c r="I23">
        <v>3</v>
      </c>
      <c r="J23" s="22">
        <v>-3194</v>
      </c>
      <c r="K23" s="22">
        <v>786</v>
      </c>
      <c r="L23" s="22">
        <v>1054</v>
      </c>
      <c r="M23" s="22">
        <v>42</v>
      </c>
      <c r="N23">
        <v>-131</v>
      </c>
    </row>
    <row r="24" spans="2:14" x14ac:dyDescent="0.35">
      <c r="B24" s="12" t="s">
        <v>105</v>
      </c>
      <c r="C24">
        <v>118</v>
      </c>
      <c r="D24">
        <v>65</v>
      </c>
      <c r="E24">
        <v>234</v>
      </c>
      <c r="F24">
        <v>196</v>
      </c>
      <c r="G24" s="22">
        <v>2025</v>
      </c>
      <c r="H24" s="22">
        <v>-1159</v>
      </c>
      <c r="I24" s="22">
        <v>209</v>
      </c>
      <c r="J24" s="22">
        <v>3357</v>
      </c>
      <c r="K24" s="22">
        <v>-180</v>
      </c>
      <c r="L24">
        <v>-179</v>
      </c>
      <c r="M24">
        <v>-205</v>
      </c>
      <c r="N24">
        <v>-148</v>
      </c>
    </row>
    <row r="25" spans="2:14" x14ac:dyDescent="0.35">
      <c r="B25" t="s">
        <v>106</v>
      </c>
      <c r="C25">
        <v>14</v>
      </c>
      <c r="D25">
        <v>5</v>
      </c>
      <c r="E25">
        <v>33</v>
      </c>
      <c r="F25">
        <v>0</v>
      </c>
      <c r="G25" s="22">
        <v>1841</v>
      </c>
      <c r="H25" s="22">
        <v>0</v>
      </c>
      <c r="I25">
        <v>0</v>
      </c>
      <c r="J25">
        <v>110</v>
      </c>
      <c r="K25">
        <v>0</v>
      </c>
      <c r="L25">
        <v>0</v>
      </c>
      <c r="M25">
        <v>15</v>
      </c>
      <c r="N25">
        <v>75</v>
      </c>
    </row>
    <row r="26" spans="2:14" x14ac:dyDescent="0.35">
      <c r="B26" t="s">
        <v>107</v>
      </c>
      <c r="C26">
        <v>0</v>
      </c>
      <c r="D26">
        <v>0</v>
      </c>
      <c r="E26">
        <v>200</v>
      </c>
      <c r="F26">
        <v>350</v>
      </c>
      <c r="G26">
        <v>250</v>
      </c>
      <c r="H26">
        <v>0</v>
      </c>
      <c r="I26">
        <v>0</v>
      </c>
      <c r="J26">
        <v>300</v>
      </c>
      <c r="K26">
        <v>0</v>
      </c>
      <c r="L26">
        <v>0</v>
      </c>
      <c r="M26">
        <v>0</v>
      </c>
      <c r="N26">
        <v>0</v>
      </c>
    </row>
    <row r="27" spans="2:14" x14ac:dyDescent="0.35">
      <c r="B27" t="s">
        <v>108</v>
      </c>
      <c r="C27">
        <v>0</v>
      </c>
      <c r="D27">
        <v>0</v>
      </c>
      <c r="E27">
        <v>0</v>
      </c>
      <c r="F27">
        <v>0</v>
      </c>
      <c r="G27">
        <v>0</v>
      </c>
      <c r="H27">
        <v>-384</v>
      </c>
      <c r="I27">
        <v>-170</v>
      </c>
      <c r="J27">
        <v>-512</v>
      </c>
      <c r="K27">
        <v>-34</v>
      </c>
      <c r="L27">
        <v>0</v>
      </c>
      <c r="M27">
        <v>0</v>
      </c>
      <c r="N27">
        <v>0</v>
      </c>
    </row>
    <row r="28" spans="2:14" x14ac:dyDescent="0.35">
      <c r="B28" t="s">
        <v>109</v>
      </c>
      <c r="C28">
        <v>219</v>
      </c>
      <c r="D28">
        <v>245</v>
      </c>
      <c r="E28">
        <v>295</v>
      </c>
      <c r="F28">
        <v>-60</v>
      </c>
      <c r="G28">
        <v>260</v>
      </c>
      <c r="H28">
        <v>0</v>
      </c>
      <c r="I28">
        <v>992</v>
      </c>
      <c r="J28" s="22">
        <v>1100</v>
      </c>
      <c r="K28" s="22">
        <v>200</v>
      </c>
      <c r="L28">
        <v>248</v>
      </c>
      <c r="M28">
        <v>0</v>
      </c>
      <c r="N28">
        <v>0</v>
      </c>
    </row>
    <row r="29" spans="2:14" x14ac:dyDescent="0.35">
      <c r="B29" t="s">
        <v>110</v>
      </c>
      <c r="C29">
        <v>-73</v>
      </c>
      <c r="D29">
        <v>-130</v>
      </c>
      <c r="E29">
        <v>-232</v>
      </c>
      <c r="F29">
        <v>0</v>
      </c>
      <c r="G29">
        <v>-155</v>
      </c>
      <c r="H29">
        <v>-695</v>
      </c>
      <c r="I29">
        <v>-562</v>
      </c>
      <c r="J29" s="22">
        <v>-1550</v>
      </c>
      <c r="K29" s="22">
        <v>-204</v>
      </c>
      <c r="L29">
        <v>-248</v>
      </c>
      <c r="M29">
        <v>0</v>
      </c>
      <c r="N29">
        <v>0</v>
      </c>
    </row>
    <row r="30" spans="2:14" x14ac:dyDescent="0.35">
      <c r="B30" t="s">
        <v>111</v>
      </c>
      <c r="C30">
        <v>-42</v>
      </c>
      <c r="D30">
        <v>-54</v>
      </c>
      <c r="E30">
        <v>-62</v>
      </c>
      <c r="F30">
        <v>-93</v>
      </c>
      <c r="G30">
        <v>-120</v>
      </c>
      <c r="H30">
        <v>-80</v>
      </c>
      <c r="I30">
        <v>-51</v>
      </c>
      <c r="J30">
        <v>-98</v>
      </c>
      <c r="K30">
        <v>-44</v>
      </c>
      <c r="L30">
        <v>-54</v>
      </c>
      <c r="M30">
        <v>-67</v>
      </c>
      <c r="N30">
        <v>-58</v>
      </c>
    </row>
    <row r="31" spans="2:14" x14ac:dyDescent="0.35">
      <c r="B31" t="s">
        <v>112</v>
      </c>
      <c r="C31">
        <v>0</v>
      </c>
      <c r="D31">
        <v>0</v>
      </c>
      <c r="E31">
        <v>0</v>
      </c>
      <c r="F31">
        <v>0</v>
      </c>
      <c r="G31">
        <v>0</v>
      </c>
      <c r="H31">
        <v>0</v>
      </c>
      <c r="I31">
        <v>0</v>
      </c>
      <c r="J31">
        <v>-70</v>
      </c>
      <c r="K31">
        <v>-98</v>
      </c>
      <c r="L31">
        <v>-125</v>
      </c>
      <c r="M31">
        <v>-153</v>
      </c>
      <c r="N31">
        <v>-164</v>
      </c>
    </row>
    <row r="32" spans="2:14" x14ac:dyDescent="0.35">
      <c r="B32" t="s">
        <v>361</v>
      </c>
      <c r="C32">
        <v>0</v>
      </c>
      <c r="D32">
        <v>0</v>
      </c>
      <c r="E32">
        <v>0</v>
      </c>
      <c r="F32">
        <v>0</v>
      </c>
      <c r="G32">
        <v>0</v>
      </c>
      <c r="H32">
        <v>0</v>
      </c>
      <c r="I32">
        <v>0</v>
      </c>
      <c r="J32">
        <v>0</v>
      </c>
      <c r="K32">
        <v>0</v>
      </c>
      <c r="L32">
        <v>0</v>
      </c>
      <c r="M32">
        <v>1</v>
      </c>
      <c r="N32">
        <v>0</v>
      </c>
    </row>
    <row r="33" spans="2:14" x14ac:dyDescent="0.35">
      <c r="B33" t="s">
        <v>114</v>
      </c>
      <c r="C33">
        <v>0</v>
      </c>
      <c r="D33">
        <v>0</v>
      </c>
      <c r="E33">
        <v>0</v>
      </c>
      <c r="F33">
        <v>0</v>
      </c>
      <c r="G33">
        <v>-50</v>
      </c>
      <c r="H33">
        <v>0</v>
      </c>
      <c r="I33">
        <v>0</v>
      </c>
      <c r="J33" s="22">
        <v>4077</v>
      </c>
      <c r="K33" s="22">
        <v>0</v>
      </c>
      <c r="L33">
        <v>0</v>
      </c>
      <c r="M33">
        <v>0</v>
      </c>
      <c r="N33">
        <v>0</v>
      </c>
    </row>
    <row r="34" spans="2:14" x14ac:dyDescent="0.35">
      <c r="B34" s="12" t="s">
        <v>50</v>
      </c>
      <c r="C34">
        <v>14</v>
      </c>
      <c r="D34">
        <v>-7</v>
      </c>
      <c r="E34">
        <v>-17</v>
      </c>
      <c r="F34">
        <v>-3</v>
      </c>
      <c r="G34">
        <v>-1</v>
      </c>
      <c r="H34">
        <v>34</v>
      </c>
      <c r="I34">
        <v>57</v>
      </c>
      <c r="J34">
        <v>-19</v>
      </c>
      <c r="K34">
        <v>86</v>
      </c>
      <c r="L34">
        <v>-96</v>
      </c>
      <c r="M34">
        <v>112</v>
      </c>
      <c r="N34">
        <v>130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A1CA0-A27F-4E82-9742-7930312FD595}">
  <dimension ref="A1:M162"/>
  <sheetViews>
    <sheetView workbookViewId="0">
      <selection activeCell="B15" sqref="B15"/>
    </sheetView>
  </sheetViews>
  <sheetFormatPr defaultRowHeight="14.5" x14ac:dyDescent="0.35"/>
  <cols>
    <col min="1" max="1" width="20.54296875" bestFit="1" customWidth="1"/>
    <col min="2" max="2" width="13.26953125" bestFit="1" customWidth="1"/>
    <col min="3" max="3" width="14.08984375" bestFit="1" customWidth="1"/>
    <col min="4" max="4" width="10.54296875" bestFit="1" customWidth="1"/>
    <col min="5" max="5" width="20.26953125" bestFit="1" customWidth="1"/>
    <col min="6" max="6" width="13.08984375" bestFit="1" customWidth="1"/>
    <col min="7" max="7" width="38.1796875" bestFit="1" customWidth="1"/>
    <col min="8" max="9" width="10.54296875" bestFit="1" customWidth="1"/>
    <col min="10" max="10" width="20.26953125" bestFit="1" customWidth="1"/>
    <col min="11" max="11" width="16.6328125" bestFit="1" customWidth="1"/>
    <col min="12" max="12" width="39.08984375" bestFit="1" customWidth="1"/>
    <col min="13" max="13" width="11.54296875" bestFit="1" customWidth="1"/>
  </cols>
  <sheetData>
    <row r="1" spans="1:13" x14ac:dyDescent="0.35">
      <c r="A1" t="s">
        <v>449</v>
      </c>
      <c r="B1" t="s">
        <v>202</v>
      </c>
      <c r="C1" t="s">
        <v>10</v>
      </c>
      <c r="D1" t="s">
        <v>351</v>
      </c>
      <c r="E1" t="s">
        <v>438</v>
      </c>
      <c r="F1" t="s">
        <v>422</v>
      </c>
      <c r="G1" t="s">
        <v>439</v>
      </c>
      <c r="H1" t="s">
        <v>432</v>
      </c>
      <c r="I1" t="s">
        <v>433</v>
      </c>
      <c r="J1" t="s">
        <v>450</v>
      </c>
      <c r="K1" t="s">
        <v>451</v>
      </c>
      <c r="L1" t="s">
        <v>452</v>
      </c>
      <c r="M1" t="s">
        <v>437</v>
      </c>
    </row>
    <row r="2" spans="1:13" x14ac:dyDescent="0.35">
      <c r="A2" t="s">
        <v>356</v>
      </c>
      <c r="B2" t="s">
        <v>357</v>
      </c>
      <c r="C2">
        <v>5308.85</v>
      </c>
      <c r="E2" t="s">
        <v>440</v>
      </c>
      <c r="F2" t="s">
        <v>441</v>
      </c>
      <c r="J2" t="s">
        <v>440</v>
      </c>
      <c r="K2" t="s">
        <v>441</v>
      </c>
    </row>
    <row r="3" spans="1:13" x14ac:dyDescent="0.35">
      <c r="A3" t="s">
        <v>221</v>
      </c>
      <c r="B3" t="s">
        <v>344</v>
      </c>
      <c r="C3">
        <v>7170.05</v>
      </c>
      <c r="E3" t="s">
        <v>442</v>
      </c>
      <c r="F3">
        <v>44438</v>
      </c>
      <c r="J3" t="s">
        <v>442</v>
      </c>
      <c r="K3">
        <v>44438</v>
      </c>
    </row>
    <row r="4" spans="1:13" x14ac:dyDescent="0.35">
      <c r="A4" t="s">
        <v>407</v>
      </c>
      <c r="B4" t="s">
        <v>421</v>
      </c>
      <c r="C4">
        <v>611</v>
      </c>
      <c r="E4" t="s">
        <v>443</v>
      </c>
      <c r="F4">
        <v>45534</v>
      </c>
      <c r="J4" t="s">
        <v>443</v>
      </c>
      <c r="K4">
        <v>45534</v>
      </c>
    </row>
    <row r="5" spans="1:13" x14ac:dyDescent="0.35">
      <c r="A5" t="s">
        <v>222</v>
      </c>
      <c r="B5" t="s">
        <v>345</v>
      </c>
      <c r="C5">
        <v>315</v>
      </c>
      <c r="E5" t="s">
        <v>444</v>
      </c>
      <c r="F5">
        <v>7</v>
      </c>
      <c r="G5" t="s">
        <v>445</v>
      </c>
      <c r="J5" t="s">
        <v>444</v>
      </c>
      <c r="K5">
        <v>7</v>
      </c>
      <c r="L5" t="s">
        <v>445</v>
      </c>
    </row>
    <row r="6" spans="1:13" x14ac:dyDescent="0.35">
      <c r="A6" t="s">
        <v>226</v>
      </c>
      <c r="B6" t="s">
        <v>349</v>
      </c>
      <c r="C6">
        <v>699.95</v>
      </c>
    </row>
    <row r="7" spans="1:13" x14ac:dyDescent="0.35">
      <c r="A7" t="s">
        <v>225</v>
      </c>
      <c r="B7" t="s">
        <v>348</v>
      </c>
      <c r="C7">
        <v>830.3</v>
      </c>
    </row>
    <row r="8" spans="1:13" x14ac:dyDescent="0.35">
      <c r="A8" t="s">
        <v>224</v>
      </c>
      <c r="B8" t="s">
        <v>347</v>
      </c>
      <c r="C8">
        <v>217.4</v>
      </c>
      <c r="E8" t="s">
        <v>446</v>
      </c>
      <c r="G8" t="s">
        <v>447</v>
      </c>
      <c r="J8" t="s">
        <v>446</v>
      </c>
      <c r="L8" t="s">
        <v>447</v>
      </c>
    </row>
    <row r="9" spans="1:13" x14ac:dyDescent="0.35">
      <c r="A9" t="s">
        <v>223</v>
      </c>
      <c r="B9" t="s">
        <v>346</v>
      </c>
      <c r="C9">
        <v>724.65</v>
      </c>
      <c r="E9" t="s">
        <v>261</v>
      </c>
      <c r="F9" t="s">
        <v>426</v>
      </c>
      <c r="G9" t="s">
        <v>448</v>
      </c>
      <c r="J9" t="s">
        <v>261</v>
      </c>
      <c r="K9" t="s">
        <v>426</v>
      </c>
      <c r="L9" t="s">
        <v>453</v>
      </c>
    </row>
    <row r="10" spans="1:13" x14ac:dyDescent="0.35">
      <c r="A10" t="s">
        <v>227</v>
      </c>
      <c r="B10" t="s">
        <v>358</v>
      </c>
      <c r="C10">
        <v>3400</v>
      </c>
      <c r="E10">
        <v>44442.645830000001</v>
      </c>
      <c r="F10">
        <v>3938.9</v>
      </c>
      <c r="J10">
        <v>44442.645830000001</v>
      </c>
      <c r="K10">
        <v>186.91</v>
      </c>
    </row>
    <row r="11" spans="1:13" x14ac:dyDescent="0.35">
      <c r="A11" t="s">
        <v>228</v>
      </c>
      <c r="B11" t="s">
        <v>350</v>
      </c>
      <c r="C11">
        <v>3591.45</v>
      </c>
      <c r="E11">
        <v>44448.645830000001</v>
      </c>
      <c r="F11">
        <v>3950.5</v>
      </c>
      <c r="J11">
        <v>44448.645830000001</v>
      </c>
      <c r="K11">
        <v>187.42</v>
      </c>
    </row>
    <row r="12" spans="1:13" x14ac:dyDescent="0.35">
      <c r="E12">
        <v>44456.645830000001</v>
      </c>
      <c r="F12">
        <v>4239.6499999999996</v>
      </c>
      <c r="J12">
        <v>44456.645830000001</v>
      </c>
      <c r="K12">
        <v>189.82</v>
      </c>
    </row>
    <row r="13" spans="1:13" x14ac:dyDescent="0.35">
      <c r="E13">
        <v>44463.645830000001</v>
      </c>
      <c r="F13">
        <v>4422.3500000000004</v>
      </c>
      <c r="J13">
        <v>44463.645830000001</v>
      </c>
      <c r="K13">
        <v>192.63</v>
      </c>
    </row>
    <row r="14" spans="1:13" x14ac:dyDescent="0.35">
      <c r="E14">
        <v>44470.645830000001</v>
      </c>
      <c r="F14">
        <v>4235.6000000000004</v>
      </c>
      <c r="J14">
        <v>44470.645830000001</v>
      </c>
      <c r="K14">
        <v>189.22</v>
      </c>
    </row>
    <row r="15" spans="1:13" x14ac:dyDescent="0.35">
      <c r="E15">
        <v>44477.645830000001</v>
      </c>
      <c r="F15">
        <v>4407.95</v>
      </c>
      <c r="J15">
        <v>44477.645830000001</v>
      </c>
      <c r="K15">
        <v>192.58</v>
      </c>
    </row>
    <row r="16" spans="1:13" x14ac:dyDescent="0.35">
      <c r="E16">
        <v>44483.645830000001</v>
      </c>
      <c r="F16">
        <v>5323.75</v>
      </c>
      <c r="J16">
        <v>44483.645830000001</v>
      </c>
      <c r="K16">
        <v>197.11</v>
      </c>
    </row>
    <row r="17" spans="5:11" x14ac:dyDescent="0.35">
      <c r="E17">
        <v>44491.645830000001</v>
      </c>
      <c r="F17">
        <v>4521.45</v>
      </c>
      <c r="J17">
        <v>44491.645830000001</v>
      </c>
      <c r="K17">
        <v>195.68</v>
      </c>
    </row>
    <row r="18" spans="5:11" x14ac:dyDescent="0.35">
      <c r="E18">
        <v>44498.645830000001</v>
      </c>
      <c r="F18">
        <v>4635.45</v>
      </c>
      <c r="J18">
        <v>44498.645830000001</v>
      </c>
      <c r="K18">
        <v>191.16</v>
      </c>
    </row>
    <row r="19" spans="5:11" x14ac:dyDescent="0.35">
      <c r="E19">
        <v>44504.802080000001</v>
      </c>
      <c r="F19">
        <v>4783.7</v>
      </c>
      <c r="J19">
        <v>44504.802080000001</v>
      </c>
      <c r="K19">
        <v>193.59</v>
      </c>
    </row>
    <row r="20" spans="5:11" x14ac:dyDescent="0.35">
      <c r="E20">
        <v>44512.645830000001</v>
      </c>
      <c r="F20">
        <v>5078.55</v>
      </c>
      <c r="J20">
        <v>44512.645830000001</v>
      </c>
      <c r="K20">
        <v>195.46</v>
      </c>
    </row>
    <row r="21" spans="5:11" x14ac:dyDescent="0.35">
      <c r="E21">
        <v>44518.645830000001</v>
      </c>
      <c r="F21">
        <v>5080.8999999999996</v>
      </c>
      <c r="J21">
        <v>44518.645830000001</v>
      </c>
      <c r="K21">
        <v>192.14</v>
      </c>
    </row>
    <row r="22" spans="5:11" x14ac:dyDescent="0.35">
      <c r="E22">
        <v>44526.645830000001</v>
      </c>
      <c r="F22">
        <v>4718.75</v>
      </c>
      <c r="J22">
        <v>44526.645830000001</v>
      </c>
      <c r="K22">
        <v>184.51</v>
      </c>
    </row>
    <row r="23" spans="5:11" x14ac:dyDescent="0.35">
      <c r="E23">
        <v>44533.645830000001</v>
      </c>
      <c r="F23">
        <v>4799.05</v>
      </c>
      <c r="J23">
        <v>44533.645830000001</v>
      </c>
      <c r="K23">
        <v>186</v>
      </c>
    </row>
    <row r="24" spans="5:11" x14ac:dyDescent="0.35">
      <c r="E24">
        <v>44540.645830000001</v>
      </c>
      <c r="F24">
        <v>4796.6000000000004</v>
      </c>
      <c r="J24">
        <v>44540.645830000001</v>
      </c>
      <c r="K24">
        <v>189.09</v>
      </c>
    </row>
    <row r="25" spans="5:11" x14ac:dyDescent="0.35">
      <c r="E25">
        <v>44547.645830000001</v>
      </c>
      <c r="F25">
        <v>4697.8</v>
      </c>
      <c r="J25">
        <v>44547.645830000001</v>
      </c>
      <c r="K25">
        <v>183.77</v>
      </c>
    </row>
    <row r="26" spans="5:11" x14ac:dyDescent="0.35">
      <c r="E26">
        <v>44554.645830000001</v>
      </c>
      <c r="F26">
        <v>4628.8999999999996</v>
      </c>
      <c r="J26">
        <v>44554.645830000001</v>
      </c>
      <c r="K26">
        <v>183.45</v>
      </c>
    </row>
    <row r="27" spans="5:11" x14ac:dyDescent="0.35">
      <c r="E27">
        <v>44561.645830000001</v>
      </c>
      <c r="F27">
        <v>4671.45</v>
      </c>
      <c r="J27">
        <v>44561.645830000001</v>
      </c>
      <c r="K27">
        <v>187.79</v>
      </c>
    </row>
    <row r="28" spans="5:11" x14ac:dyDescent="0.35">
      <c r="E28">
        <v>44568.645830000001</v>
      </c>
      <c r="F28">
        <v>4731.3500000000004</v>
      </c>
      <c r="J28">
        <v>44568.645830000001</v>
      </c>
      <c r="K28">
        <v>192.42</v>
      </c>
    </row>
    <row r="29" spans="5:11" x14ac:dyDescent="0.35">
      <c r="E29">
        <v>44575.645830000001</v>
      </c>
      <c r="F29">
        <v>4322.7</v>
      </c>
      <c r="J29">
        <v>44575.645830000001</v>
      </c>
      <c r="K29">
        <v>197.36</v>
      </c>
    </row>
    <row r="30" spans="5:11" x14ac:dyDescent="0.35">
      <c r="E30">
        <v>44582.645830000001</v>
      </c>
      <c r="F30">
        <v>4299.8</v>
      </c>
      <c r="J30">
        <v>44582.645830000001</v>
      </c>
      <c r="K30">
        <v>190.64</v>
      </c>
    </row>
    <row r="31" spans="5:11" x14ac:dyDescent="0.35">
      <c r="E31">
        <v>44589.645830000001</v>
      </c>
      <c r="F31">
        <v>4076</v>
      </c>
      <c r="J31">
        <v>44589.645830000001</v>
      </c>
      <c r="K31">
        <v>185.1</v>
      </c>
    </row>
    <row r="32" spans="5:11" x14ac:dyDescent="0.35">
      <c r="E32">
        <v>44596.645830000001</v>
      </c>
      <c r="F32">
        <v>4081.9</v>
      </c>
      <c r="J32">
        <v>44596.645830000001</v>
      </c>
      <c r="K32">
        <v>189.59</v>
      </c>
    </row>
    <row r="33" spans="5:11" x14ac:dyDescent="0.35">
      <c r="E33">
        <v>44603.645830000001</v>
      </c>
      <c r="F33">
        <v>4142.25</v>
      </c>
      <c r="J33">
        <v>44603.645830000001</v>
      </c>
      <c r="K33">
        <v>188</v>
      </c>
    </row>
    <row r="34" spans="5:11" x14ac:dyDescent="0.35">
      <c r="E34">
        <v>44610.645830000001</v>
      </c>
      <c r="F34">
        <v>4073.1</v>
      </c>
      <c r="J34">
        <v>44610.645830000001</v>
      </c>
      <c r="K34">
        <v>186.64</v>
      </c>
    </row>
    <row r="35" spans="5:11" x14ac:dyDescent="0.35">
      <c r="E35">
        <v>44617.645830000001</v>
      </c>
      <c r="F35">
        <v>4190.75</v>
      </c>
      <c r="J35">
        <v>44617.645830000001</v>
      </c>
      <c r="K35">
        <v>180.85</v>
      </c>
    </row>
    <row r="36" spans="5:11" x14ac:dyDescent="0.35">
      <c r="E36">
        <v>44624.645830000001</v>
      </c>
      <c r="F36">
        <v>4110.2</v>
      </c>
      <c r="J36">
        <v>44624.645830000001</v>
      </c>
      <c r="K36">
        <v>176.26</v>
      </c>
    </row>
    <row r="37" spans="5:11" x14ac:dyDescent="0.35">
      <c r="E37">
        <v>44631.645830000001</v>
      </c>
      <c r="F37">
        <v>4198.95</v>
      </c>
      <c r="J37">
        <v>44631.645830000001</v>
      </c>
      <c r="K37">
        <v>179.98</v>
      </c>
    </row>
    <row r="38" spans="5:11" x14ac:dyDescent="0.35">
      <c r="E38">
        <v>44637.645830000001</v>
      </c>
      <c r="F38">
        <v>4192.75</v>
      </c>
      <c r="J38">
        <v>44637.645830000001</v>
      </c>
      <c r="K38">
        <v>186.71</v>
      </c>
    </row>
    <row r="39" spans="5:11" x14ac:dyDescent="0.35">
      <c r="E39">
        <v>44645.645830000001</v>
      </c>
      <c r="F39">
        <v>4001.3</v>
      </c>
      <c r="J39">
        <v>44645.645830000001</v>
      </c>
      <c r="K39">
        <v>185.82</v>
      </c>
    </row>
    <row r="40" spans="5:11" x14ac:dyDescent="0.35">
      <c r="E40">
        <v>44652.645830000001</v>
      </c>
      <c r="F40">
        <v>4082.2</v>
      </c>
      <c r="J40">
        <v>44652.645830000001</v>
      </c>
      <c r="K40">
        <v>190.47</v>
      </c>
    </row>
    <row r="41" spans="5:11" x14ac:dyDescent="0.35">
      <c r="E41">
        <v>44659.645830000001</v>
      </c>
      <c r="F41">
        <v>4146.25</v>
      </c>
      <c r="J41">
        <v>44659.645830000001</v>
      </c>
      <c r="K41">
        <v>192.76</v>
      </c>
    </row>
    <row r="42" spans="5:11" x14ac:dyDescent="0.35">
      <c r="E42">
        <v>44664.645830000001</v>
      </c>
      <c r="F42">
        <v>4090.9</v>
      </c>
      <c r="J42">
        <v>44664.645830000001</v>
      </c>
      <c r="K42">
        <v>189.54</v>
      </c>
    </row>
    <row r="43" spans="5:11" x14ac:dyDescent="0.35">
      <c r="E43">
        <v>44673.645830000001</v>
      </c>
      <c r="F43">
        <v>4028.85</v>
      </c>
      <c r="J43">
        <v>44673.645830000001</v>
      </c>
      <c r="K43">
        <v>186.09</v>
      </c>
    </row>
    <row r="44" spans="5:11" x14ac:dyDescent="0.35">
      <c r="E44">
        <v>44680.645830000001</v>
      </c>
      <c r="F44">
        <v>3944.25</v>
      </c>
      <c r="J44">
        <v>44680.645830000001</v>
      </c>
      <c r="K44">
        <v>185.43</v>
      </c>
    </row>
    <row r="45" spans="5:11" x14ac:dyDescent="0.35">
      <c r="E45">
        <v>44687.645830000001</v>
      </c>
      <c r="F45">
        <v>3666.2</v>
      </c>
      <c r="J45">
        <v>44687.645830000001</v>
      </c>
      <c r="K45">
        <v>177.94</v>
      </c>
    </row>
    <row r="46" spans="5:11" x14ac:dyDescent="0.35">
      <c r="E46">
        <v>44694.645830000001</v>
      </c>
      <c r="F46">
        <v>3230.6</v>
      </c>
      <c r="J46">
        <v>44694.645830000001</v>
      </c>
      <c r="K46">
        <v>171.4</v>
      </c>
    </row>
    <row r="47" spans="5:11" x14ac:dyDescent="0.35">
      <c r="E47">
        <v>44701.645830000001</v>
      </c>
      <c r="F47">
        <v>3630.4</v>
      </c>
      <c r="J47">
        <v>44701.645830000001</v>
      </c>
      <c r="K47">
        <v>175.92</v>
      </c>
    </row>
    <row r="48" spans="5:11" x14ac:dyDescent="0.35">
      <c r="E48">
        <v>44708.645830000001</v>
      </c>
      <c r="F48">
        <v>3613.85</v>
      </c>
      <c r="J48">
        <v>44708.645830000001</v>
      </c>
      <c r="K48">
        <v>177.1</v>
      </c>
    </row>
    <row r="49" spans="5:11" x14ac:dyDescent="0.35">
      <c r="E49">
        <v>44715.645830000001</v>
      </c>
      <c r="F49">
        <v>3820.1</v>
      </c>
      <c r="J49">
        <v>44715.645830000001</v>
      </c>
      <c r="K49">
        <v>180.21</v>
      </c>
    </row>
    <row r="50" spans="5:11" x14ac:dyDescent="0.35">
      <c r="E50">
        <v>44722.645830000001</v>
      </c>
      <c r="F50">
        <v>3755.65</v>
      </c>
      <c r="J50">
        <v>44722.645830000001</v>
      </c>
      <c r="K50">
        <v>176.46</v>
      </c>
    </row>
    <row r="51" spans="5:11" x14ac:dyDescent="0.35">
      <c r="E51">
        <v>44729.645830000001</v>
      </c>
      <c r="F51">
        <v>3460.55</v>
      </c>
      <c r="J51">
        <v>44729.645830000001</v>
      </c>
      <c r="K51">
        <v>166.87</v>
      </c>
    </row>
    <row r="52" spans="5:11" x14ac:dyDescent="0.35">
      <c r="E52">
        <v>44736.645830000001</v>
      </c>
      <c r="F52">
        <v>3412</v>
      </c>
      <c r="J52">
        <v>44736.645830000001</v>
      </c>
      <c r="K52">
        <v>171.16</v>
      </c>
    </row>
    <row r="53" spans="5:11" x14ac:dyDescent="0.35">
      <c r="E53">
        <v>44743.645830000001</v>
      </c>
      <c r="F53">
        <v>3388.75</v>
      </c>
      <c r="J53">
        <v>44743.645830000001</v>
      </c>
      <c r="K53">
        <v>171.64</v>
      </c>
    </row>
    <row r="54" spans="5:11" x14ac:dyDescent="0.35">
      <c r="E54">
        <v>44750.645830000001</v>
      </c>
      <c r="F54">
        <v>3941.7</v>
      </c>
      <c r="J54">
        <v>44750.645830000001</v>
      </c>
      <c r="K54">
        <v>176.28</v>
      </c>
    </row>
    <row r="55" spans="5:11" x14ac:dyDescent="0.35">
      <c r="E55">
        <v>44757.645830000001</v>
      </c>
      <c r="F55">
        <v>3926.8</v>
      </c>
      <c r="J55">
        <v>44757.645830000001</v>
      </c>
      <c r="K55">
        <v>175.02</v>
      </c>
    </row>
    <row r="56" spans="5:11" x14ac:dyDescent="0.35">
      <c r="E56">
        <v>44764.645830000001</v>
      </c>
      <c r="F56">
        <v>3963.4</v>
      </c>
      <c r="J56">
        <v>44764.645830000001</v>
      </c>
      <c r="K56">
        <v>181.89</v>
      </c>
    </row>
    <row r="57" spans="5:11" x14ac:dyDescent="0.35">
      <c r="E57">
        <v>44771.645830000001</v>
      </c>
      <c r="F57">
        <v>4243.8500000000004</v>
      </c>
      <c r="J57">
        <v>44771.645830000001</v>
      </c>
      <c r="K57">
        <v>186.54</v>
      </c>
    </row>
    <row r="58" spans="5:11" x14ac:dyDescent="0.35">
      <c r="E58">
        <v>44778.645830000001</v>
      </c>
      <c r="F58">
        <v>4232.25</v>
      </c>
      <c r="J58">
        <v>44778.645830000001</v>
      </c>
      <c r="K58">
        <v>189.25</v>
      </c>
    </row>
    <row r="59" spans="5:11" x14ac:dyDescent="0.35">
      <c r="E59">
        <v>44785.645830000001</v>
      </c>
      <c r="F59">
        <v>4336.7</v>
      </c>
      <c r="J59">
        <v>44785.645830000001</v>
      </c>
      <c r="K59">
        <v>192.86</v>
      </c>
    </row>
    <row r="60" spans="5:11" x14ac:dyDescent="0.35">
      <c r="E60">
        <v>44792.645830000001</v>
      </c>
      <c r="F60">
        <v>4382</v>
      </c>
      <c r="J60">
        <v>44792.645830000001</v>
      </c>
      <c r="K60">
        <v>193.61</v>
      </c>
    </row>
    <row r="61" spans="5:11" x14ac:dyDescent="0.35">
      <c r="E61">
        <v>44799.645830000001</v>
      </c>
      <c r="F61">
        <v>4409.6499999999996</v>
      </c>
      <c r="J61">
        <v>44799.645830000001</v>
      </c>
      <c r="K61">
        <v>191.92</v>
      </c>
    </row>
    <row r="62" spans="5:11" x14ac:dyDescent="0.35">
      <c r="E62">
        <v>44806.645830000001</v>
      </c>
      <c r="F62">
        <v>4576.8</v>
      </c>
      <c r="J62">
        <v>44806.645830000001</v>
      </c>
      <c r="K62">
        <v>191.61</v>
      </c>
    </row>
    <row r="63" spans="5:11" x14ac:dyDescent="0.35">
      <c r="E63">
        <v>44813.645830000001</v>
      </c>
      <c r="F63">
        <v>4386.1000000000004</v>
      </c>
      <c r="J63">
        <v>44813.645830000001</v>
      </c>
      <c r="K63">
        <v>194.6</v>
      </c>
    </row>
    <row r="64" spans="5:11" x14ac:dyDescent="0.35">
      <c r="E64">
        <v>44820.645830000001</v>
      </c>
      <c r="F64">
        <v>4327.55</v>
      </c>
      <c r="J64">
        <v>44820.645830000001</v>
      </c>
      <c r="K64">
        <v>191.9</v>
      </c>
    </row>
    <row r="65" spans="5:11" x14ac:dyDescent="0.35">
      <c r="E65">
        <v>44827.645830000001</v>
      </c>
      <c r="F65">
        <v>4367</v>
      </c>
      <c r="J65">
        <v>44827.645830000001</v>
      </c>
      <c r="K65">
        <v>189.64</v>
      </c>
    </row>
    <row r="66" spans="5:11" x14ac:dyDescent="0.35">
      <c r="E66">
        <v>44834.645830000001</v>
      </c>
      <c r="F66">
        <v>4386.55</v>
      </c>
      <c r="J66">
        <v>44834.645830000001</v>
      </c>
      <c r="K66">
        <v>186.83</v>
      </c>
    </row>
    <row r="67" spans="5:11" x14ac:dyDescent="0.35">
      <c r="E67">
        <v>44841.645830000001</v>
      </c>
      <c r="F67">
        <v>4471.45</v>
      </c>
      <c r="J67">
        <v>44841.645830000001</v>
      </c>
      <c r="K67">
        <v>189.19</v>
      </c>
    </row>
    <row r="68" spans="5:11" x14ac:dyDescent="0.35">
      <c r="E68">
        <v>44848.645830000001</v>
      </c>
      <c r="F68">
        <v>4306.1499999999996</v>
      </c>
      <c r="J68">
        <v>44848.645830000001</v>
      </c>
      <c r="K68">
        <v>188.02</v>
      </c>
    </row>
    <row r="69" spans="5:11" x14ac:dyDescent="0.35">
      <c r="E69">
        <v>44855.645830000001</v>
      </c>
      <c r="F69">
        <v>4215.55</v>
      </c>
      <c r="J69">
        <v>44855.645830000001</v>
      </c>
      <c r="K69">
        <v>191.52</v>
      </c>
    </row>
    <row r="70" spans="5:11" x14ac:dyDescent="0.35">
      <c r="E70">
        <v>44862.645830000001</v>
      </c>
      <c r="F70">
        <v>4307.3500000000004</v>
      </c>
      <c r="J70">
        <v>44862.645830000001</v>
      </c>
      <c r="K70">
        <v>193.96</v>
      </c>
    </row>
    <row r="71" spans="5:11" x14ac:dyDescent="0.35">
      <c r="E71">
        <v>44869.645830000001</v>
      </c>
      <c r="F71">
        <v>4167.3500000000004</v>
      </c>
      <c r="J71">
        <v>44869.645830000001</v>
      </c>
      <c r="K71">
        <v>197.77</v>
      </c>
    </row>
    <row r="72" spans="5:11" x14ac:dyDescent="0.35">
      <c r="E72">
        <v>44876.645830000001</v>
      </c>
      <c r="F72">
        <v>4128.3500000000004</v>
      </c>
      <c r="J72">
        <v>44876.645830000001</v>
      </c>
      <c r="K72">
        <v>200.22</v>
      </c>
    </row>
    <row r="73" spans="5:11" x14ac:dyDescent="0.35">
      <c r="E73">
        <v>44883.645830000001</v>
      </c>
      <c r="F73">
        <v>3910.6</v>
      </c>
      <c r="J73">
        <v>44883.645830000001</v>
      </c>
      <c r="K73">
        <v>199.92</v>
      </c>
    </row>
    <row r="74" spans="5:11" x14ac:dyDescent="0.35">
      <c r="E74">
        <v>44890.645830000001</v>
      </c>
      <c r="F74">
        <v>3904.45</v>
      </c>
      <c r="J74">
        <v>44890.645830000001</v>
      </c>
      <c r="K74">
        <v>202.35</v>
      </c>
    </row>
    <row r="75" spans="5:11" x14ac:dyDescent="0.35">
      <c r="E75">
        <v>44897.645830000001</v>
      </c>
      <c r="F75">
        <v>4005.75</v>
      </c>
      <c r="J75">
        <v>44897.645830000001</v>
      </c>
      <c r="K75">
        <v>204.81</v>
      </c>
    </row>
    <row r="76" spans="5:11" x14ac:dyDescent="0.35">
      <c r="E76">
        <v>44904.645830000001</v>
      </c>
      <c r="F76">
        <v>4002.4</v>
      </c>
      <c r="J76">
        <v>44904.645830000001</v>
      </c>
      <c r="K76">
        <v>202.48</v>
      </c>
    </row>
    <row r="77" spans="5:11" x14ac:dyDescent="0.35">
      <c r="E77">
        <v>44911.645830000001</v>
      </c>
      <c r="F77">
        <v>3990</v>
      </c>
      <c r="J77">
        <v>44911.645830000001</v>
      </c>
      <c r="K77">
        <v>200.16</v>
      </c>
    </row>
    <row r="78" spans="5:11" x14ac:dyDescent="0.35">
      <c r="E78">
        <v>44918.645830000001</v>
      </c>
      <c r="F78">
        <v>3875.6</v>
      </c>
      <c r="J78">
        <v>44918.645830000001</v>
      </c>
      <c r="K78">
        <v>195.15</v>
      </c>
    </row>
    <row r="79" spans="5:11" x14ac:dyDescent="0.35">
      <c r="E79">
        <v>44925.645830000001</v>
      </c>
      <c r="F79">
        <v>4068.75</v>
      </c>
      <c r="J79">
        <v>44925.645830000001</v>
      </c>
      <c r="K79">
        <v>198.04</v>
      </c>
    </row>
    <row r="80" spans="5:11" x14ac:dyDescent="0.35">
      <c r="E80">
        <v>44932.645830000001</v>
      </c>
      <c r="F80">
        <v>3842.5</v>
      </c>
      <c r="J80">
        <v>44932.645830000001</v>
      </c>
      <c r="K80">
        <v>195.72</v>
      </c>
    </row>
    <row r="81" spans="5:11" x14ac:dyDescent="0.35">
      <c r="E81">
        <v>44939.645830000001</v>
      </c>
      <c r="F81">
        <v>3863.7</v>
      </c>
      <c r="J81">
        <v>44939.645830000001</v>
      </c>
      <c r="K81">
        <v>196.61</v>
      </c>
    </row>
    <row r="82" spans="5:11" x14ac:dyDescent="0.35">
      <c r="E82">
        <v>44946.645830000001</v>
      </c>
      <c r="F82">
        <v>3513.75</v>
      </c>
      <c r="J82">
        <v>44946.645830000001</v>
      </c>
      <c r="K82">
        <v>197.45</v>
      </c>
    </row>
    <row r="83" spans="5:11" x14ac:dyDescent="0.35">
      <c r="E83">
        <v>44953.645830000001</v>
      </c>
      <c r="F83">
        <v>3562.35</v>
      </c>
      <c r="J83">
        <v>44953.645830000001</v>
      </c>
      <c r="K83">
        <v>193</v>
      </c>
    </row>
    <row r="84" spans="5:11" x14ac:dyDescent="0.35">
      <c r="E84">
        <v>44960.645830000001</v>
      </c>
      <c r="F84">
        <v>3470.35</v>
      </c>
      <c r="J84">
        <v>44960.645830000001</v>
      </c>
      <c r="K84">
        <v>195.12</v>
      </c>
    </row>
    <row r="85" spans="5:11" x14ac:dyDescent="0.35">
      <c r="E85">
        <v>44967.645830000001</v>
      </c>
      <c r="F85">
        <v>3498.85</v>
      </c>
      <c r="J85">
        <v>44967.645830000001</v>
      </c>
      <c r="K85">
        <v>195.49</v>
      </c>
    </row>
    <row r="86" spans="5:11" x14ac:dyDescent="0.35">
      <c r="E86">
        <v>44974.645830000001</v>
      </c>
      <c r="F86">
        <v>3545</v>
      </c>
      <c r="J86">
        <v>44974.645830000001</v>
      </c>
      <c r="K86">
        <v>196.3</v>
      </c>
    </row>
    <row r="87" spans="5:11" x14ac:dyDescent="0.35">
      <c r="E87">
        <v>44981.645830000001</v>
      </c>
      <c r="F87">
        <v>3499.2</v>
      </c>
      <c r="J87">
        <v>44981.645830000001</v>
      </c>
      <c r="K87">
        <v>191.46</v>
      </c>
    </row>
    <row r="88" spans="5:11" x14ac:dyDescent="0.35">
      <c r="E88">
        <v>44988.645830000001</v>
      </c>
      <c r="F88">
        <v>3463.25</v>
      </c>
      <c r="J88">
        <v>44988.645830000001</v>
      </c>
      <c r="K88">
        <v>192.51</v>
      </c>
    </row>
    <row r="89" spans="5:11" x14ac:dyDescent="0.35">
      <c r="E89">
        <v>44995.645830000001</v>
      </c>
      <c r="F89">
        <v>3391.85</v>
      </c>
      <c r="J89">
        <v>44995.645830000001</v>
      </c>
      <c r="K89">
        <v>190.75</v>
      </c>
    </row>
    <row r="90" spans="5:11" x14ac:dyDescent="0.35">
      <c r="E90">
        <v>45002.645830000001</v>
      </c>
      <c r="F90">
        <v>3311.3</v>
      </c>
      <c r="J90">
        <v>45002.645830000001</v>
      </c>
      <c r="K90">
        <v>187.42</v>
      </c>
    </row>
    <row r="91" spans="5:11" x14ac:dyDescent="0.35">
      <c r="E91">
        <v>45009.645830000001</v>
      </c>
      <c r="F91">
        <v>3358.4</v>
      </c>
      <c r="J91">
        <v>45009.645830000001</v>
      </c>
      <c r="K91">
        <v>185.68</v>
      </c>
    </row>
    <row r="92" spans="5:11" x14ac:dyDescent="0.35">
      <c r="E92">
        <v>45016.645830000001</v>
      </c>
      <c r="F92">
        <v>3401.05</v>
      </c>
      <c r="J92">
        <v>45016.645830000001</v>
      </c>
      <c r="K92">
        <v>189.86</v>
      </c>
    </row>
    <row r="93" spans="5:11" x14ac:dyDescent="0.35">
      <c r="E93">
        <v>45022.645830000001</v>
      </c>
      <c r="F93">
        <v>3496.1</v>
      </c>
      <c r="J93">
        <v>45022.645830000001</v>
      </c>
      <c r="K93">
        <v>192.94</v>
      </c>
    </row>
    <row r="94" spans="5:11" x14ac:dyDescent="0.35">
      <c r="E94">
        <v>45029.645830000001</v>
      </c>
      <c r="F94">
        <v>3501.05</v>
      </c>
      <c r="J94">
        <v>45029.645830000001</v>
      </c>
      <c r="K94">
        <v>194.77</v>
      </c>
    </row>
    <row r="95" spans="5:11" x14ac:dyDescent="0.35">
      <c r="E95">
        <v>45037.645830000001</v>
      </c>
      <c r="F95">
        <v>3455.9</v>
      </c>
      <c r="J95">
        <v>45037.645830000001</v>
      </c>
      <c r="K95">
        <v>192.85</v>
      </c>
    </row>
    <row r="96" spans="5:11" x14ac:dyDescent="0.35">
      <c r="E96">
        <v>45044.645830000001</v>
      </c>
      <c r="F96">
        <v>3511.95</v>
      </c>
      <c r="J96">
        <v>45044.645830000001</v>
      </c>
      <c r="K96">
        <v>197.29</v>
      </c>
    </row>
    <row r="97" spans="5:11" x14ac:dyDescent="0.35">
      <c r="E97">
        <v>45051.645830000001</v>
      </c>
      <c r="F97">
        <v>3598.2</v>
      </c>
      <c r="J97">
        <v>45051.645830000001</v>
      </c>
      <c r="K97">
        <v>197.84</v>
      </c>
    </row>
    <row r="98" spans="5:11" x14ac:dyDescent="0.35">
      <c r="E98">
        <v>45058.645830000001</v>
      </c>
      <c r="F98">
        <v>3677.55</v>
      </c>
      <c r="J98">
        <v>45058.645830000001</v>
      </c>
      <c r="K98">
        <v>200.26</v>
      </c>
    </row>
    <row r="99" spans="5:11" x14ac:dyDescent="0.35">
      <c r="E99">
        <v>45065.645830000001</v>
      </c>
      <c r="F99">
        <v>3395.25</v>
      </c>
      <c r="J99">
        <v>45065.645830000001</v>
      </c>
      <c r="K99">
        <v>199.82</v>
      </c>
    </row>
    <row r="100" spans="5:11" x14ac:dyDescent="0.35">
      <c r="E100">
        <v>45072.645830000001</v>
      </c>
      <c r="F100">
        <v>3501.75</v>
      </c>
      <c r="J100">
        <v>45072.645830000001</v>
      </c>
      <c r="K100">
        <v>202.85</v>
      </c>
    </row>
    <row r="101" spans="5:11" x14ac:dyDescent="0.35">
      <c r="E101">
        <v>45079.645830000001</v>
      </c>
      <c r="F101">
        <v>3531.6</v>
      </c>
      <c r="J101">
        <v>45079.645830000001</v>
      </c>
      <c r="K101">
        <v>203.84</v>
      </c>
    </row>
    <row r="102" spans="5:11" x14ac:dyDescent="0.35">
      <c r="E102">
        <v>45086.645830000001</v>
      </c>
      <c r="F102">
        <v>3632.1</v>
      </c>
      <c r="J102">
        <v>45086.645830000001</v>
      </c>
      <c r="K102">
        <v>204.03</v>
      </c>
    </row>
    <row r="103" spans="5:11" x14ac:dyDescent="0.35">
      <c r="E103">
        <v>45093.645830000001</v>
      </c>
      <c r="F103">
        <v>4085.6</v>
      </c>
      <c r="J103">
        <v>45093.645830000001</v>
      </c>
      <c r="K103">
        <v>206.69</v>
      </c>
    </row>
    <row r="104" spans="5:11" x14ac:dyDescent="0.35">
      <c r="E104">
        <v>45100.645830000001</v>
      </c>
      <c r="F104">
        <v>3744.05</v>
      </c>
      <c r="J104">
        <v>45100.645830000001</v>
      </c>
      <c r="K104">
        <v>204.98</v>
      </c>
    </row>
    <row r="105" spans="5:11" x14ac:dyDescent="0.35">
      <c r="E105">
        <v>45107.645830000001</v>
      </c>
      <c r="F105">
        <v>3889.2</v>
      </c>
      <c r="J105">
        <v>45107.645830000001</v>
      </c>
      <c r="K105">
        <v>210.61</v>
      </c>
    </row>
    <row r="106" spans="5:11" x14ac:dyDescent="0.35">
      <c r="E106">
        <v>45114.645830000001</v>
      </c>
      <c r="F106">
        <v>3808.95</v>
      </c>
      <c r="J106">
        <v>45114.645830000001</v>
      </c>
      <c r="K106">
        <v>212.72</v>
      </c>
    </row>
    <row r="107" spans="5:11" x14ac:dyDescent="0.35">
      <c r="E107">
        <v>45121.645830000001</v>
      </c>
      <c r="F107">
        <v>3838.75</v>
      </c>
      <c r="J107">
        <v>45121.645830000001</v>
      </c>
      <c r="K107">
        <v>214.83</v>
      </c>
    </row>
    <row r="108" spans="5:11" x14ac:dyDescent="0.35">
      <c r="E108">
        <v>45128.645830000001</v>
      </c>
      <c r="F108">
        <v>3675.7</v>
      </c>
      <c r="J108">
        <v>45128.645830000001</v>
      </c>
      <c r="K108">
        <v>217.48</v>
      </c>
    </row>
    <row r="109" spans="5:11" x14ac:dyDescent="0.35">
      <c r="E109">
        <v>45135.645830000001</v>
      </c>
      <c r="F109">
        <v>3713.9</v>
      </c>
      <c r="J109">
        <v>45135.645830000001</v>
      </c>
      <c r="K109">
        <v>216.34</v>
      </c>
    </row>
    <row r="110" spans="5:11" x14ac:dyDescent="0.35">
      <c r="E110">
        <v>45142.645830000001</v>
      </c>
      <c r="F110">
        <v>3652.1</v>
      </c>
      <c r="J110">
        <v>45142.645830000001</v>
      </c>
      <c r="K110">
        <v>215.04</v>
      </c>
    </row>
    <row r="111" spans="5:11" x14ac:dyDescent="0.35">
      <c r="E111">
        <v>45149.645830000001</v>
      </c>
      <c r="F111">
        <v>3550.05</v>
      </c>
      <c r="J111">
        <v>45149.645830000001</v>
      </c>
      <c r="K111">
        <v>214.4</v>
      </c>
    </row>
    <row r="112" spans="5:11" x14ac:dyDescent="0.35">
      <c r="E112">
        <v>45156.645830000001</v>
      </c>
      <c r="F112">
        <v>3540.95</v>
      </c>
      <c r="J112">
        <v>45156.645830000001</v>
      </c>
      <c r="K112">
        <v>213</v>
      </c>
    </row>
    <row r="113" spans="5:11" x14ac:dyDescent="0.35">
      <c r="E113">
        <v>45163.645830000001</v>
      </c>
      <c r="F113">
        <v>3534.6</v>
      </c>
      <c r="J113">
        <v>45163.645830000001</v>
      </c>
      <c r="K113">
        <v>212.76</v>
      </c>
    </row>
    <row r="114" spans="5:11" x14ac:dyDescent="0.35">
      <c r="E114">
        <v>45170.645830000001</v>
      </c>
      <c r="F114">
        <v>3761.05</v>
      </c>
      <c r="J114">
        <v>45170.645830000001</v>
      </c>
      <c r="K114">
        <v>214.27</v>
      </c>
    </row>
    <row r="115" spans="5:11" x14ac:dyDescent="0.35">
      <c r="E115">
        <v>45177.645830000001</v>
      </c>
      <c r="F115">
        <v>3782.4</v>
      </c>
      <c r="J115">
        <v>45177.645830000001</v>
      </c>
      <c r="K115">
        <v>218.41</v>
      </c>
    </row>
    <row r="116" spans="5:11" x14ac:dyDescent="0.35">
      <c r="E116">
        <v>45184.645830000001</v>
      </c>
      <c r="F116">
        <v>3796</v>
      </c>
      <c r="J116">
        <v>45184.645830000001</v>
      </c>
      <c r="K116">
        <v>222.57</v>
      </c>
    </row>
    <row r="117" spans="5:11" x14ac:dyDescent="0.35">
      <c r="E117">
        <v>45191.645830000001</v>
      </c>
      <c r="F117">
        <v>3689.1</v>
      </c>
      <c r="J117">
        <v>45191.645830000001</v>
      </c>
      <c r="K117">
        <v>216.81</v>
      </c>
    </row>
    <row r="118" spans="5:11" x14ac:dyDescent="0.35">
      <c r="E118">
        <v>45198.645830000001</v>
      </c>
      <c r="F118">
        <v>3675.6</v>
      </c>
      <c r="J118">
        <v>45198.645830000001</v>
      </c>
      <c r="K118">
        <v>216.75</v>
      </c>
    </row>
    <row r="119" spans="5:11" x14ac:dyDescent="0.35">
      <c r="E119">
        <v>45205.645830000001</v>
      </c>
      <c r="F119">
        <v>3833.95</v>
      </c>
      <c r="J119">
        <v>45205.645830000001</v>
      </c>
      <c r="K119">
        <v>216.62</v>
      </c>
    </row>
    <row r="120" spans="5:11" x14ac:dyDescent="0.35">
      <c r="E120">
        <v>45212.645830000001</v>
      </c>
      <c r="F120">
        <v>3935.85</v>
      </c>
      <c r="J120">
        <v>45212.645830000001</v>
      </c>
      <c r="K120">
        <v>218.07</v>
      </c>
    </row>
    <row r="121" spans="5:11" x14ac:dyDescent="0.35">
      <c r="E121">
        <v>45219.645830000001</v>
      </c>
      <c r="F121">
        <v>3749.5</v>
      </c>
      <c r="J121">
        <v>45219.645830000001</v>
      </c>
      <c r="K121">
        <v>215.3</v>
      </c>
    </row>
    <row r="122" spans="5:11" x14ac:dyDescent="0.35">
      <c r="E122">
        <v>45226.645830000001</v>
      </c>
      <c r="F122">
        <v>3665.45</v>
      </c>
      <c r="J122">
        <v>45226.645830000001</v>
      </c>
      <c r="K122">
        <v>210.57</v>
      </c>
    </row>
    <row r="123" spans="5:11" x14ac:dyDescent="0.35">
      <c r="E123">
        <v>45233.645830000001</v>
      </c>
      <c r="F123">
        <v>3649.7</v>
      </c>
      <c r="J123">
        <v>45233.645830000001</v>
      </c>
      <c r="K123">
        <v>212.69</v>
      </c>
    </row>
    <row r="124" spans="5:11" x14ac:dyDescent="0.35">
      <c r="E124">
        <v>45240.645830000001</v>
      </c>
      <c r="F124">
        <v>3798.4</v>
      </c>
      <c r="J124">
        <v>45240.645830000001</v>
      </c>
      <c r="K124">
        <v>214.24</v>
      </c>
    </row>
    <row r="125" spans="5:11" x14ac:dyDescent="0.35">
      <c r="E125">
        <v>45247.645830000001</v>
      </c>
      <c r="F125">
        <v>3810.9</v>
      </c>
      <c r="J125">
        <v>45247.645830000001</v>
      </c>
      <c r="K125">
        <v>218.02</v>
      </c>
    </row>
    <row r="126" spans="5:11" x14ac:dyDescent="0.35">
      <c r="E126">
        <v>45254.645830000001</v>
      </c>
      <c r="F126">
        <v>3842.9</v>
      </c>
      <c r="J126">
        <v>45254.645830000001</v>
      </c>
      <c r="K126">
        <v>218.48</v>
      </c>
    </row>
    <row r="127" spans="5:11" x14ac:dyDescent="0.35">
      <c r="E127">
        <v>45261.645830000001</v>
      </c>
      <c r="F127">
        <v>3988.4</v>
      </c>
      <c r="J127">
        <v>45261.645830000001</v>
      </c>
      <c r="K127">
        <v>223.75</v>
      </c>
    </row>
    <row r="128" spans="5:11" x14ac:dyDescent="0.35">
      <c r="E128">
        <v>45268.645830000001</v>
      </c>
      <c r="F128">
        <v>4070.65</v>
      </c>
      <c r="J128">
        <v>45268.645830000001</v>
      </c>
      <c r="K128">
        <v>231.36</v>
      </c>
    </row>
    <row r="129" spans="5:11" x14ac:dyDescent="0.35">
      <c r="E129">
        <v>45275.645830000001</v>
      </c>
      <c r="F129">
        <v>4045.65</v>
      </c>
      <c r="J129">
        <v>45275.645830000001</v>
      </c>
      <c r="K129">
        <v>236.62</v>
      </c>
    </row>
    <row r="130" spans="5:11" x14ac:dyDescent="0.35">
      <c r="E130">
        <v>45282.645830000001</v>
      </c>
      <c r="F130">
        <v>4007.95</v>
      </c>
      <c r="J130">
        <v>45282.645830000001</v>
      </c>
      <c r="K130">
        <v>235.5</v>
      </c>
    </row>
    <row r="131" spans="5:11" x14ac:dyDescent="0.35">
      <c r="E131">
        <v>45289.645830000001</v>
      </c>
      <c r="F131">
        <v>4082.65</v>
      </c>
      <c r="J131">
        <v>45289.645830000001</v>
      </c>
      <c r="K131">
        <v>239.65</v>
      </c>
    </row>
    <row r="132" spans="5:11" x14ac:dyDescent="0.35">
      <c r="E132">
        <v>45296.645830000001</v>
      </c>
      <c r="F132">
        <v>3863.5</v>
      </c>
      <c r="J132">
        <v>45296.645830000001</v>
      </c>
      <c r="K132">
        <v>239.74</v>
      </c>
    </row>
    <row r="133" spans="5:11" x14ac:dyDescent="0.35">
      <c r="E133">
        <v>45303.645830000001</v>
      </c>
      <c r="F133">
        <v>3841</v>
      </c>
      <c r="J133">
        <v>45303.645830000001</v>
      </c>
      <c r="K133">
        <v>241.73</v>
      </c>
    </row>
    <row r="134" spans="5:11" x14ac:dyDescent="0.35">
      <c r="E134">
        <v>45316.645830000001</v>
      </c>
      <c r="F134">
        <v>3734.25</v>
      </c>
      <c r="J134">
        <v>45316.645830000001</v>
      </c>
      <c r="K134">
        <v>236.15</v>
      </c>
    </row>
    <row r="135" spans="5:11" x14ac:dyDescent="0.35">
      <c r="E135">
        <v>45324.645830000001</v>
      </c>
      <c r="F135">
        <v>3784.3</v>
      </c>
      <c r="J135">
        <v>45324.645830000001</v>
      </c>
      <c r="K135">
        <v>241.3</v>
      </c>
    </row>
    <row r="136" spans="5:11" x14ac:dyDescent="0.35">
      <c r="E136">
        <v>45331.645830000001</v>
      </c>
      <c r="F136">
        <v>3719.2</v>
      </c>
      <c r="J136">
        <v>45331.645830000001</v>
      </c>
      <c r="K136">
        <v>240.78</v>
      </c>
    </row>
    <row r="137" spans="5:11" x14ac:dyDescent="0.35">
      <c r="E137">
        <v>45338.645830000001</v>
      </c>
      <c r="F137">
        <v>3693.3</v>
      </c>
      <c r="J137">
        <v>45338.645830000001</v>
      </c>
      <c r="K137">
        <v>243.99</v>
      </c>
    </row>
    <row r="138" spans="5:11" x14ac:dyDescent="0.35">
      <c r="E138">
        <v>45345.645830000001</v>
      </c>
      <c r="F138">
        <v>3840.55</v>
      </c>
      <c r="J138">
        <v>45345.645830000001</v>
      </c>
      <c r="K138">
        <v>245.69</v>
      </c>
    </row>
    <row r="139" spans="5:11" x14ac:dyDescent="0.35">
      <c r="E139">
        <v>45358.645830000001</v>
      </c>
      <c r="F139">
        <v>3925.95</v>
      </c>
      <c r="J139">
        <v>45358.645830000001</v>
      </c>
      <c r="K139">
        <v>248.67</v>
      </c>
    </row>
    <row r="140" spans="5:11" x14ac:dyDescent="0.35">
      <c r="E140">
        <v>45366.645830000001</v>
      </c>
      <c r="F140">
        <v>3932.1</v>
      </c>
      <c r="J140">
        <v>45366.645830000001</v>
      </c>
      <c r="K140">
        <v>243.8</v>
      </c>
    </row>
    <row r="141" spans="5:11" x14ac:dyDescent="0.35">
      <c r="E141">
        <v>45373.645830000001</v>
      </c>
      <c r="F141">
        <v>4297.6000000000004</v>
      </c>
      <c r="J141">
        <v>45373.645830000001</v>
      </c>
      <c r="K141">
        <v>244.74</v>
      </c>
    </row>
    <row r="142" spans="5:11" x14ac:dyDescent="0.35">
      <c r="E142">
        <v>45379.645830000001</v>
      </c>
      <c r="F142">
        <v>4525.6000000000004</v>
      </c>
      <c r="J142">
        <v>45379.645830000001</v>
      </c>
      <c r="K142">
        <v>246.96</v>
      </c>
    </row>
    <row r="143" spans="5:11" x14ac:dyDescent="0.35">
      <c r="E143">
        <v>45387.645830000001</v>
      </c>
      <c r="F143">
        <v>4619.25</v>
      </c>
      <c r="J143">
        <v>45387.645830000001</v>
      </c>
      <c r="K143">
        <v>249.05</v>
      </c>
    </row>
    <row r="144" spans="5:11" x14ac:dyDescent="0.35">
      <c r="E144">
        <v>45394.645830000001</v>
      </c>
      <c r="F144">
        <v>4765.05</v>
      </c>
      <c r="J144">
        <v>45394.645830000001</v>
      </c>
      <c r="K144">
        <v>249.56</v>
      </c>
    </row>
    <row r="145" spans="5:11" x14ac:dyDescent="0.35">
      <c r="E145">
        <v>45401.645830000001</v>
      </c>
      <c r="F145">
        <v>4696</v>
      </c>
      <c r="J145">
        <v>45401.645830000001</v>
      </c>
      <c r="K145">
        <v>245.53</v>
      </c>
    </row>
    <row r="146" spans="5:11" x14ac:dyDescent="0.35">
      <c r="E146">
        <v>45408.645830000001</v>
      </c>
      <c r="F146">
        <v>4553.1499999999996</v>
      </c>
      <c r="J146">
        <v>45408.645830000001</v>
      </c>
      <c r="K146">
        <v>248.44</v>
      </c>
    </row>
    <row r="147" spans="5:11" x14ac:dyDescent="0.35">
      <c r="E147">
        <v>45415.645830000001</v>
      </c>
      <c r="F147">
        <v>4612.3500000000004</v>
      </c>
      <c r="J147">
        <v>45415.645830000001</v>
      </c>
      <c r="K147">
        <v>248.75</v>
      </c>
    </row>
    <row r="148" spans="5:11" x14ac:dyDescent="0.35">
      <c r="E148">
        <v>45422.645830000001</v>
      </c>
      <c r="F148">
        <v>4796.8</v>
      </c>
      <c r="J148">
        <v>45422.645830000001</v>
      </c>
      <c r="K148">
        <v>244.97</v>
      </c>
    </row>
    <row r="149" spans="5:11" x14ac:dyDescent="0.35">
      <c r="E149">
        <v>45436.645830000001</v>
      </c>
      <c r="F149">
        <v>4684.5</v>
      </c>
      <c r="J149">
        <v>45436.645830000001</v>
      </c>
      <c r="K149">
        <v>254.98</v>
      </c>
    </row>
    <row r="150" spans="5:11" x14ac:dyDescent="0.35">
      <c r="E150">
        <v>45443.645830000001</v>
      </c>
      <c r="F150">
        <v>4302.1499999999996</v>
      </c>
      <c r="J150">
        <v>45443.645830000001</v>
      </c>
      <c r="K150">
        <v>251.15</v>
      </c>
    </row>
    <row r="151" spans="5:11" x14ac:dyDescent="0.35">
      <c r="E151">
        <v>45450.645830000001</v>
      </c>
      <c r="F151">
        <v>4747.25</v>
      </c>
      <c r="J151">
        <v>45450.645830000001</v>
      </c>
      <c r="K151">
        <v>258.42</v>
      </c>
    </row>
    <row r="152" spans="5:11" x14ac:dyDescent="0.35">
      <c r="E152">
        <v>45457.645830000001</v>
      </c>
      <c r="F152">
        <v>4739.95</v>
      </c>
      <c r="J152">
        <v>45457.645830000001</v>
      </c>
      <c r="K152">
        <v>260.64999999999998</v>
      </c>
    </row>
    <row r="153" spans="5:11" x14ac:dyDescent="0.35">
      <c r="E153">
        <v>45464.645830000001</v>
      </c>
      <c r="F153">
        <v>4804.8500000000004</v>
      </c>
      <c r="J153">
        <v>45464.645830000001</v>
      </c>
      <c r="K153">
        <v>260.87</v>
      </c>
    </row>
    <row r="154" spans="5:11" x14ac:dyDescent="0.35">
      <c r="E154">
        <v>45471.645830000001</v>
      </c>
      <c r="F154">
        <v>4716.75</v>
      </c>
      <c r="J154">
        <v>45471.645830000001</v>
      </c>
      <c r="K154">
        <v>267.48</v>
      </c>
    </row>
    <row r="155" spans="5:11" x14ac:dyDescent="0.35">
      <c r="E155">
        <v>45478.645830000001</v>
      </c>
      <c r="F155">
        <v>4853.1000000000004</v>
      </c>
      <c r="J155">
        <v>45478.645830000001</v>
      </c>
      <c r="K155">
        <v>270.52999999999997</v>
      </c>
    </row>
    <row r="156" spans="5:11" x14ac:dyDescent="0.35">
      <c r="E156">
        <v>45485.645830000001</v>
      </c>
      <c r="F156">
        <v>4943.6499999999996</v>
      </c>
      <c r="J156">
        <v>45485.645830000001</v>
      </c>
      <c r="K156">
        <v>271.94</v>
      </c>
    </row>
    <row r="157" spans="5:11" x14ac:dyDescent="0.35">
      <c r="E157">
        <v>45492.645830000001</v>
      </c>
      <c r="F157">
        <v>5010.7</v>
      </c>
      <c r="J157">
        <v>45492.645830000001</v>
      </c>
      <c r="K157">
        <v>273.29000000000002</v>
      </c>
    </row>
    <row r="158" spans="5:11" x14ac:dyDescent="0.35">
      <c r="E158">
        <v>45499.645830000001</v>
      </c>
      <c r="F158">
        <v>5071.6000000000004</v>
      </c>
      <c r="J158">
        <v>45499.645830000001</v>
      </c>
      <c r="K158">
        <v>276.06</v>
      </c>
    </row>
    <row r="159" spans="5:11" x14ac:dyDescent="0.35">
      <c r="E159">
        <v>45506.645830000001</v>
      </c>
      <c r="F159">
        <v>4909.7</v>
      </c>
      <c r="J159">
        <v>45506.645830000001</v>
      </c>
      <c r="K159">
        <v>275.69</v>
      </c>
    </row>
    <row r="160" spans="5:11" x14ac:dyDescent="0.35">
      <c r="E160">
        <v>45513.645830000001</v>
      </c>
      <c r="F160">
        <v>4989.95</v>
      </c>
      <c r="J160">
        <v>45513.645830000001</v>
      </c>
      <c r="K160">
        <v>271.58999999999997</v>
      </c>
    </row>
    <row r="161" spans="5:11" x14ac:dyDescent="0.35">
      <c r="E161">
        <v>45520.645830000001</v>
      </c>
      <c r="F161">
        <v>5021.3</v>
      </c>
      <c r="J161">
        <v>45520.645830000001</v>
      </c>
      <c r="K161">
        <v>273.81</v>
      </c>
    </row>
    <row r="162" spans="5:11" x14ac:dyDescent="0.35">
      <c r="E162">
        <v>45527.645830000001</v>
      </c>
      <c r="F162">
        <v>4901.5</v>
      </c>
      <c r="J162">
        <v>45527.645830000001</v>
      </c>
      <c r="K162">
        <v>276.60000000000002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75AFF-37D5-4FC0-9511-0C369A6264BB}">
  <dimension ref="A1:M173"/>
  <sheetViews>
    <sheetView workbookViewId="0">
      <selection activeCell="E5" sqref="E5"/>
    </sheetView>
  </sheetViews>
  <sheetFormatPr defaultRowHeight="14.5" x14ac:dyDescent="0.35"/>
  <cols>
    <col min="1" max="1" width="10.54296875" bestFit="1" customWidth="1"/>
    <col min="2" max="2" width="17.1796875" bestFit="1" customWidth="1"/>
    <col min="3" max="3" width="20.54296875" bestFit="1" customWidth="1"/>
    <col min="4" max="4" width="13.26953125" bestFit="1" customWidth="1"/>
    <col min="5" max="5" width="11.6328125" bestFit="1" customWidth="1"/>
    <col min="6" max="9" width="10.54296875" bestFit="1" customWidth="1"/>
    <col min="10" max="13" width="11.54296875" bestFit="1" customWidth="1"/>
  </cols>
  <sheetData>
    <row r="1" spans="1:13" x14ac:dyDescent="0.35">
      <c r="A1" t="s">
        <v>341</v>
      </c>
      <c r="B1" t="s">
        <v>342</v>
      </c>
      <c r="C1" t="s">
        <v>343</v>
      </c>
      <c r="D1" t="s">
        <v>351</v>
      </c>
      <c r="E1" t="s">
        <v>352</v>
      </c>
      <c r="F1" t="s">
        <v>430</v>
      </c>
      <c r="G1" t="s">
        <v>431</v>
      </c>
      <c r="H1" t="s">
        <v>432</v>
      </c>
      <c r="I1" t="s">
        <v>433</v>
      </c>
      <c r="J1" t="s">
        <v>434</v>
      </c>
      <c r="K1" t="s">
        <v>435</v>
      </c>
      <c r="L1" t="s">
        <v>436</v>
      </c>
      <c r="M1" t="s">
        <v>437</v>
      </c>
    </row>
    <row r="2" spans="1:13" x14ac:dyDescent="0.35">
      <c r="B2" t="s">
        <v>353</v>
      </c>
      <c r="C2" t="s">
        <v>353</v>
      </c>
      <c r="D2" t="s">
        <v>353</v>
      </c>
      <c r="E2" t="s">
        <v>353</v>
      </c>
    </row>
    <row r="3" spans="1:13" x14ac:dyDescent="0.35">
      <c r="A3">
        <v>1</v>
      </c>
      <c r="B3" t="s">
        <v>353</v>
      </c>
      <c r="C3" t="s">
        <v>353</v>
      </c>
      <c r="D3" t="s">
        <v>353</v>
      </c>
      <c r="E3" t="s">
        <v>353</v>
      </c>
    </row>
    <row r="4" spans="1:13" x14ac:dyDescent="0.35">
      <c r="A4">
        <v>2</v>
      </c>
      <c r="B4" t="s">
        <v>353</v>
      </c>
      <c r="C4" t="s">
        <v>354</v>
      </c>
      <c r="D4" t="s">
        <v>355</v>
      </c>
      <c r="E4" t="s">
        <v>10</v>
      </c>
    </row>
    <row r="5" spans="1:13" x14ac:dyDescent="0.35">
      <c r="A5">
        <v>3</v>
      </c>
      <c r="B5" t="s">
        <v>353</v>
      </c>
      <c r="C5" t="s">
        <v>356</v>
      </c>
      <c r="D5" t="s">
        <v>357</v>
      </c>
      <c r="E5" t="s">
        <v>500</v>
      </c>
    </row>
    <row r="6" spans="1:13" x14ac:dyDescent="0.35">
      <c r="A6">
        <v>4</v>
      </c>
      <c r="B6" t="s">
        <v>353</v>
      </c>
      <c r="C6" t="s">
        <v>221</v>
      </c>
      <c r="D6" t="s">
        <v>344</v>
      </c>
      <c r="E6" t="s">
        <v>501</v>
      </c>
    </row>
    <row r="7" spans="1:13" x14ac:dyDescent="0.35">
      <c r="A7">
        <v>5</v>
      </c>
      <c r="B7" t="s">
        <v>353</v>
      </c>
      <c r="C7" t="s">
        <v>407</v>
      </c>
      <c r="D7" t="s">
        <v>421</v>
      </c>
      <c r="E7" t="s">
        <v>502</v>
      </c>
    </row>
    <row r="8" spans="1:13" x14ac:dyDescent="0.35">
      <c r="A8">
        <v>6</v>
      </c>
      <c r="B8" t="s">
        <v>353</v>
      </c>
      <c r="C8" t="s">
        <v>222</v>
      </c>
      <c r="D8" t="s">
        <v>345</v>
      </c>
      <c r="E8" t="s">
        <v>503</v>
      </c>
    </row>
    <row r="9" spans="1:13" x14ac:dyDescent="0.35">
      <c r="A9">
        <v>7</v>
      </c>
      <c r="B9" t="s">
        <v>353</v>
      </c>
      <c r="C9" t="s">
        <v>226</v>
      </c>
      <c r="D9" t="s">
        <v>349</v>
      </c>
      <c r="E9" t="s">
        <v>504</v>
      </c>
    </row>
    <row r="10" spans="1:13" x14ac:dyDescent="0.35">
      <c r="A10">
        <v>8</v>
      </c>
      <c r="B10" t="s">
        <v>353</v>
      </c>
      <c r="C10" t="s">
        <v>225</v>
      </c>
      <c r="D10" t="s">
        <v>348</v>
      </c>
      <c r="E10" t="s">
        <v>505</v>
      </c>
    </row>
    <row r="11" spans="1:13" x14ac:dyDescent="0.35">
      <c r="A11">
        <v>9</v>
      </c>
      <c r="B11" t="s">
        <v>353</v>
      </c>
      <c r="C11" t="s">
        <v>224</v>
      </c>
      <c r="D11" t="s">
        <v>347</v>
      </c>
      <c r="E11" t="s">
        <v>506</v>
      </c>
    </row>
    <row r="12" spans="1:13" x14ac:dyDescent="0.35">
      <c r="A12">
        <v>10</v>
      </c>
      <c r="B12" t="s">
        <v>353</v>
      </c>
      <c r="C12" t="s">
        <v>223</v>
      </c>
      <c r="D12" t="s">
        <v>346</v>
      </c>
      <c r="E12" t="s">
        <v>507</v>
      </c>
    </row>
    <row r="13" spans="1:13" x14ac:dyDescent="0.35">
      <c r="A13">
        <v>11</v>
      </c>
      <c r="B13" t="s">
        <v>353</v>
      </c>
      <c r="C13" t="s">
        <v>227</v>
      </c>
      <c r="D13" t="s">
        <v>358</v>
      </c>
      <c r="E13" t="s">
        <v>508</v>
      </c>
    </row>
    <row r="14" spans="1:13" x14ac:dyDescent="0.35">
      <c r="A14">
        <v>12</v>
      </c>
      <c r="B14" t="s">
        <v>353</v>
      </c>
      <c r="C14" t="s">
        <v>228</v>
      </c>
      <c r="D14" t="s">
        <v>350</v>
      </c>
      <c r="E14" t="s">
        <v>509</v>
      </c>
    </row>
    <row r="15" spans="1:13" x14ac:dyDescent="0.35">
      <c r="A15">
        <v>13</v>
      </c>
      <c r="B15" t="s">
        <v>353</v>
      </c>
      <c r="C15" t="s">
        <v>353</v>
      </c>
      <c r="D15" t="s">
        <v>353</v>
      </c>
      <c r="E15" t="s">
        <v>353</v>
      </c>
    </row>
    <row r="16" spans="1:13" x14ac:dyDescent="0.35">
      <c r="A16">
        <v>14</v>
      </c>
      <c r="B16" t="s">
        <v>353</v>
      </c>
      <c r="C16" t="s">
        <v>353</v>
      </c>
      <c r="D16" t="s">
        <v>353</v>
      </c>
      <c r="E16" t="s">
        <v>353</v>
      </c>
    </row>
    <row r="17" spans="1:5" x14ac:dyDescent="0.35">
      <c r="A17">
        <v>15</v>
      </c>
      <c r="B17" t="s">
        <v>353</v>
      </c>
      <c r="C17" t="s">
        <v>353</v>
      </c>
      <c r="D17" t="s">
        <v>353</v>
      </c>
      <c r="E17" t="s">
        <v>353</v>
      </c>
    </row>
    <row r="18" spans="1:5" x14ac:dyDescent="0.35">
      <c r="A18">
        <v>16</v>
      </c>
      <c r="B18" t="s">
        <v>353</v>
      </c>
      <c r="C18" t="s">
        <v>353</v>
      </c>
      <c r="D18" t="s">
        <v>353</v>
      </c>
      <c r="E18" t="s">
        <v>353</v>
      </c>
    </row>
    <row r="19" spans="1:5" x14ac:dyDescent="0.35">
      <c r="A19">
        <v>17</v>
      </c>
      <c r="B19" t="s">
        <v>353</v>
      </c>
      <c r="C19" t="s">
        <v>353</v>
      </c>
      <c r="D19" t="s">
        <v>353</v>
      </c>
      <c r="E19" t="s">
        <v>353</v>
      </c>
    </row>
    <row r="20" spans="1:5" x14ac:dyDescent="0.35">
      <c r="A20">
        <v>18</v>
      </c>
      <c r="B20" t="s">
        <v>353</v>
      </c>
      <c r="C20" t="s">
        <v>353</v>
      </c>
      <c r="D20" t="s">
        <v>353</v>
      </c>
      <c r="E20" t="s">
        <v>353</v>
      </c>
    </row>
    <row r="21" spans="1:5" x14ac:dyDescent="0.35">
      <c r="A21">
        <v>19</v>
      </c>
      <c r="B21" t="s">
        <v>353</v>
      </c>
      <c r="C21" t="s">
        <v>353</v>
      </c>
      <c r="D21" t="s">
        <v>353</v>
      </c>
      <c r="E21" t="s">
        <v>353</v>
      </c>
    </row>
    <row r="22" spans="1:5" x14ac:dyDescent="0.35">
      <c r="A22">
        <v>20</v>
      </c>
      <c r="B22" t="s">
        <v>353</v>
      </c>
      <c r="C22" t="s">
        <v>353</v>
      </c>
      <c r="D22" t="s">
        <v>353</v>
      </c>
      <c r="E22" t="s">
        <v>353</v>
      </c>
    </row>
    <row r="23" spans="1:5" x14ac:dyDescent="0.35">
      <c r="A23">
        <v>21</v>
      </c>
      <c r="B23" t="s">
        <v>353</v>
      </c>
      <c r="C23" t="s">
        <v>353</v>
      </c>
      <c r="D23" t="s">
        <v>353</v>
      </c>
      <c r="E23" t="s">
        <v>353</v>
      </c>
    </row>
    <row r="24" spans="1:5" x14ac:dyDescent="0.35">
      <c r="A24">
        <v>22</v>
      </c>
      <c r="B24" t="s">
        <v>353</v>
      </c>
      <c r="C24" t="s">
        <v>353</v>
      </c>
      <c r="D24" t="s">
        <v>353</v>
      </c>
      <c r="E24" t="s">
        <v>353</v>
      </c>
    </row>
    <row r="25" spans="1:5" x14ac:dyDescent="0.35">
      <c r="A25">
        <v>23</v>
      </c>
      <c r="B25" t="s">
        <v>353</v>
      </c>
      <c r="C25" t="s">
        <v>353</v>
      </c>
      <c r="D25" t="s">
        <v>353</v>
      </c>
      <c r="E25" t="s">
        <v>353</v>
      </c>
    </row>
    <row r="26" spans="1:5" x14ac:dyDescent="0.35">
      <c r="A26">
        <v>24</v>
      </c>
      <c r="B26" t="s">
        <v>353</v>
      </c>
      <c r="C26" t="s">
        <v>353</v>
      </c>
      <c r="D26" t="s">
        <v>353</v>
      </c>
      <c r="E26" t="s">
        <v>353</v>
      </c>
    </row>
    <row r="27" spans="1:5" x14ac:dyDescent="0.35">
      <c r="A27">
        <v>25</v>
      </c>
      <c r="B27" t="s">
        <v>353</v>
      </c>
      <c r="C27" t="s">
        <v>353</v>
      </c>
      <c r="D27" t="s">
        <v>353</v>
      </c>
      <c r="E27" t="s">
        <v>353</v>
      </c>
    </row>
    <row r="28" spans="1:5" x14ac:dyDescent="0.35">
      <c r="A28">
        <v>26</v>
      </c>
      <c r="B28" t="s">
        <v>353</v>
      </c>
      <c r="C28" t="s">
        <v>353</v>
      </c>
      <c r="D28" t="s">
        <v>353</v>
      </c>
      <c r="E28" t="s">
        <v>353</v>
      </c>
    </row>
    <row r="29" spans="1:5" x14ac:dyDescent="0.35">
      <c r="A29">
        <v>27</v>
      </c>
      <c r="B29" t="s">
        <v>353</v>
      </c>
      <c r="C29" t="s">
        <v>353</v>
      </c>
      <c r="D29" t="s">
        <v>353</v>
      </c>
      <c r="E29" t="s">
        <v>353</v>
      </c>
    </row>
    <row r="30" spans="1:5" x14ac:dyDescent="0.35">
      <c r="A30">
        <v>28</v>
      </c>
      <c r="B30" t="s">
        <v>353</v>
      </c>
      <c r="C30" t="s">
        <v>353</v>
      </c>
      <c r="D30" t="s">
        <v>353</v>
      </c>
      <c r="E30" t="s">
        <v>353</v>
      </c>
    </row>
    <row r="31" spans="1:5" x14ac:dyDescent="0.35">
      <c r="A31">
        <v>29</v>
      </c>
      <c r="B31" t="s">
        <v>353</v>
      </c>
      <c r="C31" t="s">
        <v>353</v>
      </c>
      <c r="D31" t="s">
        <v>353</v>
      </c>
      <c r="E31" t="s">
        <v>353</v>
      </c>
    </row>
    <row r="32" spans="1:5" x14ac:dyDescent="0.35">
      <c r="A32">
        <v>30</v>
      </c>
      <c r="B32" t="s">
        <v>353</v>
      </c>
      <c r="C32" t="s">
        <v>353</v>
      </c>
      <c r="D32" t="s">
        <v>353</v>
      </c>
      <c r="E32" t="s">
        <v>353</v>
      </c>
    </row>
    <row r="33" spans="1:5" x14ac:dyDescent="0.35">
      <c r="A33">
        <v>31</v>
      </c>
      <c r="B33" t="s">
        <v>353</v>
      </c>
      <c r="C33" t="s">
        <v>353</v>
      </c>
      <c r="D33" t="s">
        <v>353</v>
      </c>
      <c r="E33" t="s">
        <v>353</v>
      </c>
    </row>
    <row r="34" spans="1:5" x14ac:dyDescent="0.35">
      <c r="A34">
        <v>32</v>
      </c>
      <c r="B34" t="s">
        <v>353</v>
      </c>
      <c r="C34" t="s">
        <v>353</v>
      </c>
      <c r="D34" t="s">
        <v>353</v>
      </c>
      <c r="E34" t="s">
        <v>353</v>
      </c>
    </row>
    <row r="35" spans="1:5" x14ac:dyDescent="0.35">
      <c r="A35">
        <v>33</v>
      </c>
      <c r="B35" t="s">
        <v>353</v>
      </c>
      <c r="C35" t="s">
        <v>353</v>
      </c>
      <c r="D35" t="s">
        <v>353</v>
      </c>
      <c r="E35" t="s">
        <v>353</v>
      </c>
    </row>
    <row r="36" spans="1:5" x14ac:dyDescent="0.35">
      <c r="A36">
        <v>34</v>
      </c>
      <c r="B36" t="s">
        <v>353</v>
      </c>
      <c r="C36" t="s">
        <v>353</v>
      </c>
      <c r="D36" t="s">
        <v>353</v>
      </c>
      <c r="E36" t="s">
        <v>353</v>
      </c>
    </row>
    <row r="37" spans="1:5" x14ac:dyDescent="0.35">
      <c r="A37">
        <v>35</v>
      </c>
      <c r="B37" t="s">
        <v>353</v>
      </c>
      <c r="C37" t="s">
        <v>353</v>
      </c>
      <c r="D37" t="s">
        <v>353</v>
      </c>
      <c r="E37" t="s">
        <v>353</v>
      </c>
    </row>
    <row r="38" spans="1:5" x14ac:dyDescent="0.35">
      <c r="A38">
        <v>36</v>
      </c>
      <c r="B38" t="s">
        <v>353</v>
      </c>
      <c r="C38" t="s">
        <v>353</v>
      </c>
      <c r="D38" t="s">
        <v>353</v>
      </c>
      <c r="E38" t="s">
        <v>353</v>
      </c>
    </row>
    <row r="39" spans="1:5" x14ac:dyDescent="0.35">
      <c r="A39">
        <v>37</v>
      </c>
      <c r="B39" t="s">
        <v>353</v>
      </c>
      <c r="C39" t="s">
        <v>353</v>
      </c>
      <c r="D39" t="s">
        <v>353</v>
      </c>
      <c r="E39" t="s">
        <v>353</v>
      </c>
    </row>
    <row r="40" spans="1:5" x14ac:dyDescent="0.35">
      <c r="A40">
        <v>38</v>
      </c>
      <c r="B40" t="s">
        <v>353</v>
      </c>
      <c r="C40" t="s">
        <v>353</v>
      </c>
      <c r="D40" t="s">
        <v>353</v>
      </c>
      <c r="E40" t="s">
        <v>353</v>
      </c>
    </row>
    <row r="41" spans="1:5" x14ac:dyDescent="0.35">
      <c r="A41">
        <v>39</v>
      </c>
      <c r="B41" t="s">
        <v>353</v>
      </c>
      <c r="C41" t="s">
        <v>353</v>
      </c>
      <c r="D41" t="s">
        <v>353</v>
      </c>
      <c r="E41" t="s">
        <v>353</v>
      </c>
    </row>
    <row r="42" spans="1:5" x14ac:dyDescent="0.35">
      <c r="A42">
        <v>40</v>
      </c>
      <c r="B42" t="s">
        <v>353</v>
      </c>
      <c r="C42" t="s">
        <v>353</v>
      </c>
      <c r="D42" t="s">
        <v>353</v>
      </c>
      <c r="E42" t="s">
        <v>353</v>
      </c>
    </row>
    <row r="43" spans="1:5" x14ac:dyDescent="0.35">
      <c r="A43">
        <v>41</v>
      </c>
      <c r="B43" t="s">
        <v>353</v>
      </c>
      <c r="C43" t="s">
        <v>353</v>
      </c>
      <c r="D43" t="s">
        <v>353</v>
      </c>
      <c r="E43" t="s">
        <v>353</v>
      </c>
    </row>
    <row r="44" spans="1:5" x14ac:dyDescent="0.35">
      <c r="A44">
        <v>42</v>
      </c>
      <c r="B44" t="s">
        <v>353</v>
      </c>
      <c r="C44" t="s">
        <v>353</v>
      </c>
      <c r="D44" t="s">
        <v>353</v>
      </c>
      <c r="E44" t="s">
        <v>353</v>
      </c>
    </row>
    <row r="45" spans="1:5" x14ac:dyDescent="0.35">
      <c r="A45">
        <v>43</v>
      </c>
      <c r="B45" t="s">
        <v>353</v>
      </c>
      <c r="C45" t="s">
        <v>353</v>
      </c>
      <c r="D45" t="s">
        <v>353</v>
      </c>
      <c r="E45" t="s">
        <v>353</v>
      </c>
    </row>
    <row r="46" spans="1:5" x14ac:dyDescent="0.35">
      <c r="A46">
        <v>44</v>
      </c>
      <c r="B46" t="s">
        <v>353</v>
      </c>
      <c r="C46" t="s">
        <v>353</v>
      </c>
      <c r="D46" t="s">
        <v>353</v>
      </c>
      <c r="E46" t="s">
        <v>353</v>
      </c>
    </row>
    <row r="47" spans="1:5" x14ac:dyDescent="0.35">
      <c r="A47">
        <v>45</v>
      </c>
      <c r="B47" t="s">
        <v>353</v>
      </c>
      <c r="C47" t="s">
        <v>353</v>
      </c>
      <c r="D47" t="s">
        <v>353</v>
      </c>
      <c r="E47" t="s">
        <v>353</v>
      </c>
    </row>
    <row r="48" spans="1:5" x14ac:dyDescent="0.35">
      <c r="A48">
        <v>46</v>
      </c>
      <c r="B48" t="s">
        <v>353</v>
      </c>
      <c r="C48" t="s">
        <v>353</v>
      </c>
      <c r="D48" t="s">
        <v>353</v>
      </c>
      <c r="E48" t="s">
        <v>353</v>
      </c>
    </row>
    <row r="49" spans="1:5" x14ac:dyDescent="0.35">
      <c r="A49">
        <v>47</v>
      </c>
      <c r="B49" t="s">
        <v>353</v>
      </c>
      <c r="C49" t="s">
        <v>353</v>
      </c>
      <c r="D49" t="s">
        <v>353</v>
      </c>
      <c r="E49" t="s">
        <v>353</v>
      </c>
    </row>
    <row r="50" spans="1:5" x14ac:dyDescent="0.35">
      <c r="A50">
        <v>48</v>
      </c>
      <c r="B50" t="s">
        <v>353</v>
      </c>
      <c r="C50" t="s">
        <v>353</v>
      </c>
      <c r="D50" t="s">
        <v>353</v>
      </c>
      <c r="E50" t="s">
        <v>353</v>
      </c>
    </row>
    <row r="51" spans="1:5" x14ac:dyDescent="0.35">
      <c r="A51">
        <v>49</v>
      </c>
      <c r="B51" t="s">
        <v>353</v>
      </c>
      <c r="C51" t="s">
        <v>353</v>
      </c>
      <c r="D51" t="s">
        <v>353</v>
      </c>
      <c r="E51" t="s">
        <v>353</v>
      </c>
    </row>
    <row r="52" spans="1:5" x14ac:dyDescent="0.35">
      <c r="A52">
        <v>50</v>
      </c>
      <c r="B52" t="s">
        <v>353</v>
      </c>
      <c r="C52" t="s">
        <v>353</v>
      </c>
      <c r="D52" t="s">
        <v>353</v>
      </c>
      <c r="E52" t="s">
        <v>353</v>
      </c>
    </row>
    <row r="53" spans="1:5" x14ac:dyDescent="0.35">
      <c r="A53">
        <v>51</v>
      </c>
      <c r="B53" t="s">
        <v>353</v>
      </c>
      <c r="C53" t="s">
        <v>353</v>
      </c>
      <c r="D53" t="s">
        <v>353</v>
      </c>
      <c r="E53" t="s">
        <v>353</v>
      </c>
    </row>
    <row r="54" spans="1:5" x14ac:dyDescent="0.35">
      <c r="A54">
        <v>52</v>
      </c>
      <c r="B54" t="s">
        <v>353</v>
      </c>
      <c r="C54" t="s">
        <v>353</v>
      </c>
      <c r="D54" t="s">
        <v>353</v>
      </c>
      <c r="E54" t="s">
        <v>353</v>
      </c>
    </row>
    <row r="55" spans="1:5" x14ac:dyDescent="0.35">
      <c r="A55">
        <v>53</v>
      </c>
      <c r="B55" t="s">
        <v>353</v>
      </c>
      <c r="C55" t="s">
        <v>353</v>
      </c>
      <c r="D55" t="s">
        <v>353</v>
      </c>
      <c r="E55" t="s">
        <v>353</v>
      </c>
    </row>
    <row r="56" spans="1:5" x14ac:dyDescent="0.35">
      <c r="A56">
        <v>54</v>
      </c>
      <c r="B56" t="s">
        <v>353</v>
      </c>
      <c r="C56" t="s">
        <v>353</v>
      </c>
      <c r="D56" t="s">
        <v>353</v>
      </c>
      <c r="E56" t="s">
        <v>353</v>
      </c>
    </row>
    <row r="57" spans="1:5" x14ac:dyDescent="0.35">
      <c r="A57">
        <v>55</v>
      </c>
      <c r="B57" t="s">
        <v>353</v>
      </c>
      <c r="C57" t="s">
        <v>353</v>
      </c>
      <c r="D57" t="s">
        <v>353</v>
      </c>
      <c r="E57" t="s">
        <v>353</v>
      </c>
    </row>
    <row r="58" spans="1:5" x14ac:dyDescent="0.35">
      <c r="A58">
        <v>56</v>
      </c>
      <c r="B58" t="s">
        <v>353</v>
      </c>
      <c r="C58" t="s">
        <v>353</v>
      </c>
      <c r="D58" t="s">
        <v>353</v>
      </c>
      <c r="E58" t="s">
        <v>353</v>
      </c>
    </row>
    <row r="59" spans="1:5" x14ac:dyDescent="0.35">
      <c r="A59">
        <v>57</v>
      </c>
      <c r="B59" t="s">
        <v>353</v>
      </c>
      <c r="C59" t="s">
        <v>353</v>
      </c>
      <c r="D59" t="s">
        <v>353</v>
      </c>
      <c r="E59" t="s">
        <v>353</v>
      </c>
    </row>
    <row r="60" spans="1:5" x14ac:dyDescent="0.35">
      <c r="A60">
        <v>58</v>
      </c>
      <c r="B60" t="s">
        <v>353</v>
      </c>
      <c r="C60" t="s">
        <v>353</v>
      </c>
      <c r="D60" t="s">
        <v>353</v>
      </c>
      <c r="E60" t="s">
        <v>353</v>
      </c>
    </row>
    <row r="61" spans="1:5" x14ac:dyDescent="0.35">
      <c r="A61">
        <v>59</v>
      </c>
      <c r="B61" t="s">
        <v>353</v>
      </c>
      <c r="C61" t="s">
        <v>353</v>
      </c>
      <c r="D61" t="s">
        <v>353</v>
      </c>
      <c r="E61" t="s">
        <v>353</v>
      </c>
    </row>
    <row r="62" spans="1:5" x14ac:dyDescent="0.35">
      <c r="A62">
        <v>60</v>
      </c>
      <c r="B62" t="s">
        <v>353</v>
      </c>
      <c r="C62" t="s">
        <v>353</v>
      </c>
      <c r="D62" t="s">
        <v>353</v>
      </c>
      <c r="E62" t="s">
        <v>353</v>
      </c>
    </row>
    <row r="63" spans="1:5" x14ac:dyDescent="0.35">
      <c r="A63">
        <v>61</v>
      </c>
      <c r="B63" t="s">
        <v>353</v>
      </c>
      <c r="C63" t="s">
        <v>353</v>
      </c>
      <c r="D63" t="s">
        <v>353</v>
      </c>
      <c r="E63" t="s">
        <v>353</v>
      </c>
    </row>
    <row r="64" spans="1:5" x14ac:dyDescent="0.35">
      <c r="A64">
        <v>62</v>
      </c>
      <c r="B64" t="s">
        <v>353</v>
      </c>
      <c r="C64" t="s">
        <v>353</v>
      </c>
      <c r="D64" t="s">
        <v>353</v>
      </c>
      <c r="E64" t="s">
        <v>353</v>
      </c>
    </row>
    <row r="65" spans="1:5" x14ac:dyDescent="0.35">
      <c r="A65">
        <v>63</v>
      </c>
      <c r="B65" t="s">
        <v>353</v>
      </c>
      <c r="C65" t="s">
        <v>353</v>
      </c>
      <c r="D65" t="s">
        <v>353</v>
      </c>
      <c r="E65" t="s">
        <v>353</v>
      </c>
    </row>
    <row r="66" spans="1:5" x14ac:dyDescent="0.35">
      <c r="A66">
        <v>64</v>
      </c>
      <c r="B66" t="s">
        <v>353</v>
      </c>
      <c r="C66" t="s">
        <v>353</v>
      </c>
      <c r="D66" t="s">
        <v>353</v>
      </c>
      <c r="E66" t="s">
        <v>353</v>
      </c>
    </row>
    <row r="67" spans="1:5" x14ac:dyDescent="0.35">
      <c r="A67">
        <v>65</v>
      </c>
      <c r="B67" t="s">
        <v>353</v>
      </c>
      <c r="C67" t="s">
        <v>353</v>
      </c>
      <c r="D67" t="s">
        <v>353</v>
      </c>
      <c r="E67" t="s">
        <v>353</v>
      </c>
    </row>
    <row r="68" spans="1:5" x14ac:dyDescent="0.35">
      <c r="A68">
        <v>66</v>
      </c>
      <c r="B68" t="s">
        <v>353</v>
      </c>
      <c r="C68" t="s">
        <v>353</v>
      </c>
      <c r="D68" t="s">
        <v>353</v>
      </c>
      <c r="E68" t="s">
        <v>353</v>
      </c>
    </row>
    <row r="69" spans="1:5" x14ac:dyDescent="0.35">
      <c r="A69">
        <v>67</v>
      </c>
      <c r="B69" t="s">
        <v>353</v>
      </c>
      <c r="C69" t="s">
        <v>353</v>
      </c>
      <c r="D69" t="s">
        <v>353</v>
      </c>
      <c r="E69" t="s">
        <v>353</v>
      </c>
    </row>
    <row r="70" spans="1:5" x14ac:dyDescent="0.35">
      <c r="A70">
        <v>68</v>
      </c>
      <c r="B70" t="s">
        <v>353</v>
      </c>
      <c r="C70" t="s">
        <v>353</v>
      </c>
      <c r="D70" t="s">
        <v>353</v>
      </c>
      <c r="E70" t="s">
        <v>353</v>
      </c>
    </row>
    <row r="71" spans="1:5" x14ac:dyDescent="0.35">
      <c r="A71">
        <v>69</v>
      </c>
      <c r="B71" t="s">
        <v>353</v>
      </c>
      <c r="C71" t="s">
        <v>353</v>
      </c>
      <c r="D71" t="s">
        <v>353</v>
      </c>
      <c r="E71" t="s">
        <v>353</v>
      </c>
    </row>
    <row r="72" spans="1:5" x14ac:dyDescent="0.35">
      <c r="A72">
        <v>70</v>
      </c>
      <c r="B72" t="s">
        <v>353</v>
      </c>
      <c r="C72" t="s">
        <v>353</v>
      </c>
      <c r="D72" t="s">
        <v>353</v>
      </c>
      <c r="E72" t="s">
        <v>353</v>
      </c>
    </row>
    <row r="73" spans="1:5" x14ac:dyDescent="0.35">
      <c r="A73">
        <v>71</v>
      </c>
      <c r="B73" t="s">
        <v>353</v>
      </c>
      <c r="C73" t="s">
        <v>353</v>
      </c>
      <c r="D73" t="s">
        <v>353</v>
      </c>
      <c r="E73" t="s">
        <v>353</v>
      </c>
    </row>
    <row r="74" spans="1:5" x14ac:dyDescent="0.35">
      <c r="A74">
        <v>72</v>
      </c>
      <c r="B74" t="s">
        <v>353</v>
      </c>
      <c r="C74" t="s">
        <v>353</v>
      </c>
      <c r="D74" t="s">
        <v>353</v>
      </c>
      <c r="E74" t="s">
        <v>353</v>
      </c>
    </row>
    <row r="75" spans="1:5" x14ac:dyDescent="0.35">
      <c r="A75">
        <v>73</v>
      </c>
      <c r="B75" t="s">
        <v>353</v>
      </c>
      <c r="C75" t="s">
        <v>353</v>
      </c>
      <c r="D75" t="s">
        <v>353</v>
      </c>
      <c r="E75" t="s">
        <v>353</v>
      </c>
    </row>
    <row r="76" spans="1:5" x14ac:dyDescent="0.35">
      <c r="A76">
        <v>74</v>
      </c>
      <c r="B76" t="s">
        <v>353</v>
      </c>
      <c r="C76" t="s">
        <v>353</v>
      </c>
      <c r="D76" t="s">
        <v>353</v>
      </c>
      <c r="E76" t="s">
        <v>353</v>
      </c>
    </row>
    <row r="77" spans="1:5" x14ac:dyDescent="0.35">
      <c r="A77">
        <v>75</v>
      </c>
      <c r="B77" t="s">
        <v>353</v>
      </c>
      <c r="C77" t="s">
        <v>353</v>
      </c>
      <c r="D77" t="s">
        <v>353</v>
      </c>
      <c r="E77" t="s">
        <v>353</v>
      </c>
    </row>
    <row r="78" spans="1:5" x14ac:dyDescent="0.35">
      <c r="A78">
        <v>76</v>
      </c>
      <c r="B78" t="s">
        <v>353</v>
      </c>
      <c r="C78" t="s">
        <v>353</v>
      </c>
      <c r="D78" t="s">
        <v>353</v>
      </c>
      <c r="E78" t="s">
        <v>353</v>
      </c>
    </row>
    <row r="79" spans="1:5" x14ac:dyDescent="0.35">
      <c r="A79">
        <v>77</v>
      </c>
      <c r="B79" t="s">
        <v>353</v>
      </c>
      <c r="C79" t="s">
        <v>353</v>
      </c>
      <c r="D79" t="s">
        <v>353</v>
      </c>
      <c r="E79" t="s">
        <v>353</v>
      </c>
    </row>
    <row r="80" spans="1:5" x14ac:dyDescent="0.35">
      <c r="A80">
        <v>78</v>
      </c>
      <c r="B80" t="s">
        <v>353</v>
      </c>
      <c r="C80" t="s">
        <v>353</v>
      </c>
      <c r="D80" t="s">
        <v>353</v>
      </c>
      <c r="E80" t="s">
        <v>353</v>
      </c>
    </row>
    <row r="81" spans="1:5" x14ac:dyDescent="0.35">
      <c r="A81">
        <v>79</v>
      </c>
      <c r="B81" t="s">
        <v>353</v>
      </c>
      <c r="C81" t="s">
        <v>353</v>
      </c>
      <c r="D81" t="s">
        <v>353</v>
      </c>
      <c r="E81" t="s">
        <v>353</v>
      </c>
    </row>
    <row r="82" spans="1:5" x14ac:dyDescent="0.35">
      <c r="A82">
        <v>80</v>
      </c>
      <c r="B82" t="s">
        <v>353</v>
      </c>
      <c r="C82" t="s">
        <v>353</v>
      </c>
      <c r="D82" t="s">
        <v>353</v>
      </c>
      <c r="E82" t="s">
        <v>353</v>
      </c>
    </row>
    <row r="83" spans="1:5" x14ac:dyDescent="0.35">
      <c r="A83">
        <v>81</v>
      </c>
      <c r="B83" t="s">
        <v>353</v>
      </c>
      <c r="C83" t="s">
        <v>353</v>
      </c>
      <c r="D83" t="s">
        <v>353</v>
      </c>
      <c r="E83" t="s">
        <v>353</v>
      </c>
    </row>
    <row r="84" spans="1:5" x14ac:dyDescent="0.35">
      <c r="A84">
        <v>82</v>
      </c>
      <c r="B84" t="s">
        <v>353</v>
      </c>
      <c r="C84" t="s">
        <v>353</v>
      </c>
      <c r="D84" t="s">
        <v>353</v>
      </c>
      <c r="E84" t="s">
        <v>353</v>
      </c>
    </row>
    <row r="85" spans="1:5" x14ac:dyDescent="0.35">
      <c r="A85">
        <v>83</v>
      </c>
      <c r="B85" t="s">
        <v>353</v>
      </c>
      <c r="C85" t="s">
        <v>353</v>
      </c>
      <c r="D85" t="s">
        <v>353</v>
      </c>
      <c r="E85" t="s">
        <v>353</v>
      </c>
    </row>
    <row r="86" spans="1:5" x14ac:dyDescent="0.35">
      <c r="A86">
        <v>84</v>
      </c>
      <c r="B86" t="s">
        <v>353</v>
      </c>
      <c r="C86" t="s">
        <v>353</v>
      </c>
      <c r="D86" t="s">
        <v>353</v>
      </c>
      <c r="E86" t="s">
        <v>353</v>
      </c>
    </row>
    <row r="87" spans="1:5" x14ac:dyDescent="0.35">
      <c r="A87">
        <v>85</v>
      </c>
      <c r="B87" t="s">
        <v>353</v>
      </c>
      <c r="C87" t="s">
        <v>353</v>
      </c>
      <c r="D87" t="s">
        <v>353</v>
      </c>
      <c r="E87" t="s">
        <v>353</v>
      </c>
    </row>
    <row r="88" spans="1:5" x14ac:dyDescent="0.35">
      <c r="A88">
        <v>86</v>
      </c>
      <c r="B88" t="s">
        <v>353</v>
      </c>
      <c r="C88" t="s">
        <v>353</v>
      </c>
      <c r="D88" t="s">
        <v>353</v>
      </c>
      <c r="E88" t="s">
        <v>353</v>
      </c>
    </row>
    <row r="89" spans="1:5" x14ac:dyDescent="0.35">
      <c r="A89">
        <v>87</v>
      </c>
      <c r="B89" t="s">
        <v>353</v>
      </c>
      <c r="C89" t="s">
        <v>353</v>
      </c>
      <c r="D89" t="s">
        <v>353</v>
      </c>
      <c r="E89" t="s">
        <v>353</v>
      </c>
    </row>
    <row r="90" spans="1:5" x14ac:dyDescent="0.35">
      <c r="A90">
        <v>88</v>
      </c>
      <c r="B90" t="s">
        <v>353</v>
      </c>
      <c r="C90" t="s">
        <v>353</v>
      </c>
      <c r="D90" t="s">
        <v>353</v>
      </c>
      <c r="E90" t="s">
        <v>353</v>
      </c>
    </row>
    <row r="91" spans="1:5" x14ac:dyDescent="0.35">
      <c r="A91">
        <v>89</v>
      </c>
      <c r="B91" t="s">
        <v>353</v>
      </c>
      <c r="C91" t="s">
        <v>353</v>
      </c>
      <c r="D91" t="s">
        <v>353</v>
      </c>
      <c r="E91" t="s">
        <v>353</v>
      </c>
    </row>
    <row r="92" spans="1:5" x14ac:dyDescent="0.35">
      <c r="A92">
        <v>90</v>
      </c>
      <c r="B92" t="s">
        <v>353</v>
      </c>
      <c r="C92" t="s">
        <v>353</v>
      </c>
      <c r="D92" t="s">
        <v>353</v>
      </c>
      <c r="E92" t="s">
        <v>353</v>
      </c>
    </row>
    <row r="93" spans="1:5" x14ac:dyDescent="0.35">
      <c r="A93">
        <v>91</v>
      </c>
      <c r="B93" t="s">
        <v>353</v>
      </c>
      <c r="C93" t="s">
        <v>353</v>
      </c>
      <c r="D93" t="s">
        <v>353</v>
      </c>
      <c r="E93" t="s">
        <v>353</v>
      </c>
    </row>
    <row r="94" spans="1:5" x14ac:dyDescent="0.35">
      <c r="A94">
        <v>92</v>
      </c>
      <c r="B94" t="s">
        <v>353</v>
      </c>
      <c r="C94" t="s">
        <v>353</v>
      </c>
      <c r="D94" t="s">
        <v>353</v>
      </c>
      <c r="E94" t="s">
        <v>353</v>
      </c>
    </row>
    <row r="95" spans="1:5" x14ac:dyDescent="0.35">
      <c r="A95">
        <v>93</v>
      </c>
      <c r="B95" t="s">
        <v>353</v>
      </c>
      <c r="C95" t="s">
        <v>353</v>
      </c>
      <c r="D95" t="s">
        <v>353</v>
      </c>
      <c r="E95" t="s">
        <v>353</v>
      </c>
    </row>
    <row r="96" spans="1:5" x14ac:dyDescent="0.35">
      <c r="A96">
        <v>94</v>
      </c>
      <c r="B96" t="s">
        <v>353</v>
      </c>
      <c r="C96" t="s">
        <v>353</v>
      </c>
      <c r="D96" t="s">
        <v>353</v>
      </c>
      <c r="E96" t="s">
        <v>353</v>
      </c>
    </row>
    <row r="97" spans="1:5" x14ac:dyDescent="0.35">
      <c r="A97">
        <v>95</v>
      </c>
      <c r="B97" t="s">
        <v>353</v>
      </c>
      <c r="C97" t="s">
        <v>353</v>
      </c>
      <c r="D97" t="s">
        <v>353</v>
      </c>
      <c r="E97" t="s">
        <v>353</v>
      </c>
    </row>
    <row r="98" spans="1:5" x14ac:dyDescent="0.35">
      <c r="A98">
        <v>96</v>
      </c>
      <c r="B98" t="s">
        <v>353</v>
      </c>
      <c r="C98" t="s">
        <v>353</v>
      </c>
      <c r="D98" t="s">
        <v>353</v>
      </c>
      <c r="E98" t="s">
        <v>353</v>
      </c>
    </row>
    <row r="99" spans="1:5" x14ac:dyDescent="0.35">
      <c r="A99">
        <v>97</v>
      </c>
      <c r="B99" t="s">
        <v>353</v>
      </c>
      <c r="C99" t="s">
        <v>353</v>
      </c>
      <c r="D99" t="s">
        <v>353</v>
      </c>
      <c r="E99" t="s">
        <v>353</v>
      </c>
    </row>
    <row r="100" spans="1:5" x14ac:dyDescent="0.35">
      <c r="A100">
        <v>98</v>
      </c>
      <c r="B100" t="s">
        <v>353</v>
      </c>
      <c r="C100" t="s">
        <v>353</v>
      </c>
      <c r="D100" t="s">
        <v>353</v>
      </c>
      <c r="E100" t="s">
        <v>353</v>
      </c>
    </row>
    <row r="101" spans="1:5" x14ac:dyDescent="0.35">
      <c r="A101">
        <v>99</v>
      </c>
      <c r="B101" t="s">
        <v>353</v>
      </c>
      <c r="C101" t="s">
        <v>353</v>
      </c>
      <c r="D101" t="s">
        <v>353</v>
      </c>
      <c r="E101" t="s">
        <v>353</v>
      </c>
    </row>
    <row r="102" spans="1:5" x14ac:dyDescent="0.35">
      <c r="A102">
        <v>100</v>
      </c>
      <c r="B102" t="s">
        <v>353</v>
      </c>
      <c r="C102" t="s">
        <v>353</v>
      </c>
      <c r="D102" t="s">
        <v>353</v>
      </c>
      <c r="E102" t="s">
        <v>353</v>
      </c>
    </row>
    <row r="103" spans="1:5" x14ac:dyDescent="0.35">
      <c r="A103">
        <v>101</v>
      </c>
      <c r="B103" t="s">
        <v>353</v>
      </c>
      <c r="C103" t="s">
        <v>353</v>
      </c>
      <c r="D103" t="s">
        <v>353</v>
      </c>
      <c r="E103" t="s">
        <v>353</v>
      </c>
    </row>
    <row r="104" spans="1:5" x14ac:dyDescent="0.35">
      <c r="A104">
        <v>102</v>
      </c>
      <c r="B104" t="s">
        <v>353</v>
      </c>
      <c r="C104" t="s">
        <v>353</v>
      </c>
      <c r="D104" t="s">
        <v>353</v>
      </c>
      <c r="E104" t="s">
        <v>353</v>
      </c>
    </row>
    <row r="105" spans="1:5" x14ac:dyDescent="0.35">
      <c r="A105">
        <v>103</v>
      </c>
      <c r="B105" t="s">
        <v>353</v>
      </c>
      <c r="C105" t="s">
        <v>353</v>
      </c>
      <c r="D105" t="s">
        <v>353</v>
      </c>
      <c r="E105" t="s">
        <v>353</v>
      </c>
    </row>
    <row r="106" spans="1:5" x14ac:dyDescent="0.35">
      <c r="A106">
        <v>104</v>
      </c>
      <c r="B106" t="s">
        <v>353</v>
      </c>
      <c r="C106" t="s">
        <v>353</v>
      </c>
      <c r="D106" t="s">
        <v>353</v>
      </c>
      <c r="E106" t="s">
        <v>353</v>
      </c>
    </row>
    <row r="107" spans="1:5" x14ac:dyDescent="0.35">
      <c r="A107">
        <v>105</v>
      </c>
      <c r="B107" t="s">
        <v>353</v>
      </c>
      <c r="C107" t="s">
        <v>353</v>
      </c>
      <c r="D107" t="s">
        <v>353</v>
      </c>
      <c r="E107" t="s">
        <v>353</v>
      </c>
    </row>
    <row r="108" spans="1:5" x14ac:dyDescent="0.35">
      <c r="A108">
        <v>106</v>
      </c>
      <c r="B108" t="s">
        <v>353</v>
      </c>
      <c r="C108" t="s">
        <v>353</v>
      </c>
      <c r="D108" t="s">
        <v>353</v>
      </c>
      <c r="E108" t="s">
        <v>353</v>
      </c>
    </row>
    <row r="109" spans="1:5" x14ac:dyDescent="0.35">
      <c r="A109">
        <v>107</v>
      </c>
      <c r="B109" t="s">
        <v>353</v>
      </c>
      <c r="C109" t="s">
        <v>353</v>
      </c>
      <c r="D109" t="s">
        <v>353</v>
      </c>
      <c r="E109" t="s">
        <v>353</v>
      </c>
    </row>
    <row r="110" spans="1:5" x14ac:dyDescent="0.35">
      <c r="A110">
        <v>108</v>
      </c>
      <c r="B110" t="s">
        <v>353</v>
      </c>
      <c r="C110" t="s">
        <v>353</v>
      </c>
      <c r="D110" t="s">
        <v>353</v>
      </c>
      <c r="E110" t="s">
        <v>353</v>
      </c>
    </row>
    <row r="111" spans="1:5" x14ac:dyDescent="0.35">
      <c r="A111">
        <v>109</v>
      </c>
      <c r="B111" t="s">
        <v>353</v>
      </c>
      <c r="C111" t="s">
        <v>353</v>
      </c>
      <c r="D111" t="s">
        <v>353</v>
      </c>
      <c r="E111" t="s">
        <v>353</v>
      </c>
    </row>
    <row r="112" spans="1:5" x14ac:dyDescent="0.35">
      <c r="A112">
        <v>110</v>
      </c>
      <c r="B112" t="s">
        <v>353</v>
      </c>
      <c r="C112" t="s">
        <v>353</v>
      </c>
      <c r="D112" t="s">
        <v>353</v>
      </c>
      <c r="E112" t="s">
        <v>353</v>
      </c>
    </row>
    <row r="113" spans="1:5" x14ac:dyDescent="0.35">
      <c r="A113">
        <v>111</v>
      </c>
      <c r="B113" t="s">
        <v>353</v>
      </c>
      <c r="C113" t="s">
        <v>353</v>
      </c>
      <c r="D113" t="s">
        <v>353</v>
      </c>
      <c r="E113" t="s">
        <v>353</v>
      </c>
    </row>
    <row r="114" spans="1:5" x14ac:dyDescent="0.35">
      <c r="A114">
        <v>112</v>
      </c>
      <c r="B114" t="s">
        <v>353</v>
      </c>
      <c r="C114" t="s">
        <v>353</v>
      </c>
      <c r="D114" t="s">
        <v>353</v>
      </c>
      <c r="E114" t="s">
        <v>353</v>
      </c>
    </row>
    <row r="115" spans="1:5" x14ac:dyDescent="0.35">
      <c r="A115">
        <v>113</v>
      </c>
      <c r="B115" t="s">
        <v>353</v>
      </c>
      <c r="C115" t="s">
        <v>353</v>
      </c>
      <c r="D115" t="s">
        <v>353</v>
      </c>
      <c r="E115" t="s">
        <v>353</v>
      </c>
    </row>
    <row r="116" spans="1:5" x14ac:dyDescent="0.35">
      <c r="A116">
        <v>114</v>
      </c>
      <c r="B116" t="s">
        <v>353</v>
      </c>
      <c r="C116" t="s">
        <v>353</v>
      </c>
      <c r="D116" t="s">
        <v>353</v>
      </c>
      <c r="E116" t="s">
        <v>353</v>
      </c>
    </row>
    <row r="117" spans="1:5" x14ac:dyDescent="0.35">
      <c r="A117">
        <v>115</v>
      </c>
      <c r="B117" t="s">
        <v>353</v>
      </c>
      <c r="C117" t="s">
        <v>353</v>
      </c>
      <c r="D117" t="s">
        <v>353</v>
      </c>
      <c r="E117" t="s">
        <v>353</v>
      </c>
    </row>
    <row r="118" spans="1:5" x14ac:dyDescent="0.35">
      <c r="A118">
        <v>116</v>
      </c>
      <c r="B118" t="s">
        <v>353</v>
      </c>
      <c r="C118" t="s">
        <v>353</v>
      </c>
      <c r="D118" t="s">
        <v>353</v>
      </c>
      <c r="E118" t="s">
        <v>353</v>
      </c>
    </row>
    <row r="119" spans="1:5" x14ac:dyDescent="0.35">
      <c r="A119">
        <v>117</v>
      </c>
      <c r="B119" t="s">
        <v>353</v>
      </c>
      <c r="C119" t="s">
        <v>353</v>
      </c>
      <c r="D119" t="s">
        <v>353</v>
      </c>
      <c r="E119" t="s">
        <v>353</v>
      </c>
    </row>
    <row r="120" spans="1:5" x14ac:dyDescent="0.35">
      <c r="A120">
        <v>118</v>
      </c>
      <c r="B120" t="s">
        <v>353</v>
      </c>
      <c r="C120" t="s">
        <v>353</v>
      </c>
      <c r="D120" t="s">
        <v>353</v>
      </c>
      <c r="E120" t="s">
        <v>353</v>
      </c>
    </row>
    <row r="121" spans="1:5" x14ac:dyDescent="0.35">
      <c r="A121">
        <v>119</v>
      </c>
      <c r="B121" t="s">
        <v>353</v>
      </c>
      <c r="C121" t="s">
        <v>353</v>
      </c>
      <c r="D121" t="s">
        <v>353</v>
      </c>
      <c r="E121" t="s">
        <v>353</v>
      </c>
    </row>
    <row r="122" spans="1:5" x14ac:dyDescent="0.35">
      <c r="A122">
        <v>120</v>
      </c>
      <c r="B122" t="s">
        <v>353</v>
      </c>
      <c r="C122" t="s">
        <v>353</v>
      </c>
      <c r="D122" t="s">
        <v>353</v>
      </c>
      <c r="E122" t="s">
        <v>353</v>
      </c>
    </row>
    <row r="123" spans="1:5" x14ac:dyDescent="0.35">
      <c r="A123">
        <v>121</v>
      </c>
      <c r="B123" t="s">
        <v>353</v>
      </c>
      <c r="C123" t="s">
        <v>353</v>
      </c>
      <c r="D123" t="s">
        <v>353</v>
      </c>
      <c r="E123" t="s">
        <v>353</v>
      </c>
    </row>
    <row r="124" spans="1:5" x14ac:dyDescent="0.35">
      <c r="A124">
        <v>122</v>
      </c>
      <c r="B124" t="s">
        <v>353</v>
      </c>
      <c r="C124" t="s">
        <v>353</v>
      </c>
      <c r="D124" t="s">
        <v>353</v>
      </c>
      <c r="E124" t="s">
        <v>353</v>
      </c>
    </row>
    <row r="125" spans="1:5" x14ac:dyDescent="0.35">
      <c r="A125">
        <v>123</v>
      </c>
      <c r="B125" t="s">
        <v>353</v>
      </c>
      <c r="C125" t="s">
        <v>353</v>
      </c>
      <c r="D125" t="s">
        <v>353</v>
      </c>
      <c r="E125" t="s">
        <v>353</v>
      </c>
    </row>
    <row r="126" spans="1:5" x14ac:dyDescent="0.35">
      <c r="A126">
        <v>124</v>
      </c>
      <c r="B126" t="s">
        <v>353</v>
      </c>
      <c r="C126" t="s">
        <v>353</v>
      </c>
      <c r="D126" t="s">
        <v>353</v>
      </c>
      <c r="E126" t="s">
        <v>353</v>
      </c>
    </row>
    <row r="127" spans="1:5" x14ac:dyDescent="0.35">
      <c r="A127">
        <v>125</v>
      </c>
      <c r="B127" t="s">
        <v>353</v>
      </c>
      <c r="C127" t="s">
        <v>353</v>
      </c>
      <c r="D127" t="s">
        <v>353</v>
      </c>
      <c r="E127" t="s">
        <v>353</v>
      </c>
    </row>
    <row r="128" spans="1:5" x14ac:dyDescent="0.35">
      <c r="A128">
        <v>126</v>
      </c>
      <c r="B128" t="s">
        <v>353</v>
      </c>
      <c r="C128" t="s">
        <v>353</v>
      </c>
      <c r="D128" t="s">
        <v>353</v>
      </c>
      <c r="E128" t="s">
        <v>353</v>
      </c>
    </row>
    <row r="129" spans="1:5" x14ac:dyDescent="0.35">
      <c r="A129">
        <v>127</v>
      </c>
      <c r="B129" t="s">
        <v>353</v>
      </c>
      <c r="C129" t="s">
        <v>353</v>
      </c>
      <c r="D129" t="s">
        <v>353</v>
      </c>
      <c r="E129" t="s">
        <v>353</v>
      </c>
    </row>
    <row r="130" spans="1:5" x14ac:dyDescent="0.35">
      <c r="A130">
        <v>128</v>
      </c>
      <c r="B130" t="s">
        <v>353</v>
      </c>
      <c r="C130" t="s">
        <v>353</v>
      </c>
      <c r="D130" t="s">
        <v>353</v>
      </c>
      <c r="E130" t="s">
        <v>353</v>
      </c>
    </row>
    <row r="131" spans="1:5" x14ac:dyDescent="0.35">
      <c r="A131">
        <v>129</v>
      </c>
      <c r="B131" t="s">
        <v>353</v>
      </c>
      <c r="C131" t="s">
        <v>353</v>
      </c>
      <c r="D131" t="s">
        <v>353</v>
      </c>
      <c r="E131" t="s">
        <v>353</v>
      </c>
    </row>
    <row r="132" spans="1:5" x14ac:dyDescent="0.35">
      <c r="A132">
        <v>130</v>
      </c>
      <c r="B132" t="s">
        <v>353</v>
      </c>
      <c r="C132" t="s">
        <v>353</v>
      </c>
      <c r="D132" t="s">
        <v>353</v>
      </c>
      <c r="E132" t="s">
        <v>353</v>
      </c>
    </row>
    <row r="133" spans="1:5" x14ac:dyDescent="0.35">
      <c r="A133">
        <v>131</v>
      </c>
      <c r="B133" t="s">
        <v>353</v>
      </c>
      <c r="C133" t="s">
        <v>353</v>
      </c>
      <c r="D133" t="s">
        <v>353</v>
      </c>
      <c r="E133" t="s">
        <v>353</v>
      </c>
    </row>
    <row r="134" spans="1:5" x14ac:dyDescent="0.35">
      <c r="A134">
        <v>132</v>
      </c>
      <c r="B134" t="s">
        <v>353</v>
      </c>
      <c r="C134" t="s">
        <v>353</v>
      </c>
      <c r="D134" t="s">
        <v>353</v>
      </c>
      <c r="E134" t="s">
        <v>353</v>
      </c>
    </row>
    <row r="135" spans="1:5" x14ac:dyDescent="0.35">
      <c r="A135">
        <v>133</v>
      </c>
      <c r="B135" t="s">
        <v>353</v>
      </c>
      <c r="C135" t="s">
        <v>353</v>
      </c>
      <c r="D135" t="s">
        <v>353</v>
      </c>
      <c r="E135" t="s">
        <v>353</v>
      </c>
    </row>
    <row r="136" spans="1:5" x14ac:dyDescent="0.35">
      <c r="A136">
        <v>134</v>
      </c>
      <c r="B136" t="s">
        <v>353</v>
      </c>
      <c r="C136" t="s">
        <v>353</v>
      </c>
      <c r="D136" t="s">
        <v>353</v>
      </c>
      <c r="E136" t="s">
        <v>353</v>
      </c>
    </row>
    <row r="137" spans="1:5" x14ac:dyDescent="0.35">
      <c r="A137">
        <v>135</v>
      </c>
      <c r="B137" t="s">
        <v>353</v>
      </c>
      <c r="C137" t="s">
        <v>353</v>
      </c>
      <c r="D137" t="s">
        <v>353</v>
      </c>
      <c r="E137" t="s">
        <v>353</v>
      </c>
    </row>
    <row r="138" spans="1:5" x14ac:dyDescent="0.35">
      <c r="A138">
        <v>136</v>
      </c>
      <c r="B138" t="s">
        <v>353</v>
      </c>
      <c r="C138" t="s">
        <v>353</v>
      </c>
      <c r="D138" t="s">
        <v>353</v>
      </c>
      <c r="E138" t="s">
        <v>353</v>
      </c>
    </row>
    <row r="139" spans="1:5" x14ac:dyDescent="0.35">
      <c r="A139">
        <v>137</v>
      </c>
      <c r="B139" t="s">
        <v>353</v>
      </c>
      <c r="C139" t="s">
        <v>353</v>
      </c>
      <c r="D139" t="s">
        <v>353</v>
      </c>
      <c r="E139" t="s">
        <v>353</v>
      </c>
    </row>
    <row r="140" spans="1:5" x14ac:dyDescent="0.35">
      <c r="A140">
        <v>138</v>
      </c>
      <c r="B140" t="s">
        <v>353</v>
      </c>
      <c r="C140" t="s">
        <v>353</v>
      </c>
      <c r="D140" t="s">
        <v>353</v>
      </c>
      <c r="E140" t="s">
        <v>353</v>
      </c>
    </row>
    <row r="141" spans="1:5" x14ac:dyDescent="0.35">
      <c r="A141">
        <v>139</v>
      </c>
      <c r="B141" t="s">
        <v>353</v>
      </c>
      <c r="C141" t="s">
        <v>353</v>
      </c>
      <c r="D141" t="s">
        <v>353</v>
      </c>
      <c r="E141" t="s">
        <v>353</v>
      </c>
    </row>
    <row r="142" spans="1:5" x14ac:dyDescent="0.35">
      <c r="A142">
        <v>140</v>
      </c>
      <c r="B142" t="s">
        <v>353</v>
      </c>
      <c r="C142" t="s">
        <v>353</v>
      </c>
      <c r="D142" t="s">
        <v>353</v>
      </c>
      <c r="E142" t="s">
        <v>353</v>
      </c>
    </row>
    <row r="143" spans="1:5" x14ac:dyDescent="0.35">
      <c r="A143">
        <v>141</v>
      </c>
      <c r="B143" t="s">
        <v>353</v>
      </c>
      <c r="C143" t="s">
        <v>353</v>
      </c>
      <c r="D143" t="s">
        <v>353</v>
      </c>
      <c r="E143" t="s">
        <v>353</v>
      </c>
    </row>
    <row r="144" spans="1:5" x14ac:dyDescent="0.35">
      <c r="A144">
        <v>142</v>
      </c>
      <c r="B144" t="s">
        <v>353</v>
      </c>
      <c r="C144" t="s">
        <v>353</v>
      </c>
      <c r="D144" t="s">
        <v>353</v>
      </c>
      <c r="E144" t="s">
        <v>353</v>
      </c>
    </row>
    <row r="145" spans="1:5" x14ac:dyDescent="0.35">
      <c r="A145">
        <v>143</v>
      </c>
      <c r="B145" t="s">
        <v>353</v>
      </c>
      <c r="C145" t="s">
        <v>353</v>
      </c>
      <c r="D145" t="s">
        <v>353</v>
      </c>
      <c r="E145" t="s">
        <v>353</v>
      </c>
    </row>
    <row r="146" spans="1:5" x14ac:dyDescent="0.35">
      <c r="A146">
        <v>144</v>
      </c>
      <c r="B146" t="s">
        <v>353</v>
      </c>
      <c r="C146" t="s">
        <v>353</v>
      </c>
      <c r="D146" t="s">
        <v>353</v>
      </c>
      <c r="E146" t="s">
        <v>353</v>
      </c>
    </row>
    <row r="147" spans="1:5" x14ac:dyDescent="0.35">
      <c r="A147">
        <v>145</v>
      </c>
      <c r="B147" t="s">
        <v>353</v>
      </c>
      <c r="C147" t="s">
        <v>353</v>
      </c>
      <c r="D147" t="s">
        <v>353</v>
      </c>
      <c r="E147" t="s">
        <v>353</v>
      </c>
    </row>
    <row r="148" spans="1:5" x14ac:dyDescent="0.35">
      <c r="A148">
        <v>146</v>
      </c>
      <c r="B148" t="s">
        <v>353</v>
      </c>
      <c r="C148" t="s">
        <v>353</v>
      </c>
      <c r="D148" t="s">
        <v>353</v>
      </c>
      <c r="E148" t="s">
        <v>353</v>
      </c>
    </row>
    <row r="149" spans="1:5" x14ac:dyDescent="0.35">
      <c r="A149">
        <v>147</v>
      </c>
      <c r="B149" t="s">
        <v>353</v>
      </c>
      <c r="C149" t="s">
        <v>353</v>
      </c>
      <c r="D149" t="s">
        <v>353</v>
      </c>
      <c r="E149" t="s">
        <v>353</v>
      </c>
    </row>
    <row r="150" spans="1:5" x14ac:dyDescent="0.35">
      <c r="A150">
        <v>148</v>
      </c>
      <c r="B150" t="s">
        <v>353</v>
      </c>
      <c r="C150" t="s">
        <v>353</v>
      </c>
      <c r="D150" t="s">
        <v>353</v>
      </c>
      <c r="E150" t="s">
        <v>353</v>
      </c>
    </row>
    <row r="151" spans="1:5" x14ac:dyDescent="0.35">
      <c r="A151">
        <v>149</v>
      </c>
      <c r="B151" t="s">
        <v>353</v>
      </c>
      <c r="C151" t="s">
        <v>353</v>
      </c>
      <c r="D151" t="s">
        <v>353</v>
      </c>
      <c r="E151" t="s">
        <v>353</v>
      </c>
    </row>
    <row r="152" spans="1:5" x14ac:dyDescent="0.35">
      <c r="A152">
        <v>150</v>
      </c>
      <c r="B152" t="s">
        <v>353</v>
      </c>
      <c r="C152" t="s">
        <v>353</v>
      </c>
      <c r="D152" t="s">
        <v>353</v>
      </c>
      <c r="E152" t="s">
        <v>353</v>
      </c>
    </row>
    <row r="153" spans="1:5" x14ac:dyDescent="0.35">
      <c r="A153">
        <v>151</v>
      </c>
      <c r="B153" t="s">
        <v>353</v>
      </c>
      <c r="C153" t="s">
        <v>353</v>
      </c>
      <c r="D153" t="s">
        <v>353</v>
      </c>
      <c r="E153" t="s">
        <v>353</v>
      </c>
    </row>
    <row r="154" spans="1:5" x14ac:dyDescent="0.35">
      <c r="A154">
        <v>152</v>
      </c>
      <c r="B154" t="s">
        <v>353</v>
      </c>
      <c r="C154" t="s">
        <v>353</v>
      </c>
      <c r="D154" t="s">
        <v>353</v>
      </c>
      <c r="E154" t="s">
        <v>353</v>
      </c>
    </row>
    <row r="155" spans="1:5" x14ac:dyDescent="0.35">
      <c r="A155">
        <v>153</v>
      </c>
      <c r="B155" t="s">
        <v>353</v>
      </c>
      <c r="C155" t="s">
        <v>353</v>
      </c>
      <c r="D155" t="s">
        <v>353</v>
      </c>
      <c r="E155" t="s">
        <v>353</v>
      </c>
    </row>
    <row r="156" spans="1:5" x14ac:dyDescent="0.35">
      <c r="A156">
        <v>154</v>
      </c>
      <c r="B156" t="s">
        <v>353</v>
      </c>
      <c r="C156" t="s">
        <v>353</v>
      </c>
      <c r="D156" t="s">
        <v>353</v>
      </c>
      <c r="E156" t="s">
        <v>353</v>
      </c>
    </row>
    <row r="157" spans="1:5" x14ac:dyDescent="0.35">
      <c r="A157">
        <v>155</v>
      </c>
      <c r="B157" t="s">
        <v>353</v>
      </c>
      <c r="C157" t="s">
        <v>353</v>
      </c>
      <c r="D157" t="s">
        <v>353</v>
      </c>
      <c r="E157" t="s">
        <v>353</v>
      </c>
    </row>
    <row r="158" spans="1:5" x14ac:dyDescent="0.35">
      <c r="A158">
        <v>156</v>
      </c>
      <c r="B158" t="s">
        <v>353</v>
      </c>
      <c r="C158" t="s">
        <v>353</v>
      </c>
      <c r="D158" t="s">
        <v>353</v>
      </c>
      <c r="E158" t="s">
        <v>353</v>
      </c>
    </row>
    <row r="159" spans="1:5" x14ac:dyDescent="0.35">
      <c r="A159">
        <v>157</v>
      </c>
      <c r="B159" t="s">
        <v>353</v>
      </c>
      <c r="C159" t="s">
        <v>353</v>
      </c>
      <c r="D159" t="s">
        <v>353</v>
      </c>
      <c r="E159" t="s">
        <v>353</v>
      </c>
    </row>
    <row r="160" spans="1:5" x14ac:dyDescent="0.35">
      <c r="A160">
        <v>158</v>
      </c>
      <c r="B160" t="s">
        <v>353</v>
      </c>
      <c r="C160" t="s">
        <v>353</v>
      </c>
      <c r="D160" t="s">
        <v>353</v>
      </c>
      <c r="E160" t="s">
        <v>353</v>
      </c>
    </row>
    <row r="161" spans="1:5" x14ac:dyDescent="0.35">
      <c r="A161">
        <v>159</v>
      </c>
      <c r="B161" t="s">
        <v>353</v>
      </c>
      <c r="C161" t="s">
        <v>353</v>
      </c>
      <c r="D161" t="s">
        <v>353</v>
      </c>
      <c r="E161" t="s">
        <v>353</v>
      </c>
    </row>
    <row r="162" spans="1:5" x14ac:dyDescent="0.35">
      <c r="A162">
        <v>160</v>
      </c>
      <c r="B162" t="s">
        <v>353</v>
      </c>
      <c r="C162" t="s">
        <v>353</v>
      </c>
      <c r="D162" t="s">
        <v>353</v>
      </c>
      <c r="E162" t="s">
        <v>353</v>
      </c>
    </row>
    <row r="163" spans="1:5" x14ac:dyDescent="0.35">
      <c r="A163">
        <v>161</v>
      </c>
      <c r="B163" t="s">
        <v>353</v>
      </c>
      <c r="C163" t="s">
        <v>353</v>
      </c>
      <c r="D163" t="s">
        <v>353</v>
      </c>
      <c r="E163" t="s">
        <v>353</v>
      </c>
    </row>
    <row r="164" spans="1:5" x14ac:dyDescent="0.35">
      <c r="A164">
        <v>162</v>
      </c>
      <c r="B164" t="s">
        <v>353</v>
      </c>
      <c r="C164" t="s">
        <v>353</v>
      </c>
      <c r="D164" t="s">
        <v>353</v>
      </c>
      <c r="E164" t="s">
        <v>353</v>
      </c>
    </row>
    <row r="165" spans="1:5" x14ac:dyDescent="0.35">
      <c r="A165">
        <v>163</v>
      </c>
      <c r="B165" t="s">
        <v>353</v>
      </c>
      <c r="C165" t="s">
        <v>353</v>
      </c>
      <c r="D165" t="s">
        <v>353</v>
      </c>
      <c r="E165" t="s">
        <v>353</v>
      </c>
    </row>
    <row r="166" spans="1:5" x14ac:dyDescent="0.35">
      <c r="B166" t="s">
        <v>353</v>
      </c>
      <c r="C166" t="s">
        <v>353</v>
      </c>
    </row>
    <row r="167" spans="1:5" x14ac:dyDescent="0.35">
      <c r="A167">
        <v>1</v>
      </c>
      <c r="B167" t="s">
        <v>353</v>
      </c>
      <c r="C167" t="s">
        <v>422</v>
      </c>
    </row>
    <row r="168" spans="1:5" x14ac:dyDescent="0.35">
      <c r="A168">
        <v>2</v>
      </c>
      <c r="B168" t="s">
        <v>353</v>
      </c>
      <c r="C168" t="s">
        <v>423</v>
      </c>
    </row>
    <row r="169" spans="1:5" x14ac:dyDescent="0.35">
      <c r="A169">
        <v>3</v>
      </c>
      <c r="B169" t="s">
        <v>353</v>
      </c>
      <c r="C169" t="s">
        <v>424</v>
      </c>
    </row>
    <row r="170" spans="1:5" x14ac:dyDescent="0.35">
      <c r="A170">
        <v>4</v>
      </c>
      <c r="B170" t="s">
        <v>353</v>
      </c>
      <c r="C170" t="s">
        <v>424</v>
      </c>
    </row>
    <row r="171" spans="1:5" x14ac:dyDescent="0.35">
      <c r="A171">
        <v>5</v>
      </c>
      <c r="B171" t="s">
        <v>353</v>
      </c>
      <c r="C171" t="s">
        <v>425</v>
      </c>
    </row>
    <row r="172" spans="1:5" x14ac:dyDescent="0.35">
      <c r="A172">
        <v>6</v>
      </c>
      <c r="B172" t="s">
        <v>261</v>
      </c>
      <c r="C172" t="s">
        <v>426</v>
      </c>
    </row>
    <row r="173" spans="1:5" x14ac:dyDescent="0.35">
      <c r="A173">
        <v>7</v>
      </c>
      <c r="B173" t="s">
        <v>427</v>
      </c>
      <c r="C173" t="s">
        <v>428</v>
      </c>
    </row>
  </sheetData>
  <phoneticPr fontId="26"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DF2C9-30DC-4D57-BE33-23DBB60DC693}">
  <dimension ref="A2:AC120"/>
  <sheetViews>
    <sheetView topLeftCell="W104" zoomScale="72" zoomScaleNormal="75" workbookViewId="0">
      <selection activeCell="AG115" sqref="AG115"/>
    </sheetView>
  </sheetViews>
  <sheetFormatPr defaultRowHeight="14.5" x14ac:dyDescent="0.35"/>
  <cols>
    <col min="4" max="4" width="12.08984375" bestFit="1" customWidth="1"/>
    <col min="6" max="6" width="12.36328125" bestFit="1" customWidth="1"/>
    <col min="7" max="7" width="10.453125" customWidth="1"/>
    <col min="13" max="13" width="13.08984375" customWidth="1"/>
    <col min="14" max="14" width="9.1796875" customWidth="1"/>
    <col min="27" max="27" width="25.81640625" customWidth="1"/>
    <col min="28" max="28" width="13.453125" customWidth="1"/>
    <col min="29" max="29" width="12.81640625" customWidth="1"/>
  </cols>
  <sheetData>
    <row r="2" spans="1:19" x14ac:dyDescent="0.35">
      <c r="A2" s="12" t="s">
        <v>393</v>
      </c>
      <c r="B2" s="12" t="s">
        <v>368</v>
      </c>
      <c r="S2" s="12" t="s">
        <v>394</v>
      </c>
    </row>
    <row r="4" spans="1:19" x14ac:dyDescent="0.35">
      <c r="B4" s="12" t="s">
        <v>372</v>
      </c>
      <c r="F4" s="12" t="s">
        <v>371</v>
      </c>
      <c r="G4" s="12" t="s">
        <v>390</v>
      </c>
      <c r="I4" s="12" t="s">
        <v>372</v>
      </c>
      <c r="M4" s="12" t="s">
        <v>371</v>
      </c>
      <c r="N4" s="12" t="s">
        <v>390</v>
      </c>
    </row>
    <row r="5" spans="1:19" x14ac:dyDescent="0.35">
      <c r="G5" s="12" t="s">
        <v>369</v>
      </c>
      <c r="N5" s="12" t="s">
        <v>369</v>
      </c>
    </row>
    <row r="6" spans="1:19" x14ac:dyDescent="0.35">
      <c r="B6" s="12" t="s">
        <v>374</v>
      </c>
      <c r="F6" s="22">
        <v>485747156</v>
      </c>
      <c r="G6" s="179">
        <f>F6/$F$25</f>
        <v>0.74646145998530999</v>
      </c>
      <c r="I6" s="12" t="s">
        <v>395</v>
      </c>
      <c r="M6" s="22">
        <v>485747156</v>
      </c>
      <c r="N6" s="153">
        <f>M6/$F$25</f>
        <v>0.74646145998530999</v>
      </c>
    </row>
    <row r="7" spans="1:19" x14ac:dyDescent="0.35">
      <c r="B7" s="12" t="s">
        <v>370</v>
      </c>
      <c r="G7" s="179"/>
      <c r="I7" s="12" t="s">
        <v>375</v>
      </c>
      <c r="M7" s="22">
        <f>SUM(F9)</f>
        <v>47461129</v>
      </c>
      <c r="N7" s="153">
        <f t="shared" ref="N7:N11" si="0">M7/$F$25</f>
        <v>7.2934865821203357E-2</v>
      </c>
    </row>
    <row r="8" spans="1:19" x14ac:dyDescent="0.35">
      <c r="B8" t="s">
        <v>373</v>
      </c>
      <c r="F8" s="22">
        <v>1161</v>
      </c>
      <c r="G8" s="179">
        <f t="shared" ref="G8:G24" si="1">F8/$F$25</f>
        <v>1.7841416966380446E-6</v>
      </c>
      <c r="I8" s="12" t="s">
        <v>377</v>
      </c>
      <c r="M8" s="22">
        <f>SUM(F11)</f>
        <v>5817469</v>
      </c>
      <c r="N8" s="153">
        <f t="shared" si="0"/>
        <v>8.939869949870137E-3</v>
      </c>
    </row>
    <row r="9" spans="1:19" x14ac:dyDescent="0.35">
      <c r="B9" t="s">
        <v>375</v>
      </c>
      <c r="F9" s="22">
        <v>47461129</v>
      </c>
      <c r="G9" s="179">
        <f t="shared" si="1"/>
        <v>7.2934865821203357E-2</v>
      </c>
      <c r="I9" s="54" t="s">
        <v>396</v>
      </c>
      <c r="M9">
        <f>SUM(F10,F17)</f>
        <v>1030</v>
      </c>
      <c r="N9" s="153">
        <f t="shared" si="0"/>
        <v>1.5828302735031748E-6</v>
      </c>
    </row>
    <row r="10" spans="1:19" x14ac:dyDescent="0.35">
      <c r="B10" t="s">
        <v>376</v>
      </c>
      <c r="F10">
        <v>96</v>
      </c>
      <c r="G10" s="179">
        <f t="shared" si="1"/>
        <v>1.475259284041794E-7</v>
      </c>
      <c r="I10" s="12" t="s">
        <v>397</v>
      </c>
      <c r="M10" s="22">
        <f>SUM(F12)</f>
        <v>53746961</v>
      </c>
      <c r="N10" s="153">
        <f t="shared" si="0"/>
        <v>8.2594482504460651E-2</v>
      </c>
    </row>
    <row r="11" spans="1:19" x14ac:dyDescent="0.35">
      <c r="B11" t="s">
        <v>377</v>
      </c>
      <c r="F11" s="22">
        <v>5817469</v>
      </c>
      <c r="G11" s="179">
        <f t="shared" si="1"/>
        <v>8.939869949870137E-3</v>
      </c>
      <c r="I11" s="12" t="s">
        <v>398</v>
      </c>
      <c r="M11" s="22">
        <f>SUM(F8,F13:F16,F18:F24)</f>
        <v>57959323</v>
      </c>
      <c r="N11" s="153">
        <f t="shared" si="0"/>
        <v>8.906773890888238E-2</v>
      </c>
    </row>
    <row r="12" spans="1:19" x14ac:dyDescent="0.35">
      <c r="B12" t="s">
        <v>391</v>
      </c>
      <c r="F12" s="22">
        <v>53746961</v>
      </c>
      <c r="G12" s="179">
        <f t="shared" si="1"/>
        <v>8.2594482504460651E-2</v>
      </c>
      <c r="I12" s="12" t="s">
        <v>35</v>
      </c>
      <c r="M12" s="178">
        <f>SUM(M6:M11)</f>
        <v>650733068</v>
      </c>
      <c r="N12" s="168">
        <f>SUM(N6:N11)</f>
        <v>1</v>
      </c>
    </row>
    <row r="13" spans="1:19" x14ac:dyDescent="0.35">
      <c r="B13" t="s">
        <v>392</v>
      </c>
      <c r="F13" s="22">
        <v>419616</v>
      </c>
      <c r="G13" s="179">
        <f t="shared" si="1"/>
        <v>6.4483583305466818E-4</v>
      </c>
    </row>
    <row r="14" spans="1:19" x14ac:dyDescent="0.35">
      <c r="B14" t="s">
        <v>378</v>
      </c>
      <c r="F14" s="22">
        <v>1788064</v>
      </c>
      <c r="G14" s="179">
        <f t="shared" si="1"/>
        <v>2.7477687671467774E-3</v>
      </c>
    </row>
    <row r="15" spans="1:19" x14ac:dyDescent="0.35">
      <c r="B15" t="s">
        <v>379</v>
      </c>
      <c r="F15" s="22">
        <v>411280</v>
      </c>
      <c r="G15" s="179">
        <f t="shared" si="1"/>
        <v>6.3202566493823851E-4</v>
      </c>
    </row>
    <row r="16" spans="1:19" x14ac:dyDescent="0.35">
      <c r="B16" t="s">
        <v>380</v>
      </c>
      <c r="F16" s="22">
        <v>52698268</v>
      </c>
      <c r="G16" s="179">
        <f t="shared" si="1"/>
        <v>8.098292616658602E-2</v>
      </c>
    </row>
    <row r="17" spans="1:16" x14ac:dyDescent="0.35">
      <c r="B17" t="s">
        <v>381</v>
      </c>
      <c r="F17">
        <v>934</v>
      </c>
      <c r="G17" s="179">
        <f t="shared" si="1"/>
        <v>1.4353043450989953E-6</v>
      </c>
    </row>
    <row r="18" spans="1:16" x14ac:dyDescent="0.35">
      <c r="B18" t="s">
        <v>382</v>
      </c>
      <c r="F18" s="22">
        <v>27651</v>
      </c>
      <c r="G18" s="179">
        <f t="shared" si="1"/>
        <v>4.2492077565666298E-5</v>
      </c>
    </row>
    <row r="19" spans="1:16" x14ac:dyDescent="0.35">
      <c r="B19" t="s">
        <v>383</v>
      </c>
      <c r="F19" s="22">
        <v>561277</v>
      </c>
      <c r="G19" s="179">
        <f t="shared" si="1"/>
        <v>8.6253031788450618E-4</v>
      </c>
    </row>
    <row r="20" spans="1:16" x14ac:dyDescent="0.35">
      <c r="B20" t="s">
        <v>384</v>
      </c>
      <c r="F20" s="22">
        <v>723076</v>
      </c>
      <c r="G20" s="179">
        <f t="shared" si="1"/>
        <v>1.1111714396539627E-3</v>
      </c>
    </row>
    <row r="21" spans="1:16" x14ac:dyDescent="0.35">
      <c r="B21" t="s">
        <v>385</v>
      </c>
      <c r="F21" s="22">
        <v>6512</v>
      </c>
      <c r="G21" s="179">
        <f t="shared" si="1"/>
        <v>1.0007175476750168E-5</v>
      </c>
    </row>
    <row r="22" spans="1:16" x14ac:dyDescent="0.35">
      <c r="B22" t="s">
        <v>386</v>
      </c>
      <c r="F22" s="22">
        <v>1175091</v>
      </c>
      <c r="G22" s="179">
        <f t="shared" si="1"/>
        <v>1.8057957368166205E-3</v>
      </c>
    </row>
    <row r="23" spans="1:16" x14ac:dyDescent="0.35">
      <c r="B23" t="s">
        <v>387</v>
      </c>
      <c r="F23" s="22">
        <v>147249</v>
      </c>
      <c r="G23" s="179">
        <f t="shared" si="1"/>
        <v>2.2628172324569803E-4</v>
      </c>
    </row>
    <row r="24" spans="1:16" x14ac:dyDescent="0.35">
      <c r="B24" t="s">
        <v>388</v>
      </c>
      <c r="F24">
        <v>78</v>
      </c>
      <c r="G24" s="179">
        <f t="shared" si="1"/>
        <v>1.1986481682839575E-7</v>
      </c>
    </row>
    <row r="25" spans="1:16" x14ac:dyDescent="0.35">
      <c r="B25" s="12" t="s">
        <v>389</v>
      </c>
      <c r="F25" s="178">
        <f>SUM(F6,F8:F24)</f>
        <v>650733068</v>
      </c>
      <c r="G25" s="54">
        <f>SUM(G6,G8:G24)</f>
        <v>1</v>
      </c>
    </row>
    <row r="26" spans="1:16" x14ac:dyDescent="0.35">
      <c r="P26" t="s">
        <v>405</v>
      </c>
    </row>
    <row r="32" spans="1:16" x14ac:dyDescent="0.35">
      <c r="A32" s="12" t="s">
        <v>399</v>
      </c>
      <c r="B32" s="12" t="s">
        <v>400</v>
      </c>
    </row>
    <row r="34" spans="2:10" x14ac:dyDescent="0.35">
      <c r="B34" s="12" t="s">
        <v>404</v>
      </c>
      <c r="C34" s="181">
        <v>20</v>
      </c>
      <c r="D34" s="181">
        <f>C34+1</f>
        <v>21</v>
      </c>
      <c r="E34" s="181">
        <f t="shared" ref="E34:G34" si="2">D34+1</f>
        <v>22</v>
      </c>
      <c r="F34" s="181">
        <f t="shared" si="2"/>
        <v>23</v>
      </c>
      <c r="G34" s="181">
        <f t="shared" si="2"/>
        <v>24</v>
      </c>
    </row>
    <row r="35" spans="2:10" x14ac:dyDescent="0.35">
      <c r="B35" t="s">
        <v>401</v>
      </c>
      <c r="C35" s="43">
        <v>0.52400000000000002</v>
      </c>
      <c r="D35" s="43">
        <v>0.57410000000000005</v>
      </c>
      <c r="E35" s="43">
        <v>0.56859999999999999</v>
      </c>
      <c r="F35" s="43">
        <v>0.56030000000000002</v>
      </c>
      <c r="G35" s="43">
        <v>0.56950000000000001</v>
      </c>
    </row>
    <row r="36" spans="2:10" x14ac:dyDescent="0.35">
      <c r="B36" t="s">
        <v>402</v>
      </c>
      <c r="C36" s="43">
        <v>0.2029</v>
      </c>
      <c r="D36" s="43">
        <v>0.19689999999999999</v>
      </c>
      <c r="E36" s="43">
        <v>0.19739999999999999</v>
      </c>
      <c r="F36" s="43">
        <v>0.20930000000000001</v>
      </c>
      <c r="G36" s="43">
        <v>0.20680000000000001</v>
      </c>
    </row>
    <row r="37" spans="2:10" x14ac:dyDescent="0.35">
      <c r="B37" t="s">
        <v>403</v>
      </c>
      <c r="C37" s="43">
        <v>0.27310000000000001</v>
      </c>
      <c r="D37" s="43">
        <v>0.22900000000000001</v>
      </c>
      <c r="E37" s="43">
        <v>0.23400000000000001</v>
      </c>
      <c r="F37" s="43">
        <v>0.23039999999999999</v>
      </c>
      <c r="G37" s="43">
        <v>0.22370000000000001</v>
      </c>
    </row>
    <row r="38" spans="2:10" x14ac:dyDescent="0.35">
      <c r="B38" s="181" t="s">
        <v>35</v>
      </c>
      <c r="C38" s="50">
        <f>SUM(C35:C37)</f>
        <v>1</v>
      </c>
      <c r="D38" s="50">
        <f t="shared" ref="D38:E38" si="3">SUM(D35:D37)</f>
        <v>1</v>
      </c>
      <c r="E38" s="50">
        <f t="shared" si="3"/>
        <v>1</v>
      </c>
      <c r="F38" s="50">
        <f>SUM(F35:F37)</f>
        <v>1</v>
      </c>
      <c r="G38" s="50">
        <f>SUM(G35:G37)</f>
        <v>1</v>
      </c>
    </row>
    <row r="39" spans="2:10" x14ac:dyDescent="0.35">
      <c r="B39" s="180"/>
      <c r="I39" s="180"/>
    </row>
    <row r="46" spans="2:10" x14ac:dyDescent="0.35">
      <c r="J46" t="s">
        <v>405</v>
      </c>
    </row>
    <row r="50" spans="1:10" x14ac:dyDescent="0.35">
      <c r="A50" t="s">
        <v>406</v>
      </c>
      <c r="B50" t="s">
        <v>454</v>
      </c>
    </row>
    <row r="52" spans="1:10" ht="43.5" x14ac:dyDescent="0.35">
      <c r="B52" s="187" t="s">
        <v>212</v>
      </c>
      <c r="C52" s="187" t="s">
        <v>213</v>
      </c>
      <c r="D52" s="188" t="s">
        <v>455</v>
      </c>
      <c r="F52" s="188" t="s">
        <v>456</v>
      </c>
      <c r="G52" s="188" t="s">
        <v>457</v>
      </c>
      <c r="H52" s="188" t="s">
        <v>458</v>
      </c>
      <c r="I52" s="188" t="s">
        <v>459</v>
      </c>
    </row>
    <row r="53" spans="1:10" ht="29" x14ac:dyDescent="0.35">
      <c r="B53" s="189">
        <v>1</v>
      </c>
      <c r="C53" s="190" t="s">
        <v>220</v>
      </c>
      <c r="D53" s="195">
        <v>26.01</v>
      </c>
      <c r="F53" s="191">
        <v>33.119999999999997</v>
      </c>
      <c r="G53" s="191">
        <v>8.31</v>
      </c>
      <c r="H53" s="191">
        <v>1.2</v>
      </c>
      <c r="I53" s="191">
        <v>320645.46999999997</v>
      </c>
      <c r="J53" s="188" t="s">
        <v>214</v>
      </c>
    </row>
    <row r="54" spans="1:10" x14ac:dyDescent="0.35">
      <c r="B54" s="192">
        <v>2</v>
      </c>
      <c r="C54" s="193" t="s">
        <v>221</v>
      </c>
      <c r="D54" s="196">
        <v>44.83</v>
      </c>
      <c r="F54" s="111">
        <v>83.02</v>
      </c>
      <c r="G54" s="111">
        <v>40.590000000000003</v>
      </c>
      <c r="H54" s="111">
        <v>2.41</v>
      </c>
      <c r="I54" s="111">
        <v>254484.59</v>
      </c>
      <c r="J54" s="191">
        <v>4927.45</v>
      </c>
    </row>
    <row r="55" spans="1:10" ht="29" x14ac:dyDescent="0.35">
      <c r="B55" s="192">
        <v>3</v>
      </c>
      <c r="C55" s="193" t="s">
        <v>407</v>
      </c>
      <c r="D55" s="196">
        <v>75.56</v>
      </c>
      <c r="F55" s="111">
        <v>142.86000000000001</v>
      </c>
      <c r="G55" s="111">
        <v>79.599999999999994</v>
      </c>
      <c r="H55" s="111">
        <v>12.3</v>
      </c>
      <c r="I55" s="111">
        <v>33256.339999999997</v>
      </c>
      <c r="J55" s="111">
        <v>7158.75</v>
      </c>
    </row>
    <row r="56" spans="1:10" ht="29" x14ac:dyDescent="0.35">
      <c r="B56" s="192">
        <v>4</v>
      </c>
      <c r="C56" s="193" t="s">
        <v>222</v>
      </c>
      <c r="D56" s="196">
        <v>54.88</v>
      </c>
      <c r="F56" s="111">
        <v>262.39</v>
      </c>
      <c r="G56" s="111">
        <v>240.86</v>
      </c>
      <c r="H56" s="111">
        <v>33.35</v>
      </c>
      <c r="I56" s="111">
        <v>31672.29</v>
      </c>
      <c r="J56" s="111">
        <v>640.54999999999995</v>
      </c>
    </row>
    <row r="57" spans="1:10" x14ac:dyDescent="0.35">
      <c r="B57" s="192">
        <v>5</v>
      </c>
      <c r="C57" s="193" t="s">
        <v>226</v>
      </c>
      <c r="D57" s="196">
        <v>205.71</v>
      </c>
      <c r="F57" s="111">
        <v>294.06</v>
      </c>
      <c r="G57" s="111">
        <v>106.27</v>
      </c>
      <c r="H57" s="111">
        <v>17.920000000000002</v>
      </c>
      <c r="I57" s="111">
        <v>9374.23</v>
      </c>
      <c r="J57" s="111">
        <v>311.7</v>
      </c>
    </row>
    <row r="58" spans="1:10" ht="29" x14ac:dyDescent="0.35">
      <c r="B58" s="192">
        <v>6</v>
      </c>
      <c r="C58" s="193" t="s">
        <v>225</v>
      </c>
      <c r="D58" s="196">
        <v>-33.74</v>
      </c>
      <c r="F58" s="111">
        <v>241.96</v>
      </c>
      <c r="G58" s="111">
        <v>282.67</v>
      </c>
      <c r="H58" s="111">
        <v>6.96</v>
      </c>
      <c r="I58" s="111">
        <v>8909.8799999999992</v>
      </c>
      <c r="J58" s="111">
        <v>678.3</v>
      </c>
    </row>
    <row r="59" spans="1:10" ht="29" x14ac:dyDescent="0.35">
      <c r="B59" s="192">
        <v>7</v>
      </c>
      <c r="C59" s="193" t="s">
        <v>224</v>
      </c>
      <c r="D59" s="196">
        <v>73.489999999999995</v>
      </c>
      <c r="F59" s="111">
        <v>65.87</v>
      </c>
      <c r="G59" s="111">
        <v>2.92</v>
      </c>
      <c r="H59" s="111">
        <v>10.54</v>
      </c>
      <c r="I59" s="111">
        <v>8628.76</v>
      </c>
      <c r="J59" s="111">
        <v>810.15</v>
      </c>
    </row>
    <row r="60" spans="1:10" ht="29" x14ac:dyDescent="0.35">
      <c r="B60" s="192">
        <v>8</v>
      </c>
      <c r="C60" s="193" t="s">
        <v>223</v>
      </c>
      <c r="D60" s="196">
        <v>91.5</v>
      </c>
      <c r="F60" s="111">
        <v>111.39</v>
      </c>
      <c r="G60" s="111">
        <v>21.03</v>
      </c>
      <c r="H60" s="111">
        <v>1.1399999999999999</v>
      </c>
      <c r="I60" s="111">
        <v>8122.03</v>
      </c>
      <c r="J60" s="111">
        <v>224.27</v>
      </c>
    </row>
    <row r="61" spans="1:10" x14ac:dyDescent="0.35">
      <c r="B61" s="192">
        <v>9</v>
      </c>
      <c r="C61" s="193" t="s">
        <v>227</v>
      </c>
      <c r="D61" s="196">
        <v>185.34</v>
      </c>
      <c r="F61" s="111">
        <v>229.81</v>
      </c>
      <c r="G61" s="111">
        <v>50.16</v>
      </c>
      <c r="H61" s="111">
        <v>5.69</v>
      </c>
      <c r="I61" s="111">
        <v>8013.67</v>
      </c>
      <c r="J61" s="111">
        <v>679.4</v>
      </c>
    </row>
    <row r="62" spans="1:10" ht="29" x14ac:dyDescent="0.35">
      <c r="B62" s="192">
        <v>10</v>
      </c>
      <c r="C62" s="193" t="s">
        <v>228</v>
      </c>
      <c r="D62" s="196">
        <v>36.479999999999997</v>
      </c>
      <c r="F62" s="111">
        <v>163.21</v>
      </c>
      <c r="G62" s="111">
        <v>126.73</v>
      </c>
      <c r="H62" s="111">
        <v>0</v>
      </c>
      <c r="I62" s="111">
        <v>7121.65</v>
      </c>
      <c r="J62" s="111">
        <v>3273.5</v>
      </c>
    </row>
    <row r="63" spans="1:10" ht="29" x14ac:dyDescent="0.35">
      <c r="B63" s="192">
        <v>11</v>
      </c>
      <c r="C63" s="193" t="s">
        <v>408</v>
      </c>
      <c r="D63" s="196">
        <v>92.53</v>
      </c>
      <c r="F63" s="111">
        <v>107.88</v>
      </c>
      <c r="G63" s="111">
        <v>15.43</v>
      </c>
      <c r="H63" s="111">
        <v>0.08</v>
      </c>
      <c r="I63" s="111">
        <v>6254.31</v>
      </c>
      <c r="J63" s="111">
        <v>3601</v>
      </c>
    </row>
    <row r="64" spans="1:10" ht="43.5" x14ac:dyDescent="0.35">
      <c r="B64" s="192">
        <v>12</v>
      </c>
      <c r="C64" s="193" t="s">
        <v>409</v>
      </c>
      <c r="D64" s="196">
        <v>76.819999999999993</v>
      </c>
      <c r="F64" s="111">
        <v>43.06</v>
      </c>
      <c r="G64" s="111">
        <v>23.5</v>
      </c>
      <c r="H64" s="111">
        <v>57.27</v>
      </c>
      <c r="I64" s="111">
        <v>5950.16</v>
      </c>
      <c r="J64" s="111">
        <v>486.1</v>
      </c>
    </row>
    <row r="65" spans="1:10" ht="29" x14ac:dyDescent="0.35">
      <c r="B65" s="192">
        <v>13</v>
      </c>
      <c r="C65" s="193" t="s">
        <v>230</v>
      </c>
      <c r="D65" s="196">
        <v>54.59</v>
      </c>
      <c r="F65" s="194"/>
      <c r="G65" s="194"/>
      <c r="H65" s="111">
        <v>54.59</v>
      </c>
      <c r="I65" s="111">
        <v>4011.99</v>
      </c>
      <c r="J65" s="111">
        <v>1368.05</v>
      </c>
    </row>
    <row r="66" spans="1:10" x14ac:dyDescent="0.35">
      <c r="B66" s="192">
        <v>14</v>
      </c>
      <c r="C66" s="193" t="s">
        <v>232</v>
      </c>
      <c r="D66" s="196">
        <v>86.65</v>
      </c>
      <c r="F66" s="111">
        <v>155.47999999999999</v>
      </c>
      <c r="G66" s="111">
        <v>68.84</v>
      </c>
      <c r="H66" s="111">
        <v>0.02</v>
      </c>
      <c r="I66" s="111">
        <v>3969.65</v>
      </c>
      <c r="J66" s="111">
        <v>848.2</v>
      </c>
    </row>
    <row r="67" spans="1:10" ht="29" x14ac:dyDescent="0.35">
      <c r="B67" s="192">
        <v>15</v>
      </c>
      <c r="C67" s="193" t="s">
        <v>410</v>
      </c>
      <c r="D67" s="196">
        <v>96.57</v>
      </c>
      <c r="F67" s="111">
        <v>244.22</v>
      </c>
      <c r="G67" s="111">
        <v>147.65</v>
      </c>
      <c r="H67" s="111">
        <v>0</v>
      </c>
      <c r="I67" s="111">
        <v>2902.55</v>
      </c>
      <c r="J67" s="111">
        <v>1147.6500000000001</v>
      </c>
    </row>
    <row r="68" spans="1:10" x14ac:dyDescent="0.35">
      <c r="J68" s="194"/>
    </row>
    <row r="70" spans="1:10" x14ac:dyDescent="0.35">
      <c r="A70" t="s">
        <v>460</v>
      </c>
    </row>
    <row r="71" spans="1:10" ht="58" x14ac:dyDescent="0.35">
      <c r="B71" s="187" t="s">
        <v>212</v>
      </c>
      <c r="C71" s="187" t="s">
        <v>213</v>
      </c>
      <c r="D71" s="188" t="s">
        <v>462</v>
      </c>
      <c r="F71" s="188" t="s">
        <v>459</v>
      </c>
      <c r="G71" s="188" t="s">
        <v>214</v>
      </c>
    </row>
    <row r="72" spans="1:10" ht="29" x14ac:dyDescent="0.35">
      <c r="B72" s="189">
        <v>1</v>
      </c>
      <c r="C72" s="190" t="s">
        <v>220</v>
      </c>
      <c r="D72" s="198">
        <v>61.79</v>
      </c>
      <c r="F72" s="191">
        <v>320645.46999999997</v>
      </c>
      <c r="G72" s="191">
        <v>4927.45</v>
      </c>
    </row>
    <row r="73" spans="1:10" x14ac:dyDescent="0.35">
      <c r="C73" t="s">
        <v>463</v>
      </c>
      <c r="D73" s="199">
        <v>3.35</v>
      </c>
    </row>
    <row r="74" spans="1:10" x14ac:dyDescent="0.35">
      <c r="B74" s="192">
        <v>2</v>
      </c>
      <c r="C74" s="193" t="s">
        <v>221</v>
      </c>
      <c r="D74" s="200">
        <v>7.32</v>
      </c>
      <c r="F74" s="111">
        <v>254484.59</v>
      </c>
      <c r="G74" s="111">
        <v>7158.75</v>
      </c>
    </row>
    <row r="75" spans="1:10" ht="29" x14ac:dyDescent="0.35">
      <c r="B75" s="192">
        <v>3</v>
      </c>
      <c r="C75" s="193" t="s">
        <v>407</v>
      </c>
      <c r="D75" s="200">
        <v>-1.79</v>
      </c>
      <c r="F75" s="111">
        <v>33256.339999999997</v>
      </c>
      <c r="G75" s="111">
        <v>640.54999999999995</v>
      </c>
    </row>
    <row r="76" spans="1:10" ht="29" x14ac:dyDescent="0.35">
      <c r="B76" s="192">
        <v>4</v>
      </c>
      <c r="C76" s="193" t="s">
        <v>222</v>
      </c>
      <c r="D76" s="200">
        <v>0.03</v>
      </c>
      <c r="F76" s="111">
        <v>31672.29</v>
      </c>
      <c r="G76" s="111">
        <v>311.7</v>
      </c>
    </row>
    <row r="77" spans="1:10" x14ac:dyDescent="0.35">
      <c r="B77" s="192">
        <v>5</v>
      </c>
      <c r="C77" s="193" t="s">
        <v>226</v>
      </c>
      <c r="D77" s="200">
        <v>6.4</v>
      </c>
      <c r="F77" s="111">
        <v>9374.23</v>
      </c>
      <c r="G77" s="111">
        <v>678.3</v>
      </c>
    </row>
    <row r="78" spans="1:10" ht="29" x14ac:dyDescent="0.35">
      <c r="B78" s="192">
        <v>6</v>
      </c>
      <c r="C78" s="193" t="s">
        <v>225</v>
      </c>
      <c r="D78" s="200">
        <v>1.26</v>
      </c>
      <c r="F78" s="111">
        <v>8909.8799999999992</v>
      </c>
      <c r="G78" s="111">
        <v>810.15</v>
      </c>
    </row>
    <row r="79" spans="1:10" ht="29" x14ac:dyDescent="0.35">
      <c r="B79" s="192">
        <v>7</v>
      </c>
      <c r="C79" s="193" t="s">
        <v>224</v>
      </c>
      <c r="D79" s="200">
        <v>3.41</v>
      </c>
      <c r="F79" s="111">
        <v>8628.76</v>
      </c>
      <c r="G79" s="111">
        <v>224.27</v>
      </c>
    </row>
    <row r="80" spans="1:10" ht="29" x14ac:dyDescent="0.35">
      <c r="B80" s="192">
        <v>8</v>
      </c>
      <c r="C80" s="193" t="s">
        <v>223</v>
      </c>
      <c r="D80" s="200">
        <v>1.88</v>
      </c>
      <c r="F80" s="111">
        <v>8122.03</v>
      </c>
      <c r="G80" s="111">
        <v>679.4</v>
      </c>
    </row>
    <row r="81" spans="1:9" x14ac:dyDescent="0.35">
      <c r="B81" s="192">
        <v>9</v>
      </c>
      <c r="C81" s="193" t="s">
        <v>227</v>
      </c>
      <c r="D81" s="200">
        <v>8.0299999999999994</v>
      </c>
      <c r="F81" s="111">
        <v>8013.67</v>
      </c>
      <c r="G81" s="111">
        <v>3273.5</v>
      </c>
    </row>
    <row r="82" spans="1:9" ht="29" x14ac:dyDescent="0.35">
      <c r="B82" s="192">
        <v>10</v>
      </c>
      <c r="C82" s="193" t="s">
        <v>228</v>
      </c>
      <c r="D82" s="200">
        <v>0.37</v>
      </c>
      <c r="F82" s="111">
        <v>7121.65</v>
      </c>
      <c r="G82" s="111">
        <v>3601</v>
      </c>
    </row>
    <row r="83" spans="1:9" ht="29" x14ac:dyDescent="0.35">
      <c r="B83" s="192">
        <v>11</v>
      </c>
      <c r="C83" s="193" t="s">
        <v>408</v>
      </c>
      <c r="D83" s="200">
        <v>4.54</v>
      </c>
      <c r="F83" s="111">
        <v>6254.31</v>
      </c>
      <c r="G83" s="111">
        <v>486.1</v>
      </c>
    </row>
    <row r="84" spans="1:9" ht="43.5" x14ac:dyDescent="0.35">
      <c r="B84" s="192">
        <v>12</v>
      </c>
      <c r="C84" s="193" t="s">
        <v>409</v>
      </c>
      <c r="D84" s="200">
        <v>1.92</v>
      </c>
      <c r="F84" s="111">
        <v>5950.16</v>
      </c>
      <c r="G84" s="111">
        <v>1368.05</v>
      </c>
    </row>
    <row r="85" spans="1:9" ht="29" x14ac:dyDescent="0.35">
      <c r="B85" s="192">
        <v>13</v>
      </c>
      <c r="C85" s="193" t="s">
        <v>230</v>
      </c>
      <c r="D85" s="200">
        <v>12.06</v>
      </c>
      <c r="F85" s="111">
        <v>4011.99</v>
      </c>
      <c r="G85" s="111">
        <v>848.2</v>
      </c>
    </row>
    <row r="86" spans="1:9" x14ac:dyDescent="0.35">
      <c r="B86" s="192">
        <v>14</v>
      </c>
      <c r="C86" s="193" t="s">
        <v>232</v>
      </c>
      <c r="D86" s="200">
        <v>1.92</v>
      </c>
      <c r="F86" s="111">
        <v>3969.65</v>
      </c>
      <c r="G86" s="111">
        <v>1147.6500000000001</v>
      </c>
    </row>
    <row r="87" spans="1:9" ht="29" x14ac:dyDescent="0.35">
      <c r="B87" s="192">
        <v>15</v>
      </c>
      <c r="C87" s="193" t="s">
        <v>410</v>
      </c>
      <c r="D87" s="200">
        <v>1.62</v>
      </c>
      <c r="F87" s="111">
        <v>2902.55</v>
      </c>
      <c r="G87" s="194"/>
    </row>
    <row r="88" spans="1:9" x14ac:dyDescent="0.35">
      <c r="B88" s="197"/>
    </row>
    <row r="90" spans="1:9" x14ac:dyDescent="0.35">
      <c r="A90" t="s">
        <v>464</v>
      </c>
    </row>
    <row r="91" spans="1:9" ht="29" x14ac:dyDescent="0.35">
      <c r="B91" s="187" t="s">
        <v>212</v>
      </c>
      <c r="C91" s="187" t="s">
        <v>213</v>
      </c>
      <c r="D91" s="188" t="s">
        <v>293</v>
      </c>
      <c r="E91" s="188" t="s">
        <v>216</v>
      </c>
      <c r="G91" s="188" t="s">
        <v>461</v>
      </c>
      <c r="H91" s="188" t="s">
        <v>459</v>
      </c>
      <c r="I91" s="188" t="s">
        <v>214</v>
      </c>
    </row>
    <row r="92" spans="1:9" ht="29" x14ac:dyDescent="0.35">
      <c r="B92" s="189">
        <v>1</v>
      </c>
      <c r="C92" s="190" t="s">
        <v>220</v>
      </c>
      <c r="D92" s="198">
        <v>0.03</v>
      </c>
      <c r="E92" s="191">
        <v>592.16</v>
      </c>
      <c r="G92" s="191">
        <v>61.79</v>
      </c>
      <c r="H92" s="191">
        <v>320645.46999999997</v>
      </c>
      <c r="I92" s="191">
        <v>4927.45</v>
      </c>
    </row>
    <row r="93" spans="1:9" x14ac:dyDescent="0.35">
      <c r="C93" t="s">
        <v>463</v>
      </c>
      <c r="D93" s="199">
        <v>1.91</v>
      </c>
      <c r="G93" s="111">
        <v>7.32</v>
      </c>
      <c r="H93" s="111">
        <v>254484.59</v>
      </c>
      <c r="I93" s="111">
        <v>7158.75</v>
      </c>
    </row>
    <row r="94" spans="1:9" x14ac:dyDescent="0.35">
      <c r="B94" s="192">
        <v>2</v>
      </c>
      <c r="C94" s="193" t="s">
        <v>221</v>
      </c>
      <c r="D94" s="200">
        <v>0.43</v>
      </c>
      <c r="E94" s="111">
        <v>1752.99</v>
      </c>
      <c r="G94" s="111">
        <v>-1.79</v>
      </c>
      <c r="H94" s="111">
        <v>33256.339999999997</v>
      </c>
      <c r="I94" s="111">
        <v>640.54999999999995</v>
      </c>
    </row>
    <row r="95" spans="1:9" ht="29" x14ac:dyDescent="0.35">
      <c r="B95" s="192">
        <v>3</v>
      </c>
      <c r="C95" s="193" t="s">
        <v>407</v>
      </c>
      <c r="D95" s="200">
        <v>0.45</v>
      </c>
      <c r="E95" s="111">
        <v>1429.59</v>
      </c>
      <c r="G95" s="111">
        <v>0.03</v>
      </c>
      <c r="H95" s="111">
        <v>31672.29</v>
      </c>
      <c r="I95" s="111">
        <v>311.7</v>
      </c>
    </row>
    <row r="96" spans="1:9" ht="29" x14ac:dyDescent="0.35">
      <c r="B96" s="192">
        <v>4</v>
      </c>
      <c r="C96" s="193" t="s">
        <v>222</v>
      </c>
      <c r="D96" s="200">
        <v>2.34</v>
      </c>
      <c r="E96" s="111">
        <v>9451.4</v>
      </c>
      <c r="G96" s="111">
        <v>6.4</v>
      </c>
      <c r="H96" s="111">
        <v>9374.23</v>
      </c>
      <c r="I96" s="111">
        <v>678.3</v>
      </c>
    </row>
    <row r="97" spans="1:29" x14ac:dyDescent="0.35">
      <c r="B97" s="192">
        <v>5</v>
      </c>
      <c r="C97" s="193" t="s">
        <v>226</v>
      </c>
      <c r="D97" s="200">
        <v>0.74</v>
      </c>
      <c r="E97" s="111">
        <v>480.06</v>
      </c>
      <c r="G97" s="111">
        <v>1.26</v>
      </c>
      <c r="H97" s="111">
        <v>8909.8799999999992</v>
      </c>
      <c r="I97" s="111">
        <v>810.15</v>
      </c>
    </row>
    <row r="98" spans="1:29" ht="29" x14ac:dyDescent="0.35">
      <c r="B98" s="192">
        <v>6</v>
      </c>
      <c r="C98" s="193" t="s">
        <v>225</v>
      </c>
      <c r="D98" s="200">
        <v>9.24</v>
      </c>
      <c r="E98" s="111">
        <v>2784.54</v>
      </c>
      <c r="G98" s="111">
        <v>3.41</v>
      </c>
      <c r="H98" s="111">
        <v>8628.76</v>
      </c>
      <c r="I98" s="111">
        <v>224.27</v>
      </c>
    </row>
    <row r="99" spans="1:29" ht="29" x14ac:dyDescent="0.35">
      <c r="B99" s="192">
        <v>7</v>
      </c>
      <c r="C99" s="193" t="s">
        <v>224</v>
      </c>
      <c r="D99" s="200">
        <v>1.1499999999999999</v>
      </c>
      <c r="E99" s="111">
        <v>1569.86</v>
      </c>
      <c r="G99" s="111">
        <v>1.88</v>
      </c>
      <c r="H99" s="111">
        <v>8122.03</v>
      </c>
      <c r="I99" s="111">
        <v>679.4</v>
      </c>
    </row>
    <row r="100" spans="1:29" ht="29" x14ac:dyDescent="0.35">
      <c r="B100" s="192">
        <v>8</v>
      </c>
      <c r="C100" s="193" t="s">
        <v>223</v>
      </c>
      <c r="D100" s="200">
        <v>0.64</v>
      </c>
      <c r="E100" s="111">
        <v>1009.57</v>
      </c>
      <c r="G100" s="111">
        <v>8.0299999999999994</v>
      </c>
      <c r="H100" s="111">
        <v>8013.67</v>
      </c>
      <c r="I100" s="111">
        <v>3273.5</v>
      </c>
    </row>
    <row r="101" spans="1:29" x14ac:dyDescent="0.35">
      <c r="B101" s="192">
        <v>9</v>
      </c>
      <c r="C101" s="193" t="s">
        <v>227</v>
      </c>
      <c r="D101" s="200">
        <v>0.16</v>
      </c>
      <c r="E101" s="111">
        <v>145.02000000000001</v>
      </c>
      <c r="G101" s="111">
        <v>0.37</v>
      </c>
      <c r="H101" s="111">
        <v>7121.65</v>
      </c>
      <c r="I101" s="111">
        <v>3601</v>
      </c>
    </row>
    <row r="102" spans="1:29" ht="29" x14ac:dyDescent="0.35">
      <c r="B102" s="192">
        <v>10</v>
      </c>
      <c r="C102" s="193" t="s">
        <v>228</v>
      </c>
      <c r="D102" s="200">
        <v>1.86</v>
      </c>
      <c r="E102" s="111">
        <v>1391.25</v>
      </c>
      <c r="G102" s="111">
        <v>4.54</v>
      </c>
      <c r="H102" s="111">
        <v>6254.31</v>
      </c>
      <c r="I102" s="111">
        <v>486.1</v>
      </c>
    </row>
    <row r="103" spans="1:29" ht="29" x14ac:dyDescent="0.35">
      <c r="B103" s="192">
        <v>11</v>
      </c>
      <c r="C103" s="193" t="s">
        <v>408</v>
      </c>
      <c r="D103" s="200">
        <v>0.65</v>
      </c>
      <c r="E103" s="111">
        <v>318.64</v>
      </c>
      <c r="G103" s="111">
        <v>1.92</v>
      </c>
      <c r="H103" s="111">
        <v>5950.16</v>
      </c>
      <c r="I103" s="111">
        <v>1368.05</v>
      </c>
    </row>
    <row r="104" spans="1:29" ht="43.5" x14ac:dyDescent="0.35">
      <c r="B104" s="192">
        <v>12</v>
      </c>
      <c r="C104" s="193" t="s">
        <v>409</v>
      </c>
      <c r="D104" s="200">
        <v>0.21</v>
      </c>
      <c r="E104" s="111">
        <v>337.98</v>
      </c>
      <c r="G104" s="111">
        <v>12.06</v>
      </c>
      <c r="H104" s="111">
        <v>4011.99</v>
      </c>
      <c r="I104" s="111">
        <v>848.2</v>
      </c>
    </row>
    <row r="105" spans="1:29" ht="29" x14ac:dyDescent="0.35">
      <c r="B105" s="192">
        <v>13</v>
      </c>
      <c r="C105" s="193" t="s">
        <v>230</v>
      </c>
      <c r="D105" s="200">
        <v>0.05</v>
      </c>
      <c r="E105" s="111">
        <v>112.48</v>
      </c>
      <c r="G105" s="111">
        <v>1.92</v>
      </c>
      <c r="H105" s="111">
        <v>3969.65</v>
      </c>
      <c r="I105" s="111">
        <v>1147.6500000000001</v>
      </c>
    </row>
    <row r="106" spans="1:29" x14ac:dyDescent="0.35">
      <c r="B106" s="192">
        <v>14</v>
      </c>
      <c r="C106" s="193" t="s">
        <v>232</v>
      </c>
      <c r="D106" s="200">
        <v>1.83</v>
      </c>
      <c r="E106" s="111">
        <v>502.22</v>
      </c>
      <c r="G106" s="111">
        <v>1.62</v>
      </c>
      <c r="H106" s="111">
        <v>2902.55</v>
      </c>
      <c r="I106" s="194"/>
    </row>
    <row r="107" spans="1:29" ht="29" x14ac:dyDescent="0.35">
      <c r="B107" s="192">
        <v>15</v>
      </c>
      <c r="C107" s="193" t="s">
        <v>410</v>
      </c>
      <c r="D107" s="200">
        <v>3.06</v>
      </c>
      <c r="E107" s="111">
        <v>657.49</v>
      </c>
    </row>
    <row r="108" spans="1:29" x14ac:dyDescent="0.35">
      <c r="D108" s="199"/>
    </row>
    <row r="109" spans="1:29" ht="15" thickBot="1" x14ac:dyDescent="0.4"/>
    <row r="110" spans="1:29" ht="39.5" thickBot="1" x14ac:dyDescent="0.4">
      <c r="A110" t="s">
        <v>482</v>
      </c>
      <c r="AA110" s="212" t="s">
        <v>483</v>
      </c>
      <c r="AB110" s="212" t="s">
        <v>484</v>
      </c>
      <c r="AC110" s="212" t="s">
        <v>485</v>
      </c>
    </row>
    <row r="111" spans="1:29" ht="15" thickBot="1" x14ac:dyDescent="0.4">
      <c r="AA111" s="211" t="s">
        <v>486</v>
      </c>
      <c r="AB111" s="213" t="s">
        <v>487</v>
      </c>
      <c r="AC111" s="213"/>
    </row>
    <row r="112" spans="1:29" ht="15" thickBot="1" x14ac:dyDescent="0.4">
      <c r="AA112" s="211" t="s">
        <v>488</v>
      </c>
      <c r="AB112" s="213" t="s">
        <v>487</v>
      </c>
      <c r="AC112" s="213"/>
    </row>
    <row r="113" spans="27:29" ht="15" thickBot="1" x14ac:dyDescent="0.4">
      <c r="AA113" s="211" t="s">
        <v>489</v>
      </c>
      <c r="AB113" s="213" t="s">
        <v>487</v>
      </c>
      <c r="AC113" s="213"/>
    </row>
    <row r="114" spans="27:29" ht="15" thickBot="1" x14ac:dyDescent="0.4">
      <c r="AA114" s="211" t="s">
        <v>490</v>
      </c>
      <c r="AB114" s="213" t="s">
        <v>487</v>
      </c>
      <c r="AC114" s="213"/>
    </row>
    <row r="115" spans="27:29" ht="15" thickBot="1" x14ac:dyDescent="0.4">
      <c r="AA115" s="211" t="s">
        <v>491</v>
      </c>
      <c r="AB115" s="213" t="s">
        <v>487</v>
      </c>
      <c r="AC115" s="213"/>
    </row>
    <row r="116" spans="27:29" ht="15" thickBot="1" x14ac:dyDescent="0.4">
      <c r="AA116" s="211" t="s">
        <v>492</v>
      </c>
      <c r="AB116" s="213"/>
      <c r="AC116" s="213" t="s">
        <v>487</v>
      </c>
    </row>
    <row r="117" spans="27:29" ht="15" thickBot="1" x14ac:dyDescent="0.4">
      <c r="AA117" s="211" t="s">
        <v>493</v>
      </c>
      <c r="AB117" s="213"/>
      <c r="AC117" s="213" t="s">
        <v>487</v>
      </c>
    </row>
    <row r="118" spans="27:29" ht="15" thickBot="1" x14ac:dyDescent="0.4">
      <c r="AA118" s="211" t="s">
        <v>494</v>
      </c>
      <c r="AB118" s="213"/>
      <c r="AC118" s="213" t="s">
        <v>487</v>
      </c>
    </row>
    <row r="119" spans="27:29" ht="15" thickBot="1" x14ac:dyDescent="0.4">
      <c r="AA119" s="211" t="s">
        <v>495</v>
      </c>
      <c r="AB119" s="213"/>
      <c r="AC119" s="213" t="s">
        <v>487</v>
      </c>
    </row>
    <row r="120" spans="27:29" ht="15" thickBot="1" x14ac:dyDescent="0.4">
      <c r="AA120" s="211" t="s">
        <v>496</v>
      </c>
      <c r="AB120" s="213"/>
      <c r="AC120" s="213" t="s">
        <v>487</v>
      </c>
    </row>
  </sheetData>
  <hyperlinks>
    <hyperlink ref="B52" r:id="rId1" display="https://www.screener.in/company/compare/00000054/?order=asc" xr:uid="{03E1165C-591F-421C-989F-644A745AFDEA}"/>
    <hyperlink ref="C52" r:id="rId2" display="https://www.screener.in/company/compare/00000054/?sort=name&amp;order=desc" xr:uid="{FF1B0B51-D7A5-4A8E-8AD2-A4674F888AC6}"/>
    <hyperlink ref="J53" r:id="rId3" display="https://www.screener.in/company/compare/00000054/?sort=current+price&amp;order=desc" xr:uid="{988639F3-1067-41B2-B24F-EAFDB5323D3B}"/>
    <hyperlink ref="D52" r:id="rId4" display="https://www.screener.in/company/compare/00000054/?sort=cash+conversion+cycle&amp;order=desc" xr:uid="{2F9AA7BE-48AA-413D-AA08-1E4EC85D04D0}"/>
    <hyperlink ref="F52" r:id="rId5" display="https://www.screener.in/company/compare/00000054/?sort=days+inventory+outstanding&amp;order=desc" xr:uid="{0E57302C-A51B-4097-92B1-2FA6B615D9FA}"/>
    <hyperlink ref="G52" r:id="rId6" display="https://www.screener.in/company/compare/00000054/?sort=days+payable+outstanding&amp;order=desc" xr:uid="{F96D783D-BF8C-4AF3-BD43-DC12EE6782DD}"/>
    <hyperlink ref="H52" r:id="rId7" display="https://www.screener.in/company/compare/00000054/?sort=days+receivable+outstanding&amp;order=desc" xr:uid="{AC4271B0-16BE-4B41-9795-6A44994D0E78}"/>
    <hyperlink ref="I52" r:id="rId8" display="https://www.screener.in/company/compare/00000054/?sort=market+capitalization&amp;order=desc" xr:uid="{EE7A50DE-6AA7-4EBF-8CEF-9AA590AFE5F6}"/>
    <hyperlink ref="C53" r:id="rId9" display="https://www.screener.in/company/DMART/consolidated/" xr:uid="{2831728F-1764-430D-8775-89111E9A1FBF}"/>
    <hyperlink ref="C54" r:id="rId10" display="https://www.screener.in/company/TRENT/consolidated/" xr:uid="{074DBA0D-EC1B-41B6-B45F-251645E248A3}"/>
    <hyperlink ref="C55" r:id="rId11" display="https://www.screener.in/company/FIRSTCRY/consolidated/" xr:uid="{B942DD3D-A866-4E77-B178-B16DB3B0F0B3}"/>
    <hyperlink ref="C56" r:id="rId12" display="https://www.screener.in/company/ABFRL/consolidated/" xr:uid="{A0FD4AE6-71B0-4515-8795-65FEFDCE3A14}"/>
    <hyperlink ref="C57" r:id="rId13" display="https://www.screener.in/company/REDTAPE/consolidated/" xr:uid="{A8EAB862-5106-4BE0-A276-1D65D050C966}"/>
    <hyperlink ref="C58" r:id="rId14" display="https://www.screener.in/company/SHOPERSTOP/consolidated/" xr:uid="{5B0DFD34-E4C4-4211-B5C7-9A2857C0DAA3}"/>
    <hyperlink ref="C59" r:id="rId15" display="https://www.screener.in/company/EMIL/" xr:uid="{A17E48A6-7E87-444B-887B-0A0682973994}"/>
    <hyperlink ref="C60" r:id="rId16" display="https://www.screener.in/company/MEDPLUS/consolidated/" xr:uid="{92CB7488-FDE9-4C4A-B36C-EA2F314C5D4B}"/>
    <hyperlink ref="C61" r:id="rId17" display="https://www.screener.in/company/ETHOSLTD/consolidated/" xr:uid="{1055C55F-1309-49D2-AE95-96030A2F8049}"/>
    <hyperlink ref="C62" r:id="rId18" display="https://www.screener.in/company/VMART/" xr:uid="{D40C9FDA-D85C-4DAB-88CE-7F6F09A5A8D7}"/>
    <hyperlink ref="C63" r:id="rId19" display="https://www.screener.in/company/540205/" xr:uid="{88DD1C11-1D7B-482D-8109-760A9B565311}"/>
    <hyperlink ref="C64" r:id="rId20" display="https://www.screener.in/company/ENTERO/consolidated/" xr:uid="{A5A8B6C1-F12B-4E58-84B1-5751BE93AD8A}"/>
    <hyperlink ref="C65" r:id="rId21" display="https://www.screener.in/company/CARTRADE/consolidated/" xr:uid="{E256F89F-D319-4A62-9224-19C54448CAF3}"/>
    <hyperlink ref="C66" r:id="rId22" display="https://www.screener.in/company/V2RETAIL/" xr:uid="{3DF489B1-7E10-4CAF-A49C-0587AC7BFF44}"/>
    <hyperlink ref="C67" r:id="rId23" display="https://www.screener.in/company/" xr:uid="{F4DA30E4-AD88-486C-B65A-F453AD43671A}"/>
    <hyperlink ref="B71" r:id="rId24" display="https://www.screener.in/company/compare/00000054/?order=asc" xr:uid="{D7D1A50F-72AB-468B-B7A5-E52B5F7D9ECF}"/>
    <hyperlink ref="C71" r:id="rId25" display="https://www.screener.in/company/compare/00000054/?sort=name&amp;order=desc" xr:uid="{840E92B2-1985-4B67-A083-7E3FF8454665}"/>
    <hyperlink ref="G71" r:id="rId26" display="https://www.screener.in/company/compare/00000054/?sort=current+price&amp;order=desc" xr:uid="{D8DD6317-664B-4C27-A28E-EF63FB08B4C9}"/>
    <hyperlink ref="D71" r:id="rId27" display="https://www.screener.in/company/compare/00000054/?sort=interest+coverage+ratio&amp;order=desc" xr:uid="{B38EC598-DD46-4C75-BCCC-EC6920107EF9}"/>
    <hyperlink ref="F71" r:id="rId28" display="https://www.screener.in/company/compare/00000054/?sort=market+capitalization&amp;order=desc" xr:uid="{6BE575A8-0D30-4E9C-96C0-6672F3F325F4}"/>
    <hyperlink ref="C72" r:id="rId29" display="https://www.screener.in/company/DMART/consolidated/" xr:uid="{59898288-CC39-4330-8FFC-4F076D69A937}"/>
    <hyperlink ref="C74" r:id="rId30" display="https://www.screener.in/company/TRENT/consolidated/" xr:uid="{BCBF386D-31B2-4493-B383-197A43F54C88}"/>
    <hyperlink ref="C75" r:id="rId31" display="https://www.screener.in/company/FIRSTCRY/consolidated/" xr:uid="{949F9510-536A-479F-BEEB-214B5C80DC85}"/>
    <hyperlink ref="C76" r:id="rId32" display="https://www.screener.in/company/ABFRL/consolidated/" xr:uid="{4B9C2E0C-1566-426D-B080-8A1717A83B55}"/>
    <hyperlink ref="C77" r:id="rId33" display="https://www.screener.in/company/REDTAPE/consolidated/" xr:uid="{9D1233BB-58E2-400B-A513-91D9B07D555F}"/>
    <hyperlink ref="C78" r:id="rId34" display="https://www.screener.in/company/SHOPERSTOP/consolidated/" xr:uid="{D8ACE460-66B9-4BC2-A639-DAFE7FB8BF5E}"/>
    <hyperlink ref="C79" r:id="rId35" display="https://www.screener.in/company/EMIL/" xr:uid="{2DF458D6-C7C6-45B6-9998-872CBDCBE1FC}"/>
    <hyperlink ref="C80" r:id="rId36" display="https://www.screener.in/company/MEDPLUS/consolidated/" xr:uid="{03F4E050-B0B2-46CE-A553-4A915700DC67}"/>
    <hyperlink ref="C81" r:id="rId37" display="https://www.screener.in/company/ETHOSLTD/consolidated/" xr:uid="{DA317CD1-9601-43C6-B3DD-63E9FD87A3DA}"/>
    <hyperlink ref="C82" r:id="rId38" display="https://www.screener.in/company/VMART/" xr:uid="{69EE18AA-4925-49BE-89FA-E20A3329F1BC}"/>
    <hyperlink ref="C83" r:id="rId39" display="https://www.screener.in/company/540205/" xr:uid="{6281C98C-3EA6-4750-B8FB-A5F712B34A43}"/>
    <hyperlink ref="C84" r:id="rId40" display="https://www.screener.in/company/ENTERO/consolidated/" xr:uid="{2738C7F6-389C-4A7A-9950-C9CA6ABDA3D6}"/>
    <hyperlink ref="C85" r:id="rId41" display="https://www.screener.in/company/CARTRADE/consolidated/" xr:uid="{D1C172A9-3A51-4B37-81C3-66BC83147D83}"/>
    <hyperlink ref="C86" r:id="rId42" display="https://www.screener.in/company/V2RETAIL/" xr:uid="{8C1E62FA-8F40-4864-B24A-17C3F8C87A78}"/>
    <hyperlink ref="C87" r:id="rId43" display="https://www.screener.in/company/" xr:uid="{AA7C5277-E269-4A3A-B64A-D1F12E201272}"/>
    <hyperlink ref="B91" r:id="rId44" display="https://www.screener.in/company/compare/00000054/?order=asc" xr:uid="{4BC967DE-D6C2-48B9-B082-39F1B31E9348}"/>
    <hyperlink ref="C91" r:id="rId45" display="https://www.screener.in/company/compare/00000054/?sort=name&amp;order=desc" xr:uid="{6438FBAA-7571-4F89-A4BC-EC124A2E1F47}"/>
    <hyperlink ref="I91" r:id="rId46" display="https://www.screener.in/company/compare/00000054/?sort=current+price&amp;order=desc" xr:uid="{CB7AD447-1A3B-4D9D-960D-DC5A044F8E9A}"/>
    <hyperlink ref="E91" r:id="rId47" display="https://www.screener.in/company/compare/00000054/?sort=debt&amp;order=desc" xr:uid="{FDD47C7C-0FA2-4D36-81C0-0BF26CB91DA4}"/>
    <hyperlink ref="D91" r:id="rId48" display="https://www.screener.in/company/compare/00000054/?sort=debt+to+equity&amp;order=desc" xr:uid="{DF2FC709-5786-49A3-99CA-8B4E6E80FBDD}"/>
    <hyperlink ref="G91" r:id="rId49" display="https://www.screener.in/company/compare/00000054/?sort=interest+coverage+ratio&amp;order=desc" xr:uid="{4311CBA5-0787-40AF-B9B7-7D463B7F142D}"/>
    <hyperlink ref="H91" r:id="rId50" display="https://www.screener.in/company/compare/00000054/?sort=market+capitalization&amp;order=desc" xr:uid="{04B8D4F9-C34E-46E6-B3D7-6BADCA938E76}"/>
    <hyperlink ref="C92" r:id="rId51" display="https://www.screener.in/company/DMART/consolidated/" xr:uid="{DEA8D598-D155-40CB-92A1-6A7A519722B8}"/>
    <hyperlink ref="C94" r:id="rId52" display="https://www.screener.in/company/TRENT/consolidated/" xr:uid="{E02668EF-693E-403F-AAA6-4E626BF50252}"/>
    <hyperlink ref="C95" r:id="rId53" display="https://www.screener.in/company/FIRSTCRY/consolidated/" xr:uid="{288B3D0D-C3A6-4890-A352-8817ED2669F4}"/>
    <hyperlink ref="C96" r:id="rId54" display="https://www.screener.in/company/ABFRL/consolidated/" xr:uid="{67190293-1643-484A-9258-4183052DA624}"/>
    <hyperlink ref="C97" r:id="rId55" display="https://www.screener.in/company/REDTAPE/consolidated/" xr:uid="{CCAC3F26-CA80-4480-B7E4-5E517626309F}"/>
    <hyperlink ref="C98" r:id="rId56" display="https://www.screener.in/company/SHOPERSTOP/consolidated/" xr:uid="{06269F7C-CF1C-4973-8E41-876092A2404D}"/>
    <hyperlink ref="C99" r:id="rId57" display="https://www.screener.in/company/EMIL/" xr:uid="{A76BB351-C94B-4811-A845-F314D2557D4B}"/>
    <hyperlink ref="C100" r:id="rId58" display="https://www.screener.in/company/MEDPLUS/consolidated/" xr:uid="{314B497B-709B-4702-AB89-07DA2D79F0DC}"/>
    <hyperlink ref="C101" r:id="rId59" display="https://www.screener.in/company/ETHOSLTD/consolidated/" xr:uid="{B02C21B2-BF14-4F1C-A634-6D39F21A064B}"/>
    <hyperlink ref="C102" r:id="rId60" display="https://www.screener.in/company/VMART/" xr:uid="{1BEC7B06-8BCF-4850-89B5-9B6478277093}"/>
    <hyperlink ref="C103" r:id="rId61" display="https://www.screener.in/company/540205/" xr:uid="{CD39E298-0712-4113-8320-091B7CE35A8B}"/>
    <hyperlink ref="C104" r:id="rId62" display="https://www.screener.in/company/ENTERO/consolidated/" xr:uid="{9CA3FFCA-6851-46F6-90FE-733F728F71E5}"/>
    <hyperlink ref="C105" r:id="rId63" display="https://www.screener.in/company/CARTRADE/consolidated/" xr:uid="{2F27998F-9608-4D5C-AB9E-21EC2F9B949D}"/>
    <hyperlink ref="C106" r:id="rId64" display="https://www.screener.in/company/V2RETAIL/" xr:uid="{C7B01455-3580-4B5F-97A3-380869218698}"/>
    <hyperlink ref="C107" r:id="rId65" display="https://www.screener.in/company/" xr:uid="{C6F424CF-DC80-42E5-98BE-562EA5B3E971}"/>
  </hyperlinks>
  <pageMargins left="0.7" right="0.7" top="0.75" bottom="0.75" header="0.3" footer="0.3"/>
  <drawing r:id="rId6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6FF1CF-E80F-4C0F-9D09-8792D3D2D8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Historical Financial Statement </vt:lpstr>
      <vt:lpstr>Forcasted Financial Statement</vt:lpstr>
      <vt:lpstr>Ratio Analysis</vt:lpstr>
      <vt:lpstr>Common Size Analysis</vt:lpstr>
      <vt:lpstr>Free Cash Flow </vt:lpstr>
      <vt:lpstr>Estimates</vt:lpstr>
      <vt:lpstr>DCF</vt:lpstr>
      <vt:lpstr>WACC</vt:lpstr>
      <vt:lpstr>Relative Valuation</vt:lpstr>
      <vt:lpstr>Beta-Regression</vt:lpstr>
      <vt:lpstr>Rm</vt:lpstr>
      <vt:lpstr>Data&gt; Relative Valuation</vt:lpstr>
      <vt:lpstr>Data&gt;</vt:lpstr>
      <vt:lpstr>Data Sheet</vt:lpstr>
      <vt:lpstr>Cash Flow Data </vt:lpstr>
      <vt:lpstr>Google Sheet Data </vt:lpstr>
      <vt:lpstr>Dmart Current Price</vt:lpstr>
      <vt:lpstr>Graphs</vt: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Navin Jangid</cp:lastModifiedBy>
  <cp:lastPrinted>2024-01-09T15:44:38Z</cp:lastPrinted>
  <dcterms:created xsi:type="dcterms:W3CDTF">2023-07-20T17:25:45Z</dcterms:created>
  <dcterms:modified xsi:type="dcterms:W3CDTF">2024-09-20T03:30:13Z</dcterms:modified>
</cp:coreProperties>
</file>