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23071a9f063727d/Desktop/My Extraordinary Work/"/>
    </mc:Choice>
  </mc:AlternateContent>
  <xr:revisionPtr revIDLastSave="24" documentId="13_ncr:1_{4BAE71A7-24C5-4CD8-B3D5-66CCE4A778BD}" xr6:coauthVersionLast="47" xr6:coauthVersionMax="47" xr10:uidLastSave="{03D73976-A17E-4F56-9372-882DF399DF61}"/>
  <bookViews>
    <workbookView xWindow="-120" yWindow="-120" windowWidth="19440" windowHeight="10320" tabRatio="909" firstSheet="7" activeTab="13" xr2:uid="{00000000-000D-0000-FFFF-FFFF00000000}"/>
  </bookViews>
  <sheets>
    <sheet name="Beta Calculation&gt;" sheetId="22" r:id="rId1"/>
    <sheet name="WACC&gt;" sheetId="20" r:id="rId2"/>
    <sheet name="Market Return of Nifty&gt;" sheetId="24" r:id="rId3"/>
    <sheet name="DCF&gt;" sheetId="16" r:id="rId4"/>
    <sheet name="Intrinsic Growth&gt;" sheetId="15" r:id="rId5"/>
    <sheet name="Relative Valuation&gt;" sheetId="17" r:id="rId6"/>
    <sheet name="Common Size Statements&gt;" sheetId="12" r:id="rId7"/>
    <sheet name="Forecasting&gt;" sheetId="11" r:id="rId8"/>
    <sheet name="Ratio Analysis&gt;" sheetId="7" r:id="rId9"/>
    <sheet name="Historical FS&gt;" sheetId="8" r:id="rId10"/>
    <sheet name="Data Sheet" sheetId="6" r:id="rId11"/>
    <sheet name="Cash Flow Data" sheetId="10" r:id="rId12"/>
    <sheet name="Data For Relative Valuation" sheetId="18" r:id="rId13"/>
    <sheet name="RAW FS" sheetId="13" r:id="rId14"/>
  </sheets>
  <definedNames>
    <definedName name="_xlnm.Print_Area" localSheetId="5">'Relative Valuation&gt;'!$B$1:$P$28</definedName>
    <definedName name="UPDATE">'Data Sheet'!$E$1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9" i="13" l="1"/>
  <c r="M29" i="13"/>
  <c r="L29" i="13"/>
  <c r="K29" i="13"/>
  <c r="J29" i="13"/>
  <c r="I29" i="13"/>
  <c r="H29" i="13"/>
  <c r="G29" i="13"/>
  <c r="F29" i="13"/>
  <c r="E29" i="13"/>
  <c r="D29" i="13"/>
  <c r="C29" i="13"/>
  <c r="L67" i="8"/>
  <c r="K67" i="8"/>
  <c r="J67" i="8"/>
  <c r="I67" i="8"/>
  <c r="H67" i="8"/>
  <c r="G67" i="8"/>
  <c r="F67" i="8"/>
  <c r="E67" i="8"/>
  <c r="D67" i="8"/>
  <c r="C67" i="8"/>
  <c r="B68" i="8"/>
  <c r="B45" i="8"/>
  <c r="L44" i="8"/>
  <c r="K44" i="8"/>
  <c r="J44" i="8"/>
  <c r="I44" i="8"/>
  <c r="H44" i="8"/>
  <c r="G44" i="8"/>
  <c r="F44" i="8"/>
  <c r="E44" i="8"/>
  <c r="D44" i="8"/>
  <c r="C44" i="8"/>
  <c r="F5" i="24"/>
  <c r="F7" i="24" l="1"/>
  <c r="J23" i="20" s="1"/>
  <c r="F3" i="24" l="1"/>
  <c r="F4" i="24"/>
  <c r="E31" i="20"/>
  <c r="N12" i="22" l="1"/>
  <c r="I14" i="20" s="1"/>
  <c r="N8" i="22"/>
  <c r="I12" i="20" s="1"/>
  <c r="N10" i="22"/>
  <c r="I13" i="20" s="1"/>
  <c r="N6" i="22"/>
  <c r="I11" i="20" s="1"/>
  <c r="N4" i="22"/>
  <c r="AD112" i="22"/>
  <c r="Z112" i="22"/>
  <c r="V112" i="22"/>
  <c r="R112" i="22"/>
  <c r="AB4" i="22"/>
  <c r="AD111" i="22"/>
  <c r="AD110" i="22"/>
  <c r="AD109" i="22"/>
  <c r="AD108" i="22"/>
  <c r="AD107" i="22"/>
  <c r="AD106" i="22"/>
  <c r="AD105" i="22"/>
  <c r="AD104" i="22"/>
  <c r="AD103" i="22"/>
  <c r="AD102" i="22"/>
  <c r="AD101" i="22"/>
  <c r="AD100" i="22"/>
  <c r="AD99" i="22"/>
  <c r="AD98" i="22"/>
  <c r="AD97" i="22"/>
  <c r="AD96" i="22"/>
  <c r="AD95" i="22"/>
  <c r="AD94" i="22"/>
  <c r="AD93" i="22"/>
  <c r="AD92" i="22"/>
  <c r="AD91" i="22"/>
  <c r="AD90" i="22"/>
  <c r="AD89" i="22"/>
  <c r="AD88" i="22"/>
  <c r="AD87" i="22"/>
  <c r="AD86" i="22"/>
  <c r="AD85" i="22"/>
  <c r="AD84" i="22"/>
  <c r="AD83" i="22"/>
  <c r="AD82" i="22"/>
  <c r="AD81" i="22"/>
  <c r="AD80" i="22"/>
  <c r="AD79" i="22"/>
  <c r="AD78" i="22"/>
  <c r="AD77" i="22"/>
  <c r="AD76" i="22"/>
  <c r="AD75" i="22"/>
  <c r="AD74" i="22"/>
  <c r="AD73" i="22"/>
  <c r="AD72" i="22"/>
  <c r="AD71" i="22"/>
  <c r="AD70" i="22"/>
  <c r="AD69" i="22"/>
  <c r="AD68" i="22"/>
  <c r="AD67" i="22"/>
  <c r="AD66" i="22"/>
  <c r="AD65" i="22"/>
  <c r="AD64" i="22"/>
  <c r="AD63" i="22"/>
  <c r="AD62" i="22"/>
  <c r="AD61" i="22"/>
  <c r="AD60" i="22"/>
  <c r="AD59" i="22"/>
  <c r="AD58" i="22"/>
  <c r="AD57" i="22"/>
  <c r="AD56" i="22"/>
  <c r="AD55" i="22"/>
  <c r="AD54" i="22"/>
  <c r="AD53" i="22"/>
  <c r="AD52" i="22"/>
  <c r="AD51" i="22"/>
  <c r="AD50" i="22"/>
  <c r="AD49" i="22"/>
  <c r="AD48" i="22"/>
  <c r="AD47" i="22"/>
  <c r="AD46" i="22"/>
  <c r="AD45" i="22"/>
  <c r="AD44" i="22"/>
  <c r="AD43" i="22"/>
  <c r="AD42" i="22"/>
  <c r="AD41" i="22"/>
  <c r="AD40" i="22"/>
  <c r="AD39" i="22"/>
  <c r="AD38" i="22"/>
  <c r="AD37" i="22"/>
  <c r="AD36" i="22"/>
  <c r="AD35" i="22"/>
  <c r="AD34" i="22"/>
  <c r="AD33" i="22"/>
  <c r="AD32" i="22"/>
  <c r="AD31" i="22"/>
  <c r="AD30" i="22"/>
  <c r="AD29" i="22"/>
  <c r="AD28" i="22"/>
  <c r="AD27" i="22"/>
  <c r="AD26" i="22"/>
  <c r="AD25" i="22"/>
  <c r="AD24" i="22"/>
  <c r="AD23" i="22"/>
  <c r="AD22" i="22"/>
  <c r="AD21" i="22"/>
  <c r="AD20" i="22"/>
  <c r="AD19" i="22"/>
  <c r="AD18" i="22"/>
  <c r="AD17" i="22"/>
  <c r="AD16" i="22"/>
  <c r="AD15" i="22"/>
  <c r="AD14" i="22"/>
  <c r="AD13" i="22"/>
  <c r="AD12" i="22"/>
  <c r="AD11" i="22"/>
  <c r="AD10" i="22"/>
  <c r="AD9" i="22"/>
  <c r="AD8" i="22"/>
  <c r="X4" i="22"/>
  <c r="Z111" i="22"/>
  <c r="Z110" i="22"/>
  <c r="Z109" i="22"/>
  <c r="Z108" i="22"/>
  <c r="Z107" i="22"/>
  <c r="Z106" i="22"/>
  <c r="Z105" i="22"/>
  <c r="Z104" i="22"/>
  <c r="Z103" i="22"/>
  <c r="Z102" i="22"/>
  <c r="Z101" i="22"/>
  <c r="Z100" i="22"/>
  <c r="Z99" i="22"/>
  <c r="Z98" i="22"/>
  <c r="Z97" i="22"/>
  <c r="Z96" i="22"/>
  <c r="Z95" i="22"/>
  <c r="Z94" i="22"/>
  <c r="Z93" i="22"/>
  <c r="Z92" i="22"/>
  <c r="Z91" i="22"/>
  <c r="Z90" i="22"/>
  <c r="Z89" i="22"/>
  <c r="Z88" i="22"/>
  <c r="Z87" i="22"/>
  <c r="Z86" i="22"/>
  <c r="Z85" i="22"/>
  <c r="Z84" i="22"/>
  <c r="Z83" i="22"/>
  <c r="Z82" i="22"/>
  <c r="Z81" i="22"/>
  <c r="Z80" i="22"/>
  <c r="Z79" i="22"/>
  <c r="Z78" i="22"/>
  <c r="Z77" i="22"/>
  <c r="Z76" i="22"/>
  <c r="Z75" i="22"/>
  <c r="Z74" i="22"/>
  <c r="Z73" i="22"/>
  <c r="Z72" i="22"/>
  <c r="Z71" i="22"/>
  <c r="Z70" i="22"/>
  <c r="Z69" i="22"/>
  <c r="Z68" i="22"/>
  <c r="Z67" i="22"/>
  <c r="Z66" i="22"/>
  <c r="Z65" i="22"/>
  <c r="Z64" i="22"/>
  <c r="Z63" i="22"/>
  <c r="Z62" i="22"/>
  <c r="Z61" i="22"/>
  <c r="Z60" i="22"/>
  <c r="Z59" i="22"/>
  <c r="Z58" i="22"/>
  <c r="Z57" i="22"/>
  <c r="Z56" i="22"/>
  <c r="Z55" i="22"/>
  <c r="Z54" i="22"/>
  <c r="Z53" i="22"/>
  <c r="Z52" i="22"/>
  <c r="Z51" i="22"/>
  <c r="Z50" i="22"/>
  <c r="Z49" i="22"/>
  <c r="Z48" i="22"/>
  <c r="Z47" i="22"/>
  <c r="Z46" i="22"/>
  <c r="Z45" i="22"/>
  <c r="Z44" i="22"/>
  <c r="Z43" i="22"/>
  <c r="Z42" i="22"/>
  <c r="Z41" i="22"/>
  <c r="Z40" i="22"/>
  <c r="Z39" i="22"/>
  <c r="Z38" i="22"/>
  <c r="Z37" i="22"/>
  <c r="Z36" i="22"/>
  <c r="Z35" i="22"/>
  <c r="Z34" i="22"/>
  <c r="Z33" i="22"/>
  <c r="Z32" i="22"/>
  <c r="Z31" i="22"/>
  <c r="Z30" i="22"/>
  <c r="Z29" i="22"/>
  <c r="Z28" i="22"/>
  <c r="Z27" i="22"/>
  <c r="Z26" i="22"/>
  <c r="Z25" i="22"/>
  <c r="Z24" i="22"/>
  <c r="Z23" i="22"/>
  <c r="Z22" i="22"/>
  <c r="Z21" i="22"/>
  <c r="Z20" i="22"/>
  <c r="Z19" i="22"/>
  <c r="Z18" i="22"/>
  <c r="Z17" i="22"/>
  <c r="Z16" i="22"/>
  <c r="Z15" i="22"/>
  <c r="Z14" i="22"/>
  <c r="Z13" i="22"/>
  <c r="Z12" i="22"/>
  <c r="Z11" i="22"/>
  <c r="Z10" i="22"/>
  <c r="Z9" i="22"/>
  <c r="Z8" i="22"/>
  <c r="T4" i="22"/>
  <c r="V111" i="22"/>
  <c r="V110" i="22"/>
  <c r="V109" i="22"/>
  <c r="V108" i="22"/>
  <c r="V107" i="22"/>
  <c r="V106" i="22"/>
  <c r="V105" i="22"/>
  <c r="V104" i="22"/>
  <c r="V103" i="22"/>
  <c r="V102" i="22"/>
  <c r="V101" i="22"/>
  <c r="V100" i="22"/>
  <c r="V99" i="22"/>
  <c r="V98" i="22"/>
  <c r="V97" i="22"/>
  <c r="V96" i="22"/>
  <c r="V95" i="22"/>
  <c r="V94" i="22"/>
  <c r="V93" i="22"/>
  <c r="V92" i="22"/>
  <c r="V91" i="22"/>
  <c r="V90" i="22"/>
  <c r="V89" i="22"/>
  <c r="V88" i="22"/>
  <c r="V87" i="22"/>
  <c r="V86" i="22"/>
  <c r="V85" i="22"/>
  <c r="V84" i="22"/>
  <c r="V83" i="22"/>
  <c r="V82" i="22"/>
  <c r="V81" i="22"/>
  <c r="V80" i="22"/>
  <c r="V79" i="22"/>
  <c r="V78" i="22"/>
  <c r="V77" i="22"/>
  <c r="V76" i="22"/>
  <c r="V75" i="22"/>
  <c r="V74" i="22"/>
  <c r="V73" i="22"/>
  <c r="V72" i="22"/>
  <c r="V71" i="22"/>
  <c r="V70" i="22"/>
  <c r="V69" i="22"/>
  <c r="V68" i="22"/>
  <c r="V67" i="22"/>
  <c r="V66" i="22"/>
  <c r="V65" i="22"/>
  <c r="V64" i="22"/>
  <c r="V63" i="22"/>
  <c r="V62" i="22"/>
  <c r="V61" i="22"/>
  <c r="V60" i="22"/>
  <c r="V59" i="22"/>
  <c r="V58" i="22"/>
  <c r="V57" i="22"/>
  <c r="V56" i="22"/>
  <c r="V55" i="22"/>
  <c r="V54" i="22"/>
  <c r="V53" i="22"/>
  <c r="V52" i="22"/>
  <c r="V51" i="22"/>
  <c r="V50" i="22"/>
  <c r="V49" i="22"/>
  <c r="V48" i="22"/>
  <c r="V47" i="22"/>
  <c r="V46" i="22"/>
  <c r="V45" i="22"/>
  <c r="V44" i="22"/>
  <c r="V43" i="22"/>
  <c r="V42" i="22"/>
  <c r="V41" i="22"/>
  <c r="V40" i="22"/>
  <c r="V39" i="22"/>
  <c r="V38" i="22"/>
  <c r="V37" i="22"/>
  <c r="V36" i="22"/>
  <c r="V35" i="22"/>
  <c r="V34" i="22"/>
  <c r="V33" i="22"/>
  <c r="V32" i="22"/>
  <c r="V31" i="22"/>
  <c r="V30" i="22"/>
  <c r="V29" i="22"/>
  <c r="V28" i="22"/>
  <c r="V27" i="22"/>
  <c r="V26" i="22"/>
  <c r="V25" i="22"/>
  <c r="V24" i="22"/>
  <c r="V23" i="22"/>
  <c r="V22" i="22"/>
  <c r="V21" i="22"/>
  <c r="V20" i="22"/>
  <c r="V19" i="22"/>
  <c r="V18" i="22"/>
  <c r="V17" i="22"/>
  <c r="V16" i="22"/>
  <c r="V15" i="22"/>
  <c r="V14" i="22"/>
  <c r="V13" i="22"/>
  <c r="V12" i="22"/>
  <c r="V11" i="22"/>
  <c r="V10" i="22"/>
  <c r="V9" i="22"/>
  <c r="V8" i="22"/>
  <c r="P4" i="22"/>
  <c r="R111" i="22"/>
  <c r="R110" i="22"/>
  <c r="R109" i="22"/>
  <c r="R108" i="22"/>
  <c r="R107" i="22"/>
  <c r="R106" i="22"/>
  <c r="R105" i="22"/>
  <c r="R104" i="22"/>
  <c r="R103" i="22"/>
  <c r="R102" i="22"/>
  <c r="R101" i="22"/>
  <c r="R100" i="22"/>
  <c r="R99" i="22"/>
  <c r="R98" i="22"/>
  <c r="R97" i="22"/>
  <c r="R96" i="22"/>
  <c r="R95" i="22"/>
  <c r="R94" i="22"/>
  <c r="R93" i="22"/>
  <c r="R92" i="22"/>
  <c r="R91" i="22"/>
  <c r="R90" i="22"/>
  <c r="R89" i="22"/>
  <c r="R88" i="22"/>
  <c r="R87" i="22"/>
  <c r="R86" i="22"/>
  <c r="R85" i="22"/>
  <c r="R84" i="22"/>
  <c r="R83" i="22"/>
  <c r="R82" i="22"/>
  <c r="R81" i="22"/>
  <c r="R80" i="22"/>
  <c r="R79" i="22"/>
  <c r="R78" i="22"/>
  <c r="R77" i="22"/>
  <c r="R76" i="22"/>
  <c r="R75" i="22"/>
  <c r="R74" i="22"/>
  <c r="R73" i="22"/>
  <c r="R72" i="22"/>
  <c r="R71" i="22"/>
  <c r="R70" i="22"/>
  <c r="R69" i="22"/>
  <c r="R68" i="22"/>
  <c r="R67" i="22"/>
  <c r="R66" i="22"/>
  <c r="R65" i="22"/>
  <c r="R64" i="22"/>
  <c r="R63" i="22"/>
  <c r="R62" i="22"/>
  <c r="R61" i="22"/>
  <c r="R60" i="22"/>
  <c r="R59" i="22"/>
  <c r="R58" i="22"/>
  <c r="R57" i="22"/>
  <c r="R56" i="22"/>
  <c r="R55" i="22"/>
  <c r="R54" i="22"/>
  <c r="R53" i="22"/>
  <c r="R52" i="22"/>
  <c r="R51" i="22"/>
  <c r="R50" i="22"/>
  <c r="R49" i="22"/>
  <c r="R48" i="22"/>
  <c r="R47" i="22"/>
  <c r="R46" i="22"/>
  <c r="R45" i="22"/>
  <c r="R44" i="22"/>
  <c r="R43" i="22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2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B2" i="20"/>
  <c r="B4" i="22"/>
  <c r="E14" i="20"/>
  <c r="E13" i="20"/>
  <c r="E12" i="20"/>
  <c r="E11" i="20"/>
  <c r="E10" i="20"/>
  <c r="D14" i="20" l="1"/>
  <c r="D13" i="20"/>
  <c r="D12" i="20"/>
  <c r="D11" i="20"/>
  <c r="D10" i="20"/>
  <c r="B14" i="20"/>
  <c r="B13" i="20"/>
  <c r="B12" i="20"/>
  <c r="B11" i="20"/>
  <c r="B10" i="20"/>
  <c r="H40" i="15"/>
  <c r="L40" i="15"/>
  <c r="K40" i="15"/>
  <c r="J40" i="15"/>
  <c r="I40" i="15"/>
  <c r="L23" i="15"/>
  <c r="K23" i="15"/>
  <c r="J23" i="15"/>
  <c r="I23" i="15"/>
  <c r="H23" i="15"/>
  <c r="L79" i="8" l="1"/>
  <c r="K79" i="8"/>
  <c r="J79" i="8"/>
  <c r="I79" i="8"/>
  <c r="H79" i="8"/>
  <c r="G79" i="8"/>
  <c r="F79" i="8"/>
  <c r="E79" i="8"/>
  <c r="D79" i="8"/>
  <c r="C79" i="8"/>
  <c r="L78" i="8"/>
  <c r="K78" i="8"/>
  <c r="J78" i="8"/>
  <c r="I78" i="8"/>
  <c r="H78" i="8"/>
  <c r="G78" i="8"/>
  <c r="F78" i="8"/>
  <c r="E78" i="8"/>
  <c r="D78" i="8"/>
  <c r="C78" i="8"/>
  <c r="L77" i="8"/>
  <c r="K77" i="8"/>
  <c r="J77" i="8"/>
  <c r="I77" i="8"/>
  <c r="H77" i="8"/>
  <c r="G77" i="8"/>
  <c r="F77" i="8"/>
  <c r="E77" i="8"/>
  <c r="D77" i="8"/>
  <c r="C77" i="8"/>
  <c r="L106" i="8"/>
  <c r="K106" i="8"/>
  <c r="J106" i="8"/>
  <c r="I106" i="8"/>
  <c r="H106" i="8"/>
  <c r="G106" i="8"/>
  <c r="F106" i="8"/>
  <c r="E106" i="8"/>
  <c r="D106" i="8"/>
  <c r="C106" i="8"/>
  <c r="L105" i="8"/>
  <c r="K105" i="8"/>
  <c r="J105" i="8"/>
  <c r="I105" i="8"/>
  <c r="H105" i="8"/>
  <c r="G105" i="8"/>
  <c r="F105" i="8"/>
  <c r="E105" i="8"/>
  <c r="D105" i="8"/>
  <c r="C105" i="8"/>
  <c r="L104" i="8"/>
  <c r="K104" i="8"/>
  <c r="J104" i="8"/>
  <c r="I104" i="8"/>
  <c r="H104" i="8"/>
  <c r="G104" i="8"/>
  <c r="F104" i="8"/>
  <c r="E104" i="8"/>
  <c r="D104" i="8"/>
  <c r="C104" i="8"/>
  <c r="L103" i="8"/>
  <c r="K103" i="8"/>
  <c r="J103" i="8"/>
  <c r="I103" i="8"/>
  <c r="H103" i="8"/>
  <c r="G103" i="8"/>
  <c r="F103" i="8"/>
  <c r="E103" i="8"/>
  <c r="D103" i="8"/>
  <c r="C103" i="8"/>
  <c r="L102" i="8"/>
  <c r="K102" i="8"/>
  <c r="J102" i="8"/>
  <c r="I102" i="8"/>
  <c r="H102" i="8"/>
  <c r="G102" i="8"/>
  <c r="F102" i="8"/>
  <c r="E102" i="8"/>
  <c r="D102" i="8"/>
  <c r="C102" i="8"/>
  <c r="L101" i="8"/>
  <c r="K101" i="8"/>
  <c r="J101" i="8"/>
  <c r="I101" i="8"/>
  <c r="H101" i="8"/>
  <c r="G101" i="8"/>
  <c r="F101" i="8"/>
  <c r="E101" i="8"/>
  <c r="D101" i="8"/>
  <c r="L99" i="8"/>
  <c r="K99" i="8"/>
  <c r="J99" i="8"/>
  <c r="I99" i="8"/>
  <c r="H99" i="8"/>
  <c r="G99" i="8"/>
  <c r="F99" i="8"/>
  <c r="E99" i="8"/>
  <c r="D99" i="8"/>
  <c r="C99" i="8"/>
  <c r="L95" i="8"/>
  <c r="K95" i="8"/>
  <c r="J95" i="8"/>
  <c r="I95" i="8"/>
  <c r="H95" i="8"/>
  <c r="G95" i="8"/>
  <c r="F95" i="8"/>
  <c r="E95" i="8"/>
  <c r="D95" i="8"/>
  <c r="C95" i="8"/>
  <c r="L93" i="8"/>
  <c r="K93" i="8"/>
  <c r="J93" i="8"/>
  <c r="I93" i="8"/>
  <c r="H93" i="8"/>
  <c r="G93" i="8"/>
  <c r="F93" i="8"/>
  <c r="E93" i="8"/>
  <c r="D93" i="8"/>
  <c r="C93" i="8"/>
  <c r="L92" i="8"/>
  <c r="K92" i="8"/>
  <c r="J92" i="8"/>
  <c r="I92" i="8"/>
  <c r="H92" i="8"/>
  <c r="G92" i="8"/>
  <c r="F92" i="8"/>
  <c r="E92" i="8"/>
  <c r="D92" i="8"/>
  <c r="C92" i="8"/>
  <c r="L91" i="8"/>
  <c r="K91" i="8"/>
  <c r="J91" i="8"/>
  <c r="I91" i="8"/>
  <c r="H91" i="8"/>
  <c r="G91" i="8"/>
  <c r="F91" i="8"/>
  <c r="E91" i="8"/>
  <c r="D91" i="8"/>
  <c r="C91" i="8"/>
  <c r="L90" i="8"/>
  <c r="K90" i="8"/>
  <c r="J90" i="8"/>
  <c r="I90" i="8"/>
  <c r="H90" i="8"/>
  <c r="G90" i="8"/>
  <c r="F90" i="8"/>
  <c r="E90" i="8"/>
  <c r="D90" i="8"/>
  <c r="C90" i="8"/>
  <c r="L89" i="8"/>
  <c r="K89" i="8"/>
  <c r="J89" i="8"/>
  <c r="I89" i="8"/>
  <c r="H89" i="8"/>
  <c r="G89" i="8"/>
  <c r="F89" i="8"/>
  <c r="E89" i="8"/>
  <c r="D89" i="8"/>
  <c r="F17" i="20" l="1"/>
  <c r="F16" i="20"/>
  <c r="J11" i="20"/>
  <c r="G112" i="22"/>
  <c r="D112" i="22"/>
  <c r="G111" i="22"/>
  <c r="D111" i="22"/>
  <c r="G110" i="22"/>
  <c r="D110" i="22"/>
  <c r="G109" i="22"/>
  <c r="D109" i="22"/>
  <c r="G108" i="22"/>
  <c r="D108" i="22"/>
  <c r="G107" i="22"/>
  <c r="D107" i="22"/>
  <c r="G106" i="22"/>
  <c r="D106" i="22"/>
  <c r="G105" i="22"/>
  <c r="D105" i="22"/>
  <c r="G104" i="22"/>
  <c r="D104" i="22"/>
  <c r="G103" i="22"/>
  <c r="D103" i="22"/>
  <c r="G102" i="22"/>
  <c r="D102" i="22"/>
  <c r="G101" i="22"/>
  <c r="D101" i="22"/>
  <c r="G100" i="22"/>
  <c r="D100" i="22"/>
  <c r="G99" i="22"/>
  <c r="D99" i="22"/>
  <c r="G98" i="22"/>
  <c r="D98" i="22"/>
  <c r="G97" i="22"/>
  <c r="D97" i="22"/>
  <c r="G96" i="22"/>
  <c r="D96" i="22"/>
  <c r="G95" i="22"/>
  <c r="D95" i="22"/>
  <c r="G94" i="22"/>
  <c r="D94" i="22"/>
  <c r="G93" i="22"/>
  <c r="D93" i="22"/>
  <c r="G92" i="22"/>
  <c r="D92" i="22"/>
  <c r="G91" i="22"/>
  <c r="D91" i="22"/>
  <c r="G90" i="22"/>
  <c r="D90" i="22"/>
  <c r="G89" i="22"/>
  <c r="D89" i="22"/>
  <c r="G88" i="22"/>
  <c r="D88" i="22"/>
  <c r="G87" i="22"/>
  <c r="D87" i="22"/>
  <c r="G86" i="22"/>
  <c r="D86" i="22"/>
  <c r="G85" i="22"/>
  <c r="D85" i="22"/>
  <c r="G84" i="22"/>
  <c r="D84" i="22"/>
  <c r="G83" i="22"/>
  <c r="D83" i="22"/>
  <c r="G82" i="22"/>
  <c r="D82" i="22"/>
  <c r="G81" i="22"/>
  <c r="D81" i="22"/>
  <c r="G80" i="22"/>
  <c r="D80" i="22"/>
  <c r="G79" i="22"/>
  <c r="D79" i="22"/>
  <c r="G78" i="22"/>
  <c r="D78" i="22"/>
  <c r="G77" i="22"/>
  <c r="D77" i="22"/>
  <c r="G76" i="22"/>
  <c r="D76" i="22"/>
  <c r="G75" i="22"/>
  <c r="D75" i="22"/>
  <c r="G74" i="22"/>
  <c r="D74" i="22"/>
  <c r="G73" i="22"/>
  <c r="D73" i="22"/>
  <c r="G72" i="22"/>
  <c r="D72" i="22"/>
  <c r="G71" i="22"/>
  <c r="D71" i="22"/>
  <c r="G70" i="22"/>
  <c r="D70" i="22"/>
  <c r="G69" i="22"/>
  <c r="D69" i="22"/>
  <c r="G68" i="22"/>
  <c r="D68" i="22"/>
  <c r="G67" i="22"/>
  <c r="D67" i="22"/>
  <c r="G66" i="22"/>
  <c r="D66" i="22"/>
  <c r="G65" i="22"/>
  <c r="D65" i="22"/>
  <c r="G64" i="22"/>
  <c r="D64" i="22"/>
  <c r="G63" i="22"/>
  <c r="D63" i="22"/>
  <c r="G62" i="22"/>
  <c r="D62" i="22"/>
  <c r="G61" i="22"/>
  <c r="D61" i="22"/>
  <c r="G60" i="22"/>
  <c r="D60" i="22"/>
  <c r="G59" i="22"/>
  <c r="D59" i="22"/>
  <c r="G58" i="22"/>
  <c r="D58" i="22"/>
  <c r="G57" i="22"/>
  <c r="D57" i="22"/>
  <c r="G56" i="22"/>
  <c r="D56" i="22"/>
  <c r="G55" i="22"/>
  <c r="D55" i="22"/>
  <c r="G54" i="22"/>
  <c r="D54" i="22"/>
  <c r="G53" i="22"/>
  <c r="D53" i="22"/>
  <c r="G52" i="22"/>
  <c r="D52" i="22"/>
  <c r="G51" i="22"/>
  <c r="D51" i="22"/>
  <c r="G50" i="22"/>
  <c r="D50" i="22"/>
  <c r="G49" i="22"/>
  <c r="D49" i="22"/>
  <c r="G48" i="22"/>
  <c r="D48" i="22"/>
  <c r="G47" i="22"/>
  <c r="D47" i="22"/>
  <c r="G46" i="22"/>
  <c r="D46" i="22"/>
  <c r="G45" i="22"/>
  <c r="D45" i="22"/>
  <c r="G44" i="22"/>
  <c r="D44" i="22"/>
  <c r="G43" i="22"/>
  <c r="D43" i="22"/>
  <c r="G42" i="22"/>
  <c r="D42" i="22"/>
  <c r="G41" i="22"/>
  <c r="D41" i="22"/>
  <c r="G40" i="22"/>
  <c r="D40" i="22"/>
  <c r="G39" i="22"/>
  <c r="D39" i="22"/>
  <c r="G38" i="22"/>
  <c r="D38" i="22"/>
  <c r="G37" i="22"/>
  <c r="D37" i="22"/>
  <c r="G36" i="22"/>
  <c r="D36" i="22"/>
  <c r="G35" i="22"/>
  <c r="D35" i="22"/>
  <c r="G34" i="22"/>
  <c r="D34" i="22"/>
  <c r="G33" i="22"/>
  <c r="D33" i="22"/>
  <c r="G32" i="22"/>
  <c r="D32" i="22"/>
  <c r="G31" i="22"/>
  <c r="D31" i="22"/>
  <c r="G30" i="22"/>
  <c r="D30" i="22"/>
  <c r="G29" i="22"/>
  <c r="D29" i="22"/>
  <c r="G28" i="22"/>
  <c r="D28" i="22"/>
  <c r="G27" i="22"/>
  <c r="D27" i="22"/>
  <c r="G26" i="22"/>
  <c r="D26" i="22"/>
  <c r="G25" i="22"/>
  <c r="D25" i="22"/>
  <c r="G24" i="22"/>
  <c r="D24" i="22"/>
  <c r="G23" i="22"/>
  <c r="D23" i="22"/>
  <c r="G22" i="22"/>
  <c r="D22" i="22"/>
  <c r="G21" i="22"/>
  <c r="D21" i="22"/>
  <c r="G20" i="22"/>
  <c r="D20" i="22"/>
  <c r="G19" i="22"/>
  <c r="D19" i="22"/>
  <c r="G18" i="22"/>
  <c r="D18" i="22"/>
  <c r="G17" i="22"/>
  <c r="D17" i="22"/>
  <c r="G16" i="22"/>
  <c r="D16" i="22"/>
  <c r="G15" i="22"/>
  <c r="D15" i="22"/>
  <c r="G14" i="22"/>
  <c r="D14" i="22"/>
  <c r="G13" i="22"/>
  <c r="D13" i="22"/>
  <c r="G12" i="22"/>
  <c r="D12" i="22"/>
  <c r="G11" i="22"/>
  <c r="D11" i="22"/>
  <c r="G10" i="22"/>
  <c r="D10" i="22"/>
  <c r="G9" i="22"/>
  <c r="D9" i="22"/>
  <c r="G8" i="22"/>
  <c r="D8" i="22"/>
  <c r="J32" i="20"/>
  <c r="C32" i="20"/>
  <c r="C31" i="20"/>
  <c r="E23" i="20"/>
  <c r="J14" i="20"/>
  <c r="H14" i="20"/>
  <c r="G14" i="20"/>
  <c r="J13" i="20"/>
  <c r="H13" i="20"/>
  <c r="G13" i="20"/>
  <c r="J12" i="20"/>
  <c r="H12" i="20"/>
  <c r="G12" i="20"/>
  <c r="H11" i="20"/>
  <c r="G11" i="20"/>
  <c r="H10" i="20"/>
  <c r="G10" i="20"/>
  <c r="E24" i="20" l="1"/>
  <c r="I38" i="20" s="1"/>
  <c r="G16" i="20"/>
  <c r="H16" i="20"/>
  <c r="J38" i="20" s="1"/>
  <c r="C33" i="20"/>
  <c r="D31" i="20" s="1"/>
  <c r="D35" i="20"/>
  <c r="G17" i="20"/>
  <c r="H17" i="20"/>
  <c r="J6" i="22" l="1"/>
  <c r="J12" i="22" s="1"/>
  <c r="I10" i="20"/>
  <c r="D33" i="20"/>
  <c r="E33" i="20" s="1"/>
  <c r="E32" i="20" s="1"/>
  <c r="J39" i="20" s="1"/>
  <c r="D32" i="20"/>
  <c r="J10" i="20" l="1"/>
  <c r="I16" i="20"/>
  <c r="I17" i="20"/>
  <c r="E35" i="20"/>
  <c r="J31" i="20" s="1"/>
  <c r="J17" i="20" l="1"/>
  <c r="J30" i="20" s="1"/>
  <c r="J33" i="20" s="1"/>
  <c r="J24" i="20" s="1"/>
  <c r="J25" i="20" s="1"/>
  <c r="I39" i="20" s="1"/>
  <c r="J40" i="20" s="1"/>
  <c r="D16" i="16" s="1"/>
  <c r="J16" i="20"/>
  <c r="N42" i="13"/>
  <c r="M42" i="13"/>
  <c r="L42" i="13"/>
  <c r="K42" i="13"/>
  <c r="J42" i="13"/>
  <c r="I42" i="13"/>
  <c r="H42" i="13"/>
  <c r="G42" i="13"/>
  <c r="F42" i="13"/>
  <c r="E42" i="13"/>
  <c r="D42" i="13"/>
  <c r="C42" i="13"/>
  <c r="L12" i="17" l="1"/>
  <c r="J12" i="17"/>
  <c r="L11" i="17"/>
  <c r="J11" i="17"/>
  <c r="L10" i="17"/>
  <c r="J10" i="17"/>
  <c r="L9" i="17"/>
  <c r="J9" i="17"/>
  <c r="L8" i="17"/>
  <c r="J8" i="17"/>
  <c r="L7" i="17"/>
  <c r="J7" i="17"/>
  <c r="D7" i="17"/>
  <c r="E39" i="16" s="1"/>
  <c r="E7" i="17"/>
  <c r="N26" i="17" s="1"/>
  <c r="O26" i="17" s="1"/>
  <c r="P26" i="17" s="1"/>
  <c r="G7" i="17"/>
  <c r="N24" i="17" s="1"/>
  <c r="O24" i="17" s="1"/>
  <c r="P24" i="17" s="1"/>
  <c r="D8" i="17"/>
  <c r="E8" i="17"/>
  <c r="G8" i="17"/>
  <c r="D9" i="17"/>
  <c r="E9" i="17"/>
  <c r="G9" i="17"/>
  <c r="D10" i="17"/>
  <c r="E10" i="17"/>
  <c r="G10" i="17"/>
  <c r="D11" i="17"/>
  <c r="E11" i="17"/>
  <c r="G11" i="17"/>
  <c r="D12" i="17"/>
  <c r="E12" i="17"/>
  <c r="G12" i="17"/>
  <c r="B12" i="17"/>
  <c r="B11" i="17"/>
  <c r="B10" i="17"/>
  <c r="B9" i="17"/>
  <c r="B8" i="17"/>
  <c r="B7" i="17"/>
  <c r="B21" i="17" s="1"/>
  <c r="M10" i="18"/>
  <c r="K12" i="17" s="1"/>
  <c r="M9" i="18"/>
  <c r="K11" i="17" s="1"/>
  <c r="M8" i="18"/>
  <c r="K10" i="17" s="1"/>
  <c r="M7" i="18"/>
  <c r="K9" i="17" s="1"/>
  <c r="M6" i="18"/>
  <c r="K8" i="17" s="1"/>
  <c r="M5" i="18"/>
  <c r="K7" i="17" s="1"/>
  <c r="F5" i="18"/>
  <c r="I5" i="18" s="1"/>
  <c r="F10" i="18"/>
  <c r="I10" i="18" s="1"/>
  <c r="F9" i="18"/>
  <c r="I9" i="18" s="1"/>
  <c r="F8" i="18"/>
  <c r="I8" i="18" s="1"/>
  <c r="F7" i="18"/>
  <c r="I7" i="18" s="1"/>
  <c r="F6" i="18"/>
  <c r="I6" i="18" s="1"/>
  <c r="E33" i="16"/>
  <c r="E32" i="16"/>
  <c r="E22" i="16"/>
  <c r="E21" i="16"/>
  <c r="K11" i="16"/>
  <c r="L10" i="16"/>
  <c r="M10" i="16" s="1"/>
  <c r="I44" i="15"/>
  <c r="J44" i="15" s="1"/>
  <c r="K44" i="15" s="1"/>
  <c r="J5" i="16"/>
  <c r="K5" i="16" s="1"/>
  <c r="L5" i="16" s="1"/>
  <c r="M5" i="16" s="1"/>
  <c r="N5" i="16" s="1"/>
  <c r="O5" i="16" s="1"/>
  <c r="J4" i="16"/>
  <c r="B2" i="16"/>
  <c r="J2" i="16"/>
  <c r="K2" i="16" s="1"/>
  <c r="L2" i="16" s="1"/>
  <c r="M2" i="16" s="1"/>
  <c r="N2" i="16" s="1"/>
  <c r="O2" i="16" s="1"/>
  <c r="F11" i="17" l="1"/>
  <c r="H11" i="17" s="1"/>
  <c r="N11" i="17" s="1"/>
  <c r="F12" i="17"/>
  <c r="P12" i="17" s="1"/>
  <c r="F7" i="17"/>
  <c r="F9" i="17"/>
  <c r="F8" i="17"/>
  <c r="F10" i="17"/>
  <c r="L11" i="16"/>
  <c r="N10" i="16"/>
  <c r="M11" i="16"/>
  <c r="J6" i="16"/>
  <c r="L44" i="15"/>
  <c r="J61" i="15"/>
  <c r="J60" i="15"/>
  <c r="B56" i="15"/>
  <c r="B53" i="15"/>
  <c r="L53" i="15"/>
  <c r="K53" i="15"/>
  <c r="J53" i="15"/>
  <c r="I53" i="15"/>
  <c r="H53" i="15"/>
  <c r="B48" i="15"/>
  <c r="B55" i="15" s="1"/>
  <c r="B45" i="15"/>
  <c r="B38" i="15"/>
  <c r="L38" i="15"/>
  <c r="K38" i="15"/>
  <c r="J38" i="15"/>
  <c r="I38" i="15"/>
  <c r="H38" i="15"/>
  <c r="L30" i="15"/>
  <c r="K28" i="15"/>
  <c r="H27" i="15"/>
  <c r="L26" i="15"/>
  <c r="H25" i="15"/>
  <c r="I22" i="15"/>
  <c r="L21" i="15"/>
  <c r="K20" i="15"/>
  <c r="H14" i="15"/>
  <c r="K13" i="15"/>
  <c r="H12" i="15"/>
  <c r="H8" i="15"/>
  <c r="J7" i="15"/>
  <c r="I6" i="15"/>
  <c r="I5" i="15"/>
  <c r="I2" i="15"/>
  <c r="J2" i="15"/>
  <c r="K2" i="15"/>
  <c r="L2" i="15"/>
  <c r="H2" i="15"/>
  <c r="B2" i="15"/>
  <c r="B23" i="12"/>
  <c r="B2" i="12"/>
  <c r="L37" i="12"/>
  <c r="K37" i="12"/>
  <c r="J37" i="12"/>
  <c r="I37" i="12"/>
  <c r="H37" i="12"/>
  <c r="G37" i="12"/>
  <c r="F37" i="12"/>
  <c r="E37" i="12"/>
  <c r="D37" i="12"/>
  <c r="C37" i="12"/>
  <c r="D38" i="12"/>
  <c r="E38" i="12"/>
  <c r="F38" i="12"/>
  <c r="G38" i="12"/>
  <c r="H38" i="12"/>
  <c r="I38" i="12"/>
  <c r="J38" i="12"/>
  <c r="K38" i="12"/>
  <c r="L38" i="12"/>
  <c r="D39" i="12"/>
  <c r="E39" i="12"/>
  <c r="F39" i="12"/>
  <c r="G39" i="12"/>
  <c r="H39" i="12"/>
  <c r="I39" i="12"/>
  <c r="J39" i="12"/>
  <c r="K39" i="12"/>
  <c r="L39" i="12"/>
  <c r="D40" i="12"/>
  <c r="E40" i="12"/>
  <c r="F40" i="12"/>
  <c r="G40" i="12"/>
  <c r="H40" i="12"/>
  <c r="I40" i="12"/>
  <c r="J40" i="12"/>
  <c r="K40" i="12"/>
  <c r="L40" i="12"/>
  <c r="C39" i="12"/>
  <c r="C40" i="12"/>
  <c r="C38" i="12"/>
  <c r="D34" i="12"/>
  <c r="E34" i="12"/>
  <c r="F34" i="12"/>
  <c r="G34" i="12"/>
  <c r="H34" i="12"/>
  <c r="I34" i="12"/>
  <c r="J34" i="12"/>
  <c r="K34" i="12"/>
  <c r="L34" i="12"/>
  <c r="D35" i="12"/>
  <c r="E35" i="12"/>
  <c r="F35" i="12"/>
  <c r="G35" i="12"/>
  <c r="H35" i="12"/>
  <c r="I35" i="12"/>
  <c r="J35" i="12"/>
  <c r="K35" i="12"/>
  <c r="L35" i="12"/>
  <c r="D36" i="12"/>
  <c r="E36" i="12"/>
  <c r="F36" i="12"/>
  <c r="G36" i="12"/>
  <c r="H36" i="12"/>
  <c r="I36" i="12"/>
  <c r="J36" i="12"/>
  <c r="K36" i="12"/>
  <c r="L36" i="12"/>
  <c r="C35" i="12"/>
  <c r="C36" i="12"/>
  <c r="C34" i="12"/>
  <c r="D33" i="12"/>
  <c r="E33" i="12"/>
  <c r="F33" i="12"/>
  <c r="G33" i="12"/>
  <c r="H33" i="12"/>
  <c r="I33" i="12"/>
  <c r="J33" i="12"/>
  <c r="K33" i="12"/>
  <c r="L33" i="12"/>
  <c r="C33" i="12"/>
  <c r="D28" i="12"/>
  <c r="E28" i="12"/>
  <c r="F28" i="12"/>
  <c r="G28" i="12"/>
  <c r="H28" i="12"/>
  <c r="I28" i="12"/>
  <c r="J28" i="12"/>
  <c r="K28" i="12"/>
  <c r="L28" i="12"/>
  <c r="D29" i="12"/>
  <c r="E29" i="12"/>
  <c r="F29" i="12"/>
  <c r="G29" i="12"/>
  <c r="H29" i="12"/>
  <c r="I29" i="12"/>
  <c r="J29" i="12"/>
  <c r="K29" i="12"/>
  <c r="L29" i="12"/>
  <c r="D30" i="12"/>
  <c r="E30" i="12"/>
  <c r="F30" i="12"/>
  <c r="G30" i="12"/>
  <c r="H30" i="12"/>
  <c r="I30" i="12"/>
  <c r="J30" i="12"/>
  <c r="K30" i="12"/>
  <c r="L30" i="12"/>
  <c r="D31" i="12"/>
  <c r="E31" i="12"/>
  <c r="F31" i="12"/>
  <c r="G31" i="12"/>
  <c r="H31" i="12"/>
  <c r="I31" i="12"/>
  <c r="J31" i="12"/>
  <c r="K31" i="12"/>
  <c r="L31" i="12"/>
  <c r="C29" i="12"/>
  <c r="C30" i="12"/>
  <c r="C31" i="12"/>
  <c r="C28" i="12"/>
  <c r="D27" i="12"/>
  <c r="E27" i="12"/>
  <c r="F27" i="12"/>
  <c r="G27" i="12"/>
  <c r="H27" i="12"/>
  <c r="I27" i="12"/>
  <c r="J27" i="12"/>
  <c r="K27" i="12"/>
  <c r="L27" i="12"/>
  <c r="C27" i="12"/>
  <c r="B29" i="12"/>
  <c r="B30" i="12"/>
  <c r="B31" i="12"/>
  <c r="B34" i="12"/>
  <c r="B35" i="12"/>
  <c r="B36" i="12"/>
  <c r="B37" i="12"/>
  <c r="B38" i="12"/>
  <c r="B39" i="12"/>
  <c r="B40" i="12"/>
  <c r="B28" i="12"/>
  <c r="D25" i="12"/>
  <c r="E25" i="12"/>
  <c r="F25" i="12"/>
  <c r="G25" i="12"/>
  <c r="H25" i="12"/>
  <c r="I25" i="12"/>
  <c r="J25" i="12"/>
  <c r="K25" i="12"/>
  <c r="L25" i="12"/>
  <c r="C25" i="12"/>
  <c r="C7" i="12"/>
  <c r="D7" i="12"/>
  <c r="E7" i="12"/>
  <c r="F7" i="12"/>
  <c r="G7" i="12"/>
  <c r="H7" i="12"/>
  <c r="I7" i="12"/>
  <c r="J7" i="12"/>
  <c r="K7" i="12"/>
  <c r="L7" i="12"/>
  <c r="C8" i="12"/>
  <c r="D8" i="12"/>
  <c r="E8" i="12"/>
  <c r="F8" i="12"/>
  <c r="G8" i="12"/>
  <c r="H8" i="12"/>
  <c r="I8" i="12"/>
  <c r="J8" i="12"/>
  <c r="K8" i="12"/>
  <c r="L8" i="12"/>
  <c r="C9" i="12"/>
  <c r="D9" i="12"/>
  <c r="E9" i="12"/>
  <c r="F9" i="12"/>
  <c r="G9" i="12"/>
  <c r="H9" i="12"/>
  <c r="I9" i="12"/>
  <c r="J9" i="12"/>
  <c r="K9" i="12"/>
  <c r="L9" i="12"/>
  <c r="C10" i="12"/>
  <c r="D10" i="12"/>
  <c r="E10" i="12"/>
  <c r="F10" i="12"/>
  <c r="G10" i="12"/>
  <c r="H10" i="12"/>
  <c r="I10" i="12"/>
  <c r="J10" i="12"/>
  <c r="K10" i="12"/>
  <c r="L10" i="12"/>
  <c r="C11" i="12"/>
  <c r="D11" i="12"/>
  <c r="E11" i="12"/>
  <c r="F11" i="12"/>
  <c r="G11" i="12"/>
  <c r="H11" i="12"/>
  <c r="I11" i="12"/>
  <c r="J11" i="12"/>
  <c r="K11" i="12"/>
  <c r="L11" i="12"/>
  <c r="C12" i="12"/>
  <c r="D12" i="12"/>
  <c r="E12" i="12"/>
  <c r="F12" i="12"/>
  <c r="G12" i="12"/>
  <c r="H12" i="12"/>
  <c r="I12" i="12"/>
  <c r="J12" i="12"/>
  <c r="K12" i="12"/>
  <c r="L12" i="12"/>
  <c r="C13" i="12"/>
  <c r="D13" i="12"/>
  <c r="E13" i="12"/>
  <c r="F13" i="12"/>
  <c r="G13" i="12"/>
  <c r="H13" i="12"/>
  <c r="I13" i="12"/>
  <c r="J13" i="12"/>
  <c r="K13" i="12"/>
  <c r="L13" i="12"/>
  <c r="C14" i="12"/>
  <c r="D14" i="12"/>
  <c r="E14" i="12"/>
  <c r="F14" i="12"/>
  <c r="G14" i="12"/>
  <c r="H14" i="12"/>
  <c r="I14" i="12"/>
  <c r="J14" i="12"/>
  <c r="K14" i="12"/>
  <c r="L14" i="12"/>
  <c r="C15" i="12"/>
  <c r="D15" i="12"/>
  <c r="E15" i="12"/>
  <c r="F15" i="12"/>
  <c r="G15" i="12"/>
  <c r="H15" i="12"/>
  <c r="I15" i="12"/>
  <c r="J15" i="12"/>
  <c r="K15" i="12"/>
  <c r="L15" i="12"/>
  <c r="C16" i="12"/>
  <c r="D16" i="12"/>
  <c r="E16" i="12"/>
  <c r="F16" i="12"/>
  <c r="G16" i="12"/>
  <c r="H16" i="12"/>
  <c r="I16" i="12"/>
  <c r="J16" i="12"/>
  <c r="K16" i="12"/>
  <c r="L16" i="12"/>
  <c r="C17" i="12"/>
  <c r="D17" i="12"/>
  <c r="E17" i="12"/>
  <c r="F17" i="12"/>
  <c r="G17" i="12"/>
  <c r="H17" i="12"/>
  <c r="I17" i="12"/>
  <c r="J17" i="12"/>
  <c r="K17" i="12"/>
  <c r="L17" i="12"/>
  <c r="C18" i="12"/>
  <c r="D18" i="12"/>
  <c r="E18" i="12"/>
  <c r="F18" i="12"/>
  <c r="G18" i="12"/>
  <c r="H18" i="12"/>
  <c r="I18" i="12"/>
  <c r="J18" i="12"/>
  <c r="K18" i="12"/>
  <c r="L18" i="12"/>
  <c r="C19" i="12"/>
  <c r="D19" i="12"/>
  <c r="E19" i="12"/>
  <c r="F19" i="12"/>
  <c r="G19" i="12"/>
  <c r="H19" i="12"/>
  <c r="I19" i="12"/>
  <c r="J19" i="12"/>
  <c r="K19" i="12"/>
  <c r="L19" i="12"/>
  <c r="C20" i="12"/>
  <c r="D20" i="12"/>
  <c r="E20" i="12"/>
  <c r="F20" i="12"/>
  <c r="G20" i="12"/>
  <c r="H20" i="12"/>
  <c r="I20" i="12"/>
  <c r="J20" i="12"/>
  <c r="K20" i="12"/>
  <c r="L20" i="12"/>
  <c r="L6" i="12"/>
  <c r="K6" i="12"/>
  <c r="J6" i="12"/>
  <c r="I6" i="12"/>
  <c r="H6" i="12"/>
  <c r="G6" i="12"/>
  <c r="F6" i="12"/>
  <c r="E6" i="12"/>
  <c r="D6" i="12"/>
  <c r="C6" i="12"/>
  <c r="B19" i="12"/>
  <c r="B20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6" i="12"/>
  <c r="L4" i="12"/>
  <c r="K4" i="12"/>
  <c r="J4" i="12"/>
  <c r="I4" i="12"/>
  <c r="H4" i="12"/>
  <c r="G4" i="12"/>
  <c r="F4" i="12"/>
  <c r="E4" i="12"/>
  <c r="D4" i="12"/>
  <c r="C4" i="12"/>
  <c r="E107" i="8"/>
  <c r="C101" i="8"/>
  <c r="J107" i="8"/>
  <c r="C89" i="8"/>
  <c r="L88" i="8"/>
  <c r="K88" i="8"/>
  <c r="J88" i="8"/>
  <c r="I88" i="8"/>
  <c r="H88" i="8"/>
  <c r="G88" i="8"/>
  <c r="F88" i="8"/>
  <c r="E88" i="8"/>
  <c r="D88" i="8"/>
  <c r="C88" i="8"/>
  <c r="L87" i="8"/>
  <c r="K87" i="8"/>
  <c r="J87" i="8"/>
  <c r="I87" i="8"/>
  <c r="H87" i="8"/>
  <c r="G87" i="8"/>
  <c r="F87" i="8"/>
  <c r="E87" i="8"/>
  <c r="D87" i="8"/>
  <c r="C87" i="8"/>
  <c r="L86" i="8"/>
  <c r="K86" i="8"/>
  <c r="J86" i="8"/>
  <c r="I86" i="8"/>
  <c r="H86" i="8"/>
  <c r="G86" i="8"/>
  <c r="F86" i="8"/>
  <c r="E86" i="8"/>
  <c r="D86" i="8"/>
  <c r="C86" i="8"/>
  <c r="L85" i="8"/>
  <c r="K85" i="8"/>
  <c r="J85" i="8"/>
  <c r="I85" i="8"/>
  <c r="H85" i="8"/>
  <c r="G85" i="8"/>
  <c r="F85" i="8"/>
  <c r="E85" i="8"/>
  <c r="D85" i="8"/>
  <c r="C85" i="8"/>
  <c r="L84" i="8"/>
  <c r="K84" i="8"/>
  <c r="J84" i="8"/>
  <c r="I84" i="8"/>
  <c r="H84" i="8"/>
  <c r="G84" i="8"/>
  <c r="F84" i="8"/>
  <c r="E84" i="8"/>
  <c r="D84" i="8"/>
  <c r="C84" i="8"/>
  <c r="L80" i="8"/>
  <c r="K80" i="8"/>
  <c r="J80" i="8"/>
  <c r="I80" i="8"/>
  <c r="H80" i="8"/>
  <c r="G80" i="8"/>
  <c r="F80" i="8"/>
  <c r="E80" i="8"/>
  <c r="D80" i="8"/>
  <c r="C80" i="8"/>
  <c r="L76" i="8"/>
  <c r="K76" i="8"/>
  <c r="J76" i="8"/>
  <c r="I76" i="8"/>
  <c r="H76" i="8"/>
  <c r="G76" i="8"/>
  <c r="F76" i="8"/>
  <c r="E76" i="8"/>
  <c r="D76" i="8"/>
  <c r="C76" i="8"/>
  <c r="L75" i="8"/>
  <c r="K75" i="8"/>
  <c r="J75" i="8"/>
  <c r="I75" i="8"/>
  <c r="H75" i="8"/>
  <c r="G75" i="8"/>
  <c r="F75" i="8"/>
  <c r="E75" i="8"/>
  <c r="D75" i="8"/>
  <c r="C75" i="8"/>
  <c r="L74" i="8"/>
  <c r="K74" i="8"/>
  <c r="J74" i="8"/>
  <c r="I74" i="8"/>
  <c r="H74" i="8"/>
  <c r="G74" i="8"/>
  <c r="F74" i="8"/>
  <c r="E74" i="8"/>
  <c r="D74" i="8"/>
  <c r="C74" i="8"/>
  <c r="L73" i="8"/>
  <c r="K73" i="8"/>
  <c r="J73" i="8"/>
  <c r="I73" i="8"/>
  <c r="H73" i="8"/>
  <c r="G73" i="8"/>
  <c r="F73" i="8"/>
  <c r="E73" i="8"/>
  <c r="D73" i="8"/>
  <c r="C73" i="8"/>
  <c r="L72" i="8"/>
  <c r="K72" i="8"/>
  <c r="J72" i="8"/>
  <c r="I72" i="8"/>
  <c r="H72" i="8"/>
  <c r="G72" i="8"/>
  <c r="F72" i="8"/>
  <c r="E72" i="8"/>
  <c r="D72" i="8"/>
  <c r="C72" i="8"/>
  <c r="L71" i="8"/>
  <c r="K71" i="8"/>
  <c r="J71" i="8"/>
  <c r="I71" i="8"/>
  <c r="H71" i="8"/>
  <c r="G71" i="8"/>
  <c r="F71" i="8"/>
  <c r="E71" i="8"/>
  <c r="D71" i="8"/>
  <c r="C71" i="8"/>
  <c r="L70" i="8"/>
  <c r="K70" i="8"/>
  <c r="J70" i="8"/>
  <c r="I70" i="8"/>
  <c r="H70" i="8"/>
  <c r="G70" i="8"/>
  <c r="F70" i="8"/>
  <c r="E70" i="8"/>
  <c r="D70" i="8"/>
  <c r="C70" i="8"/>
  <c r="AD5" i="11"/>
  <c r="AD6" i="11" s="1"/>
  <c r="AD7" i="11" s="1"/>
  <c r="AD8" i="11" s="1"/>
  <c r="AD9" i="11" s="1"/>
  <c r="AD10" i="11" s="1"/>
  <c r="AD11" i="11" s="1"/>
  <c r="AD12" i="11" s="1"/>
  <c r="AD13" i="11" s="1"/>
  <c r="AD14" i="11" s="1"/>
  <c r="AD2" i="11"/>
  <c r="AE5" i="11"/>
  <c r="AE6" i="11" s="1"/>
  <c r="AE7" i="11" s="1"/>
  <c r="AE8" i="11" s="1"/>
  <c r="AE9" i="11" s="1"/>
  <c r="AE10" i="11" s="1"/>
  <c r="AE11" i="11" s="1"/>
  <c r="AE12" i="11" s="1"/>
  <c r="AE13" i="11" s="1"/>
  <c r="AE14" i="11" s="1"/>
  <c r="AE15" i="11" s="1"/>
  <c r="AE16" i="11" s="1"/>
  <c r="AE17" i="11" s="1"/>
  <c r="AE18" i="11" s="1"/>
  <c r="Y2" i="11"/>
  <c r="Y5" i="11"/>
  <c r="Y6" i="11" s="1"/>
  <c r="Y7" i="11" s="1"/>
  <c r="Y8" i="11" s="1"/>
  <c r="Y9" i="11" s="1"/>
  <c r="Y10" i="11" s="1"/>
  <c r="Y11" i="11" s="1"/>
  <c r="Y12" i="11" s="1"/>
  <c r="Y13" i="11" s="1"/>
  <c r="Y14" i="11" s="1"/>
  <c r="Z5" i="1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B5" i="11"/>
  <c r="B6" i="11" s="1"/>
  <c r="B7" i="11" s="1"/>
  <c r="B8" i="11" s="1"/>
  <c r="B9" i="11" s="1"/>
  <c r="B10" i="11" s="1"/>
  <c r="B11" i="11" s="1"/>
  <c r="B12" i="11" s="1"/>
  <c r="B13" i="11" s="1"/>
  <c r="B2" i="11"/>
  <c r="M5" i="8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5" i="8"/>
  <c r="D4" i="11" s="1"/>
  <c r="C8" i="8"/>
  <c r="C14" i="8"/>
  <c r="C23" i="8"/>
  <c r="C20" i="8"/>
  <c r="D5" i="8"/>
  <c r="D8" i="8"/>
  <c r="D14" i="8"/>
  <c r="D23" i="8"/>
  <c r="D20" i="8"/>
  <c r="E5" i="8"/>
  <c r="D6" i="11" s="1"/>
  <c r="E8" i="8"/>
  <c r="E14" i="8"/>
  <c r="E23" i="8"/>
  <c r="E20" i="8"/>
  <c r="F5" i="8"/>
  <c r="F26" i="7" s="1"/>
  <c r="F32" i="7" s="1"/>
  <c r="F8" i="8"/>
  <c r="F14" i="8"/>
  <c r="F23" i="8"/>
  <c r="F20" i="8"/>
  <c r="G5" i="8"/>
  <c r="D8" i="11" s="1"/>
  <c r="G8" i="8"/>
  <c r="G14" i="8"/>
  <c r="G23" i="8"/>
  <c r="G20" i="8"/>
  <c r="H5" i="8"/>
  <c r="H8" i="8"/>
  <c r="H14" i="8"/>
  <c r="H23" i="8"/>
  <c r="H20" i="8"/>
  <c r="I5" i="8"/>
  <c r="D10" i="11" s="1"/>
  <c r="I8" i="8"/>
  <c r="I14" i="8"/>
  <c r="I23" i="8"/>
  <c r="I20" i="8"/>
  <c r="J5" i="8"/>
  <c r="D11" i="11" s="1"/>
  <c r="J8" i="8"/>
  <c r="J14" i="8"/>
  <c r="J23" i="8"/>
  <c r="J24" i="8" s="1"/>
  <c r="J17" i="7" s="1"/>
  <c r="J20" i="8"/>
  <c r="J21" i="8" s="1"/>
  <c r="K5" i="8"/>
  <c r="D12" i="11" s="1"/>
  <c r="K8" i="8"/>
  <c r="K14" i="8"/>
  <c r="K23" i="8"/>
  <c r="K20" i="8"/>
  <c r="L5" i="8"/>
  <c r="M6" i="8" s="1"/>
  <c r="L8" i="8"/>
  <c r="L14" i="8"/>
  <c r="L23" i="8"/>
  <c r="L20" i="8"/>
  <c r="C29" i="8"/>
  <c r="C35" i="8"/>
  <c r="C40" i="8" s="1"/>
  <c r="C47" i="8"/>
  <c r="C48" i="8"/>
  <c r="D29" i="8"/>
  <c r="D35" i="8"/>
  <c r="D40" i="8" s="1"/>
  <c r="D47" i="8"/>
  <c r="D48" i="8"/>
  <c r="E29" i="8"/>
  <c r="E35" i="8"/>
  <c r="E40" i="8" s="1"/>
  <c r="E47" i="8"/>
  <c r="E48" i="8"/>
  <c r="F29" i="8"/>
  <c r="F35" i="8"/>
  <c r="F40" i="8" s="1"/>
  <c r="F47" i="8"/>
  <c r="F48" i="8"/>
  <c r="G29" i="8"/>
  <c r="G35" i="8"/>
  <c r="G40" i="8" s="1"/>
  <c r="G47" i="8"/>
  <c r="G48" i="8"/>
  <c r="H29" i="8"/>
  <c r="H35" i="8"/>
  <c r="H40" i="8" s="1"/>
  <c r="H47" i="8"/>
  <c r="H48" i="8"/>
  <c r="I29" i="8"/>
  <c r="I35" i="8"/>
  <c r="I40" i="8" s="1"/>
  <c r="I47" i="8"/>
  <c r="I48" i="8"/>
  <c r="J29" i="8"/>
  <c r="J35" i="8"/>
  <c r="J40" i="8" s="1"/>
  <c r="J47" i="8"/>
  <c r="J48" i="8"/>
  <c r="K29" i="8"/>
  <c r="K35" i="8"/>
  <c r="K40" i="8" s="1"/>
  <c r="K47" i="8"/>
  <c r="K48" i="8"/>
  <c r="L29" i="8"/>
  <c r="L35" i="8"/>
  <c r="L40" i="8" s="1"/>
  <c r="L47" i="8"/>
  <c r="L48" i="8"/>
  <c r="C49" i="8"/>
  <c r="D49" i="8"/>
  <c r="E49" i="8"/>
  <c r="F49" i="8"/>
  <c r="G49" i="8"/>
  <c r="H49" i="8"/>
  <c r="I49" i="8"/>
  <c r="J49" i="8"/>
  <c r="K49" i="8"/>
  <c r="L49" i="8"/>
  <c r="G53" i="8"/>
  <c r="G54" i="8"/>
  <c r="G55" i="8"/>
  <c r="G56" i="8"/>
  <c r="G59" i="8"/>
  <c r="G60" i="8"/>
  <c r="G61" i="8"/>
  <c r="C59" i="8"/>
  <c r="C26" i="7" s="1"/>
  <c r="C32" i="7" s="1"/>
  <c r="C60" i="8"/>
  <c r="C50" i="8"/>
  <c r="D59" i="8"/>
  <c r="D60" i="8"/>
  <c r="D50" i="8"/>
  <c r="E59" i="8"/>
  <c r="E60" i="8"/>
  <c r="E50" i="8"/>
  <c r="F59" i="8"/>
  <c r="F60" i="8"/>
  <c r="F50" i="8"/>
  <c r="G50" i="8"/>
  <c r="H59" i="8"/>
  <c r="H60" i="8"/>
  <c r="H50" i="8"/>
  <c r="I59" i="8"/>
  <c r="I60" i="8"/>
  <c r="I50" i="8"/>
  <c r="I27" i="7" s="1"/>
  <c r="I33" i="7" s="1"/>
  <c r="J59" i="8"/>
  <c r="J60" i="8"/>
  <c r="J50" i="8"/>
  <c r="K59" i="8"/>
  <c r="K26" i="7" s="1"/>
  <c r="K32" i="7" s="1"/>
  <c r="K60" i="8"/>
  <c r="K50" i="8"/>
  <c r="K27" i="7" s="1"/>
  <c r="K33" i="7" s="1"/>
  <c r="L59" i="8"/>
  <c r="L60" i="8"/>
  <c r="L50" i="8"/>
  <c r="L53" i="8"/>
  <c r="K53" i="8"/>
  <c r="K29" i="7" s="1"/>
  <c r="J53" i="8"/>
  <c r="I53" i="8"/>
  <c r="H53" i="8"/>
  <c r="F53" i="8"/>
  <c r="E53" i="8"/>
  <c r="D53" i="8"/>
  <c r="C53" i="8"/>
  <c r="B2" i="7"/>
  <c r="L3" i="7"/>
  <c r="K3" i="7"/>
  <c r="J3" i="7"/>
  <c r="I3" i="7"/>
  <c r="H3" i="7"/>
  <c r="G3" i="7"/>
  <c r="F3" i="7"/>
  <c r="E3" i="7"/>
  <c r="D3" i="7"/>
  <c r="C3" i="7"/>
  <c r="J54" i="8"/>
  <c r="J55" i="8"/>
  <c r="J56" i="8"/>
  <c r="J61" i="8"/>
  <c r="H54" i="8"/>
  <c r="H55" i="8"/>
  <c r="H56" i="8"/>
  <c r="H61" i="8"/>
  <c r="F54" i="8"/>
  <c r="F55" i="8"/>
  <c r="F56" i="8"/>
  <c r="F61" i="8"/>
  <c r="E54" i="8"/>
  <c r="E55" i="8"/>
  <c r="E56" i="8"/>
  <c r="E61" i="8"/>
  <c r="L56" i="8"/>
  <c r="K56" i="8"/>
  <c r="I56" i="8"/>
  <c r="D56" i="8"/>
  <c r="C56" i="8"/>
  <c r="L61" i="8"/>
  <c r="K61" i="8"/>
  <c r="I61" i="8"/>
  <c r="D61" i="8"/>
  <c r="C61" i="8"/>
  <c r="L55" i="8"/>
  <c r="K55" i="8"/>
  <c r="I55" i="8"/>
  <c r="D55" i="8"/>
  <c r="C55" i="8"/>
  <c r="L54" i="8"/>
  <c r="K54" i="8"/>
  <c r="I54" i="8"/>
  <c r="D54" i="8"/>
  <c r="C54" i="8"/>
  <c r="L51" i="8"/>
  <c r="K51" i="8"/>
  <c r="J51" i="8"/>
  <c r="I51" i="8"/>
  <c r="H51" i="8"/>
  <c r="G51" i="8"/>
  <c r="F51" i="8"/>
  <c r="E51" i="8"/>
  <c r="D51" i="8"/>
  <c r="C51" i="8"/>
  <c r="M29" i="8"/>
  <c r="M23" i="8"/>
  <c r="M20" i="8"/>
  <c r="M14" i="8"/>
  <c r="M15" i="8" s="1"/>
  <c r="M8" i="8"/>
  <c r="M11" i="8" s="1"/>
  <c r="L3" i="8"/>
  <c r="K3" i="8"/>
  <c r="J3" i="8"/>
  <c r="I3" i="8"/>
  <c r="H3" i="8"/>
  <c r="G3" i="8"/>
  <c r="F3" i="8"/>
  <c r="E3" i="8"/>
  <c r="D3" i="8"/>
  <c r="C3" i="8"/>
  <c r="B2" i="8"/>
  <c r="B6" i="6"/>
  <c r="E35" i="16" s="1"/>
  <c r="E1" i="6"/>
  <c r="K6" i="8"/>
  <c r="H21" i="8"/>
  <c r="F9" i="8"/>
  <c r="E12" i="11" l="1"/>
  <c r="E11" i="11"/>
  <c r="M21" i="8"/>
  <c r="I62" i="8"/>
  <c r="M35" i="8"/>
  <c r="M40" i="8" s="1"/>
  <c r="M24" i="8"/>
  <c r="I21" i="8"/>
  <c r="H9" i="8"/>
  <c r="F24" i="8"/>
  <c r="F17" i="7" s="1"/>
  <c r="I6" i="8"/>
  <c r="I30" i="7"/>
  <c r="F21" i="8"/>
  <c r="J6" i="8"/>
  <c r="I15" i="8"/>
  <c r="I16" i="7" s="1"/>
  <c r="H29" i="7"/>
  <c r="I29" i="7"/>
  <c r="H15" i="8"/>
  <c r="H16" i="7" s="1"/>
  <c r="G57" i="8"/>
  <c r="G24" i="8"/>
  <c r="G17" i="7" s="1"/>
  <c r="F28" i="7"/>
  <c r="F34" i="7" s="1"/>
  <c r="D57" i="8"/>
  <c r="C27" i="7"/>
  <c r="C33" i="7" s="1"/>
  <c r="K24" i="8"/>
  <c r="K17" i="7" s="1"/>
  <c r="C24" i="8"/>
  <c r="C17" i="7" s="1"/>
  <c r="K57" i="8"/>
  <c r="F30" i="7"/>
  <c r="F27" i="7"/>
  <c r="F33" i="7" s="1"/>
  <c r="L62" i="8"/>
  <c r="K30" i="7"/>
  <c r="F15" i="8"/>
  <c r="F16" i="7" s="1"/>
  <c r="F29" i="7"/>
  <c r="M17" i="8"/>
  <c r="M26" i="8" s="1"/>
  <c r="M30" i="8" s="1"/>
  <c r="K9" i="8"/>
  <c r="H26" i="7"/>
  <c r="H32" i="7" s="1"/>
  <c r="H62" i="8"/>
  <c r="E62" i="8"/>
  <c r="M9" i="8"/>
  <c r="E6" i="8"/>
  <c r="J26" i="7"/>
  <c r="J32" i="7" s="1"/>
  <c r="E26" i="7"/>
  <c r="E32" i="7" s="1"/>
  <c r="C62" i="8"/>
  <c r="D62" i="8"/>
  <c r="J15" i="8"/>
  <c r="J16" i="7" s="1"/>
  <c r="G28" i="7"/>
  <c r="G34" i="7" s="1"/>
  <c r="E15" i="8"/>
  <c r="E16" i="7" s="1"/>
  <c r="K21" i="8"/>
  <c r="J9" i="8"/>
  <c r="H24" i="8"/>
  <c r="H17" i="7" s="1"/>
  <c r="F62" i="8"/>
  <c r="G62" i="8"/>
  <c r="G64" i="8" s="1"/>
  <c r="G66" i="8" s="1"/>
  <c r="E28" i="7"/>
  <c r="E34" i="7" s="1"/>
  <c r="L9" i="8"/>
  <c r="G30" i="7"/>
  <c r="K28" i="7"/>
  <c r="K34" i="7" s="1"/>
  <c r="K35" i="7" s="1"/>
  <c r="C21" i="8"/>
  <c r="D29" i="7"/>
  <c r="D5" i="11"/>
  <c r="E5" i="11" s="1"/>
  <c r="H28" i="7"/>
  <c r="H34" i="7" s="1"/>
  <c r="G6" i="8"/>
  <c r="K62" i="8"/>
  <c r="D27" i="7"/>
  <c r="D33" i="7" s="1"/>
  <c r="D9" i="8"/>
  <c r="G9" i="8"/>
  <c r="G21" i="8"/>
  <c r="D21" i="8"/>
  <c r="C57" i="8"/>
  <c r="C28" i="7"/>
  <c r="C34" i="7" s="1"/>
  <c r="C35" i="7" s="1"/>
  <c r="H96" i="8"/>
  <c r="D96" i="8"/>
  <c r="L96" i="8"/>
  <c r="D6" i="8"/>
  <c r="H30" i="7"/>
  <c r="D9" i="11"/>
  <c r="F6" i="8"/>
  <c r="H6" i="8"/>
  <c r="I57" i="8"/>
  <c r="I64" i="8" s="1"/>
  <c r="E57" i="8"/>
  <c r="I28" i="7"/>
  <c r="I34" i="7" s="1"/>
  <c r="J62" i="8"/>
  <c r="D24" i="8"/>
  <c r="D17" i="7" s="1"/>
  <c r="G27" i="7"/>
  <c r="G33" i="7" s="1"/>
  <c r="L28" i="7"/>
  <c r="L34" i="7" s="1"/>
  <c r="F11" i="8"/>
  <c r="D7" i="11"/>
  <c r="E7" i="11" s="1"/>
  <c r="E9" i="8"/>
  <c r="D15" i="8"/>
  <c r="D16" i="7" s="1"/>
  <c r="H27" i="7"/>
  <c r="H33" i="7" s="1"/>
  <c r="C30" i="7"/>
  <c r="L15" i="8"/>
  <c r="L16" i="7" s="1"/>
  <c r="D13" i="11"/>
  <c r="E21" i="8"/>
  <c r="P11" i="17"/>
  <c r="H12" i="17"/>
  <c r="O12" i="17" s="1"/>
  <c r="I96" i="8"/>
  <c r="E81" i="8"/>
  <c r="E37" i="7" s="1"/>
  <c r="I81" i="8"/>
  <c r="I37" i="7" s="1"/>
  <c r="K96" i="8"/>
  <c r="C107" i="8"/>
  <c r="K107" i="8"/>
  <c r="I107" i="8"/>
  <c r="G107" i="8"/>
  <c r="C81" i="8"/>
  <c r="C37" i="7" s="1"/>
  <c r="G81" i="8"/>
  <c r="E96" i="8"/>
  <c r="G96" i="8"/>
  <c r="K81" i="8"/>
  <c r="K37" i="7" s="1"/>
  <c r="C96" i="8"/>
  <c r="F8" i="7"/>
  <c r="G8" i="7"/>
  <c r="AD15" i="11"/>
  <c r="Y15" i="11"/>
  <c r="H8" i="7"/>
  <c r="L8" i="7"/>
  <c r="J8" i="7"/>
  <c r="I9" i="8"/>
  <c r="J57" i="8"/>
  <c r="I8" i="7"/>
  <c r="I11" i="8"/>
  <c r="E11" i="8"/>
  <c r="L6" i="8"/>
  <c r="L26" i="7"/>
  <c r="L32" i="7" s="1"/>
  <c r="K8" i="7"/>
  <c r="E8" i="7"/>
  <c r="J28" i="7"/>
  <c r="J34" i="7" s="1"/>
  <c r="C9" i="8"/>
  <c r="J30" i="7"/>
  <c r="F57" i="8"/>
  <c r="L11" i="8"/>
  <c r="L30" i="7"/>
  <c r="M12" i="8"/>
  <c r="D8" i="7"/>
  <c r="L24" i="8"/>
  <c r="L17" i="7" s="1"/>
  <c r="L27" i="7"/>
  <c r="L33" i="7" s="1"/>
  <c r="K11" i="8"/>
  <c r="G26" i="7"/>
  <c r="G32" i="7" s="1"/>
  <c r="C29" i="7"/>
  <c r="L57" i="8"/>
  <c r="L29" i="7"/>
  <c r="L21" i="8"/>
  <c r="H57" i="8"/>
  <c r="D28" i="7"/>
  <c r="E29" i="7"/>
  <c r="D30" i="7"/>
  <c r="C15" i="8"/>
  <c r="C16" i="7" s="1"/>
  <c r="G15" i="8"/>
  <c r="G16" i="7" s="1"/>
  <c r="K15" i="8"/>
  <c r="K16" i="7" s="1"/>
  <c r="E24" i="8"/>
  <c r="E17" i="7" s="1"/>
  <c r="I24" i="8"/>
  <c r="I17" i="7" s="1"/>
  <c r="J29" i="7"/>
  <c r="E30" i="7"/>
  <c r="J27" i="7"/>
  <c r="J33" i="7" s="1"/>
  <c r="I26" i="7"/>
  <c r="I32" i="7" s="1"/>
  <c r="E27" i="7"/>
  <c r="D26" i="7"/>
  <c r="J11" i="8"/>
  <c r="H11" i="8"/>
  <c r="G11" i="8"/>
  <c r="D11" i="8"/>
  <c r="C11" i="8"/>
  <c r="D81" i="8"/>
  <c r="D39" i="7" s="1"/>
  <c r="L81" i="8"/>
  <c r="L37" i="7" s="1"/>
  <c r="J81" i="8"/>
  <c r="J37" i="7" s="1"/>
  <c r="J96" i="8"/>
  <c r="D107" i="8"/>
  <c r="L107" i="8"/>
  <c r="F107" i="8"/>
  <c r="G29" i="7"/>
  <c r="C21" i="12"/>
  <c r="H81" i="8"/>
  <c r="H39" i="7" s="1"/>
  <c r="F81" i="8"/>
  <c r="F37" i="7" s="1"/>
  <c r="F96" i="8"/>
  <c r="H107" i="8"/>
  <c r="O11" i="17"/>
  <c r="H10" i="17"/>
  <c r="P10" i="17"/>
  <c r="H8" i="17"/>
  <c r="P8" i="17"/>
  <c r="H9" i="17"/>
  <c r="P9" i="17"/>
  <c r="H7" i="17"/>
  <c r="P7" i="17"/>
  <c r="O10" i="16"/>
  <c r="O11" i="16" s="1"/>
  <c r="N11" i="16"/>
  <c r="I20" i="15"/>
  <c r="K30" i="15"/>
  <c r="L25" i="15"/>
  <c r="I28" i="15"/>
  <c r="L20" i="15"/>
  <c r="L28" i="15"/>
  <c r="K8" i="15"/>
  <c r="I25" i="15"/>
  <c r="K25" i="15"/>
  <c r="J22" i="15"/>
  <c r="J25" i="15"/>
  <c r="I27" i="15"/>
  <c r="J27" i="15"/>
  <c r="J20" i="15"/>
  <c r="J28" i="15"/>
  <c r="J30" i="15"/>
  <c r="H21" i="15"/>
  <c r="K22" i="15"/>
  <c r="I21" i="15"/>
  <c r="L22" i="15"/>
  <c r="H26" i="15"/>
  <c r="K27" i="15"/>
  <c r="J21" i="15"/>
  <c r="I26" i="15"/>
  <c r="L27" i="15"/>
  <c r="H30" i="15"/>
  <c r="H20" i="15"/>
  <c r="K21" i="15"/>
  <c r="J26" i="15"/>
  <c r="H28" i="15"/>
  <c r="I30" i="15"/>
  <c r="K26" i="15"/>
  <c r="H22" i="15"/>
  <c r="K7" i="15"/>
  <c r="H7" i="15"/>
  <c r="K6" i="15"/>
  <c r="H6" i="15"/>
  <c r="K12" i="15"/>
  <c r="H5" i="15"/>
  <c r="I12" i="15"/>
  <c r="J5" i="15"/>
  <c r="I13" i="15"/>
  <c r="L8" i="15"/>
  <c r="I7" i="15"/>
  <c r="L12" i="15"/>
  <c r="J13" i="15"/>
  <c r="L14" i="15"/>
  <c r="J8" i="15"/>
  <c r="L6" i="15"/>
  <c r="J12" i="15"/>
  <c r="K14" i="15"/>
  <c r="H13" i="15"/>
  <c r="H15" i="15" s="1"/>
  <c r="J14" i="15"/>
  <c r="I8" i="15"/>
  <c r="L5" i="15"/>
  <c r="J6" i="15"/>
  <c r="I14" i="15"/>
  <c r="K5" i="15"/>
  <c r="L7" i="15"/>
  <c r="L13" i="15"/>
  <c r="K21" i="12"/>
  <c r="L21" i="12"/>
  <c r="D21" i="12"/>
  <c r="I21" i="12"/>
  <c r="H21" i="12"/>
  <c r="E21" i="12"/>
  <c r="F21" i="12"/>
  <c r="G21" i="12"/>
  <c r="J21" i="12"/>
  <c r="E64" i="8" l="1"/>
  <c r="E66" i="8" s="1"/>
  <c r="F35" i="7"/>
  <c r="D64" i="8"/>
  <c r="D66" i="8" s="1"/>
  <c r="L64" i="8"/>
  <c r="L66" i="8" s="1"/>
  <c r="G35" i="7"/>
  <c r="H64" i="8"/>
  <c r="H66" i="8" s="1"/>
  <c r="N17" i="7"/>
  <c r="I35" i="7"/>
  <c r="M18" i="8"/>
  <c r="E6" i="11"/>
  <c r="F64" i="8"/>
  <c r="F66" i="8" s="1"/>
  <c r="K64" i="8"/>
  <c r="K66" i="8" s="1"/>
  <c r="G38" i="7"/>
  <c r="L35" i="7"/>
  <c r="J35" i="7"/>
  <c r="N29" i="7"/>
  <c r="C64" i="8"/>
  <c r="C66" i="8" s="1"/>
  <c r="H35" i="7"/>
  <c r="D15" i="11"/>
  <c r="L109" i="8"/>
  <c r="I66" i="8"/>
  <c r="I38" i="7"/>
  <c r="J64" i="8"/>
  <c r="J66" i="8" s="1"/>
  <c r="D17" i="11"/>
  <c r="D18" i="11"/>
  <c r="E10" i="11"/>
  <c r="E9" i="11"/>
  <c r="O27" i="7"/>
  <c r="H7" i="11"/>
  <c r="E13" i="11"/>
  <c r="F12" i="8"/>
  <c r="F10" i="7" s="1"/>
  <c r="F17" i="8"/>
  <c r="D14" i="11"/>
  <c r="E14" i="11" s="1"/>
  <c r="N16" i="7"/>
  <c r="O30" i="7"/>
  <c r="D16" i="11"/>
  <c r="H6" i="11"/>
  <c r="O16" i="7"/>
  <c r="E8" i="11"/>
  <c r="N12" i="17"/>
  <c r="H109" i="8"/>
  <c r="J109" i="8"/>
  <c r="K109" i="8"/>
  <c r="F38" i="7"/>
  <c r="J39" i="7"/>
  <c r="F39" i="7"/>
  <c r="G109" i="8"/>
  <c r="E39" i="7"/>
  <c r="H37" i="7"/>
  <c r="G37" i="7"/>
  <c r="I109" i="8"/>
  <c r="L39" i="7"/>
  <c r="D109" i="8"/>
  <c r="C39" i="7"/>
  <c r="C109" i="8"/>
  <c r="I39" i="7"/>
  <c r="L38" i="7"/>
  <c r="E109" i="8"/>
  <c r="E38" i="7"/>
  <c r="G39" i="7"/>
  <c r="K39" i="7"/>
  <c r="J12" i="8"/>
  <c r="J10" i="7" s="1"/>
  <c r="J17" i="8"/>
  <c r="AA11" i="11" s="1"/>
  <c r="AD16" i="11"/>
  <c r="D32" i="7"/>
  <c r="N26" i="7"/>
  <c r="O26" i="7"/>
  <c r="K12" i="8"/>
  <c r="K10" i="7" s="1"/>
  <c r="K17" i="8"/>
  <c r="AA12" i="11" s="1"/>
  <c r="E33" i="7"/>
  <c r="N27" i="7"/>
  <c r="P16" i="17"/>
  <c r="P15" i="17"/>
  <c r="P19" i="17"/>
  <c r="P18" i="17"/>
  <c r="P14" i="17"/>
  <c r="P17" i="17"/>
  <c r="P25" i="17" s="1"/>
  <c r="C12" i="8"/>
  <c r="C10" i="7" s="1"/>
  <c r="C17" i="8"/>
  <c r="AA4" i="11" s="1"/>
  <c r="N30" i="7"/>
  <c r="E17" i="8"/>
  <c r="AA6" i="11" s="1"/>
  <c r="E12" i="8"/>
  <c r="E10" i="7" s="1"/>
  <c r="Y16" i="11"/>
  <c r="F109" i="8"/>
  <c r="D12" i="8"/>
  <c r="D10" i="7" s="1"/>
  <c r="D17" i="8"/>
  <c r="AA5" i="11" s="1"/>
  <c r="I17" i="8"/>
  <c r="AA10" i="11" s="1"/>
  <c r="I12" i="8"/>
  <c r="I10" i="7" s="1"/>
  <c r="O17" i="7"/>
  <c r="D37" i="7"/>
  <c r="D38" i="7"/>
  <c r="G12" i="8"/>
  <c r="G10" i="7" s="1"/>
  <c r="G17" i="8"/>
  <c r="AA8" i="11" s="1"/>
  <c r="N28" i="7"/>
  <c r="D34" i="7"/>
  <c r="N8" i="7"/>
  <c r="O8" i="7"/>
  <c r="O28" i="7"/>
  <c r="M32" i="8"/>
  <c r="M27" i="8"/>
  <c r="L17" i="8"/>
  <c r="AA13" i="11" s="1"/>
  <c r="L12" i="8"/>
  <c r="L10" i="7" s="1"/>
  <c r="H17" i="8"/>
  <c r="AA9" i="11" s="1"/>
  <c r="H12" i="8"/>
  <c r="H10" i="7" s="1"/>
  <c r="O29" i="7"/>
  <c r="O10" i="17"/>
  <c r="N10" i="17"/>
  <c r="O7" i="17"/>
  <c r="N7" i="17"/>
  <c r="N9" i="17"/>
  <c r="O9" i="17"/>
  <c r="N8" i="17"/>
  <c r="O8" i="17"/>
  <c r="K29" i="15"/>
  <c r="K31" i="15" s="1"/>
  <c r="L29" i="15"/>
  <c r="L31" i="15" s="1"/>
  <c r="I29" i="15"/>
  <c r="I31" i="15" s="1"/>
  <c r="H29" i="15"/>
  <c r="H31" i="15" s="1"/>
  <c r="J29" i="15"/>
  <c r="J31" i="15" s="1"/>
  <c r="H9" i="15"/>
  <c r="H17" i="15" s="1"/>
  <c r="K9" i="15"/>
  <c r="J9" i="15"/>
  <c r="I15" i="15"/>
  <c r="L9" i="15"/>
  <c r="K15" i="15"/>
  <c r="L15" i="15"/>
  <c r="I9" i="15"/>
  <c r="J15" i="15"/>
  <c r="E16" i="11" l="1"/>
  <c r="C38" i="7"/>
  <c r="H38" i="7"/>
  <c r="AB6" i="11"/>
  <c r="K38" i="7"/>
  <c r="AB11" i="11"/>
  <c r="E17" i="11"/>
  <c r="O39" i="7"/>
  <c r="N39" i="7"/>
  <c r="AB12" i="11"/>
  <c r="H5" i="11"/>
  <c r="H9" i="11"/>
  <c r="AA7" i="11"/>
  <c r="AB7" i="11" s="1"/>
  <c r="F24" i="7"/>
  <c r="F20" i="7"/>
  <c r="F26" i="8"/>
  <c r="F18" i="8"/>
  <c r="F11" i="7" s="1"/>
  <c r="F12" i="7"/>
  <c r="F18" i="7" s="1"/>
  <c r="E18" i="11"/>
  <c r="E15" i="11"/>
  <c r="AB9" i="11"/>
  <c r="AB10" i="11"/>
  <c r="AB13" i="11"/>
  <c r="J38" i="7"/>
  <c r="H8" i="11"/>
  <c r="O37" i="7"/>
  <c r="E24" i="7"/>
  <c r="E20" i="7"/>
  <c r="E12" i="7"/>
  <c r="E18" i="7" s="1"/>
  <c r="E18" i="8"/>
  <c r="E11" i="7" s="1"/>
  <c r="E26" i="8"/>
  <c r="E5" i="7"/>
  <c r="F5" i="7"/>
  <c r="D35" i="7"/>
  <c r="N32" i="7"/>
  <c r="O32" i="7"/>
  <c r="P27" i="17"/>
  <c r="P29" i="17" s="1"/>
  <c r="P23" i="17"/>
  <c r="I24" i="7"/>
  <c r="I26" i="8"/>
  <c r="I20" i="7"/>
  <c r="I5" i="7"/>
  <c r="I12" i="7"/>
  <c r="I18" i="7" s="1"/>
  <c r="I18" i="8"/>
  <c r="I11" i="7" s="1"/>
  <c r="N33" i="7"/>
  <c r="O33" i="7"/>
  <c r="E35" i="7"/>
  <c r="M33" i="8"/>
  <c r="M37" i="8"/>
  <c r="N37" i="7"/>
  <c r="O17" i="17"/>
  <c r="O23" i="17" s="1"/>
  <c r="O25" i="17" s="1"/>
  <c r="O27" i="17" s="1"/>
  <c r="O29" i="17" s="1"/>
  <c r="O15" i="17"/>
  <c r="O16" i="17"/>
  <c r="O19" i="17"/>
  <c r="O18" i="17"/>
  <c r="O14" i="17"/>
  <c r="D12" i="7"/>
  <c r="D18" i="8"/>
  <c r="D11" i="7" s="1"/>
  <c r="D24" i="7"/>
  <c r="D26" i="8"/>
  <c r="D5" i="7"/>
  <c r="D20" i="7"/>
  <c r="AD17" i="11"/>
  <c r="Y17" i="11"/>
  <c r="L18" i="8"/>
  <c r="L11" i="7" s="1"/>
  <c r="L24" i="7"/>
  <c r="L5" i="7"/>
  <c r="L26" i="8"/>
  <c r="L12" i="7"/>
  <c r="L18" i="7" s="1"/>
  <c r="L20" i="7"/>
  <c r="G24" i="7"/>
  <c r="G12" i="7"/>
  <c r="G18" i="7" s="1"/>
  <c r="G18" i="8"/>
  <c r="G11" i="7" s="1"/>
  <c r="G26" i="8"/>
  <c r="G20" i="7"/>
  <c r="G5" i="7"/>
  <c r="N10" i="7"/>
  <c r="C24" i="7"/>
  <c r="C12" i="7"/>
  <c r="C18" i="8"/>
  <c r="C11" i="7" s="1"/>
  <c r="C26" i="8"/>
  <c r="C20" i="7"/>
  <c r="J24" i="7"/>
  <c r="J26" i="8"/>
  <c r="J20" i="7"/>
  <c r="J18" i="8"/>
  <c r="J11" i="7" s="1"/>
  <c r="J12" i="7"/>
  <c r="J18" i="7" s="1"/>
  <c r="J5" i="7"/>
  <c r="N18" i="17"/>
  <c r="N17" i="17"/>
  <c r="N23" i="17" s="1"/>
  <c r="N25" i="17" s="1"/>
  <c r="N27" i="17" s="1"/>
  <c r="N29" i="17" s="1"/>
  <c r="N16" i="17"/>
  <c r="N15" i="17"/>
  <c r="N14" i="17"/>
  <c r="N19" i="17"/>
  <c r="H12" i="7"/>
  <c r="H18" i="7" s="1"/>
  <c r="H18" i="8"/>
  <c r="H11" i="7" s="1"/>
  <c r="H24" i="7"/>
  <c r="H26" i="8"/>
  <c r="H5" i="7"/>
  <c r="H20" i="7"/>
  <c r="N34" i="7"/>
  <c r="O34" i="7"/>
  <c r="O10" i="7"/>
  <c r="K24" i="7"/>
  <c r="K26" i="8"/>
  <c r="K18" i="8"/>
  <c r="K11" i="7" s="1"/>
  <c r="K12" i="7"/>
  <c r="K18" i="7" s="1"/>
  <c r="K20" i="7"/>
  <c r="K5" i="7"/>
  <c r="H33" i="15"/>
  <c r="J17" i="15"/>
  <c r="K17" i="15"/>
  <c r="L17" i="15"/>
  <c r="I17" i="15"/>
  <c r="O38" i="7" l="1"/>
  <c r="N38" i="7"/>
  <c r="AB8" i="11"/>
  <c r="AA14" i="11"/>
  <c r="AB14" i="11" s="1"/>
  <c r="O20" i="7"/>
  <c r="F27" i="8"/>
  <c r="F13" i="7" s="1"/>
  <c r="F32" i="8"/>
  <c r="F30" i="8"/>
  <c r="O24" i="7"/>
  <c r="AB5" i="11"/>
  <c r="AA15" i="11"/>
  <c r="C27" i="8"/>
  <c r="C13" i="7" s="1"/>
  <c r="C32" i="8"/>
  <c r="C30" i="8"/>
  <c r="AD18" i="11"/>
  <c r="O11" i="7"/>
  <c r="N20" i="7"/>
  <c r="M41" i="8"/>
  <c r="M43" i="8" s="1"/>
  <c r="D18" i="7"/>
  <c r="N18" i="7" s="1"/>
  <c r="N12" i="7"/>
  <c r="K34" i="15"/>
  <c r="K43" i="15" s="1"/>
  <c r="K45" i="15" s="1"/>
  <c r="K27" i="8"/>
  <c r="K13" i="7" s="1"/>
  <c r="K30" i="8"/>
  <c r="K32" i="8"/>
  <c r="K6" i="7"/>
  <c r="N35" i="7"/>
  <c r="O35" i="7"/>
  <c r="O12" i="7"/>
  <c r="C18" i="7"/>
  <c r="O18" i="7" s="1"/>
  <c r="N5" i="7"/>
  <c r="O5" i="7"/>
  <c r="I34" i="15"/>
  <c r="I43" i="15" s="1"/>
  <c r="I45" i="15" s="1"/>
  <c r="I27" i="8"/>
  <c r="I13" i="7" s="1"/>
  <c r="I6" i="7"/>
  <c r="I30" i="8"/>
  <c r="I32" i="8"/>
  <c r="D30" i="8"/>
  <c r="D32" i="8"/>
  <c r="D6" i="7"/>
  <c r="D27" i="8"/>
  <c r="D13" i="7" s="1"/>
  <c r="J32" i="8"/>
  <c r="J27" i="8"/>
  <c r="J13" i="7" s="1"/>
  <c r="J34" i="15"/>
  <c r="J43" i="15" s="1"/>
  <c r="J45" i="15" s="1"/>
  <c r="J6" i="7"/>
  <c r="J30" i="8"/>
  <c r="N24" i="7"/>
  <c r="H32" i="8"/>
  <c r="H34" i="15"/>
  <c r="H43" i="15" s="1"/>
  <c r="H45" i="15" s="1"/>
  <c r="H6" i="7"/>
  <c r="H27" i="8"/>
  <c r="H13" i="7" s="1"/>
  <c r="H30" i="8"/>
  <c r="E27" i="8"/>
  <c r="E13" i="7" s="1"/>
  <c r="E32" i="8"/>
  <c r="E6" i="7"/>
  <c r="E30" i="8"/>
  <c r="F6" i="7"/>
  <c r="L32" i="8"/>
  <c r="L6" i="7"/>
  <c r="L30" i="8"/>
  <c r="L27" i="8"/>
  <c r="L13" i="7" s="1"/>
  <c r="L34" i="15"/>
  <c r="L43" i="15" s="1"/>
  <c r="L45" i="15" s="1"/>
  <c r="AA16" i="11"/>
  <c r="N11" i="7"/>
  <c r="Y18" i="11"/>
  <c r="AA18" i="11" s="1"/>
  <c r="AA17" i="11"/>
  <c r="G6" i="7"/>
  <c r="G27" i="8"/>
  <c r="G13" i="7" s="1"/>
  <c r="G30" i="8"/>
  <c r="G32" i="8"/>
  <c r="L33" i="15"/>
  <c r="L41" i="15"/>
  <c r="L47" i="15" s="1"/>
  <c r="I33" i="15"/>
  <c r="I36" i="15" s="1"/>
  <c r="I56" i="15" s="1"/>
  <c r="I41" i="15"/>
  <c r="I47" i="15" s="1"/>
  <c r="J33" i="15"/>
  <c r="J41" i="15"/>
  <c r="J47" i="15" s="1"/>
  <c r="J48" i="15" s="1"/>
  <c r="J55" i="15" s="1"/>
  <c r="K33" i="15"/>
  <c r="K41" i="15"/>
  <c r="K47" i="15" s="1"/>
  <c r="L36" i="15" l="1"/>
  <c r="L56" i="15" s="1"/>
  <c r="F22" i="7"/>
  <c r="F37" i="8"/>
  <c r="F33" i="8"/>
  <c r="F14" i="7" s="1"/>
  <c r="H36" i="15"/>
  <c r="L48" i="15"/>
  <c r="L55" i="15" s="1"/>
  <c r="AB17" i="11"/>
  <c r="AB16" i="11"/>
  <c r="H22" i="7"/>
  <c r="H33" i="8"/>
  <c r="H14" i="7" s="1"/>
  <c r="H37" i="8"/>
  <c r="AF9" i="11" s="1"/>
  <c r="H7" i="7"/>
  <c r="K36" i="15"/>
  <c r="K56" i="15" s="1"/>
  <c r="G33" i="8"/>
  <c r="G14" i="7" s="1"/>
  <c r="G37" i="8"/>
  <c r="AF8" i="11" s="1"/>
  <c r="G7" i="7"/>
  <c r="G22" i="7"/>
  <c r="E22" i="7"/>
  <c r="E33" i="8"/>
  <c r="E14" i="7" s="1"/>
  <c r="E37" i="8"/>
  <c r="AF6" i="11" s="1"/>
  <c r="E7" i="7"/>
  <c r="F7" i="7"/>
  <c r="N13" i="7"/>
  <c r="J36" i="15"/>
  <c r="J56" i="15" s="1"/>
  <c r="J58" i="15" s="1"/>
  <c r="O6" i="7"/>
  <c r="N6" i="7"/>
  <c r="K33" i="8"/>
  <c r="K14" i="7" s="1"/>
  <c r="K37" i="8"/>
  <c r="AF12" i="11" s="1"/>
  <c r="K22" i="7"/>
  <c r="K7" i="7"/>
  <c r="C22" i="7"/>
  <c r="C33" i="8"/>
  <c r="C14" i="7" s="1"/>
  <c r="C37" i="8"/>
  <c r="AF4" i="11" s="1"/>
  <c r="L22" i="7"/>
  <c r="L7" i="7"/>
  <c r="L33" i="8"/>
  <c r="L14" i="7" s="1"/>
  <c r="L37" i="8"/>
  <c r="AF13" i="11" s="1"/>
  <c r="I37" i="8"/>
  <c r="AF10" i="11" s="1"/>
  <c r="I33" i="8"/>
  <c r="I14" i="7" s="1"/>
  <c r="I22" i="7"/>
  <c r="I7" i="7"/>
  <c r="K48" i="15"/>
  <c r="K55" i="15" s="1"/>
  <c r="J22" i="7"/>
  <c r="J37" i="8"/>
  <c r="AF11" i="11" s="1"/>
  <c r="J7" i="7"/>
  <c r="J33" i="8"/>
  <c r="J14" i="7" s="1"/>
  <c r="I48" i="15"/>
  <c r="D7" i="7"/>
  <c r="D33" i="8"/>
  <c r="D14" i="7" s="1"/>
  <c r="D22" i="7"/>
  <c r="D37" i="8"/>
  <c r="AF5" i="11" s="1"/>
  <c r="O13" i="7"/>
  <c r="AB18" i="11"/>
  <c r="AB15" i="11"/>
  <c r="AG10" i="11" l="1"/>
  <c r="AG13" i="11"/>
  <c r="L58" i="15"/>
  <c r="AG9" i="11"/>
  <c r="AG12" i="11"/>
  <c r="AG6" i="11"/>
  <c r="AG11" i="11"/>
  <c r="O14" i="7"/>
  <c r="AF7" i="11"/>
  <c r="AG7" i="11" s="1"/>
  <c r="F41" i="8"/>
  <c r="F43" i="8" s="1"/>
  <c r="F21" i="7" s="1"/>
  <c r="F23" i="7" s="1"/>
  <c r="O22" i="7"/>
  <c r="L50" i="15"/>
  <c r="I55" i="15"/>
  <c r="I58" i="15" s="1"/>
  <c r="L51" i="15"/>
  <c r="J7" i="16" s="1"/>
  <c r="I41" i="8"/>
  <c r="I43" i="8" s="1"/>
  <c r="I21" i="7" s="1"/>
  <c r="I23" i="7" s="1"/>
  <c r="I38" i="8"/>
  <c r="L38" i="8"/>
  <c r="L41" i="8"/>
  <c r="L43" i="8" s="1"/>
  <c r="L21" i="7" s="1"/>
  <c r="L23" i="7" s="1"/>
  <c r="M38" i="8"/>
  <c r="D38" i="8"/>
  <c r="D41" i="8"/>
  <c r="D43" i="8" s="1"/>
  <c r="D21" i="7" s="1"/>
  <c r="J38" i="8"/>
  <c r="J43" i="8"/>
  <c r="J21" i="7" s="1"/>
  <c r="J23" i="7" s="1"/>
  <c r="J41" i="8"/>
  <c r="K38" i="8"/>
  <c r="K41" i="8"/>
  <c r="K43" i="8" s="1"/>
  <c r="K21" i="7" s="1"/>
  <c r="K23" i="7" s="1"/>
  <c r="E38" i="8"/>
  <c r="E41" i="8"/>
  <c r="E43" i="8" s="1"/>
  <c r="E21" i="7" s="1"/>
  <c r="E23" i="7" s="1"/>
  <c r="F38" i="8"/>
  <c r="H38" i="8"/>
  <c r="H41" i="8"/>
  <c r="H43" i="8" s="1"/>
  <c r="H21" i="7" s="1"/>
  <c r="H23" i="7" s="1"/>
  <c r="G41" i="8"/>
  <c r="G43" i="8" s="1"/>
  <c r="G21" i="7" s="1"/>
  <c r="G23" i="7" s="1"/>
  <c r="G38" i="8"/>
  <c r="N14" i="7"/>
  <c r="K58" i="15"/>
  <c r="N22" i="7"/>
  <c r="N7" i="7"/>
  <c r="O7" i="7"/>
  <c r="C41" i="8"/>
  <c r="C43" i="8" s="1"/>
  <c r="C21" i="7" s="1"/>
  <c r="AF16" i="11" l="1"/>
  <c r="AF18" i="11"/>
  <c r="AF17" i="11"/>
  <c r="AF15" i="11"/>
  <c r="AF14" i="11"/>
  <c r="AG8" i="11"/>
  <c r="L60" i="15"/>
  <c r="L61" i="15"/>
  <c r="D14" i="16" s="1"/>
  <c r="K4" i="16" s="1"/>
  <c r="L4" i="16" s="1"/>
  <c r="M4" i="16" s="1"/>
  <c r="N4" i="16" s="1"/>
  <c r="O4" i="16" s="1"/>
  <c r="D23" i="7"/>
  <c r="N23" i="7" s="1"/>
  <c r="N21" i="7"/>
  <c r="O21" i="7"/>
  <c r="C23" i="7"/>
  <c r="AG5" i="11"/>
  <c r="K7" i="16"/>
  <c r="L7" i="16" s="1"/>
  <c r="M7" i="16" s="1"/>
  <c r="N7" i="16" s="1"/>
  <c r="J8" i="16"/>
  <c r="AG17" i="11" l="1"/>
  <c r="AG18" i="11"/>
  <c r="AG16" i="11"/>
  <c r="K8" i="16"/>
  <c r="L8" i="16" s="1"/>
  <c r="K6" i="16"/>
  <c r="L6" i="16" s="1"/>
  <c r="M6" i="16" s="1"/>
  <c r="N6" i="16" s="1"/>
  <c r="O6" i="16" s="1"/>
  <c r="AG14" i="11"/>
  <c r="AG15" i="11"/>
  <c r="O23" i="7"/>
  <c r="K12" i="16" l="1"/>
  <c r="M8" i="16"/>
  <c r="L12" i="16"/>
  <c r="N8" i="16" l="1"/>
  <c r="M12" i="16"/>
  <c r="O8" i="16" l="1"/>
  <c r="O12" i="16" s="1"/>
  <c r="E20" i="16" s="1"/>
  <c r="E24" i="16" s="1"/>
  <c r="G19" i="16" s="1"/>
  <c r="N12" i="16"/>
  <c r="E28" i="16" l="1"/>
  <c r="E29" i="16"/>
  <c r="E30" i="16" l="1"/>
  <c r="E34" i="16" s="1"/>
  <c r="E37" i="16" s="1"/>
  <c r="E40" i="16" l="1"/>
  <c r="E41" i="16"/>
</calcChain>
</file>

<file path=xl/sharedStrings.xml><?xml version="1.0" encoding="utf-8"?>
<sst xmlns="http://schemas.openxmlformats.org/spreadsheetml/2006/main" count="583" uniqueCount="373">
  <si>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</si>
  <si>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</si>
  <si>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</si>
  <si>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</si>
  <si>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</si>
  <si>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</si>
  <si>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</si>
  <si>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</si>
  <si>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</si>
  <si>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</si>
  <si>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</si>
  <si>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</si>
  <si>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</si>
  <si>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</si>
  <si>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</si>
  <si>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</si>
  <si>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</si>
  <si>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</si>
  <si>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</si>
  <si>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</si>
  <si>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</si>
  <si>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</si>
  <si>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</si>
  <si>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</si>
  <si>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</si>
  <si>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</si>
  <si>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</si>
  <si>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</si>
  <si>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</si>
  <si>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</si>
  <si>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</si>
  <si>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Debtor Days</t>
  </si>
  <si>
    <t>Inventory Turnover</t>
  </si>
  <si>
    <t>LATEST VERSION</t>
  </si>
  <si>
    <t>CURRENT VERSION</t>
  </si>
  <si>
    <t>HINDUSTAN UNILEVER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</si>
  <si>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</si>
  <si>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</si>
  <si>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</si>
  <si>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</si>
  <si>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</si>
  <si>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</si>
  <si>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</si>
  <si>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</si>
  <si>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</si>
  <si>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</si>
  <si>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</si>
  <si>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</si>
  <si>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</si>
  <si>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</si>
  <si>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</si>
  <si>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</si>
  <si>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</si>
  <si>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</si>
  <si>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</si>
  <si>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</si>
  <si>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</si>
  <si>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</si>
  <si>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</si>
  <si>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#</t>
  </si>
  <si>
    <t>Income Statement</t>
  </si>
  <si>
    <t>-</t>
  </si>
  <si>
    <t>COGS</t>
  </si>
  <si>
    <t>COGS % Sales</t>
  </si>
  <si>
    <t>Gross Profit</t>
  </si>
  <si>
    <t>Selling &amp; General Expenses</t>
  </si>
  <si>
    <t>S &amp; G Expense % Sales</t>
  </si>
  <si>
    <t>EBITDA</t>
  </si>
  <si>
    <t>EBITDA % Sales or EBITDA Margin</t>
  </si>
  <si>
    <t>Interest % Sales</t>
  </si>
  <si>
    <t>Depreciation % Sales</t>
  </si>
  <si>
    <t>Gross Margin</t>
  </si>
  <si>
    <t>Earnings before Tax (EBT)</t>
  </si>
  <si>
    <t>EBT % Sales</t>
  </si>
  <si>
    <t>Taxes</t>
  </si>
  <si>
    <t>effective tax rate</t>
  </si>
  <si>
    <t>Net profits</t>
  </si>
  <si>
    <t>Net Margins</t>
  </si>
  <si>
    <t>Number of Equity share</t>
  </si>
  <si>
    <t>Earning Per Share (EPS)</t>
  </si>
  <si>
    <t>Divident per Share (DPS)</t>
  </si>
  <si>
    <t>EPS % Growth</t>
  </si>
  <si>
    <t>Divident payout ratio</t>
  </si>
  <si>
    <t>Retained Earnings</t>
  </si>
  <si>
    <t>Total liabilities</t>
  </si>
  <si>
    <t>Fixed Assets Net Block</t>
  </si>
  <si>
    <t>Total Non-Current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</si>
  <si>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</si>
  <si>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</si>
  <si>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</si>
  <si>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</si>
  <si>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</si>
  <si>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</si>
  <si>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</si>
  <si>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</si>
  <si>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</si>
  <si>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</si>
  <si>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</si>
  <si>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</si>
  <si>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</si>
  <si>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</si>
  <si>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</si>
  <si>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</si>
  <si>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</si>
  <si>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</si>
  <si>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</si>
  <si>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</si>
  <si>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</si>
  <si>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</si>
  <si>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</si>
  <si>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</si>
  <si>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</si>
  <si>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</si>
  <si>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</si>
  <si>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</si>
  <si>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</si>
  <si>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</si>
  <si>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</si>
  <si>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Operating Activities</t>
  </si>
  <si>
    <t>Cash from operating activities</t>
  </si>
  <si>
    <t>Investing Activities</t>
  </si>
  <si>
    <t>Cash From Investing Activities</t>
  </si>
  <si>
    <t>Financing Activities</t>
  </si>
  <si>
    <t>Cash From Financing Activities</t>
  </si>
  <si>
    <t>Net cash flow</t>
  </si>
  <si>
    <t>EBITDA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</si>
  <si>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</si>
  <si>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</si>
  <si>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</si>
  <si>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</si>
  <si>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</si>
  <si>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</si>
  <si>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</si>
  <si>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</si>
  <si>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</si>
  <si>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</si>
  <si>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</si>
  <si>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</si>
  <si>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</si>
  <si>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</si>
  <si>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</si>
  <si>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</si>
  <si>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</si>
  <si>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</si>
  <si>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</si>
  <si>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</si>
  <si>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</si>
  <si>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</si>
  <si>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</si>
  <si>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</si>
  <si>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Trend</t>
  </si>
  <si>
    <t>Mean</t>
  </si>
  <si>
    <t>Median</t>
  </si>
  <si>
    <t>EBT Growth</t>
  </si>
  <si>
    <t>Year Weight</t>
  </si>
  <si>
    <t>Year</t>
  </si>
  <si>
    <t>Arithematic Growth</t>
  </si>
  <si>
    <t>Geometric Growth</t>
  </si>
  <si>
    <t>Standard Deviation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</si>
  <si>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</si>
  <si>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</si>
  <si>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</si>
  <si>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</si>
  <si>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</si>
  <si>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</si>
  <si>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</si>
  <si>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</si>
  <si>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</si>
  <si>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</si>
  <si>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</si>
  <si>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</si>
  <si>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</si>
  <si>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</si>
  <si>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</si>
  <si>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</si>
  <si>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</si>
  <si>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</si>
  <si>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</si>
  <si>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</si>
  <si>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</si>
  <si>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</si>
  <si>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</si>
  <si>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Particulars</t>
  </si>
  <si>
    <t>EBDITA</t>
  </si>
  <si>
    <t>Total Liabilities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</si>
  <si>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</si>
  <si>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</si>
  <si>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</si>
  <si>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</si>
  <si>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</si>
  <si>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</si>
  <si>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</si>
  <si>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</si>
  <si>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</si>
  <si>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</si>
  <si>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</si>
  <si>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</si>
  <si>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</si>
  <si>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</si>
  <si>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</si>
  <si>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</si>
  <si>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</si>
  <si>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</si>
  <si>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</si>
  <si>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</si>
  <si>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</si>
  <si>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</si>
  <si>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</si>
  <si>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</si>
  <si>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</si>
  <si>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</si>
  <si>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</si>
  <si>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</si>
  <si>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</si>
  <si>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</si>
  <si>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Current Assets</t>
  </si>
  <si>
    <t>Current Liabilities</t>
  </si>
  <si>
    <t>Total Current Liabilities</t>
  </si>
  <si>
    <t>Net Working Capital</t>
  </si>
  <si>
    <t>Non-Current Assets</t>
  </si>
  <si>
    <t>Net Non-Current Assets</t>
  </si>
  <si>
    <t>Invested Capital</t>
  </si>
  <si>
    <t>EBIT</t>
  </si>
  <si>
    <t>ROIC(Return on invested capital)</t>
  </si>
  <si>
    <t>Net Capital Expenditure</t>
  </si>
  <si>
    <t>Change in Net working capital</t>
  </si>
  <si>
    <t>Marginal Tax Rate</t>
  </si>
  <si>
    <t>Re-Investment</t>
  </si>
  <si>
    <t>Four Years Average</t>
  </si>
  <si>
    <t>Four Years Median</t>
  </si>
  <si>
    <t>Intrinsic Growth</t>
  </si>
  <si>
    <t>Tax Rate</t>
  </si>
  <si>
    <t>EBIT*(1-Tax Rate)</t>
  </si>
  <si>
    <t>Less: Re-investment Rate</t>
  </si>
  <si>
    <t>Free Cash flow to Firm(FCFF)</t>
  </si>
  <si>
    <t>Mid Year Convention</t>
  </si>
  <si>
    <t>Discounting Factors</t>
  </si>
  <si>
    <t>PV of FCFF</t>
  </si>
  <si>
    <t>Terminal Growth</t>
  </si>
  <si>
    <t>WACC</t>
  </si>
  <si>
    <t>Calculation of Terminal Growth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</si>
  <si>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</si>
  <si>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</si>
  <si>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</si>
  <si>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</si>
  <si>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</si>
  <si>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</si>
  <si>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</si>
  <si>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</si>
  <si>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</si>
  <si>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Numbers of shares</t>
  </si>
  <si>
    <t>Equity Value per Share</t>
  </si>
  <si>
    <t>Share Price</t>
  </si>
  <si>
    <t>Discount/Premium</t>
  </si>
  <si>
    <t>Comparable Companies Valuation</t>
  </si>
  <si>
    <t>Company</t>
  </si>
  <si>
    <t>Ticker</t>
  </si>
  <si>
    <t>Share Outstanding</t>
  </si>
  <si>
    <t>Equity Value</t>
  </si>
  <si>
    <t>Net Debt</t>
  </si>
  <si>
    <t>Enterprice Value</t>
  </si>
  <si>
    <t>Market Data</t>
  </si>
  <si>
    <t>Revenue</t>
  </si>
  <si>
    <t>EDITDA</t>
  </si>
  <si>
    <t>Net Income</t>
  </si>
  <si>
    <t>Valuation</t>
  </si>
  <si>
    <t>S.No.</t>
  </si>
  <si>
    <t>Name</t>
  </si>
  <si>
    <t>CMP Rs.</t>
  </si>
  <si>
    <t>No. Eq. Shares Cr.</t>
  </si>
  <si>
    <t>Debt Rs.Cr.</t>
  </si>
  <si>
    <t>EV Rs.Cr.</t>
  </si>
  <si>
    <t>Cash End Rs.Cr.</t>
  </si>
  <si>
    <t>Sales Rs.Cr.</t>
  </si>
  <si>
    <t>EBIT 12M Rs.Cr.</t>
  </si>
  <si>
    <t>NP 12M Rs.Cr.</t>
  </si>
  <si>
    <t xml:space="preserve">Mar Cap Rs.Cr. </t>
  </si>
  <si>
    <t>Dep 12M Rs.Cr.</t>
  </si>
  <si>
    <t>Checked- Market Capitalization</t>
  </si>
  <si>
    <t>Checked- Enterprise Value(EV)</t>
  </si>
  <si>
    <t>EBITDA = Sales * EBITDA Margin</t>
  </si>
  <si>
    <t>EV/EBITDA</t>
  </si>
  <si>
    <t>P/E</t>
  </si>
  <si>
    <t>EV/Revenue</t>
  </si>
  <si>
    <t>Equity Value = Market Capitalization</t>
  </si>
  <si>
    <t>High</t>
  </si>
  <si>
    <t>Average</t>
  </si>
  <si>
    <t>75th Percentile</t>
  </si>
  <si>
    <t>25th Percentile</t>
  </si>
  <si>
    <t>Low</t>
  </si>
  <si>
    <t>Implied Enterprise Value</t>
  </si>
  <si>
    <t>Implied Market Value</t>
  </si>
  <si>
    <t>Shares Outstanding</t>
  </si>
  <si>
    <t>Implied value per share</t>
  </si>
  <si>
    <t>TEST</t>
  </si>
  <si>
    <t>Source: The Valuation Schools, Screener.in</t>
  </si>
  <si>
    <t>Amounts in crores</t>
  </si>
  <si>
    <t>Sensitivity Analysis</t>
  </si>
  <si>
    <t>Peer comparison</t>
  </si>
  <si>
    <t>Weighted Average Cost of Capital</t>
  </si>
  <si>
    <t>All figures are in INR unless stated otherwise.</t>
  </si>
  <si>
    <t>Peer Comps</t>
  </si>
  <si>
    <t>Debt/</t>
  </si>
  <si>
    <t>Levered</t>
  </si>
  <si>
    <t>Unlevered</t>
  </si>
  <si>
    <t>Country</t>
  </si>
  <si>
    <t>Total Debt</t>
  </si>
  <si>
    <t>Total Equity</t>
  </si>
  <si>
    <t>Tax Rate 1</t>
  </si>
  <si>
    <t>Equity</t>
  </si>
  <si>
    <t>Capital</t>
  </si>
  <si>
    <t>Beta 2</t>
  </si>
  <si>
    <t>Beta 3</t>
  </si>
  <si>
    <t>India</t>
  </si>
  <si>
    <t>Cost of Debt</t>
  </si>
  <si>
    <t>Cost of Equity</t>
  </si>
  <si>
    <t>Pre-tax Cost of Debt</t>
  </si>
  <si>
    <t>Risk Free Rate</t>
  </si>
  <si>
    <t>Equity Risk Premium</t>
  </si>
  <si>
    <t>After Tax Cost of Debt</t>
  </si>
  <si>
    <r>
      <t xml:space="preserve">Levered Beta </t>
    </r>
    <r>
      <rPr>
        <sz val="11"/>
        <color rgb="FF000000"/>
        <rFont val="Calibri"/>
        <family val="2"/>
      </rPr>
      <t>4</t>
    </r>
  </si>
  <si>
    <t>Capital Structure</t>
  </si>
  <si>
    <t>Levered Beta</t>
  </si>
  <si>
    <t>Current</t>
  </si>
  <si>
    <t>Target</t>
  </si>
  <si>
    <t>Comps Median Unlevered Beta</t>
  </si>
  <si>
    <t>Target Debt/ Equity</t>
  </si>
  <si>
    <t>Total Capitalization</t>
  </si>
  <si>
    <t>Debt / Equity</t>
  </si>
  <si>
    <t>1. Tax Rate considered as Marginal Tax Rate for the country</t>
  </si>
  <si>
    <t>Total Cost</t>
  </si>
  <si>
    <t>Total Weight</t>
  </si>
  <si>
    <t>2. Levered Beta is based on 5 year monthly data</t>
  </si>
  <si>
    <t>Debt</t>
  </si>
  <si>
    <t>3. Unlevered Beta = Levered Beta/(1+(1-Tax Rate) x Debt/Equity)</t>
  </si>
  <si>
    <t>3. Levered Beta = Unlevered Beta/(1+(1-Tax Rate) x Debt/Equity)</t>
  </si>
  <si>
    <t>NIFTY Returns</t>
  </si>
  <si>
    <t>Beta Drifting</t>
  </si>
  <si>
    <t>Date</t>
  </si>
  <si>
    <t>Closing Price</t>
  </si>
  <si>
    <t>Weekly Return</t>
  </si>
  <si>
    <t>Levered Raw Beta</t>
  </si>
  <si>
    <t>Beta weight</t>
  </si>
  <si>
    <t>Market Beta</t>
  </si>
  <si>
    <t>Market Beta Weight</t>
  </si>
  <si>
    <t>Adjusted Beta</t>
  </si>
  <si>
    <t>Annual</t>
  </si>
  <si>
    <t>Dividend Yield</t>
  </si>
  <si>
    <t>Total Market Returns</t>
  </si>
  <si>
    <t>Expected Growth(Intrinsic)</t>
  </si>
  <si>
    <t>Deposits</t>
  </si>
  <si>
    <t>Other operating items</t>
  </si>
  <si>
    <t>Exceptional CF items</t>
  </si>
  <si>
    <t>Loans to subsidiaries</t>
  </si>
  <si>
    <t>Hind. Unilever</t>
  </si>
  <si>
    <t>Nestle India</t>
  </si>
  <si>
    <t>Britannia Inds.</t>
  </si>
  <si>
    <t>Godrej Consumer</t>
  </si>
  <si>
    <t>Varun Beverages</t>
  </si>
  <si>
    <t>Dabur India</t>
  </si>
  <si>
    <t>Book Value</t>
  </si>
  <si>
    <t>In Percentage</t>
  </si>
  <si>
    <t>In Multiples</t>
  </si>
  <si>
    <t>Regression Beta - 2 Years(Weekly)</t>
  </si>
  <si>
    <t>Beta (Hindu. Uni.)</t>
  </si>
  <si>
    <t>Beta (Nestle India)</t>
  </si>
  <si>
    <t>Beta (Godrej consumer)</t>
  </si>
  <si>
    <t>Beta (Varun Beverages)</t>
  </si>
  <si>
    <t>Beta (Britannia India)</t>
  </si>
  <si>
    <t>Returns of Market
Nifty 50 - last 23 Years</t>
  </si>
  <si>
    <t>Stock is trading at 12.1 times its book value</t>
  </si>
  <si>
    <t>HINDUSTAN UNILEVER LTD - Sales Forecasting</t>
  </si>
  <si>
    <t>Stock is trading at 6.48 times as per my financial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</si>
</sst>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;\-"/>
    <numFmt numFmtId="167" formatCode="#,##0.00\x"/>
    <numFmt numFmtId="168" formatCode="0.00\x"/>
    <numFmt numFmtId="169" formatCode="&quot;₹&quot;\ #,##0.00"/>
    <numFmt numFmtId="170" formatCode="yyyy&quot;E&quot;"/>
    <numFmt numFmtId="171" formatCode="yyyy&quot;A&quot;"/>
    <numFmt numFmtId="172" formatCode="&quot;₹&quot;\ #,##0.0"/>
    <numFmt numFmtId="173" formatCode="mmm/yy&quot;A&quot;"/>
    <numFmt numFmtId="174" formatCode="mmm/yy&quot;F&quot;"/>
    <numFmt numFmtId="175" formatCode="0.000"/>
    <numFmt numFmtId="176" formatCode="0.0\x"/>
    <numFmt numFmtId="177" formatCode="_ * #,##0.0_ ;_ * \-#,##0.0_ ;_ * &quot;-&quot;??_ ;_ @_ 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7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275D8"/>
      <name val="Calibri"/>
      <family val="2"/>
      <scheme val="minor"/>
    </font>
    <font>
      <b/>
      <sz val="11"/>
      <color rgb="FF0275D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8"/>
      <color theme="0"/>
      <name val="Arial"/>
      <family val="2"/>
    </font>
    <font>
      <i/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name val="Calibri"/>
      <family val="2"/>
    </font>
    <font>
      <i/>
      <sz val="9"/>
      <color theme="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rgb="FFFFFF00"/>
      <name val="Arial"/>
      <family val="2"/>
    </font>
    <font>
      <b/>
      <u/>
      <sz val="14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hair">
        <color theme="7"/>
      </bottom>
      <diagonal/>
    </border>
    <border>
      <left/>
      <right/>
      <top style="hair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rgb="FF002060"/>
      </top>
      <bottom style="thick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hair">
        <color rgb="FF002060"/>
      </top>
      <bottom style="thick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70C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hair">
        <color rgb="FF002060"/>
      </top>
      <bottom style="medium">
        <color rgb="FF002060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330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166" fontId="0" fillId="0" borderId="0" xfId="0" applyNumberFormat="1"/>
    <xf numFmtId="0" fontId="7" fillId="0" borderId="0" xfId="0" applyFont="1"/>
    <xf numFmtId="10" fontId="7" fillId="0" borderId="0" xfId="4" applyNumberFormat="1" applyFont="1"/>
    <xf numFmtId="0" fontId="7" fillId="0" borderId="0" xfId="0" applyFont="1" applyAlignment="1">
      <alignment horizontal="right"/>
    </xf>
    <xf numFmtId="0" fontId="8" fillId="5" borderId="0" xfId="0" applyFont="1" applyFill="1"/>
    <xf numFmtId="0" fontId="6" fillId="5" borderId="0" xfId="0" applyFont="1" applyFill="1"/>
    <xf numFmtId="10" fontId="7" fillId="0" borderId="0" xfId="4" applyNumberFormat="1" applyFont="1" applyAlignment="1">
      <alignment horizontal="right"/>
    </xf>
    <xf numFmtId="10" fontId="9" fillId="0" borderId="0" xfId="4" applyNumberFormat="1" applyFont="1" applyAlignment="1">
      <alignment horizontal="right"/>
    </xf>
    <xf numFmtId="166" fontId="1" fillId="0" borderId="0" xfId="0" applyNumberFormat="1" applyFont="1"/>
    <xf numFmtId="3" fontId="0" fillId="0" borderId="0" xfId="0" applyNumberFormat="1"/>
    <xf numFmtId="0" fontId="0" fillId="6" borderId="0" xfId="0" applyFill="1"/>
    <xf numFmtId="0" fontId="8" fillId="6" borderId="0" xfId="0" applyFont="1" applyFill="1"/>
    <xf numFmtId="0" fontId="6" fillId="6" borderId="0" xfId="0" applyFont="1" applyFill="1"/>
    <xf numFmtId="0" fontId="0" fillId="0" borderId="0" xfId="0" applyAlignment="1">
      <alignment horizontal="right"/>
    </xf>
    <xf numFmtId="10" fontId="9" fillId="0" borderId="0" xfId="4" applyNumberFormat="1" applyFont="1"/>
    <xf numFmtId="167" fontId="0" fillId="0" borderId="0" xfId="0" applyNumberFormat="1"/>
    <xf numFmtId="1" fontId="0" fillId="0" borderId="0" xfId="0" applyNumberFormat="1"/>
    <xf numFmtId="0" fontId="0" fillId="0" borderId="1" xfId="0" applyBorder="1"/>
    <xf numFmtId="167" fontId="0" fillId="0" borderId="1" xfId="0" applyNumberFormat="1" applyBorder="1"/>
    <xf numFmtId="10" fontId="0" fillId="0" borderId="1" xfId="0" applyNumberFormat="1" applyBorder="1"/>
    <xf numFmtId="10" fontId="9" fillId="0" borderId="1" xfId="4" applyNumberFormat="1" applyFont="1" applyBorder="1"/>
    <xf numFmtId="0" fontId="0" fillId="0" borderId="2" xfId="0" applyBorder="1"/>
    <xf numFmtId="10" fontId="9" fillId="0" borderId="2" xfId="4" applyNumberFormat="1" applyFont="1" applyBorder="1"/>
    <xf numFmtId="10" fontId="0" fillId="0" borderId="2" xfId="0" applyNumberFormat="1" applyBorder="1"/>
    <xf numFmtId="167" fontId="0" fillId="0" borderId="2" xfId="0" applyNumberFormat="1" applyBorder="1"/>
    <xf numFmtId="1" fontId="0" fillId="0" borderId="2" xfId="0" applyNumberFormat="1" applyBorder="1"/>
    <xf numFmtId="3" fontId="0" fillId="0" borderId="2" xfId="0" applyNumberFormat="1" applyBorder="1"/>
    <xf numFmtId="0" fontId="0" fillId="0" borderId="3" xfId="0" applyBorder="1"/>
    <xf numFmtId="10" fontId="9" fillId="0" borderId="3" xfId="4" applyNumberFormat="1" applyFont="1" applyBorder="1"/>
    <xf numFmtId="10" fontId="0" fillId="0" borderId="3" xfId="0" applyNumberFormat="1" applyBorder="1"/>
    <xf numFmtId="1" fontId="0" fillId="0" borderId="1" xfId="0" applyNumberFormat="1" applyBorder="1"/>
    <xf numFmtId="3" fontId="0" fillId="0" borderId="1" xfId="0" applyNumberFormat="1" applyBorder="1"/>
    <xf numFmtId="168" fontId="0" fillId="0" borderId="1" xfId="0" applyNumberFormat="1" applyBorder="1"/>
    <xf numFmtId="14" fontId="0" fillId="0" borderId="0" xfId="0" applyNumberFormat="1"/>
    <xf numFmtId="0" fontId="0" fillId="0" borderId="0" xfId="0" applyAlignment="1">
      <alignment horizontal="left"/>
    </xf>
    <xf numFmtId="0" fontId="10" fillId="7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horizontal="right" vertical="center" wrapText="1"/>
    </xf>
    <xf numFmtId="10" fontId="11" fillId="0" borderId="0" xfId="4" applyNumberFormat="1" applyFont="1" applyAlignment="1">
      <alignment horizontal="right"/>
    </xf>
    <xf numFmtId="10" fontId="1" fillId="0" borderId="4" xfId="0" applyNumberFormat="1" applyFont="1" applyBorder="1"/>
    <xf numFmtId="0" fontId="1" fillId="0" borderId="4" xfId="0" applyFont="1" applyBorder="1" applyAlignment="1">
      <alignment horizontal="center" vertical="center"/>
    </xf>
    <xf numFmtId="169" fontId="0" fillId="0" borderId="0" xfId="0" applyNumberFormat="1"/>
    <xf numFmtId="171" fontId="0" fillId="0" borderId="0" xfId="0" applyNumberFormat="1"/>
    <xf numFmtId="0" fontId="5" fillId="6" borderId="0" xfId="0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vertical="center" wrapText="1"/>
    </xf>
    <xf numFmtId="166" fontId="11" fillId="0" borderId="0" xfId="4" applyNumberFormat="1" applyFont="1" applyAlignment="1">
      <alignment horizontal="right"/>
    </xf>
    <xf numFmtId="0" fontId="11" fillId="0" borderId="0" xfId="4" applyNumberFormat="1" applyFont="1" applyAlignment="1">
      <alignment horizontal="right"/>
    </xf>
    <xf numFmtId="170" fontId="0" fillId="9" borderId="0" xfId="0" applyNumberFormat="1" applyFill="1"/>
    <xf numFmtId="10" fontId="9" fillId="9" borderId="0" xfId="4" applyNumberFormat="1" applyFont="1" applyFill="1" applyAlignment="1">
      <alignment horizontal="right"/>
    </xf>
    <xf numFmtId="166" fontId="6" fillId="0" borderId="0" xfId="0" applyNumberFormat="1" applyFont="1"/>
    <xf numFmtId="166" fontId="6" fillId="9" borderId="0" xfId="0" applyNumberFormat="1" applyFont="1" applyFill="1"/>
    <xf numFmtId="0" fontId="0" fillId="0" borderId="0" xfId="0" applyAlignment="1">
      <alignment horizontal="left" vertical="top"/>
    </xf>
    <xf numFmtId="171" fontId="0" fillId="0" borderId="0" xfId="0" applyNumberFormat="1" applyAlignment="1">
      <alignment horizontal="right"/>
    </xf>
    <xf numFmtId="0" fontId="2" fillId="10" borderId="0" xfId="0" applyFont="1" applyFill="1" applyAlignment="1">
      <alignment horizontal="left" vertical="top"/>
    </xf>
    <xf numFmtId="0" fontId="2" fillId="10" borderId="0" xfId="0" applyFont="1" applyFill="1" applyAlignment="1">
      <alignment horizontal="right"/>
    </xf>
    <xf numFmtId="0" fontId="0" fillId="11" borderId="0" xfId="0" applyFill="1" applyAlignment="1">
      <alignment horizontal="left" vertical="top"/>
    </xf>
    <xf numFmtId="171" fontId="0" fillId="11" borderId="0" xfId="0" applyNumberFormat="1" applyFill="1" applyAlignment="1">
      <alignment horizontal="right"/>
    </xf>
    <xf numFmtId="166" fontId="0" fillId="11" borderId="0" xfId="0" applyNumberFormat="1" applyFill="1"/>
    <xf numFmtId="10" fontId="9" fillId="11" borderId="0" xfId="4" applyNumberFormat="1" applyFont="1" applyFill="1" applyAlignment="1">
      <alignment horizontal="right"/>
    </xf>
    <xf numFmtId="0" fontId="1" fillId="0" borderId="9" xfId="0" applyFont="1" applyBorder="1"/>
    <xf numFmtId="17" fontId="1" fillId="0" borderId="9" xfId="0" applyNumberFormat="1" applyFont="1" applyBorder="1"/>
    <xf numFmtId="43" fontId="0" fillId="0" borderId="0" xfId="0" applyNumberFormat="1"/>
    <xf numFmtId="10" fontId="0" fillId="0" borderId="0" xfId="4" applyNumberFormat="1" applyFont="1"/>
    <xf numFmtId="17" fontId="1" fillId="0" borderId="0" xfId="0" applyNumberFormat="1" applyFont="1"/>
    <xf numFmtId="10" fontId="1" fillId="0" borderId="0" xfId="4" applyNumberFormat="1" applyFont="1"/>
    <xf numFmtId="10" fontId="1" fillId="0" borderId="11" xfId="4" applyNumberFormat="1" applyFont="1" applyBorder="1"/>
    <xf numFmtId="10" fontId="0" fillId="0" borderId="13" xfId="4" applyNumberFormat="1" applyFont="1" applyBorder="1"/>
    <xf numFmtId="10" fontId="1" fillId="0" borderId="11" xfId="0" applyNumberFormat="1" applyFont="1" applyBorder="1"/>
    <xf numFmtId="10" fontId="1" fillId="0" borderId="12" xfId="0" applyNumberFormat="1" applyFont="1" applyBorder="1"/>
    <xf numFmtId="0" fontId="0" fillId="12" borderId="0" xfId="0" applyFill="1"/>
    <xf numFmtId="3" fontId="1" fillId="0" borderId="0" xfId="0" applyNumberFormat="1" applyFont="1"/>
    <xf numFmtId="17" fontId="2" fillId="7" borderId="0" xfId="0" applyNumberFormat="1" applyFont="1" applyFill="1"/>
    <xf numFmtId="0" fontId="2" fillId="7" borderId="0" xfId="0" applyFont="1" applyFill="1" applyAlignment="1">
      <alignment horizontal="left"/>
    </xf>
    <xf numFmtId="17" fontId="0" fillId="0" borderId="0" xfId="0" applyNumberFormat="1" applyAlignment="1">
      <alignment horizontal="left"/>
    </xf>
    <xf numFmtId="166" fontId="0" fillId="0" borderId="13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6" fontId="1" fillId="0" borderId="0" xfId="1" applyNumberFormat="1" applyFont="1" applyBorder="1" applyAlignment="1">
      <alignment horizontal="left" vertical="center"/>
    </xf>
    <xf numFmtId="0" fontId="2" fillId="6" borderId="0" xfId="0" applyFont="1" applyFill="1" applyAlignment="1">
      <alignment horizontal="left"/>
    </xf>
    <xf numFmtId="17" fontId="2" fillId="6" borderId="0" xfId="0" applyNumberFormat="1" applyFont="1" applyFill="1"/>
    <xf numFmtId="166" fontId="0" fillId="0" borderId="13" xfId="1" applyNumberFormat="1" applyFont="1" applyBorder="1"/>
    <xf numFmtId="166" fontId="1" fillId="0" borderId="11" xfId="0" applyNumberFormat="1" applyFont="1" applyBorder="1"/>
    <xf numFmtId="166" fontId="1" fillId="0" borderId="16" xfId="0" applyNumberFormat="1" applyFont="1" applyBorder="1"/>
    <xf numFmtId="166" fontId="0" fillId="0" borderId="14" xfId="1" applyNumberFormat="1" applyFont="1" applyBorder="1"/>
    <xf numFmtId="0" fontId="1" fillId="0" borderId="16" xfId="0" applyFont="1" applyBorder="1"/>
    <xf numFmtId="166" fontId="0" fillId="0" borderId="15" xfId="1" applyNumberFormat="1" applyFont="1" applyBorder="1"/>
    <xf numFmtId="43" fontId="1" fillId="0" borderId="9" xfId="0" applyNumberFormat="1" applyFont="1" applyBorder="1"/>
    <xf numFmtId="10" fontId="1" fillId="0" borderId="9" xfId="0" applyNumberFormat="1" applyFont="1" applyBorder="1"/>
    <xf numFmtId="10" fontId="1" fillId="0" borderId="9" xfId="4" applyNumberFormat="1" applyFont="1" applyBorder="1"/>
    <xf numFmtId="43" fontId="0" fillId="0" borderId="9" xfId="0" applyNumberFormat="1" applyBorder="1"/>
    <xf numFmtId="10" fontId="0" fillId="0" borderId="9" xfId="0" applyNumberFormat="1" applyBorder="1"/>
    <xf numFmtId="172" fontId="1" fillId="0" borderId="0" xfId="0" applyNumberFormat="1" applyFont="1"/>
    <xf numFmtId="0" fontId="1" fillId="0" borderId="11" xfId="0" applyFont="1" applyBorder="1"/>
    <xf numFmtId="166" fontId="0" fillId="0" borderId="0" xfId="1" applyNumberFormat="1" applyFont="1" applyBorder="1"/>
    <xf numFmtId="172" fontId="1" fillId="0" borderId="16" xfId="0" applyNumberFormat="1" applyFont="1" applyBorder="1"/>
    <xf numFmtId="166" fontId="0" fillId="0" borderId="17" xfId="1" applyNumberFormat="1" applyFont="1" applyBorder="1"/>
    <xf numFmtId="166" fontId="0" fillId="0" borderId="18" xfId="1" applyNumberFormat="1" applyFont="1" applyBorder="1"/>
    <xf numFmtId="166" fontId="1" fillId="0" borderId="17" xfId="1" applyNumberFormat="1" applyFont="1" applyBorder="1"/>
    <xf numFmtId="10" fontId="14" fillId="0" borderId="19" xfId="4" applyNumberFormat="1" applyFont="1" applyBorder="1"/>
    <xf numFmtId="10" fontId="1" fillId="0" borderId="0" xfId="0" applyNumberFormat="1" applyFont="1"/>
    <xf numFmtId="0" fontId="1" fillId="0" borderId="10" xfId="0" applyFont="1" applyBorder="1"/>
    <xf numFmtId="0" fontId="0" fillId="0" borderId="13" xfId="0" applyBorder="1"/>
    <xf numFmtId="0" fontId="1" fillId="11" borderId="10" xfId="0" applyFont="1" applyFill="1" applyBorder="1"/>
    <xf numFmtId="0" fontId="0" fillId="11" borderId="11" xfId="0" applyFill="1" applyBorder="1"/>
    <xf numFmtId="10" fontId="1" fillId="11" borderId="12" xfId="0" applyNumberFormat="1" applyFont="1" applyFill="1" applyBorder="1"/>
    <xf numFmtId="0" fontId="1" fillId="0" borderId="0" xfId="0" applyFont="1" applyAlignment="1">
      <alignment horizontal="left"/>
    </xf>
    <xf numFmtId="173" fontId="2" fillId="7" borderId="0" xfId="0" applyNumberFormat="1" applyFont="1" applyFill="1"/>
    <xf numFmtId="174" fontId="2" fillId="7" borderId="0" xfId="0" applyNumberFormat="1" applyFont="1" applyFill="1"/>
    <xf numFmtId="10" fontId="6" fillId="0" borderId="19" xfId="4" applyNumberFormat="1" applyFont="1" applyBorder="1"/>
    <xf numFmtId="10" fontId="14" fillId="0" borderId="0" xfId="0" applyNumberFormat="1" applyFont="1"/>
    <xf numFmtId="0" fontId="0" fillId="13" borderId="0" xfId="0" applyFill="1"/>
    <xf numFmtId="0" fontId="1" fillId="13" borderId="0" xfId="0" applyFont="1" applyFill="1"/>
    <xf numFmtId="10" fontId="1" fillId="13" borderId="0" xfId="0" applyNumberFormat="1" applyFont="1" applyFill="1"/>
    <xf numFmtId="0" fontId="0" fillId="0" borderId="20" xfId="0" applyBorder="1"/>
    <xf numFmtId="10" fontId="15" fillId="13" borderId="0" xfId="0" applyNumberFormat="1" applyFont="1" applyFill="1"/>
    <xf numFmtId="0" fontId="1" fillId="0" borderId="20" xfId="0" applyFont="1" applyBorder="1"/>
    <xf numFmtId="0" fontId="1" fillId="0" borderId="21" xfId="0" applyFont="1" applyBorder="1"/>
    <xf numFmtId="0" fontId="0" fillId="0" borderId="21" xfId="0" applyBorder="1"/>
    <xf numFmtId="166" fontId="1" fillId="14" borderId="0" xfId="0" applyNumberFormat="1" applyFont="1" applyFill="1"/>
    <xf numFmtId="10" fontId="1" fillId="14" borderId="0" xfId="0" applyNumberFormat="1" applyFont="1" applyFill="1"/>
    <xf numFmtId="166" fontId="1" fillId="14" borderId="21" xfId="0" applyNumberFormat="1" applyFont="1" applyFill="1" applyBorder="1"/>
    <xf numFmtId="169" fontId="1" fillId="14" borderId="21" xfId="0" applyNumberFormat="1" applyFont="1" applyFill="1" applyBorder="1"/>
    <xf numFmtId="0" fontId="1" fillId="14" borderId="0" xfId="0" applyFont="1" applyFill="1"/>
    <xf numFmtId="0" fontId="1" fillId="14" borderId="20" xfId="0" applyFont="1" applyFill="1" applyBorder="1"/>
    <xf numFmtId="166" fontId="0" fillId="0" borderId="21" xfId="0" applyNumberFormat="1" applyBorder="1"/>
    <xf numFmtId="0" fontId="14" fillId="0" borderId="0" xfId="0" applyFont="1"/>
    <xf numFmtId="175" fontId="0" fillId="0" borderId="0" xfId="0" applyNumberFormat="1"/>
    <xf numFmtId="169" fontId="1" fillId="0" borderId="20" xfId="0" applyNumberFormat="1" applyFont="1" applyBorder="1"/>
    <xf numFmtId="2" fontId="0" fillId="0" borderId="0" xfId="0" applyNumberFormat="1"/>
    <xf numFmtId="169" fontId="1" fillId="0" borderId="0" xfId="0" applyNumberFormat="1" applyFont="1"/>
    <xf numFmtId="0" fontId="2" fillId="7" borderId="0" xfId="0" applyFont="1" applyFill="1"/>
    <xf numFmtId="0" fontId="5" fillId="7" borderId="0" xfId="0" applyFont="1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right" wrapText="1"/>
    </xf>
    <xf numFmtId="0" fontId="2" fillId="6" borderId="0" xfId="0" applyFont="1" applyFill="1"/>
    <xf numFmtId="0" fontId="16" fillId="6" borderId="0" xfId="0" applyFont="1" applyFill="1"/>
    <xf numFmtId="0" fontId="2" fillId="6" borderId="0" xfId="0" applyFont="1" applyFill="1" applyAlignment="1">
      <alignment horizontal="left" wrapText="1"/>
    </xf>
    <xf numFmtId="0" fontId="2" fillId="0" borderId="0" xfId="0" applyFont="1"/>
    <xf numFmtId="0" fontId="2" fillId="7" borderId="4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right"/>
    </xf>
    <xf numFmtId="0" fontId="17" fillId="7" borderId="4" xfId="0" applyFont="1" applyFill="1" applyBorder="1" applyAlignment="1">
      <alignment horizontal="center" vertical="center"/>
    </xf>
    <xf numFmtId="166" fontId="0" fillId="0" borderId="4" xfId="1" applyNumberFormat="1" applyFont="1" applyBorder="1" applyAlignment="1">
      <alignment horizontal="center" vertical="center"/>
    </xf>
    <xf numFmtId="0" fontId="0" fillId="13" borderId="13" xfId="0" applyFill="1" applyBorder="1"/>
    <xf numFmtId="166" fontId="0" fillId="13" borderId="13" xfId="0" applyNumberFormat="1" applyFill="1" applyBorder="1" applyAlignment="1">
      <alignment horizontal="right"/>
    </xf>
    <xf numFmtId="0" fontId="0" fillId="13" borderId="13" xfId="0" applyFill="1" applyBorder="1" applyAlignment="1">
      <alignment horizontal="right"/>
    </xf>
    <xf numFmtId="176" fontId="0" fillId="13" borderId="13" xfId="1" applyNumberFormat="1" applyFont="1" applyFill="1" applyBorder="1" applyAlignment="1">
      <alignment horizontal="center" vertical="center"/>
    </xf>
    <xf numFmtId="166" fontId="0" fillId="0" borderId="13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176" fontId="0" fillId="0" borderId="13" xfId="1" applyNumberFormat="1" applyFont="1" applyBorder="1" applyAlignment="1">
      <alignment horizontal="center" vertical="center"/>
    </xf>
    <xf numFmtId="166" fontId="0" fillId="13" borderId="13" xfId="1" applyNumberFormat="1" applyFont="1" applyFill="1" applyBorder="1" applyAlignment="1">
      <alignment horizontal="right"/>
    </xf>
    <xf numFmtId="166" fontId="0" fillId="0" borderId="13" xfId="1" applyNumberFormat="1" applyFont="1" applyBorder="1" applyAlignment="1">
      <alignment horizontal="right"/>
    </xf>
    <xf numFmtId="0" fontId="19" fillId="7" borderId="11" xfId="0" applyFont="1" applyFill="1" applyBorder="1"/>
    <xf numFmtId="176" fontId="0" fillId="13" borderId="13" xfId="0" applyNumberFormat="1" applyFill="1" applyBorder="1" applyAlignment="1">
      <alignment horizontal="center" vertical="center"/>
    </xf>
    <xf numFmtId="0" fontId="1" fillId="13" borderId="13" xfId="0" applyFont="1" applyFill="1" applyBorder="1"/>
    <xf numFmtId="176" fontId="1" fillId="13" borderId="13" xfId="0" applyNumberFormat="1" applyFont="1" applyFill="1" applyBorder="1" applyAlignment="1">
      <alignment horizontal="center" vertical="center"/>
    </xf>
    <xf numFmtId="169" fontId="0" fillId="0" borderId="13" xfId="0" applyNumberFormat="1" applyBorder="1"/>
    <xf numFmtId="166" fontId="0" fillId="0" borderId="13" xfId="0" applyNumberFormat="1" applyBorder="1"/>
    <xf numFmtId="0" fontId="1" fillId="8" borderId="22" xfId="0" applyFont="1" applyFill="1" applyBorder="1"/>
    <xf numFmtId="0" fontId="20" fillId="0" borderId="0" xfId="0" applyFont="1"/>
    <xf numFmtId="2" fontId="21" fillId="15" borderId="0" xfId="0" applyNumberFormat="1" applyFont="1" applyFill="1" applyAlignment="1">
      <alignment horizontal="center" vertical="center"/>
    </xf>
    <xf numFmtId="2" fontId="0" fillId="0" borderId="13" xfId="0" applyNumberFormat="1" applyBorder="1"/>
    <xf numFmtId="43" fontId="0" fillId="0" borderId="4" xfId="1" applyFont="1" applyBorder="1" applyAlignment="1">
      <alignment horizontal="center" vertical="center"/>
    </xf>
    <xf numFmtId="43" fontId="21" fillId="15" borderId="4" xfId="1" applyFont="1" applyFill="1" applyBorder="1" applyAlignment="1">
      <alignment horizontal="center" vertical="center"/>
    </xf>
    <xf numFmtId="9" fontId="1" fillId="12" borderId="0" xfId="0" applyNumberFormat="1" applyFont="1" applyFill="1" applyAlignment="1">
      <alignment horizontal="center" vertical="center"/>
    </xf>
    <xf numFmtId="10" fontId="1" fillId="12" borderId="0" xfId="0" applyNumberFormat="1" applyFont="1" applyFill="1" applyAlignment="1">
      <alignment horizontal="center" vertical="center"/>
    </xf>
    <xf numFmtId="3" fontId="0" fillId="12" borderId="0" xfId="0" applyNumberFormat="1" applyFill="1"/>
    <xf numFmtId="0" fontId="0" fillId="0" borderId="3" xfId="0" applyBorder="1" applyAlignment="1">
      <alignment horizontal="right"/>
    </xf>
    <xf numFmtId="10" fontId="9" fillId="0" borderId="1" xfId="4" applyNumberFormat="1" applyFont="1" applyBorder="1" applyAlignment="1">
      <alignment horizontal="right"/>
    </xf>
    <xf numFmtId="0" fontId="11" fillId="6" borderId="0" xfId="4" applyNumberFormat="1" applyFont="1" applyFill="1" applyAlignment="1">
      <alignment horizontal="right"/>
    </xf>
    <xf numFmtId="170" fontId="0" fillId="6" borderId="0" xfId="0" applyNumberFormat="1" applyFill="1"/>
    <xf numFmtId="166" fontId="6" fillId="6" borderId="0" xfId="0" applyNumberFormat="1" applyFont="1" applyFill="1"/>
    <xf numFmtId="10" fontId="9" fillId="6" borderId="0" xfId="4" applyNumberFormat="1" applyFont="1" applyFill="1" applyAlignment="1">
      <alignment horizontal="right"/>
    </xf>
    <xf numFmtId="0" fontId="11" fillId="9" borderId="0" xfId="4" applyNumberFormat="1" applyFont="1" applyFill="1" applyAlignment="1">
      <alignment horizontal="left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166" fontId="0" fillId="13" borderId="4" xfId="1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3" fillId="0" borderId="24" xfId="0" applyFont="1" applyBorder="1"/>
    <xf numFmtId="0" fontId="0" fillId="0" borderId="24" xfId="0" applyBorder="1"/>
    <xf numFmtId="0" fontId="0" fillId="0" borderId="24" xfId="0" applyBorder="1" applyAlignment="1">
      <alignment vertical="top"/>
    </xf>
    <xf numFmtId="0" fontId="0" fillId="0" borderId="24" xfId="0" applyBorder="1" applyAlignment="1">
      <alignment horizontal="right"/>
    </xf>
    <xf numFmtId="0" fontId="26" fillId="0" borderId="24" xfId="0" applyFont="1" applyBorder="1" applyAlignment="1">
      <alignment horizontal="right"/>
    </xf>
    <xf numFmtId="0" fontId="0" fillId="0" borderId="0" xfId="0" applyAlignment="1">
      <alignment vertical="top"/>
    </xf>
    <xf numFmtId="0" fontId="27" fillId="0" borderId="0" xfId="0" applyFont="1"/>
    <xf numFmtId="0" fontId="27" fillId="0" borderId="0" xfId="0" applyFont="1" applyAlignment="1">
      <alignment horizontal="right"/>
    </xf>
    <xf numFmtId="4" fontId="27" fillId="0" borderId="0" xfId="0" applyNumberFormat="1" applyFont="1" applyAlignment="1">
      <alignment horizontal="right"/>
    </xf>
    <xf numFmtId="10" fontId="27" fillId="0" borderId="0" xfId="0" applyNumberFormat="1" applyFont="1" applyAlignment="1">
      <alignment horizontal="right" vertical="top"/>
    </xf>
    <xf numFmtId="10" fontId="0" fillId="17" borderId="0" xfId="0" applyNumberFormat="1" applyFill="1" applyAlignment="1">
      <alignment horizontal="right"/>
    </xf>
    <xf numFmtId="2" fontId="28" fillId="14" borderId="0" xfId="0" applyNumberFormat="1" applyFont="1" applyFill="1" applyAlignment="1">
      <alignment horizontal="right"/>
    </xf>
    <xf numFmtId="0" fontId="0" fillId="0" borderId="25" xfId="0" applyBorder="1"/>
    <xf numFmtId="0" fontId="23" fillId="0" borderId="0" xfId="0" applyFont="1"/>
    <xf numFmtId="1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3" fillId="0" borderId="25" xfId="0" applyFont="1" applyBorder="1"/>
    <xf numFmtId="10" fontId="0" fillId="0" borderId="25" xfId="0" applyNumberFormat="1" applyBorder="1" applyAlignment="1">
      <alignment horizontal="right"/>
    </xf>
    <xf numFmtId="2" fontId="0" fillId="0" borderId="25" xfId="0" applyNumberFormat="1" applyBorder="1" applyAlignment="1">
      <alignment horizontal="right"/>
    </xf>
    <xf numFmtId="0" fontId="23" fillId="0" borderId="25" xfId="0" applyFont="1" applyBorder="1" applyAlignment="1">
      <alignment vertical="center"/>
    </xf>
    <xf numFmtId="10" fontId="27" fillId="0" borderId="0" xfId="0" applyNumberFormat="1" applyFont="1" applyAlignment="1">
      <alignment horizontal="right"/>
    </xf>
    <xf numFmtId="10" fontId="27" fillId="0" borderId="0" xfId="0" applyNumberFormat="1" applyFont="1"/>
    <xf numFmtId="0" fontId="0" fillId="0" borderId="28" xfId="0" applyBorder="1"/>
    <xf numFmtId="10" fontId="0" fillId="0" borderId="28" xfId="0" applyNumberFormat="1" applyBorder="1" applyAlignment="1">
      <alignment horizontal="right"/>
    </xf>
    <xf numFmtId="0" fontId="0" fillId="0" borderId="28" xfId="0" applyBorder="1" applyAlignment="1">
      <alignment vertical="center"/>
    </xf>
    <xf numFmtId="2" fontId="0" fillId="6" borderId="0" xfId="0" applyNumberFormat="1" applyFill="1"/>
    <xf numFmtId="10" fontId="0" fillId="0" borderId="29" xfId="0" applyNumberFormat="1" applyBorder="1"/>
    <xf numFmtId="0" fontId="23" fillId="0" borderId="25" xfId="0" applyFont="1" applyBorder="1" applyAlignment="1">
      <alignment horizontal="right"/>
    </xf>
    <xf numFmtId="0" fontId="28" fillId="0" borderId="0" xfId="0" applyFont="1" applyAlignment="1">
      <alignment horizontal="right"/>
    </xf>
    <xf numFmtId="10" fontId="28" fillId="0" borderId="0" xfId="0" applyNumberFormat="1" applyFont="1" applyAlignment="1">
      <alignment horizontal="right"/>
    </xf>
    <xf numFmtId="4" fontId="28" fillId="0" borderId="2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0" fontId="0" fillId="0" borderId="29" xfId="0" applyNumberFormat="1" applyBorder="1" applyAlignment="1">
      <alignment horizontal="right"/>
    </xf>
    <xf numFmtId="10" fontId="23" fillId="17" borderId="0" xfId="0" applyNumberFormat="1" applyFont="1" applyFill="1" applyAlignment="1">
      <alignment horizontal="right"/>
    </xf>
    <xf numFmtId="0" fontId="29" fillId="0" borderId="0" xfId="0" applyFont="1" applyAlignment="1">
      <alignment vertical="center"/>
    </xf>
    <xf numFmtId="0" fontId="23" fillId="0" borderId="30" xfId="0" applyFont="1" applyBorder="1" applyAlignment="1">
      <alignment horizontal="right"/>
    </xf>
    <xf numFmtId="0" fontId="23" fillId="0" borderId="29" xfId="0" applyFont="1" applyBorder="1"/>
    <xf numFmtId="0" fontId="23" fillId="6" borderId="29" xfId="0" applyFont="1" applyFill="1" applyBorder="1"/>
    <xf numFmtId="10" fontId="23" fillId="14" borderId="29" xfId="4" applyNumberFormat="1" applyFont="1" applyFill="1" applyBorder="1"/>
    <xf numFmtId="0" fontId="0" fillId="6" borderId="0" xfId="0" applyFill="1" applyAlignment="1">
      <alignment horizontal="center"/>
    </xf>
    <xf numFmtId="0" fontId="22" fillId="6" borderId="0" xfId="0" applyFont="1" applyFill="1"/>
    <xf numFmtId="0" fontId="30" fillId="6" borderId="0" xfId="0" applyFont="1" applyFill="1" applyAlignment="1">
      <alignment horizontal="center" vertical="center"/>
    </xf>
    <xf numFmtId="0" fontId="23" fillId="0" borderId="31" xfId="0" applyFont="1" applyBorder="1" applyAlignment="1">
      <alignment horizontal="left"/>
    </xf>
    <xf numFmtId="0" fontId="23" fillId="0" borderId="31" xfId="0" applyFont="1" applyBorder="1" applyAlignment="1">
      <alignment horizontal="right"/>
    </xf>
    <xf numFmtId="0" fontId="23" fillId="0" borderId="0" xfId="0" applyFont="1" applyAlignment="1">
      <alignment horizontal="left"/>
    </xf>
    <xf numFmtId="177" fontId="0" fillId="0" borderId="0" xfId="1" applyNumberFormat="1" applyFont="1"/>
    <xf numFmtId="0" fontId="23" fillId="13" borderId="0" xfId="0" applyFont="1" applyFill="1"/>
    <xf numFmtId="2" fontId="23" fillId="13" borderId="0" xfId="0" applyNumberFormat="1" applyFont="1" applyFill="1"/>
    <xf numFmtId="0" fontId="23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23" fillId="0" borderId="23" xfId="0" applyFont="1" applyBorder="1" applyAlignment="1">
      <alignment horizontal="left"/>
    </xf>
    <xf numFmtId="0" fontId="23" fillId="0" borderId="23" xfId="0" applyFont="1" applyBorder="1" applyAlignment="1">
      <alignment horizontal="right"/>
    </xf>
    <xf numFmtId="10" fontId="0" fillId="0" borderId="0" xfId="4" applyNumberFormat="1" applyFont="1" applyAlignment="1">
      <alignment horizontal="right"/>
    </xf>
    <xf numFmtId="0" fontId="23" fillId="13" borderId="26" xfId="0" applyFont="1" applyFill="1" applyBorder="1"/>
    <xf numFmtId="10" fontId="23" fillId="13" borderId="27" xfId="0" applyNumberFormat="1" applyFont="1" applyFill="1" applyBorder="1"/>
    <xf numFmtId="0" fontId="0" fillId="6" borderId="0" xfId="0" applyFill="1" applyAlignment="1">
      <alignment horizontal="right"/>
    </xf>
    <xf numFmtId="0" fontId="0" fillId="6" borderId="32" xfId="0" applyFill="1" applyBorder="1"/>
    <xf numFmtId="0" fontId="0" fillId="6" borderId="32" xfId="0" applyFill="1" applyBorder="1" applyAlignment="1">
      <alignment horizontal="right"/>
    </xf>
    <xf numFmtId="0" fontId="0" fillId="0" borderId="32" xfId="0" applyBorder="1"/>
    <xf numFmtId="0" fontId="2" fillId="7" borderId="0" xfId="0" applyFont="1" applyFill="1" applyAlignment="1">
      <alignment horizontal="center"/>
    </xf>
    <xf numFmtId="10" fontId="8" fillId="13" borderId="0" xfId="0" applyNumberFormat="1" applyFont="1" applyFill="1"/>
    <xf numFmtId="43" fontId="1" fillId="8" borderId="22" xfId="1" applyFont="1" applyFill="1" applyBorder="1"/>
    <xf numFmtId="0" fontId="1" fillId="6" borderId="0" xfId="0" applyFont="1" applyFill="1"/>
    <xf numFmtId="3" fontId="0" fillId="6" borderId="0" xfId="0" applyNumberFormat="1" applyFill="1"/>
    <xf numFmtId="166" fontId="1" fillId="0" borderId="13" xfId="1" applyNumberFormat="1" applyFont="1" applyBorder="1" applyAlignment="1">
      <alignment horizontal="left" vertical="center"/>
    </xf>
    <xf numFmtId="166" fontId="0" fillId="0" borderId="13" xfId="1" applyNumberFormat="1" applyFont="1" applyBorder="1" applyAlignment="1">
      <alignment horizontal="left" vertical="center"/>
    </xf>
    <xf numFmtId="166" fontId="0" fillId="0" borderId="14" xfId="1" applyNumberFormat="1" applyFont="1" applyBorder="1" applyAlignment="1">
      <alignment horizontal="left" vertical="center"/>
    </xf>
    <xf numFmtId="166" fontId="0" fillId="0" borderId="14" xfId="0" applyNumberFormat="1" applyBorder="1"/>
    <xf numFmtId="166" fontId="1" fillId="0" borderId="15" xfId="1" applyNumberFormat="1" applyFont="1" applyBorder="1" applyAlignment="1">
      <alignment horizontal="left" vertical="center"/>
    </xf>
    <xf numFmtId="166" fontId="1" fillId="0" borderId="15" xfId="1" applyNumberFormat="1" applyFont="1" applyBorder="1" applyAlignment="1">
      <alignment horizontal="center" vertical="center"/>
    </xf>
    <xf numFmtId="166" fontId="1" fillId="0" borderId="33" xfId="1" applyNumberFormat="1" applyFont="1" applyBorder="1" applyAlignment="1">
      <alignment horizontal="left" vertical="center"/>
    </xf>
    <xf numFmtId="166" fontId="0" fillId="0" borderId="33" xfId="0" applyNumberFormat="1" applyBorder="1"/>
    <xf numFmtId="166" fontId="1" fillId="0" borderId="33" xfId="1" applyNumberFormat="1" applyFont="1" applyBorder="1" applyAlignment="1">
      <alignment horizontal="center" vertical="center"/>
    </xf>
    <xf numFmtId="0" fontId="0" fillId="0" borderId="7" xfId="0" applyBorder="1"/>
    <xf numFmtId="0" fontId="12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Continuous"/>
    </xf>
    <xf numFmtId="166" fontId="0" fillId="0" borderId="15" xfId="1" applyNumberFormat="1" applyFont="1" applyBorder="1" applyAlignment="1">
      <alignment horizontal="right"/>
    </xf>
    <xf numFmtId="0" fontId="33" fillId="6" borderId="0" xfId="0" applyFont="1" applyFill="1"/>
    <xf numFmtId="0" fontId="32" fillId="7" borderId="0" xfId="0" applyFont="1" applyFill="1" applyAlignment="1">
      <alignment horizontal="left" vertical="center" indent="1"/>
    </xf>
    <xf numFmtId="0" fontId="33" fillId="7" borderId="0" xfId="0" applyFont="1" applyFill="1"/>
    <xf numFmtId="10" fontId="2" fillId="7" borderId="0" xfId="4" applyNumberFormat="1" applyFont="1" applyFill="1"/>
    <xf numFmtId="168" fontId="2" fillId="7" borderId="0" xfId="4" applyNumberFormat="1" applyFont="1" applyFill="1"/>
    <xf numFmtId="0" fontId="22" fillId="6" borderId="0" xfId="0" applyFont="1" applyFill="1" applyAlignment="1">
      <alignment horizontal="center"/>
    </xf>
    <xf numFmtId="10" fontId="0" fillId="6" borderId="0" xfId="0" applyNumberFormat="1" applyFill="1"/>
    <xf numFmtId="2" fontId="23" fillId="6" borderId="0" xfId="0" applyNumberFormat="1" applyFont="1" applyFill="1"/>
    <xf numFmtId="2" fontId="30" fillId="19" borderId="27" xfId="0" applyNumberFormat="1" applyFont="1" applyFill="1" applyBorder="1" applyAlignment="1">
      <alignment horizontal="center" vertical="center"/>
    </xf>
    <xf numFmtId="0" fontId="36" fillId="12" borderId="0" xfId="0" applyFont="1" applyFill="1"/>
    <xf numFmtId="0" fontId="36" fillId="12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10" fontId="0" fillId="0" borderId="4" xfId="4" applyNumberFormat="1" applyFont="1" applyBorder="1"/>
    <xf numFmtId="0" fontId="0" fillId="0" borderId="4" xfId="0" applyBorder="1"/>
    <xf numFmtId="10" fontId="0" fillId="0" borderId="4" xfId="0" applyNumberFormat="1" applyBorder="1"/>
    <xf numFmtId="9" fontId="0" fillId="0" borderId="0" xfId="0" applyNumberFormat="1"/>
    <xf numFmtId="10" fontId="21" fillId="0" borderId="4" xfId="0" applyNumberFormat="1" applyFont="1" applyBorder="1"/>
    <xf numFmtId="0" fontId="21" fillId="0" borderId="4" xfId="0" applyFont="1" applyBorder="1"/>
    <xf numFmtId="10" fontId="6" fillId="0" borderId="4" xfId="4" applyNumberFormat="1" applyFont="1" applyBorder="1"/>
    <xf numFmtId="0" fontId="12" fillId="0" borderId="0" xfId="0" applyFont="1" applyAlignment="1">
      <alignment horizontal="center"/>
    </xf>
    <xf numFmtId="0" fontId="30" fillId="19" borderId="26" xfId="0" applyFont="1" applyFill="1" applyBorder="1" applyAlignment="1">
      <alignment horizontal="center" vertical="center"/>
    </xf>
    <xf numFmtId="0" fontId="30" fillId="19" borderId="23" xfId="0" applyFont="1" applyFill="1" applyBorder="1" applyAlignment="1">
      <alignment horizontal="center" vertical="center"/>
    </xf>
    <xf numFmtId="0" fontId="22" fillId="18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35" fillId="1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28" fillId="6" borderId="0" xfId="0" applyFont="1" applyFill="1" applyAlignment="1">
      <alignment horizontal="center" vertical="center"/>
    </xf>
    <xf numFmtId="0" fontId="22" fillId="20" borderId="26" xfId="0" applyFont="1" applyFill="1" applyBorder="1" applyAlignment="1">
      <alignment horizontal="center" wrapText="1"/>
    </xf>
    <xf numFmtId="0" fontId="22" fillId="20" borderId="2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4" fillId="7" borderId="0" xfId="0" applyFont="1" applyFill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2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left"/>
    </xf>
    <xf numFmtId="0" fontId="13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8" fillId="7" borderId="0" xfId="0" applyFont="1" applyFill="1" applyAlignment="1">
      <alignment horizontal="center"/>
    </xf>
    <xf numFmtId="0" fontId="24" fillId="7" borderId="0" xfId="0" applyFont="1" applyFill="1" applyAlignment="1">
      <alignment vertical="center"/>
    </xf>
    <xf numFmtId="0" fontId="37" fillId="5" borderId="0" xfId="0" applyFont="1" applyFill="1" applyAlignment="1">
      <alignment horizontal="center"/>
    </xf>
    <xf numFmtId="0" fontId="38" fillId="0" borderId="20" xfId="0" applyFont="1" applyBorder="1"/>
    <xf numFmtId="166" fontId="38" fillId="0" borderId="20" xfId="0" applyNumberFormat="1" applyFont="1" applyBorder="1"/>
    <xf numFmtId="0" fontId="1" fillId="0" borderId="34" xfId="0" applyFont="1" applyBorder="1"/>
    <xf numFmtId="166" fontId="1" fillId="0" borderId="34" xfId="0" applyNumberFormat="1" applyFont="1" applyBorder="1"/>
    <xf numFmtId="0" fontId="1" fillId="0" borderId="33" xfId="0" applyFont="1" applyBorder="1"/>
    <xf numFmtId="166" fontId="1" fillId="0" borderId="33" xfId="0" applyNumberFormat="1" applyFont="1" applyBorder="1"/>
    <xf numFmtId="0" fontId="0" fillId="0" borderId="33" xfId="0" applyBorder="1"/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17/10/relationships/person" Target="persons/pers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Sales</a:t>
            </a:r>
            <a:r>
              <a:rPr lang="en-IN" b="1" baseline="0"/>
              <a:t> Regression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dbl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'Forecasting&gt;'!$D$4:$D$13</c:f>
              <c:numCache>
                <c:formatCode>"₹"\ #,##0.0;\("₹"\ #,##0.0\);\-</c:formatCode>
                <c:ptCount val="10"/>
                <c:pt idx="0">
                  <c:v>29233.74</c:v>
                </c:pt>
                <c:pt idx="1">
                  <c:v>31972.19</c:v>
                </c:pt>
                <c:pt idx="2">
                  <c:v>32186</c:v>
                </c:pt>
                <c:pt idx="3">
                  <c:v>33162</c:v>
                </c:pt>
                <c:pt idx="4">
                  <c:v>35545</c:v>
                </c:pt>
                <c:pt idx="5">
                  <c:v>39310</c:v>
                </c:pt>
                <c:pt idx="6">
                  <c:v>39783</c:v>
                </c:pt>
                <c:pt idx="7">
                  <c:v>47028</c:v>
                </c:pt>
                <c:pt idx="8">
                  <c:v>52446</c:v>
                </c:pt>
                <c:pt idx="9">
                  <c:v>60580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D-4AFF-95B0-6FA813B4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579616"/>
        <c:axId val="672581056"/>
      </c:scatterChart>
      <c:valAx>
        <c:axId val="6725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81056"/>
        <c:crosses val="autoZero"/>
        <c:crossBetween val="midCat"/>
      </c:valAx>
      <c:valAx>
        <c:axId val="6725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;\(&quot;₹&quot;\ #,##0.0\)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7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345280</xdr:colOff>
      <xdr:row>23</xdr:row>
      <xdr:rowOff>42862</xdr:rowOff>
    </xdr:from>
    <xdr:to>
      <xdr:col>8</xdr:col>
      <xdr:colOff>11905</xdr:colOff>
      <xdr:row>37</xdr:row>
      <xdr:rowOff>121444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71973-8253-28C9-6FB6-6EF0F15DE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C302-A792-4740-B56F-B892CCF6BA68}">
  <sheetPr>
    <tabColor rgb="FFFF0000"/>
  </sheetPr>
  <dimension ref="B1:AD112"/>
  <sheetViews>
    <sheetView showGridLines="0" topLeftCell="AD4" workbookViewId="0">
      <selection activeCell="AP10" sqref="AP10"/>
    </sheetView>
  </sheetViews>
  <sheetFormatPr defaultRowHeight="15" x14ac:dyDescent="0.25"/>
  <cols>
    <col min="1" max="1" width="1.85546875" customWidth="1"/>
    <col min="2" max="2" width="10.42578125" bestFit="1" customWidth="1"/>
    <col min="3" max="3" width="12.28515625" bestFit="1" customWidth="1"/>
    <col min="4" max="4" width="14.42578125" bestFit="1" customWidth="1"/>
    <col min="6" max="6" width="12.28515625" bestFit="1" customWidth="1"/>
    <col min="7" max="7" width="14.42578125" bestFit="1" customWidth="1"/>
    <col min="9" max="9" width="18.85546875" bestFit="1" customWidth="1"/>
    <col min="10" max="10" width="7.140625" bestFit="1" customWidth="1"/>
    <col min="11" max="11" width="7.140625" style="23" customWidth="1"/>
    <col min="12" max="12" width="14.85546875" customWidth="1"/>
    <col min="13" max="13" width="8.5703125" customWidth="1"/>
    <col min="14" max="14" width="5.28515625" bestFit="1" customWidth="1"/>
    <col min="16" max="16" width="10.42578125" bestFit="1" customWidth="1"/>
    <col min="17" max="17" width="12.28515625" bestFit="1" customWidth="1"/>
    <col min="18" max="18" width="14.42578125" bestFit="1" customWidth="1"/>
    <col min="20" max="20" width="10.42578125" bestFit="1" customWidth="1"/>
    <col min="21" max="21" width="12.28515625" bestFit="1" customWidth="1"/>
    <col min="22" max="22" width="14.42578125" bestFit="1" customWidth="1"/>
    <col min="24" max="24" width="10.42578125" bestFit="1" customWidth="1"/>
    <col min="25" max="25" width="12.28515625" bestFit="1" customWidth="1"/>
    <col min="26" max="26" width="14.42578125" bestFit="1" customWidth="1"/>
    <col min="28" max="28" width="10.42578125" bestFit="1" customWidth="1"/>
    <col min="29" max="29" width="12.28515625" bestFit="1" customWidth="1"/>
    <col min="30" max="30" width="14.42578125" bestFit="1" customWidth="1"/>
  </cols>
  <sheetData>
    <row r="1" spans="2:30" x14ac:dyDescent="0.25">
      <c r="B1" s="229"/>
      <c r="C1" s="229"/>
      <c r="D1" s="229"/>
      <c r="E1" s="23"/>
      <c r="F1" s="23"/>
      <c r="G1" s="23"/>
      <c r="H1" s="23"/>
      <c r="I1" s="23"/>
      <c r="J1" s="23"/>
      <c r="L1" s="23"/>
      <c r="M1" s="23"/>
      <c r="N1" s="23"/>
    </row>
    <row r="2" spans="2:30" x14ac:dyDescent="0.25">
      <c r="B2" s="290" t="s">
        <v>363</v>
      </c>
      <c r="C2" s="290"/>
      <c r="D2" s="290"/>
    </row>
    <row r="3" spans="2:30" x14ac:dyDescent="0.25">
      <c r="B3" s="203"/>
      <c r="C3" s="203"/>
      <c r="D3" s="203"/>
    </row>
    <row r="4" spans="2:30" x14ac:dyDescent="0.25">
      <c r="B4" s="289" t="str">
        <f>'Data Sheet'!B1&amp;" Returns"</f>
        <v>HINDUSTAN UNILEVER LTD Returns</v>
      </c>
      <c r="C4" s="289"/>
      <c r="D4" s="289"/>
      <c r="F4" s="289" t="s">
        <v>336</v>
      </c>
      <c r="G4" s="289"/>
      <c r="H4" s="230"/>
      <c r="I4" s="289" t="s">
        <v>337</v>
      </c>
      <c r="J4" s="289"/>
      <c r="K4" s="272"/>
      <c r="L4" s="287" t="s">
        <v>364</v>
      </c>
      <c r="M4" s="288"/>
      <c r="N4" s="275">
        <f>SLOPE(D8:D112,G8:G112)</f>
        <v>0.7110929513699058</v>
      </c>
      <c r="P4" s="289" t="str">
        <f>'WACC&gt;'!B11&amp;" Returns"</f>
        <v>Nestle India Returns</v>
      </c>
      <c r="Q4" s="289"/>
      <c r="R4" s="289"/>
      <c r="T4" s="289" t="str">
        <f>'WACC&gt;'!B12&amp;" Returns"</f>
        <v>Britannia Inds. Returns</v>
      </c>
      <c r="U4" s="289"/>
      <c r="V4" s="289"/>
      <c r="X4" s="289" t="str">
        <f>'WACC&gt;'!B13&amp;" Returns"</f>
        <v>Godrej Consumer Returns</v>
      </c>
      <c r="Y4" s="289"/>
      <c r="Z4" s="289"/>
      <c r="AB4" s="289" t="str">
        <f>'WACC&gt;'!B14&amp;" Returns"</f>
        <v>Varun Beverages Returns</v>
      </c>
      <c r="AC4" s="289"/>
      <c r="AD4" s="289"/>
    </row>
    <row r="5" spans="2:30" x14ac:dyDescent="0.25">
      <c r="B5" s="203"/>
      <c r="C5" s="203"/>
      <c r="D5" s="203"/>
      <c r="M5" s="231"/>
      <c r="N5" s="231"/>
      <c r="P5" s="203"/>
      <c r="Q5" s="203"/>
      <c r="R5" s="203"/>
      <c r="T5" s="203"/>
      <c r="U5" s="203"/>
      <c r="V5" s="203"/>
      <c r="X5" s="203"/>
      <c r="Y5" s="203"/>
      <c r="Z5" s="203"/>
      <c r="AB5" s="203"/>
      <c r="AC5" s="203"/>
      <c r="AD5" s="203"/>
    </row>
    <row r="6" spans="2:30" x14ac:dyDescent="0.25">
      <c r="B6" s="232" t="s">
        <v>338</v>
      </c>
      <c r="C6" s="233" t="s">
        <v>339</v>
      </c>
      <c r="D6" s="233" t="s">
        <v>340</v>
      </c>
      <c r="F6" s="233" t="s">
        <v>339</v>
      </c>
      <c r="G6" s="233" t="s">
        <v>340</v>
      </c>
      <c r="I6" s="234" t="s">
        <v>341</v>
      </c>
      <c r="J6" s="140">
        <f>N4</f>
        <v>0.7110929513699058</v>
      </c>
      <c r="K6" s="215"/>
      <c r="L6" s="287" t="s">
        <v>365</v>
      </c>
      <c r="M6" s="288"/>
      <c r="N6" s="275">
        <f>SLOPE(R8:R112,G8:G112)</f>
        <v>0.48302889526947151</v>
      </c>
      <c r="P6" s="232" t="s">
        <v>338</v>
      </c>
      <c r="Q6" s="233" t="s">
        <v>339</v>
      </c>
      <c r="R6" s="233" t="s">
        <v>340</v>
      </c>
      <c r="T6" s="232" t="s">
        <v>338</v>
      </c>
      <c r="U6" s="233" t="s">
        <v>339</v>
      </c>
      <c r="V6" s="233" t="s">
        <v>340</v>
      </c>
      <c r="X6" s="232" t="s">
        <v>338</v>
      </c>
      <c r="Y6" s="233" t="s">
        <v>339</v>
      </c>
      <c r="Z6" s="233" t="s">
        <v>340</v>
      </c>
      <c r="AB6" s="232" t="s">
        <v>338</v>
      </c>
      <c r="AC6" s="233" t="s">
        <v>339</v>
      </c>
      <c r="AD6" s="233" t="s">
        <v>340</v>
      </c>
    </row>
    <row r="7" spans="2:30" x14ac:dyDescent="0.25">
      <c r="B7" s="46">
        <v>44396</v>
      </c>
      <c r="C7" s="235">
        <v>2268.7458499999998</v>
      </c>
      <c r="D7" s="26" t="s">
        <v>61</v>
      </c>
      <c r="F7" s="235">
        <v>15856.049805000001</v>
      </c>
      <c r="G7" s="26" t="s">
        <v>61</v>
      </c>
      <c r="I7" t="s">
        <v>342</v>
      </c>
      <c r="J7" s="4">
        <v>0.75</v>
      </c>
      <c r="K7" s="273"/>
      <c r="M7" s="231"/>
      <c r="N7" s="231"/>
      <c r="P7" s="46">
        <v>44396</v>
      </c>
      <c r="Q7" s="235">
        <v>17690.085938</v>
      </c>
      <c r="R7" s="26" t="s">
        <v>61</v>
      </c>
      <c r="T7" s="46">
        <v>44396</v>
      </c>
      <c r="U7" s="235">
        <v>3273.188721</v>
      </c>
      <c r="V7" s="26" t="s">
        <v>61</v>
      </c>
      <c r="X7" s="46">
        <v>44396</v>
      </c>
      <c r="Y7" s="235">
        <v>980.15002400000003</v>
      </c>
      <c r="Z7" s="26" t="s">
        <v>61</v>
      </c>
      <c r="AB7" s="46">
        <v>44396</v>
      </c>
      <c r="AC7" s="235">
        <v>240.60569799999999</v>
      </c>
      <c r="AD7" s="26" t="s">
        <v>61</v>
      </c>
    </row>
    <row r="8" spans="2:30" x14ac:dyDescent="0.25">
      <c r="B8" s="46">
        <v>44403</v>
      </c>
      <c r="C8" s="235">
        <v>2244.8859859999998</v>
      </c>
      <c r="D8" s="75">
        <f>C8/C7-1</f>
        <v>-1.0516763700085696E-2</v>
      </c>
      <c r="F8" s="235">
        <v>15763.049805000001</v>
      </c>
      <c r="G8" s="75">
        <f>F8/F7-1</f>
        <v>-5.8652691650018518E-3</v>
      </c>
      <c r="J8" s="4"/>
      <c r="K8" s="273"/>
      <c r="L8" s="287" t="s">
        <v>368</v>
      </c>
      <c r="M8" s="288"/>
      <c r="N8" s="275">
        <f>SLOPE(V8:V112,G8:G112)</f>
        <v>0.56473361464143534</v>
      </c>
      <c r="P8" s="46">
        <v>44403</v>
      </c>
      <c r="Q8" s="235">
        <v>17259.824218999998</v>
      </c>
      <c r="R8" s="75">
        <f>Q8/Q7-1</f>
        <v>-2.4322194957558607E-2</v>
      </c>
      <c r="T8" s="46">
        <v>44403</v>
      </c>
      <c r="U8" s="235">
        <v>3257.5832519999999</v>
      </c>
      <c r="V8" s="75">
        <f>U8/U7-1</f>
        <v>-4.7676655182999905E-3</v>
      </c>
      <c r="X8" s="46">
        <v>44403</v>
      </c>
      <c r="Y8" s="235">
        <v>987.79998799999998</v>
      </c>
      <c r="Z8" s="75">
        <f>Y8/Y7-1</f>
        <v>7.8048908969878816E-3</v>
      </c>
      <c r="AB8" s="46">
        <v>44403</v>
      </c>
      <c r="AC8" s="235">
        <v>250.26409899999999</v>
      </c>
      <c r="AD8" s="75">
        <f>AC8/AC7-1</f>
        <v>4.0142029387849387E-2</v>
      </c>
    </row>
    <row r="9" spans="2:30" x14ac:dyDescent="0.25">
      <c r="B9" s="46">
        <v>44410</v>
      </c>
      <c r="C9" s="235">
        <v>2281.6381839999999</v>
      </c>
      <c r="D9" s="75">
        <f t="shared" ref="D9:D72" si="0">C9/C8-1</f>
        <v>1.6371520972201514E-2</v>
      </c>
      <c r="F9" s="235">
        <v>16238.200194999999</v>
      </c>
      <c r="G9" s="75">
        <f t="shared" ref="G9:G72" si="1">F9/F8-1</f>
        <v>3.0143303223547635E-2</v>
      </c>
      <c r="I9" t="s">
        <v>343</v>
      </c>
      <c r="J9" s="140">
        <v>1</v>
      </c>
      <c r="K9" s="215"/>
      <c r="N9" s="238"/>
      <c r="P9" s="46">
        <v>44410</v>
      </c>
      <c r="Q9" s="235">
        <v>17569.873047000001</v>
      </c>
      <c r="R9" s="75">
        <f t="shared" ref="R9:R72" si="2">Q9/Q8-1</f>
        <v>1.7963614464780786E-2</v>
      </c>
      <c r="T9" s="46">
        <v>44410</v>
      </c>
      <c r="U9" s="235">
        <v>3429.435547</v>
      </c>
      <c r="V9" s="75">
        <f t="shared" ref="V9:V72" si="3">U9/U8-1</f>
        <v>5.2754536632176885E-2</v>
      </c>
      <c r="X9" s="46">
        <v>44410</v>
      </c>
      <c r="Y9" s="235">
        <v>972.25</v>
      </c>
      <c r="Z9" s="75">
        <f t="shared" ref="Z9:Z72" si="4">Y9/Y8-1</f>
        <v>-1.5742041090204939E-2</v>
      </c>
      <c r="AB9" s="46">
        <v>44410</v>
      </c>
      <c r="AC9" s="235">
        <v>253.97636399999999</v>
      </c>
      <c r="AD9" s="75">
        <f t="shared" ref="AD9:AD72" si="5">AC9/AC8-1</f>
        <v>1.4833390066067764E-2</v>
      </c>
    </row>
    <row r="10" spans="2:30" x14ac:dyDescent="0.25">
      <c r="B10" s="46">
        <v>44417</v>
      </c>
      <c r="C10" s="235">
        <v>2313.3876949999999</v>
      </c>
      <c r="D10" s="75">
        <f t="shared" si="0"/>
        <v>1.3915226008507142E-2</v>
      </c>
      <c r="F10" s="235">
        <v>16529.099609000001</v>
      </c>
      <c r="G10" s="75">
        <f t="shared" si="1"/>
        <v>1.79145108760006E-2</v>
      </c>
      <c r="I10" t="s">
        <v>344</v>
      </c>
      <c r="J10" s="4">
        <v>0.25</v>
      </c>
      <c r="K10" s="273"/>
      <c r="L10" s="287" t="s">
        <v>366</v>
      </c>
      <c r="M10" s="288"/>
      <c r="N10" s="275">
        <f>SLOPE(Z8:Z112,G8:G112)</f>
        <v>0.57057385776391434</v>
      </c>
      <c r="P10" s="46">
        <v>44417</v>
      </c>
      <c r="Q10" s="235">
        <v>17812.544922000001</v>
      </c>
      <c r="R10" s="75">
        <f t="shared" si="2"/>
        <v>1.3811817214093969E-2</v>
      </c>
      <c r="T10" s="46">
        <v>44417</v>
      </c>
      <c r="U10" s="235">
        <v>3406.169922</v>
      </c>
      <c r="V10" s="75">
        <f t="shared" si="3"/>
        <v>-6.784097464771488E-3</v>
      </c>
      <c r="X10" s="46">
        <v>44417</v>
      </c>
      <c r="Y10" s="235">
        <v>983.25</v>
      </c>
      <c r="Z10" s="75">
        <f t="shared" si="4"/>
        <v>1.1313962458215476E-2</v>
      </c>
      <c r="AB10" s="46">
        <v>44417</v>
      </c>
      <c r="AC10" s="235">
        <v>254.731934</v>
      </c>
      <c r="AD10" s="75">
        <f t="shared" si="5"/>
        <v>2.9749618747987316E-3</v>
      </c>
    </row>
    <row r="11" spans="2:30" x14ac:dyDescent="0.25">
      <c r="B11" s="46">
        <v>44424</v>
      </c>
      <c r="C11" s="235">
        <v>2520.1442870000001</v>
      </c>
      <c r="D11" s="75">
        <f t="shared" si="0"/>
        <v>8.9373948191593611E-2</v>
      </c>
      <c r="F11" s="235">
        <v>16450.5</v>
      </c>
      <c r="G11" s="75">
        <f t="shared" si="1"/>
        <v>-4.7552262893499897E-3</v>
      </c>
      <c r="P11" s="46">
        <v>44424</v>
      </c>
      <c r="Q11" s="235">
        <v>19081.683593999998</v>
      </c>
      <c r="R11" s="75">
        <f t="shared" si="2"/>
        <v>7.1249710670624244E-2</v>
      </c>
      <c r="T11" s="46">
        <v>44424</v>
      </c>
      <c r="U11" s="235">
        <v>3707.244385</v>
      </c>
      <c r="V11" s="75">
        <f t="shared" si="3"/>
        <v>8.8390911168406472E-2</v>
      </c>
      <c r="X11" s="46">
        <v>44424</v>
      </c>
      <c r="Y11" s="235">
        <v>1033.150024</v>
      </c>
      <c r="Z11" s="75">
        <f t="shared" si="4"/>
        <v>5.0750087973557179E-2</v>
      </c>
      <c r="AB11" s="46">
        <v>44424</v>
      </c>
      <c r="AC11" s="235">
        <v>266.76177999999999</v>
      </c>
      <c r="AD11" s="75">
        <f t="shared" si="5"/>
        <v>4.7225511976837442E-2</v>
      </c>
    </row>
    <row r="12" spans="2:30" x14ac:dyDescent="0.25">
      <c r="B12" s="46">
        <v>44431</v>
      </c>
      <c r="C12" s="235">
        <v>2576.4760740000002</v>
      </c>
      <c r="D12" s="75">
        <f t="shared" si="0"/>
        <v>2.2352603892794587E-2</v>
      </c>
      <c r="F12" s="235">
        <v>16705.199218999998</v>
      </c>
      <c r="G12" s="75">
        <f t="shared" si="1"/>
        <v>1.5482764596820742E-2</v>
      </c>
      <c r="I12" s="236" t="s">
        <v>345</v>
      </c>
      <c r="J12" s="237">
        <f>J6*J7+J9*J10</f>
        <v>0.78331971352742935</v>
      </c>
      <c r="K12" s="274"/>
      <c r="L12" s="287" t="s">
        <v>367</v>
      </c>
      <c r="M12" s="288"/>
      <c r="N12" s="275">
        <f>SLOPE(AD8:AD112,G8:G112)</f>
        <v>0.79011343444032978</v>
      </c>
      <c r="P12" s="46">
        <v>44431</v>
      </c>
      <c r="Q12" s="235">
        <v>19458.125</v>
      </c>
      <c r="R12" s="75">
        <f t="shared" si="2"/>
        <v>1.9727892674961334E-2</v>
      </c>
      <c r="T12" s="46">
        <v>44431</v>
      </c>
      <c r="U12" s="235">
        <v>3750.6359859999998</v>
      </c>
      <c r="V12" s="75">
        <f t="shared" si="3"/>
        <v>1.1704542914831251E-2</v>
      </c>
      <c r="X12" s="46">
        <v>44431</v>
      </c>
      <c r="Y12" s="235">
        <v>1054.0500489999999</v>
      </c>
      <c r="Z12" s="75">
        <f t="shared" si="4"/>
        <v>2.0229419265831439E-2</v>
      </c>
      <c r="AB12" s="46">
        <v>44431</v>
      </c>
      <c r="AC12" s="235">
        <v>281.90798999999998</v>
      </c>
      <c r="AD12" s="75">
        <f t="shared" si="5"/>
        <v>5.6778036193940506E-2</v>
      </c>
    </row>
    <row r="13" spans="2:30" x14ac:dyDescent="0.25">
      <c r="B13" s="46">
        <v>44438</v>
      </c>
      <c r="C13" s="235">
        <v>2661.8630370000001</v>
      </c>
      <c r="D13" s="75">
        <f t="shared" si="0"/>
        <v>3.3140988135564653E-2</v>
      </c>
      <c r="F13" s="235">
        <v>17323.599609000001</v>
      </c>
      <c r="G13" s="75">
        <f t="shared" si="1"/>
        <v>3.7018438504860862E-2</v>
      </c>
      <c r="P13" s="46">
        <v>44438</v>
      </c>
      <c r="Q13" s="235">
        <v>19759.6875</v>
      </c>
      <c r="R13" s="75">
        <f t="shared" si="2"/>
        <v>1.5498024604117866E-2</v>
      </c>
      <c r="T13" s="46">
        <v>44438</v>
      </c>
      <c r="U13" s="235">
        <v>3924.4392090000001</v>
      </c>
      <c r="V13" s="75">
        <f t="shared" si="3"/>
        <v>4.6339667098795001E-2</v>
      </c>
      <c r="X13" s="46">
        <v>44438</v>
      </c>
      <c r="Y13" s="235">
        <v>1119.349976</v>
      </c>
      <c r="Z13" s="75">
        <f t="shared" si="4"/>
        <v>6.1951448189724534E-2</v>
      </c>
      <c r="AB13" s="46">
        <v>44438</v>
      </c>
      <c r="AC13" s="235">
        <v>300.19589200000001</v>
      </c>
      <c r="AD13" s="75">
        <f t="shared" si="5"/>
        <v>6.487188248903486E-2</v>
      </c>
    </row>
    <row r="14" spans="2:30" x14ac:dyDescent="0.25">
      <c r="B14" s="46">
        <v>44445</v>
      </c>
      <c r="C14" s="235">
        <v>2704.1479490000002</v>
      </c>
      <c r="D14" s="75">
        <f t="shared" si="0"/>
        <v>1.5885457445495188E-2</v>
      </c>
      <c r="F14" s="235">
        <v>17369.25</v>
      </c>
      <c r="G14" s="75">
        <f t="shared" si="1"/>
        <v>2.6351562048503308E-3</v>
      </c>
      <c r="P14" s="46">
        <v>44445</v>
      </c>
      <c r="Q14" s="235">
        <v>19945.470702999999</v>
      </c>
      <c r="R14" s="75">
        <f t="shared" si="2"/>
        <v>9.4021326501241287E-3</v>
      </c>
      <c r="T14" s="46">
        <v>44445</v>
      </c>
      <c r="U14" s="235">
        <v>3873.6254880000001</v>
      </c>
      <c r="V14" s="75">
        <f t="shared" si="3"/>
        <v>-1.2948020925758752E-2</v>
      </c>
      <c r="X14" s="46">
        <v>44445</v>
      </c>
      <c r="Y14" s="235">
        <v>1109.25</v>
      </c>
      <c r="Z14" s="75">
        <f t="shared" si="4"/>
        <v>-9.0230725122202315E-3</v>
      </c>
      <c r="AB14" s="46">
        <v>44445</v>
      </c>
      <c r="AC14" s="235">
        <v>309.35641500000003</v>
      </c>
      <c r="AD14" s="75">
        <f t="shared" si="5"/>
        <v>3.0515151086744519E-2</v>
      </c>
    </row>
    <row r="15" spans="2:30" x14ac:dyDescent="0.25">
      <c r="B15" s="46">
        <v>44452</v>
      </c>
      <c r="C15" s="235">
        <v>2619.0976559999999</v>
      </c>
      <c r="D15" s="75">
        <f t="shared" si="0"/>
        <v>-3.1451789844358147E-2</v>
      </c>
      <c r="F15" s="235">
        <v>17585.150390999999</v>
      </c>
      <c r="G15" s="75">
        <f t="shared" si="1"/>
        <v>1.2430035321041366E-2</v>
      </c>
      <c r="P15" s="46">
        <v>44452</v>
      </c>
      <c r="Q15" s="235">
        <v>19671.013672000001</v>
      </c>
      <c r="R15" s="75">
        <f t="shared" si="2"/>
        <v>-1.3760368711615123E-2</v>
      </c>
      <c r="T15" s="46">
        <v>44452</v>
      </c>
      <c r="U15" s="235">
        <v>3855.5932619999999</v>
      </c>
      <c r="V15" s="75">
        <f t="shared" si="3"/>
        <v>-4.6551289111097516E-3</v>
      </c>
      <c r="X15" s="46">
        <v>44452</v>
      </c>
      <c r="Y15" s="235">
        <v>1090.599976</v>
      </c>
      <c r="Z15" s="75">
        <f t="shared" si="4"/>
        <v>-1.6813183682668487E-2</v>
      </c>
      <c r="AB15" s="46">
        <v>44452</v>
      </c>
      <c r="AC15" s="235">
        <v>291.71337899999997</v>
      </c>
      <c r="AD15" s="75">
        <f t="shared" si="5"/>
        <v>-5.7031421184526088E-2</v>
      </c>
    </row>
    <row r="16" spans="2:30" x14ac:dyDescent="0.25">
      <c r="B16" s="46">
        <v>44459</v>
      </c>
      <c r="C16" s="235">
        <v>2642.5729980000001</v>
      </c>
      <c r="D16" s="75">
        <f t="shared" si="0"/>
        <v>8.9631411590251897E-3</v>
      </c>
      <c r="F16" s="235">
        <v>17853.199218999998</v>
      </c>
      <c r="G16" s="75">
        <f t="shared" si="1"/>
        <v>1.5242907910368864E-2</v>
      </c>
      <c r="P16" s="46">
        <v>44459</v>
      </c>
      <c r="Q16" s="235">
        <v>19367.353515999999</v>
      </c>
      <c r="R16" s="75">
        <f t="shared" si="2"/>
        <v>-1.5436934825185711E-2</v>
      </c>
      <c r="T16" s="46">
        <v>44459</v>
      </c>
      <c r="U16" s="235">
        <v>3847.0766600000002</v>
      </c>
      <c r="V16" s="75">
        <f t="shared" si="3"/>
        <v>-2.2088953427576996E-3</v>
      </c>
      <c r="X16" s="46">
        <v>44459</v>
      </c>
      <c r="Y16" s="235">
        <v>1041.650024</v>
      </c>
      <c r="Z16" s="75">
        <f t="shared" si="4"/>
        <v>-4.4883507314509519E-2</v>
      </c>
      <c r="AB16" s="46">
        <v>44459</v>
      </c>
      <c r="AC16" s="235">
        <v>306.99182100000002</v>
      </c>
      <c r="AD16" s="75">
        <f t="shared" si="5"/>
        <v>5.2374841539235772E-2</v>
      </c>
    </row>
    <row r="17" spans="2:30" x14ac:dyDescent="0.25">
      <c r="B17" s="46">
        <v>44466</v>
      </c>
      <c r="C17" s="235">
        <v>2601.5874020000001</v>
      </c>
      <c r="D17" s="75">
        <f t="shared" si="0"/>
        <v>-1.550973086874774E-2</v>
      </c>
      <c r="F17" s="235">
        <v>17532.050781000002</v>
      </c>
      <c r="G17" s="75">
        <f t="shared" si="1"/>
        <v>-1.7988285128091697E-2</v>
      </c>
      <c r="P17" s="46">
        <v>44466</v>
      </c>
      <c r="Q17" s="235">
        <v>19060.914063</v>
      </c>
      <c r="R17" s="75">
        <f t="shared" si="2"/>
        <v>-1.5822474286269372E-2</v>
      </c>
      <c r="T17" s="46">
        <v>44466</v>
      </c>
      <c r="U17" s="235">
        <v>3731.1765140000002</v>
      </c>
      <c r="V17" s="75">
        <f t="shared" si="3"/>
        <v>-3.0126809586373038E-2</v>
      </c>
      <c r="X17" s="46">
        <v>44466</v>
      </c>
      <c r="Y17" s="235">
        <v>1020.349976</v>
      </c>
      <c r="Z17" s="75">
        <f t="shared" si="4"/>
        <v>-2.0448372782834068E-2</v>
      </c>
      <c r="AB17" s="46">
        <v>44466</v>
      </c>
      <c r="AC17" s="235">
        <v>301.00613399999997</v>
      </c>
      <c r="AD17" s="75">
        <f t="shared" si="5"/>
        <v>-1.9497871247846854E-2</v>
      </c>
    </row>
    <row r="18" spans="2:30" x14ac:dyDescent="0.25">
      <c r="B18" s="46">
        <v>44473</v>
      </c>
      <c r="C18" s="235">
        <v>2540.0124510000001</v>
      </c>
      <c r="D18" s="75">
        <f t="shared" si="0"/>
        <v>-2.3668223082823792E-2</v>
      </c>
      <c r="F18" s="235">
        <v>17895.199218999998</v>
      </c>
      <c r="G18" s="75">
        <f t="shared" si="1"/>
        <v>2.0713403271313213E-2</v>
      </c>
      <c r="P18" s="46">
        <v>44473</v>
      </c>
      <c r="Q18" s="235">
        <v>18511.511718999998</v>
      </c>
      <c r="R18" s="75">
        <f t="shared" si="2"/>
        <v>-2.8823504590814508E-2</v>
      </c>
      <c r="T18" s="46">
        <v>44473</v>
      </c>
      <c r="U18" s="235">
        <v>3695.2072750000002</v>
      </c>
      <c r="V18" s="75">
        <f t="shared" si="3"/>
        <v>-9.6401869129046913E-3</v>
      </c>
      <c r="X18" s="46">
        <v>44473</v>
      </c>
      <c r="Y18" s="235">
        <v>1019.299988</v>
      </c>
      <c r="Z18" s="75">
        <f t="shared" si="4"/>
        <v>-1.0290469198775964E-3</v>
      </c>
      <c r="AB18" s="46">
        <v>44473</v>
      </c>
      <c r="AC18" s="235">
        <v>297.88098100000002</v>
      </c>
      <c r="AD18" s="75">
        <f t="shared" si="5"/>
        <v>-1.0382356526993375E-2</v>
      </c>
    </row>
    <row r="19" spans="2:30" x14ac:dyDescent="0.25">
      <c r="B19" s="46">
        <v>44480</v>
      </c>
      <c r="C19" s="235">
        <v>2549.1520999999998</v>
      </c>
      <c r="D19" s="75">
        <f t="shared" si="0"/>
        <v>3.5982693692708789E-3</v>
      </c>
      <c r="F19" s="235">
        <v>18338.550781000002</v>
      </c>
      <c r="G19" s="75">
        <f t="shared" si="1"/>
        <v>2.4774888313580767E-2</v>
      </c>
      <c r="P19" s="46">
        <v>44480</v>
      </c>
      <c r="Q19" s="235">
        <v>18841.982422000001</v>
      </c>
      <c r="R19" s="75">
        <f t="shared" si="2"/>
        <v>1.7852172638110897E-2</v>
      </c>
      <c r="T19" s="46">
        <v>44480</v>
      </c>
      <c r="U19" s="235">
        <v>3706.1977539999998</v>
      </c>
      <c r="V19" s="75">
        <f t="shared" si="3"/>
        <v>2.9742523712690261E-3</v>
      </c>
      <c r="X19" s="46">
        <v>44480</v>
      </c>
      <c r="Y19" s="235">
        <v>1038.6999510000001</v>
      </c>
      <c r="Z19" s="75">
        <f t="shared" si="4"/>
        <v>1.9032633403700316E-2</v>
      </c>
      <c r="AB19" s="46">
        <v>44480</v>
      </c>
      <c r="AC19" s="235">
        <v>296.98809799999998</v>
      </c>
      <c r="AD19" s="75">
        <f t="shared" si="5"/>
        <v>-2.9974488367890961E-3</v>
      </c>
    </row>
    <row r="20" spans="2:30" x14ac:dyDescent="0.25">
      <c r="B20" s="46">
        <v>44487</v>
      </c>
      <c r="C20" s="235">
        <v>2361.108643</v>
      </c>
      <c r="D20" s="75">
        <f t="shared" si="0"/>
        <v>-7.3767060427661346E-2</v>
      </c>
      <c r="F20" s="235">
        <v>18114.900390999999</v>
      </c>
      <c r="G20" s="75">
        <f t="shared" si="1"/>
        <v>-1.2195641447944716E-2</v>
      </c>
      <c r="N20" s="239"/>
      <c r="P20" s="46">
        <v>44487</v>
      </c>
      <c r="Q20" s="235">
        <v>18531.253906000002</v>
      </c>
      <c r="R20" s="75">
        <f t="shared" si="2"/>
        <v>-1.6491285738447048E-2</v>
      </c>
      <c r="T20" s="46">
        <v>44487</v>
      </c>
      <c r="U20" s="235">
        <v>3511.2700199999999</v>
      </c>
      <c r="V20" s="75">
        <f t="shared" si="3"/>
        <v>-5.2595070996851012E-2</v>
      </c>
      <c r="X20" s="46">
        <v>44487</v>
      </c>
      <c r="Y20" s="235">
        <v>960.79998799999998</v>
      </c>
      <c r="Z20" s="75">
        <f t="shared" si="4"/>
        <v>-7.4997561061789342E-2</v>
      </c>
      <c r="AB20" s="46">
        <v>44487</v>
      </c>
      <c r="AC20" s="235">
        <v>274.64907799999997</v>
      </c>
      <c r="AD20" s="75">
        <f t="shared" si="5"/>
        <v>-7.5218569870096341E-2</v>
      </c>
    </row>
    <row r="21" spans="2:30" x14ac:dyDescent="0.25">
      <c r="B21" s="46">
        <v>44494</v>
      </c>
      <c r="C21" s="235">
        <v>2302.4677729999999</v>
      </c>
      <c r="D21" s="75">
        <f t="shared" si="0"/>
        <v>-2.4836159138146074E-2</v>
      </c>
      <c r="F21" s="235">
        <v>17671.650390999999</v>
      </c>
      <c r="G21" s="75">
        <f t="shared" si="1"/>
        <v>-2.4468806917658736E-2</v>
      </c>
      <c r="P21" s="46">
        <v>44494</v>
      </c>
      <c r="Q21" s="235">
        <v>18524.871093999998</v>
      </c>
      <c r="R21" s="75">
        <f t="shared" si="2"/>
        <v>-3.4443497630431974E-4</v>
      </c>
      <c r="T21" s="46">
        <v>44494</v>
      </c>
      <c r="U21" s="235">
        <v>3497.7102049999999</v>
      </c>
      <c r="V21" s="75">
        <f t="shared" si="3"/>
        <v>-3.8617978460112612E-3</v>
      </c>
      <c r="X21" s="46">
        <v>44494</v>
      </c>
      <c r="Y21" s="235">
        <v>956.65002400000003</v>
      </c>
      <c r="Z21" s="75">
        <f t="shared" si="4"/>
        <v>-4.3192798208069316E-3</v>
      </c>
      <c r="AB21" s="46">
        <v>44494</v>
      </c>
      <c r="AC21" s="235">
        <v>280.882813</v>
      </c>
      <c r="AD21" s="75">
        <f t="shared" si="5"/>
        <v>2.2697090576069723E-2</v>
      </c>
    </row>
    <row r="22" spans="2:30" x14ac:dyDescent="0.25">
      <c r="B22" s="46">
        <v>44501</v>
      </c>
      <c r="C22" s="235">
        <v>2345.3676759999998</v>
      </c>
      <c r="D22" s="75">
        <f t="shared" si="0"/>
        <v>1.86321404812122E-2</v>
      </c>
      <c r="F22" s="235">
        <v>17916.800781000002</v>
      </c>
      <c r="G22" s="75">
        <f t="shared" si="1"/>
        <v>1.3872523764099309E-2</v>
      </c>
      <c r="P22" s="46">
        <v>44501</v>
      </c>
      <c r="Q22" s="235">
        <v>18525.740234000001</v>
      </c>
      <c r="R22" s="75">
        <f t="shared" si="2"/>
        <v>4.6917465476026265E-5</v>
      </c>
      <c r="T22" s="46">
        <v>44501</v>
      </c>
      <c r="U22" s="235">
        <v>3475.681885</v>
      </c>
      <c r="V22" s="75">
        <f t="shared" si="3"/>
        <v>-6.2979259884110572E-3</v>
      </c>
      <c r="X22" s="46">
        <v>44501</v>
      </c>
      <c r="Y22" s="235">
        <v>971.70001200000002</v>
      </c>
      <c r="Z22" s="75">
        <f t="shared" si="4"/>
        <v>1.5731968454955059E-2</v>
      </c>
      <c r="AB22" s="46">
        <v>44501</v>
      </c>
      <c r="AC22" s="235">
        <v>309.85244799999998</v>
      </c>
      <c r="AD22" s="75">
        <f t="shared" si="5"/>
        <v>0.10313779860927252</v>
      </c>
    </row>
    <row r="23" spans="2:30" x14ac:dyDescent="0.25">
      <c r="B23" s="46">
        <v>44508</v>
      </c>
      <c r="C23" s="235">
        <v>2328.0397950000001</v>
      </c>
      <c r="D23" s="75">
        <f t="shared" si="0"/>
        <v>-7.3881298771679704E-3</v>
      </c>
      <c r="F23" s="235">
        <v>18102.75</v>
      </c>
      <c r="G23" s="75">
        <f t="shared" si="1"/>
        <v>1.0378483372834646E-2</v>
      </c>
      <c r="P23" s="46">
        <v>44508</v>
      </c>
      <c r="Q23" s="235">
        <v>18774.066406000002</v>
      </c>
      <c r="R23" s="75">
        <f t="shared" si="2"/>
        <v>1.3404385944279396E-2</v>
      </c>
      <c r="T23" s="46">
        <v>44508</v>
      </c>
      <c r="U23" s="235">
        <v>3509.319336</v>
      </c>
      <c r="V23" s="75">
        <f t="shared" si="3"/>
        <v>9.6779429513296211E-3</v>
      </c>
      <c r="X23" s="46">
        <v>44508</v>
      </c>
      <c r="Y23" s="235">
        <v>919.59997599999997</v>
      </c>
      <c r="Z23" s="75">
        <f t="shared" si="4"/>
        <v>-5.3617408003078237E-2</v>
      </c>
      <c r="AB23" s="46">
        <v>44508</v>
      </c>
      <c r="AC23" s="235">
        <v>321.39398199999999</v>
      </c>
      <c r="AD23" s="75">
        <f t="shared" si="5"/>
        <v>3.7248484155916639E-2</v>
      </c>
    </row>
    <row r="24" spans="2:30" x14ac:dyDescent="0.25">
      <c r="B24" s="46">
        <v>44515</v>
      </c>
      <c r="C24" s="235">
        <v>2322.6674800000001</v>
      </c>
      <c r="D24" s="75">
        <f t="shared" si="0"/>
        <v>-2.3076559994972268E-3</v>
      </c>
      <c r="F24" s="235">
        <v>17764.800781000002</v>
      </c>
      <c r="G24" s="75">
        <f t="shared" si="1"/>
        <v>-1.8668391211279944E-2</v>
      </c>
      <c r="P24" s="46">
        <v>44515</v>
      </c>
      <c r="Q24" s="235">
        <v>19032.054688</v>
      </c>
      <c r="R24" s="75">
        <f t="shared" si="2"/>
        <v>1.374173694823777E-2</v>
      </c>
      <c r="T24" s="46">
        <v>44515</v>
      </c>
      <c r="U24" s="235">
        <v>3398.6049800000001</v>
      </c>
      <c r="V24" s="75">
        <f t="shared" si="3"/>
        <v>-3.1548669528089879E-2</v>
      </c>
      <c r="X24" s="46">
        <v>44515</v>
      </c>
      <c r="Y24" s="235">
        <v>919.54998799999998</v>
      </c>
      <c r="Z24" s="75">
        <f t="shared" si="4"/>
        <v>-5.4358418121513985E-5</v>
      </c>
      <c r="AB24" s="46">
        <v>44515</v>
      </c>
      <c r="AC24" s="235">
        <v>314.052368</v>
      </c>
      <c r="AD24" s="75">
        <f t="shared" si="5"/>
        <v>-2.2843035063425665E-2</v>
      </c>
    </row>
    <row r="25" spans="2:30" x14ac:dyDescent="0.25">
      <c r="B25" s="46">
        <v>44522</v>
      </c>
      <c r="C25" s="235">
        <v>2260.4240719999998</v>
      </c>
      <c r="D25" s="75">
        <f t="shared" si="0"/>
        <v>-2.6798243199237626E-2</v>
      </c>
      <c r="F25" s="235">
        <v>17026.449218999998</v>
      </c>
      <c r="G25" s="75">
        <f t="shared" si="1"/>
        <v>-4.1562614245001406E-2</v>
      </c>
      <c r="N25" s="239"/>
      <c r="P25" s="46">
        <v>44522</v>
      </c>
      <c r="Q25" s="235">
        <v>18852.330077999999</v>
      </c>
      <c r="R25" s="75">
        <f t="shared" si="2"/>
        <v>-9.4432583841470574E-3</v>
      </c>
      <c r="T25" s="46">
        <v>44522</v>
      </c>
      <c r="U25" s="235">
        <v>3383.0947270000001</v>
      </c>
      <c r="V25" s="75">
        <f t="shared" si="3"/>
        <v>-4.5637116085199825E-3</v>
      </c>
      <c r="X25" s="46">
        <v>44522</v>
      </c>
      <c r="Y25" s="235">
        <v>897.45001200000002</v>
      </c>
      <c r="Z25" s="75">
        <f t="shared" si="4"/>
        <v>-2.4033468858030149E-2</v>
      </c>
      <c r="AB25" s="46">
        <v>44522</v>
      </c>
      <c r="AC25" s="235">
        <v>292.29208399999999</v>
      </c>
      <c r="AD25" s="75">
        <f t="shared" si="5"/>
        <v>-6.9288711747589882E-2</v>
      </c>
    </row>
    <row r="26" spans="2:30" x14ac:dyDescent="0.25">
      <c r="B26" s="46">
        <v>44529</v>
      </c>
      <c r="C26" s="235">
        <v>2268.7004390000002</v>
      </c>
      <c r="D26" s="75">
        <f t="shared" si="0"/>
        <v>3.66142225369126E-3</v>
      </c>
      <c r="F26" s="235">
        <v>17196.699218999998</v>
      </c>
      <c r="G26" s="75">
        <f t="shared" si="1"/>
        <v>9.9991488424970854E-3</v>
      </c>
      <c r="P26" s="46">
        <v>44529</v>
      </c>
      <c r="Q26" s="235">
        <v>18949.523438</v>
      </c>
      <c r="R26" s="75">
        <f t="shared" si="2"/>
        <v>5.1555091385453444E-3</v>
      </c>
      <c r="T26" s="46">
        <v>44529</v>
      </c>
      <c r="U26" s="235">
        <v>3381.619385</v>
      </c>
      <c r="V26" s="75">
        <f t="shared" si="3"/>
        <v>-4.3609242987663333E-4</v>
      </c>
      <c r="X26" s="46">
        <v>44529</v>
      </c>
      <c r="Y26" s="235">
        <v>913.09997599999997</v>
      </c>
      <c r="Z26" s="75">
        <f t="shared" si="4"/>
        <v>1.7438257051357597E-2</v>
      </c>
      <c r="AB26" s="46">
        <v>44529</v>
      </c>
      <c r="AC26" s="235">
        <v>290.40707400000002</v>
      </c>
      <c r="AD26" s="75">
        <f t="shared" si="5"/>
        <v>-6.4490627806395029E-3</v>
      </c>
    </row>
    <row r="27" spans="2:30" x14ac:dyDescent="0.25">
      <c r="B27" s="46">
        <v>44536</v>
      </c>
      <c r="C27" s="235">
        <v>2258.19751</v>
      </c>
      <c r="D27" s="75">
        <f t="shared" si="0"/>
        <v>-4.6294913243943858E-3</v>
      </c>
      <c r="F27" s="235">
        <v>17511.300781000002</v>
      </c>
      <c r="G27" s="75">
        <f t="shared" si="1"/>
        <v>1.8294299271828462E-2</v>
      </c>
      <c r="P27" s="46">
        <v>44536</v>
      </c>
      <c r="Q27" s="235">
        <v>18899.40625</v>
      </c>
      <c r="R27" s="75">
        <f t="shared" si="2"/>
        <v>-2.6447730025493943E-3</v>
      </c>
      <c r="T27" s="46">
        <v>44536</v>
      </c>
      <c r="U27" s="235">
        <v>3456.507568</v>
      </c>
      <c r="V27" s="75">
        <f t="shared" si="3"/>
        <v>2.2145656998592056E-2</v>
      </c>
      <c r="X27" s="46">
        <v>44536</v>
      </c>
      <c r="Y27" s="235">
        <v>943</v>
      </c>
      <c r="Z27" s="75">
        <f t="shared" si="4"/>
        <v>3.2745619084322497E-2</v>
      </c>
      <c r="AB27" s="46">
        <v>44536</v>
      </c>
      <c r="AC27" s="235">
        <v>294.73931900000002</v>
      </c>
      <c r="AD27" s="75">
        <f t="shared" si="5"/>
        <v>1.4917835644733701E-2</v>
      </c>
    </row>
    <row r="28" spans="2:30" x14ac:dyDescent="0.25">
      <c r="B28" s="46">
        <v>44543</v>
      </c>
      <c r="C28" s="235">
        <v>2158.9270019999999</v>
      </c>
      <c r="D28" s="75">
        <f t="shared" si="0"/>
        <v>-4.3960064414383382E-2</v>
      </c>
      <c r="F28" s="235">
        <v>16985.199218999998</v>
      </c>
      <c r="G28" s="75">
        <f t="shared" si="1"/>
        <v>-3.0043545512668635E-2</v>
      </c>
      <c r="P28" s="46">
        <v>44543</v>
      </c>
      <c r="Q28" s="235">
        <v>18712.474609000001</v>
      </c>
      <c r="R28" s="75">
        <f t="shared" si="2"/>
        <v>-9.890873741073225E-3</v>
      </c>
      <c r="T28" s="46">
        <v>44543</v>
      </c>
      <c r="U28" s="235">
        <v>3364.8718260000001</v>
      </c>
      <c r="V28" s="75">
        <f t="shared" si="3"/>
        <v>-2.651107807439923E-2</v>
      </c>
      <c r="X28" s="46">
        <v>44543</v>
      </c>
      <c r="Y28" s="235">
        <v>899</v>
      </c>
      <c r="Z28" s="75">
        <f t="shared" si="4"/>
        <v>-4.6659597030752953E-2</v>
      </c>
      <c r="AB28" s="46">
        <v>44543</v>
      </c>
      <c r="AC28" s="235">
        <v>286.45517000000001</v>
      </c>
      <c r="AD28" s="75">
        <f t="shared" si="5"/>
        <v>-2.8106697905480371E-2</v>
      </c>
    </row>
    <row r="29" spans="2:30" x14ac:dyDescent="0.25">
      <c r="B29" s="46">
        <v>44550</v>
      </c>
      <c r="C29" s="235">
        <v>2223.4938959999999</v>
      </c>
      <c r="D29" s="75">
        <f t="shared" si="0"/>
        <v>2.9906937075772522E-2</v>
      </c>
      <c r="F29" s="235">
        <v>17003.75</v>
      </c>
      <c r="G29" s="75">
        <f t="shared" si="1"/>
        <v>1.0921732951623131E-3</v>
      </c>
      <c r="P29" s="46">
        <v>44550</v>
      </c>
      <c r="Q29" s="235">
        <v>18854.244140999999</v>
      </c>
      <c r="R29" s="75">
        <f t="shared" si="2"/>
        <v>7.5762043750116081E-3</v>
      </c>
      <c r="T29" s="46">
        <v>44550</v>
      </c>
      <c r="U29" s="235">
        <v>3369.772461</v>
      </c>
      <c r="V29" s="75">
        <f t="shared" si="3"/>
        <v>1.456410601477609E-3</v>
      </c>
      <c r="X29" s="46">
        <v>44550</v>
      </c>
      <c r="Y29" s="235">
        <v>966.25</v>
      </c>
      <c r="Z29" s="75">
        <f t="shared" si="4"/>
        <v>7.4805339265850979E-2</v>
      </c>
      <c r="AB29" s="46">
        <v>44550</v>
      </c>
      <c r="AC29" s="235">
        <v>277.59231599999998</v>
      </c>
      <c r="AD29" s="75">
        <f t="shared" si="5"/>
        <v>-3.0939759264948963E-2</v>
      </c>
    </row>
    <row r="30" spans="2:30" x14ac:dyDescent="0.25">
      <c r="B30" s="46">
        <v>44557</v>
      </c>
      <c r="C30" s="235">
        <v>2284.672607</v>
      </c>
      <c r="D30" s="75">
        <f t="shared" si="0"/>
        <v>2.7514674589419252E-2</v>
      </c>
      <c r="F30" s="235">
        <v>17354.050781000002</v>
      </c>
      <c r="G30" s="75">
        <f t="shared" si="1"/>
        <v>2.0601383871204915E-2</v>
      </c>
      <c r="P30" s="46">
        <v>44557</v>
      </c>
      <c r="Q30" s="235">
        <v>19326.476563</v>
      </c>
      <c r="R30" s="75">
        <f t="shared" si="2"/>
        <v>2.504647857895792E-2</v>
      </c>
      <c r="T30" s="46">
        <v>44557</v>
      </c>
      <c r="U30" s="235">
        <v>3431.3388669999999</v>
      </c>
      <c r="V30" s="75">
        <f t="shared" si="3"/>
        <v>1.827019679000208E-2</v>
      </c>
      <c r="X30" s="46">
        <v>44557</v>
      </c>
      <c r="Y30" s="235">
        <v>968.34997599999997</v>
      </c>
      <c r="Z30" s="75">
        <f t="shared" si="4"/>
        <v>2.1733257438549813E-3</v>
      </c>
      <c r="AB30" s="46">
        <v>44557</v>
      </c>
      <c r="AC30" s="235">
        <v>293.763733</v>
      </c>
      <c r="AD30" s="75">
        <f t="shared" si="5"/>
        <v>5.8255996538463251E-2</v>
      </c>
    </row>
    <row r="31" spans="2:30" x14ac:dyDescent="0.25">
      <c r="B31" s="46">
        <v>44564</v>
      </c>
      <c r="C31" s="235">
        <v>2338.881836</v>
      </c>
      <c r="D31" s="75">
        <f t="shared" si="0"/>
        <v>2.3727351058488111E-2</v>
      </c>
      <c r="F31" s="235">
        <v>17812.699218999998</v>
      </c>
      <c r="G31" s="75">
        <f t="shared" si="1"/>
        <v>2.6428898001275014E-2</v>
      </c>
      <c r="P31" s="46">
        <v>44564</v>
      </c>
      <c r="Q31" s="235">
        <v>19519.833984000001</v>
      </c>
      <c r="R31" s="75">
        <f t="shared" si="2"/>
        <v>1.0004794219458324E-2</v>
      </c>
      <c r="T31" s="46">
        <v>44564</v>
      </c>
      <c r="U31" s="235">
        <v>3556.3266600000002</v>
      </c>
      <c r="V31" s="75">
        <f t="shared" si="3"/>
        <v>3.6425371507908366E-2</v>
      </c>
      <c r="X31" s="46">
        <v>44564</v>
      </c>
      <c r="Y31" s="235">
        <v>957.54998799999998</v>
      </c>
      <c r="Z31" s="75">
        <f t="shared" si="4"/>
        <v>-1.1152980087438924E-2</v>
      </c>
      <c r="AB31" s="46">
        <v>44564</v>
      </c>
      <c r="AC31" s="235">
        <v>281.52767899999998</v>
      </c>
      <c r="AD31" s="75">
        <f t="shared" si="5"/>
        <v>-4.1652704624365655E-2</v>
      </c>
    </row>
    <row r="32" spans="2:30" x14ac:dyDescent="0.25">
      <c r="B32" s="46">
        <v>44571</v>
      </c>
      <c r="C32" s="235">
        <v>2288.1091310000002</v>
      </c>
      <c r="D32" s="75">
        <f t="shared" si="0"/>
        <v>-2.1708110353634735E-2</v>
      </c>
      <c r="F32" s="235">
        <v>18255.75</v>
      </c>
      <c r="G32" s="75">
        <f t="shared" si="1"/>
        <v>2.4872748119354027E-2</v>
      </c>
      <c r="P32" s="46">
        <v>44571</v>
      </c>
      <c r="Q32" s="235">
        <v>19026.806640999999</v>
      </c>
      <c r="R32" s="75">
        <f t="shared" si="2"/>
        <v>-2.5257763124631349E-2</v>
      </c>
      <c r="T32" s="46">
        <v>44571</v>
      </c>
      <c r="U32" s="235">
        <v>3532.251953</v>
      </c>
      <c r="V32" s="75">
        <f t="shared" si="3"/>
        <v>-6.7695432117589327E-3</v>
      </c>
      <c r="X32" s="46">
        <v>44571</v>
      </c>
      <c r="Y32" s="235">
        <v>918.75</v>
      </c>
      <c r="Z32" s="75">
        <f t="shared" si="4"/>
        <v>-4.0520065256373861E-2</v>
      </c>
      <c r="AB32" s="46">
        <v>44571</v>
      </c>
      <c r="AC32" s="235">
        <v>307.107574</v>
      </c>
      <c r="AD32" s="75">
        <f t="shared" si="5"/>
        <v>9.0861030399785436E-2</v>
      </c>
    </row>
    <row r="33" spans="2:30" x14ac:dyDescent="0.25">
      <c r="B33" s="46">
        <v>44578</v>
      </c>
      <c r="C33" s="235">
        <v>2251.0339359999998</v>
      </c>
      <c r="D33" s="75">
        <f t="shared" si="0"/>
        <v>-1.6203420762451515E-2</v>
      </c>
      <c r="F33" s="235">
        <v>17617.150390999999</v>
      </c>
      <c r="G33" s="75">
        <f t="shared" si="1"/>
        <v>-3.4980738068827621E-2</v>
      </c>
      <c r="P33" s="46">
        <v>44578</v>
      </c>
      <c r="Q33" s="235">
        <v>18609.103515999999</v>
      </c>
      <c r="R33" s="75">
        <f t="shared" si="2"/>
        <v>-2.195340147620517E-2</v>
      </c>
      <c r="T33" s="46">
        <v>44578</v>
      </c>
      <c r="U33" s="235">
        <v>3443.0429690000001</v>
      </c>
      <c r="V33" s="75">
        <f t="shared" si="3"/>
        <v>-2.5255555149239384E-2</v>
      </c>
      <c r="X33" s="46">
        <v>44578</v>
      </c>
      <c r="Y33" s="235">
        <v>891.20001200000002</v>
      </c>
      <c r="Z33" s="75">
        <f t="shared" si="4"/>
        <v>-2.9986381496598602E-2</v>
      </c>
      <c r="AB33" s="46">
        <v>44578</v>
      </c>
      <c r="AC33" s="235">
        <v>302.874573</v>
      </c>
      <c r="AD33" s="75">
        <f t="shared" si="5"/>
        <v>-1.3783447099223967E-2</v>
      </c>
    </row>
    <row r="34" spans="2:30" x14ac:dyDescent="0.25">
      <c r="B34" s="46">
        <v>44585</v>
      </c>
      <c r="C34" s="235">
        <v>2210.522461</v>
      </c>
      <c r="D34" s="75">
        <f t="shared" si="0"/>
        <v>-1.7996829968715211E-2</v>
      </c>
      <c r="F34" s="235">
        <v>17101.949218999998</v>
      </c>
      <c r="G34" s="75">
        <f t="shared" si="1"/>
        <v>-2.9244296640800638E-2</v>
      </c>
      <c r="P34" s="46">
        <v>44585</v>
      </c>
      <c r="Q34" s="235">
        <v>18030.605468999998</v>
      </c>
      <c r="R34" s="75">
        <f t="shared" si="2"/>
        <v>-3.1086830512959018E-2</v>
      </c>
      <c r="T34" s="46">
        <v>44585</v>
      </c>
      <c r="U34" s="235">
        <v>3339.6552729999999</v>
      </c>
      <c r="V34" s="75">
        <f t="shared" si="3"/>
        <v>-3.0028000501552965E-2</v>
      </c>
      <c r="X34" s="46">
        <v>44585</v>
      </c>
      <c r="Y34" s="235">
        <v>880.95001200000002</v>
      </c>
      <c r="Z34" s="75">
        <f t="shared" si="4"/>
        <v>-1.1501346344236829E-2</v>
      </c>
      <c r="AB34" s="46">
        <v>44585</v>
      </c>
      <c r="AC34" s="235">
        <v>293.16842700000001</v>
      </c>
      <c r="AD34" s="75">
        <f t="shared" si="5"/>
        <v>-3.2046750916921551E-2</v>
      </c>
    </row>
    <row r="35" spans="2:30" x14ac:dyDescent="0.25">
      <c r="B35" s="46">
        <v>44592</v>
      </c>
      <c r="C35" s="235">
        <v>2232.8354490000002</v>
      </c>
      <c r="D35" s="75">
        <f t="shared" si="0"/>
        <v>1.0093988364138218E-2</v>
      </c>
      <c r="F35" s="235">
        <v>17516.300781000002</v>
      </c>
      <c r="G35" s="75">
        <f t="shared" si="1"/>
        <v>2.4228323724623468E-2</v>
      </c>
      <c r="P35" s="46">
        <v>44592</v>
      </c>
      <c r="Q35" s="235">
        <v>17978.871093999998</v>
      </c>
      <c r="R35" s="75">
        <f t="shared" si="2"/>
        <v>-2.8692533419882871E-3</v>
      </c>
      <c r="T35" s="46">
        <v>44592</v>
      </c>
      <c r="U35" s="235">
        <v>3389.469971</v>
      </c>
      <c r="V35" s="75">
        <f t="shared" si="3"/>
        <v>1.4916119757250268E-2</v>
      </c>
      <c r="X35" s="46">
        <v>44592</v>
      </c>
      <c r="Y35" s="235">
        <v>912.34997599999997</v>
      </c>
      <c r="Z35" s="75">
        <f t="shared" si="4"/>
        <v>3.5643298226097242E-2</v>
      </c>
      <c r="AB35" s="46">
        <v>44592</v>
      </c>
      <c r="AC35" s="235">
        <v>314.234283</v>
      </c>
      <c r="AD35" s="75">
        <f t="shared" si="5"/>
        <v>7.185581413239972E-2</v>
      </c>
    </row>
    <row r="36" spans="2:30" x14ac:dyDescent="0.25">
      <c r="B36" s="46">
        <v>44599</v>
      </c>
      <c r="C36" s="235">
        <v>2185.7895509999998</v>
      </c>
      <c r="D36" s="75">
        <f t="shared" si="0"/>
        <v>-2.1070024672472099E-2</v>
      </c>
      <c r="F36" s="235">
        <v>17374.75</v>
      </c>
      <c r="G36" s="75">
        <f t="shared" si="1"/>
        <v>-8.0810887395552644E-3</v>
      </c>
      <c r="P36" s="46">
        <v>44599</v>
      </c>
      <c r="Q36" s="235">
        <v>17472.357422000001</v>
      </c>
      <c r="R36" s="75">
        <f t="shared" si="2"/>
        <v>-2.8172718373237204E-2</v>
      </c>
      <c r="T36" s="46">
        <v>44599</v>
      </c>
      <c r="U36" s="235">
        <v>3311.9653320000002</v>
      </c>
      <c r="V36" s="75">
        <f t="shared" si="3"/>
        <v>-2.2866300531682704E-2</v>
      </c>
      <c r="X36" s="46">
        <v>44599</v>
      </c>
      <c r="Y36" s="235">
        <v>825</v>
      </c>
      <c r="Z36" s="75">
        <f t="shared" si="4"/>
        <v>-9.5741741982574458E-2</v>
      </c>
      <c r="AB36" s="46">
        <v>44599</v>
      </c>
      <c r="AC36" s="235">
        <v>309.703644</v>
      </c>
      <c r="AD36" s="75">
        <f t="shared" si="5"/>
        <v>-1.4418028983807618E-2</v>
      </c>
    </row>
    <row r="37" spans="2:30" x14ac:dyDescent="0.25">
      <c r="B37" s="46">
        <v>44606</v>
      </c>
      <c r="C37" s="235">
        <v>2238.5952149999998</v>
      </c>
      <c r="D37" s="75">
        <f t="shared" si="0"/>
        <v>2.4158622213122705E-2</v>
      </c>
      <c r="F37" s="235">
        <v>17276.300781000002</v>
      </c>
      <c r="G37" s="75">
        <f t="shared" si="1"/>
        <v>-5.66622362911684E-3</v>
      </c>
      <c r="P37" s="46">
        <v>44606</v>
      </c>
      <c r="Q37" s="235">
        <v>17662.722656000002</v>
      </c>
      <c r="R37" s="75">
        <f t="shared" si="2"/>
        <v>1.0895223203269966E-2</v>
      </c>
      <c r="T37" s="46">
        <v>44606</v>
      </c>
      <c r="U37" s="235">
        <v>3313.0117190000001</v>
      </c>
      <c r="V37" s="75">
        <f t="shared" si="3"/>
        <v>3.1594141094704042E-4</v>
      </c>
      <c r="X37" s="46">
        <v>44606</v>
      </c>
      <c r="Y37" s="235">
        <v>825.40002400000003</v>
      </c>
      <c r="Z37" s="75">
        <f t="shared" si="4"/>
        <v>4.8487757575754742E-4</v>
      </c>
      <c r="AB37" s="46">
        <v>44606</v>
      </c>
      <c r="AC37" s="235">
        <v>315.42477400000001</v>
      </c>
      <c r="AD37" s="75">
        <f t="shared" si="5"/>
        <v>1.8472917935702382E-2</v>
      </c>
    </row>
    <row r="38" spans="2:30" x14ac:dyDescent="0.25">
      <c r="B38" s="46">
        <v>44613</v>
      </c>
      <c r="C38" s="235">
        <v>2101.28125</v>
      </c>
      <c r="D38" s="75">
        <f t="shared" si="0"/>
        <v>-6.1339345353688679E-2</v>
      </c>
      <c r="F38" s="235">
        <v>16658.400390999999</v>
      </c>
      <c r="G38" s="75">
        <f t="shared" si="1"/>
        <v>-3.5765780987070617E-2</v>
      </c>
      <c r="P38" s="46">
        <v>44613</v>
      </c>
      <c r="Q38" s="235">
        <v>17374.183593999998</v>
      </c>
      <c r="R38" s="75">
        <f t="shared" si="2"/>
        <v>-1.6336046691079464E-2</v>
      </c>
      <c r="T38" s="46">
        <v>44613</v>
      </c>
      <c r="U38" s="235">
        <v>3256.9643550000001</v>
      </c>
      <c r="V38" s="75">
        <f t="shared" si="3"/>
        <v>-1.6917345531430095E-2</v>
      </c>
      <c r="X38" s="46">
        <v>44613</v>
      </c>
      <c r="Y38" s="235">
        <v>778.34997599999997</v>
      </c>
      <c r="Z38" s="75">
        <f t="shared" si="4"/>
        <v>-5.7002721870529127E-2</v>
      </c>
      <c r="AB38" s="46">
        <v>44613</v>
      </c>
      <c r="AC38" s="235">
        <v>308.281586</v>
      </c>
      <c r="AD38" s="75">
        <f t="shared" si="5"/>
        <v>-2.2646249086319403E-2</v>
      </c>
    </row>
    <row r="39" spans="2:30" x14ac:dyDescent="0.25">
      <c r="B39" s="46">
        <v>44620</v>
      </c>
      <c r="C39" s="235">
        <v>1954.916626</v>
      </c>
      <c r="D39" s="75">
        <f t="shared" si="0"/>
        <v>-6.9654942193007274E-2</v>
      </c>
      <c r="F39" s="235">
        <v>16245.349609000001</v>
      </c>
      <c r="G39" s="75">
        <f t="shared" si="1"/>
        <v>-2.479534482933643E-2</v>
      </c>
      <c r="P39" s="46">
        <v>44620</v>
      </c>
      <c r="Q39" s="235">
        <v>17057.15625</v>
      </c>
      <c r="R39" s="75">
        <f t="shared" si="2"/>
        <v>-1.8247035452617189E-2</v>
      </c>
      <c r="T39" s="46">
        <v>44620</v>
      </c>
      <c r="U39" s="235">
        <v>3208.0541990000002</v>
      </c>
      <c r="V39" s="75">
        <f t="shared" si="3"/>
        <v>-1.5017098951333185E-2</v>
      </c>
      <c r="X39" s="46">
        <v>44620</v>
      </c>
      <c r="Y39" s="235">
        <v>722.04998799999998</v>
      </c>
      <c r="Z39" s="75">
        <f t="shared" si="4"/>
        <v>-7.2332485046546657E-2</v>
      </c>
      <c r="AB39" s="46">
        <v>44620</v>
      </c>
      <c r="AC39" s="235">
        <v>308.01702899999998</v>
      </c>
      <c r="AD39" s="75">
        <f t="shared" si="5"/>
        <v>-8.5816672812899508E-4</v>
      </c>
    </row>
    <row r="40" spans="2:30" x14ac:dyDescent="0.25">
      <c r="B40" s="46">
        <v>44627</v>
      </c>
      <c r="C40" s="235">
        <v>2027.4213870000001</v>
      </c>
      <c r="D40" s="75">
        <f t="shared" si="0"/>
        <v>3.7088415963986154E-2</v>
      </c>
      <c r="F40" s="235">
        <v>16630.449218999998</v>
      </c>
      <c r="G40" s="75">
        <f t="shared" si="1"/>
        <v>2.3705221449137115E-2</v>
      </c>
      <c r="P40" s="46">
        <v>44627</v>
      </c>
      <c r="Q40" s="235">
        <v>16993.994140999999</v>
      </c>
      <c r="R40" s="75">
        <f t="shared" si="2"/>
        <v>-3.7029683069239594E-3</v>
      </c>
      <c r="T40" s="46">
        <v>44627</v>
      </c>
      <c r="U40" s="235">
        <v>3044.9084469999998</v>
      </c>
      <c r="V40" s="75">
        <f t="shared" si="3"/>
        <v>-5.0855048537164826E-2</v>
      </c>
      <c r="X40" s="46">
        <v>44627</v>
      </c>
      <c r="Y40" s="235">
        <v>709.45001200000002</v>
      </c>
      <c r="Z40" s="75">
        <f t="shared" si="4"/>
        <v>-1.7450282126450167E-2</v>
      </c>
      <c r="AB40" s="46">
        <v>44627</v>
      </c>
      <c r="AC40" s="235">
        <v>301.055725</v>
      </c>
      <c r="AD40" s="75">
        <f t="shared" si="5"/>
        <v>-2.2600386811730377E-2</v>
      </c>
    </row>
    <row r="41" spans="2:30" x14ac:dyDescent="0.25">
      <c r="B41" s="46">
        <v>44634</v>
      </c>
      <c r="C41" s="235">
        <v>2034.8266599999999</v>
      </c>
      <c r="D41" s="75">
        <f t="shared" si="0"/>
        <v>3.6525574049297571E-3</v>
      </c>
      <c r="F41" s="235">
        <v>17287.050781000002</v>
      </c>
      <c r="G41" s="75">
        <f t="shared" si="1"/>
        <v>3.9481889716475482E-2</v>
      </c>
      <c r="P41" s="46">
        <v>44634</v>
      </c>
      <c r="Q41" s="235">
        <v>17932.332031000002</v>
      </c>
      <c r="R41" s="75">
        <f t="shared" si="2"/>
        <v>5.5215853448845831E-2</v>
      </c>
      <c r="T41" s="46">
        <v>44634</v>
      </c>
      <c r="U41" s="235">
        <v>3193.4003910000001</v>
      </c>
      <c r="V41" s="75">
        <f t="shared" si="3"/>
        <v>4.8767293527758548E-2</v>
      </c>
      <c r="X41" s="46">
        <v>44634</v>
      </c>
      <c r="Y41" s="235">
        <v>746.5</v>
      </c>
      <c r="Z41" s="75">
        <f t="shared" si="4"/>
        <v>5.2223535659056353E-2</v>
      </c>
      <c r="AB41" s="46">
        <v>44634</v>
      </c>
      <c r="AC41" s="235">
        <v>313.80429099999998</v>
      </c>
      <c r="AD41" s="75">
        <f t="shared" si="5"/>
        <v>4.234620019267199E-2</v>
      </c>
    </row>
    <row r="42" spans="2:30" x14ac:dyDescent="0.25">
      <c r="B42" s="46">
        <v>44641</v>
      </c>
      <c r="C42" s="235">
        <v>1890.5433350000001</v>
      </c>
      <c r="D42" s="75">
        <f t="shared" si="0"/>
        <v>-7.0906936613460703E-2</v>
      </c>
      <c r="F42" s="235">
        <v>17153</v>
      </c>
      <c r="G42" s="75">
        <f t="shared" si="1"/>
        <v>-7.7544043051771538E-3</v>
      </c>
      <c r="P42" s="46">
        <v>44641</v>
      </c>
      <c r="Q42" s="235">
        <v>16830.943359000001</v>
      </c>
      <c r="R42" s="75">
        <f t="shared" si="2"/>
        <v>-6.1419154524687936E-2</v>
      </c>
      <c r="T42" s="46">
        <v>44641</v>
      </c>
      <c r="U42" s="235">
        <v>2944.6137699999999</v>
      </c>
      <c r="V42" s="75">
        <f t="shared" si="3"/>
        <v>-7.7906491682395496E-2</v>
      </c>
      <c r="X42" s="46">
        <v>44641</v>
      </c>
      <c r="Y42" s="235">
        <v>684.84997599999997</v>
      </c>
      <c r="Z42" s="75">
        <f t="shared" si="4"/>
        <v>-8.2585430676490379E-2</v>
      </c>
      <c r="AB42" s="46">
        <v>44641</v>
      </c>
      <c r="AC42" s="235">
        <v>316.68145800000002</v>
      </c>
      <c r="AD42" s="75">
        <f t="shared" si="5"/>
        <v>9.1686668491095524E-3</v>
      </c>
    </row>
    <row r="43" spans="2:30" x14ac:dyDescent="0.25">
      <c r="B43" s="46">
        <v>44648</v>
      </c>
      <c r="C43" s="235">
        <v>2011.690918</v>
      </c>
      <c r="D43" s="75">
        <f t="shared" si="0"/>
        <v>6.4080828382598209E-2</v>
      </c>
      <c r="F43" s="235">
        <v>17670.449218999998</v>
      </c>
      <c r="G43" s="75">
        <f t="shared" si="1"/>
        <v>3.0166689150585846E-2</v>
      </c>
      <c r="P43" s="46">
        <v>44648</v>
      </c>
      <c r="Q43" s="235">
        <v>17219.324218999998</v>
      </c>
      <c r="R43" s="75">
        <f t="shared" si="2"/>
        <v>2.3075406512631291E-2</v>
      </c>
      <c r="T43" s="46">
        <v>44648</v>
      </c>
      <c r="U43" s="235">
        <v>3074.1689449999999</v>
      </c>
      <c r="V43" s="75">
        <f t="shared" si="3"/>
        <v>4.3997340608782132E-2</v>
      </c>
      <c r="X43" s="46">
        <v>44648</v>
      </c>
      <c r="Y43" s="235">
        <v>753</v>
      </c>
      <c r="Z43" s="75">
        <f t="shared" si="4"/>
        <v>9.9510880321619588E-2</v>
      </c>
      <c r="AB43" s="46">
        <v>44648</v>
      </c>
      <c r="AC43" s="235">
        <v>310.49731400000002</v>
      </c>
      <c r="AD43" s="75">
        <f t="shared" si="5"/>
        <v>-1.9527963648569568E-2</v>
      </c>
    </row>
    <row r="44" spans="2:30" x14ac:dyDescent="0.25">
      <c r="B44" s="46">
        <v>44655</v>
      </c>
      <c r="C44" s="235">
        <v>2113.2365719999998</v>
      </c>
      <c r="D44" s="75">
        <f t="shared" si="0"/>
        <v>5.0477761315816494E-2</v>
      </c>
      <c r="F44" s="235">
        <v>17784.349609000001</v>
      </c>
      <c r="G44" s="75">
        <f t="shared" si="1"/>
        <v>6.4458117950692007E-3</v>
      </c>
      <c r="P44" s="46">
        <v>44655</v>
      </c>
      <c r="Q44" s="235">
        <v>18097.691406000002</v>
      </c>
      <c r="R44" s="75">
        <f t="shared" si="2"/>
        <v>5.1010549300814167E-2</v>
      </c>
      <c r="T44" s="46">
        <v>44655</v>
      </c>
      <c r="U44" s="235">
        <v>3185.73999</v>
      </c>
      <c r="V44" s="75">
        <f t="shared" si="3"/>
        <v>3.629307529811121E-2</v>
      </c>
      <c r="X44" s="46">
        <v>44655</v>
      </c>
      <c r="Y44" s="235">
        <v>811.65002400000003</v>
      </c>
      <c r="Z44" s="75">
        <f t="shared" si="4"/>
        <v>7.7888478087649426E-2</v>
      </c>
      <c r="AB44" s="46">
        <v>44655</v>
      </c>
      <c r="AC44" s="235">
        <v>318.21923800000002</v>
      </c>
      <c r="AD44" s="75">
        <f t="shared" si="5"/>
        <v>2.486953558638505E-2</v>
      </c>
    </row>
    <row r="45" spans="2:30" x14ac:dyDescent="0.25">
      <c r="B45" s="46">
        <v>44662</v>
      </c>
      <c r="C45" s="235">
        <v>2083.3247070000002</v>
      </c>
      <c r="D45" s="75">
        <f t="shared" si="0"/>
        <v>-1.4154527418428375E-2</v>
      </c>
      <c r="F45" s="235">
        <v>17475.650390999999</v>
      </c>
      <c r="G45" s="75">
        <f t="shared" si="1"/>
        <v>-1.7357914390289553E-2</v>
      </c>
      <c r="P45" s="46">
        <v>44662</v>
      </c>
      <c r="Q45" s="235">
        <v>18093.203125</v>
      </c>
      <c r="R45" s="75">
        <f t="shared" si="2"/>
        <v>-2.4800295790838867E-4</v>
      </c>
      <c r="T45" s="46">
        <v>44662</v>
      </c>
      <c r="U45" s="235">
        <v>3187.4052729999999</v>
      </c>
      <c r="V45" s="75">
        <f t="shared" si="3"/>
        <v>5.22730356283585E-4</v>
      </c>
      <c r="X45" s="46">
        <v>44662</v>
      </c>
      <c r="Y45" s="235">
        <v>786.34997599999997</v>
      </c>
      <c r="Z45" s="75">
        <f t="shared" si="4"/>
        <v>-3.1171129491644134E-2</v>
      </c>
      <c r="AB45" s="46">
        <v>44662</v>
      </c>
      <c r="AC45" s="235">
        <v>334.35754400000002</v>
      </c>
      <c r="AD45" s="75">
        <f t="shared" si="5"/>
        <v>5.0714426008398705E-2</v>
      </c>
    </row>
    <row r="46" spans="2:30" x14ac:dyDescent="0.25">
      <c r="B46" s="46">
        <v>44669</v>
      </c>
      <c r="C46" s="235">
        <v>2058.9304200000001</v>
      </c>
      <c r="D46" s="75">
        <f t="shared" si="0"/>
        <v>-1.1709306244021889E-2</v>
      </c>
      <c r="F46" s="235">
        <v>17171.949218999998</v>
      </c>
      <c r="G46" s="75">
        <f t="shared" si="1"/>
        <v>-1.7378533285170805E-2</v>
      </c>
      <c r="P46" s="46">
        <v>44669</v>
      </c>
      <c r="Q46" s="235">
        <v>17901.617188</v>
      </c>
      <c r="R46" s="75">
        <f t="shared" si="2"/>
        <v>-1.0588834695349214E-2</v>
      </c>
      <c r="T46" s="46">
        <v>44669</v>
      </c>
      <c r="U46" s="235">
        <v>3201.155518</v>
      </c>
      <c r="V46" s="75">
        <f t="shared" si="3"/>
        <v>4.3139305555137675E-3</v>
      </c>
      <c r="X46" s="46">
        <v>44669</v>
      </c>
      <c r="Y46" s="235">
        <v>797.04998799999998</v>
      </c>
      <c r="Z46" s="75">
        <f t="shared" si="4"/>
        <v>1.360718805439376E-2</v>
      </c>
      <c r="AB46" s="46">
        <v>44669</v>
      </c>
      <c r="AC46" s="235">
        <v>343.89831500000003</v>
      </c>
      <c r="AD46" s="75">
        <f t="shared" si="5"/>
        <v>2.8534636562589366E-2</v>
      </c>
    </row>
    <row r="47" spans="2:30" x14ac:dyDescent="0.25">
      <c r="B47" s="46">
        <v>44676</v>
      </c>
      <c r="C47" s="235">
        <v>2163.3798830000001</v>
      </c>
      <c r="D47" s="75">
        <f t="shared" si="0"/>
        <v>5.0729962501598225E-2</v>
      </c>
      <c r="F47" s="235">
        <v>17102.550781000002</v>
      </c>
      <c r="G47" s="75">
        <f t="shared" si="1"/>
        <v>-4.041383835634127E-3</v>
      </c>
      <c r="P47" s="46">
        <v>44676</v>
      </c>
      <c r="Q47" s="235">
        <v>18131.066406000002</v>
      </c>
      <c r="R47" s="75">
        <f t="shared" si="2"/>
        <v>1.281723408507518E-2</v>
      </c>
      <c r="T47" s="46">
        <v>44676</v>
      </c>
      <c r="U47" s="235">
        <v>3120.4152829999998</v>
      </c>
      <c r="V47" s="75">
        <f t="shared" si="3"/>
        <v>-2.522221571117067E-2</v>
      </c>
      <c r="X47" s="46">
        <v>44676</v>
      </c>
      <c r="Y47" s="235">
        <v>782.40002400000003</v>
      </c>
      <c r="Z47" s="75">
        <f t="shared" si="4"/>
        <v>-1.8380232382614325E-2</v>
      </c>
      <c r="AB47" s="46">
        <v>44676</v>
      </c>
      <c r="AC47" s="235">
        <v>358.333527</v>
      </c>
      <c r="AD47" s="75">
        <f t="shared" si="5"/>
        <v>4.1975233289526237E-2</v>
      </c>
    </row>
    <row r="48" spans="2:30" x14ac:dyDescent="0.25">
      <c r="B48" s="46">
        <v>44683</v>
      </c>
      <c r="C48" s="235">
        <v>2080.46875</v>
      </c>
      <c r="D48" s="75">
        <f t="shared" si="0"/>
        <v>-3.8324814634508653E-2</v>
      </c>
      <c r="F48" s="235">
        <v>16411.25</v>
      </c>
      <c r="G48" s="75">
        <f t="shared" si="1"/>
        <v>-4.0420916730619982E-2</v>
      </c>
      <c r="P48" s="46">
        <v>44683</v>
      </c>
      <c r="Q48" s="235">
        <v>16810.722656000002</v>
      </c>
      <c r="R48" s="75">
        <f t="shared" si="2"/>
        <v>-7.282217826763171E-2</v>
      </c>
      <c r="T48" s="46">
        <v>44683</v>
      </c>
      <c r="U48" s="235">
        <v>3147.5822750000002</v>
      </c>
      <c r="V48" s="75">
        <f t="shared" si="3"/>
        <v>8.7062104034696386E-3</v>
      </c>
      <c r="X48" s="46">
        <v>44683</v>
      </c>
      <c r="Y48" s="235">
        <v>756.09997599999997</v>
      </c>
      <c r="Z48" s="75">
        <f t="shared" si="4"/>
        <v>-3.3614579745974149E-2</v>
      </c>
      <c r="AB48" s="46">
        <v>44683</v>
      </c>
      <c r="AC48" s="235">
        <v>355.70443699999998</v>
      </c>
      <c r="AD48" s="75">
        <f t="shared" si="5"/>
        <v>-7.3369913834493428E-3</v>
      </c>
    </row>
    <row r="49" spans="2:30" x14ac:dyDescent="0.25">
      <c r="B49" s="46">
        <v>44690</v>
      </c>
      <c r="C49" s="235">
        <v>2123.9331050000001</v>
      </c>
      <c r="D49" s="75">
        <f t="shared" si="0"/>
        <v>2.0891616372512134E-2</v>
      </c>
      <c r="F49" s="235">
        <v>15782.150390999999</v>
      </c>
      <c r="G49" s="75">
        <f t="shared" si="1"/>
        <v>-3.8333436453652281E-2</v>
      </c>
      <c r="P49" s="46">
        <v>44690</v>
      </c>
      <c r="Q49" s="235">
        <v>16224.663086</v>
      </c>
      <c r="R49" s="75">
        <f t="shared" si="2"/>
        <v>-3.4862247268758972E-2</v>
      </c>
      <c r="T49" s="46">
        <v>44690</v>
      </c>
      <c r="U49" s="235">
        <v>3119.7014159999999</v>
      </c>
      <c r="V49" s="75">
        <f t="shared" si="3"/>
        <v>-8.8578650418281724E-3</v>
      </c>
      <c r="X49" s="46">
        <v>44690</v>
      </c>
      <c r="Y49" s="235">
        <v>797.20001200000002</v>
      </c>
      <c r="Z49" s="75">
        <f t="shared" si="4"/>
        <v>5.4357938506269798E-2</v>
      </c>
      <c r="AB49" s="46">
        <v>44690</v>
      </c>
      <c r="AC49" s="235">
        <v>360.813782</v>
      </c>
      <c r="AD49" s="75">
        <f t="shared" si="5"/>
        <v>1.4364018180633487E-2</v>
      </c>
    </row>
    <row r="50" spans="2:30" x14ac:dyDescent="0.25">
      <c r="B50" s="46">
        <v>44697</v>
      </c>
      <c r="C50" s="235">
        <v>2251.5664059999999</v>
      </c>
      <c r="D50" s="75">
        <f t="shared" si="0"/>
        <v>6.0092900618920364E-2</v>
      </c>
      <c r="F50" s="235">
        <v>16266.150390999999</v>
      </c>
      <c r="G50" s="75">
        <f t="shared" si="1"/>
        <v>3.0667557209187901E-2</v>
      </c>
      <c r="P50" s="46">
        <v>44697</v>
      </c>
      <c r="Q50" s="235">
        <v>16678.726563</v>
      </c>
      <c r="R50" s="75">
        <f t="shared" si="2"/>
        <v>2.7986003443843721E-2</v>
      </c>
      <c r="T50" s="46">
        <v>44697</v>
      </c>
      <c r="U50" s="235">
        <v>3283.1328130000002</v>
      </c>
      <c r="V50" s="75">
        <f t="shared" si="3"/>
        <v>5.2386871436417071E-2</v>
      </c>
      <c r="X50" s="46">
        <v>44697</v>
      </c>
      <c r="Y50" s="235">
        <v>758.40002400000003</v>
      </c>
      <c r="Z50" s="75">
        <f t="shared" si="4"/>
        <v>-4.8670330426437536E-2</v>
      </c>
      <c r="AB50" s="46">
        <v>44697</v>
      </c>
      <c r="AC50" s="235">
        <v>364.881439</v>
      </c>
      <c r="AD50" s="75">
        <f t="shared" si="5"/>
        <v>1.1273563269819986E-2</v>
      </c>
    </row>
    <row r="51" spans="2:30" x14ac:dyDescent="0.25">
      <c r="B51" s="46">
        <v>44704</v>
      </c>
      <c r="C51" s="235">
        <v>2256.068115</v>
      </c>
      <c r="D51" s="75">
        <f t="shared" si="0"/>
        <v>1.9993676349068235E-3</v>
      </c>
      <c r="F51" s="235">
        <v>16352.450194999999</v>
      </c>
      <c r="G51" s="75">
        <f t="shared" si="1"/>
        <v>5.3054842064996777E-3</v>
      </c>
      <c r="P51" s="46">
        <v>44704</v>
      </c>
      <c r="Q51" s="235">
        <v>17449.308593999998</v>
      </c>
      <c r="R51" s="75">
        <f t="shared" si="2"/>
        <v>4.6201490748667418E-2</v>
      </c>
      <c r="T51" s="46">
        <v>44704</v>
      </c>
      <c r="U51" s="235">
        <v>3385.2829590000001</v>
      </c>
      <c r="V51" s="75">
        <f t="shared" si="3"/>
        <v>3.1113619770581025E-2</v>
      </c>
      <c r="X51" s="46">
        <v>44704</v>
      </c>
      <c r="Y51" s="235">
        <v>784.09997599999997</v>
      </c>
      <c r="Z51" s="75">
        <f t="shared" si="4"/>
        <v>3.3887066438172964E-2</v>
      </c>
      <c r="AB51" s="46">
        <v>44704</v>
      </c>
      <c r="AC51" s="235">
        <v>360.33429000000001</v>
      </c>
      <c r="AD51" s="75">
        <f t="shared" si="5"/>
        <v>-1.2461990427526159E-2</v>
      </c>
    </row>
    <row r="52" spans="2:30" x14ac:dyDescent="0.25">
      <c r="B52" s="46">
        <v>44711</v>
      </c>
      <c r="C52" s="235">
        <v>2218.6538089999999</v>
      </c>
      <c r="D52" s="75">
        <f t="shared" si="0"/>
        <v>-1.658385478312574E-2</v>
      </c>
      <c r="F52" s="235">
        <v>16584.300781000002</v>
      </c>
      <c r="G52" s="75">
        <f t="shared" si="1"/>
        <v>1.4178339223494207E-2</v>
      </c>
      <c r="P52" s="46">
        <v>44711</v>
      </c>
      <c r="Q52" s="235">
        <v>16984.367188</v>
      </c>
      <c r="R52" s="75">
        <f t="shared" si="2"/>
        <v>-2.6645262389357383E-2</v>
      </c>
      <c r="T52" s="46">
        <v>44711</v>
      </c>
      <c r="U52" s="235">
        <v>3359.0197750000002</v>
      </c>
      <c r="V52" s="75">
        <f t="shared" si="3"/>
        <v>-7.7580469101341532E-3</v>
      </c>
      <c r="X52" s="46">
        <v>44711</v>
      </c>
      <c r="Y52" s="235">
        <v>763.34997599999997</v>
      </c>
      <c r="Z52" s="75">
        <f t="shared" si="4"/>
        <v>-2.6463462103205049E-2</v>
      </c>
      <c r="AB52" s="46">
        <v>44711</v>
      </c>
      <c r="AC52" s="235">
        <v>363.92242399999998</v>
      </c>
      <c r="AD52" s="75">
        <f t="shared" si="5"/>
        <v>9.9577922489695325E-3</v>
      </c>
    </row>
    <row r="53" spans="2:30" x14ac:dyDescent="0.25">
      <c r="B53" s="46">
        <v>44718</v>
      </c>
      <c r="C53" s="235">
        <v>2129.547607</v>
      </c>
      <c r="D53" s="75">
        <f t="shared" si="0"/>
        <v>-4.0162282929648296E-2</v>
      </c>
      <c r="F53" s="235">
        <v>16201.799805000001</v>
      </c>
      <c r="G53" s="75">
        <f t="shared" si="1"/>
        <v>-2.3064039964724836E-2</v>
      </c>
      <c r="P53" s="46">
        <v>44718</v>
      </c>
      <c r="Q53" s="235">
        <v>16592.572265999999</v>
      </c>
      <c r="R53" s="75">
        <f t="shared" si="2"/>
        <v>-2.3067972899032507E-2</v>
      </c>
      <c r="T53" s="46">
        <v>44718</v>
      </c>
      <c r="U53" s="235">
        <v>3198.0627439999998</v>
      </c>
      <c r="V53" s="75">
        <f t="shared" si="3"/>
        <v>-4.791785752437272E-2</v>
      </c>
      <c r="X53" s="46">
        <v>44718</v>
      </c>
      <c r="Y53" s="235">
        <v>749.95001200000002</v>
      </c>
      <c r="Z53" s="75">
        <f t="shared" si="4"/>
        <v>-1.7554155264688176E-2</v>
      </c>
      <c r="AB53" s="46">
        <v>44718</v>
      </c>
      <c r="AC53" s="235">
        <v>374.273438</v>
      </c>
      <c r="AD53" s="75">
        <f t="shared" si="5"/>
        <v>2.8442913427066063E-2</v>
      </c>
    </row>
    <row r="54" spans="2:30" x14ac:dyDescent="0.25">
      <c r="B54" s="46">
        <v>44725</v>
      </c>
      <c r="C54" s="235">
        <v>2042.95813</v>
      </c>
      <c r="D54" s="75">
        <f t="shared" si="0"/>
        <v>-4.0660972647605154E-2</v>
      </c>
      <c r="F54" s="235">
        <v>15293.5</v>
      </c>
      <c r="G54" s="75">
        <f t="shared" si="1"/>
        <v>-5.606166079892505E-2</v>
      </c>
      <c r="P54" s="46">
        <v>44725</v>
      </c>
      <c r="Q54" s="235">
        <v>16461.513672000001</v>
      </c>
      <c r="R54" s="75">
        <f t="shared" si="2"/>
        <v>-7.8986302966750355E-3</v>
      </c>
      <c r="T54" s="46">
        <v>44725</v>
      </c>
      <c r="U54" s="235">
        <v>3170.7053219999998</v>
      </c>
      <c r="V54" s="75">
        <f t="shared" si="3"/>
        <v>-8.5543731283340696E-3</v>
      </c>
      <c r="X54" s="46">
        <v>44725</v>
      </c>
      <c r="Y54" s="235">
        <v>725.29998799999998</v>
      </c>
      <c r="Z54" s="75">
        <f t="shared" si="4"/>
        <v>-3.2868889400057832E-2</v>
      </c>
      <c r="AB54" s="46">
        <v>44725</v>
      </c>
      <c r="AC54" s="235">
        <v>372.56204200000002</v>
      </c>
      <c r="AD54" s="75">
        <f t="shared" si="5"/>
        <v>-4.5725820382689353E-3</v>
      </c>
    </row>
    <row r="55" spans="2:30" x14ac:dyDescent="0.25">
      <c r="B55" s="46">
        <v>44732</v>
      </c>
      <c r="C55" s="235">
        <v>2270.0048830000001</v>
      </c>
      <c r="D55" s="75">
        <f t="shared" si="0"/>
        <v>0.11113627326273212</v>
      </c>
      <c r="F55" s="235">
        <v>15699.25</v>
      </c>
      <c r="G55" s="75">
        <f t="shared" si="1"/>
        <v>2.6530879131657192E-2</v>
      </c>
      <c r="P55" s="46">
        <v>44732</v>
      </c>
      <c r="Q55" s="235">
        <v>17044.357422000001</v>
      </c>
      <c r="R55" s="75">
        <f t="shared" si="2"/>
        <v>3.5406449346841118E-2</v>
      </c>
      <c r="T55" s="46">
        <v>44732</v>
      </c>
      <c r="U55" s="235">
        <v>3301.3076169999999</v>
      </c>
      <c r="V55" s="75">
        <f t="shared" si="3"/>
        <v>4.1190297342933002E-2</v>
      </c>
      <c r="X55" s="46">
        <v>44732</v>
      </c>
      <c r="Y55" s="235">
        <v>794.54998799999998</v>
      </c>
      <c r="Z55" s="75">
        <f t="shared" si="4"/>
        <v>9.5477734931384006E-2</v>
      </c>
      <c r="AB55" s="46">
        <v>44732</v>
      </c>
      <c r="AC55" s="235">
        <v>382.21032700000001</v>
      </c>
      <c r="AD55" s="75">
        <f t="shared" si="5"/>
        <v>2.5897122928051797E-2</v>
      </c>
    </row>
    <row r="56" spans="2:30" x14ac:dyDescent="0.25">
      <c r="B56" s="46">
        <v>44739</v>
      </c>
      <c r="C56" s="235">
        <v>2248.7722170000002</v>
      </c>
      <c r="D56" s="75">
        <f t="shared" si="0"/>
        <v>-9.3535772363357861E-3</v>
      </c>
      <c r="F56" s="235">
        <v>15752.049805000001</v>
      </c>
      <c r="G56" s="75">
        <f t="shared" si="1"/>
        <v>3.3632055671448668E-3</v>
      </c>
      <c r="P56" s="46">
        <v>44739</v>
      </c>
      <c r="Q56" s="235">
        <v>17601.634765999999</v>
      </c>
      <c r="R56" s="75">
        <f t="shared" si="2"/>
        <v>3.2695708626756081E-2</v>
      </c>
      <c r="T56" s="46">
        <v>44739</v>
      </c>
      <c r="U56" s="235">
        <v>3469.5683589999999</v>
      </c>
      <c r="V56" s="75">
        <f t="shared" si="3"/>
        <v>5.0967907726485517E-2</v>
      </c>
      <c r="X56" s="46">
        <v>44739</v>
      </c>
      <c r="Y56" s="235">
        <v>781.5</v>
      </c>
      <c r="Z56" s="75">
        <f t="shared" si="4"/>
        <v>-1.6424376309977395E-2</v>
      </c>
      <c r="AB56" s="46">
        <v>44739</v>
      </c>
      <c r="AC56" s="235">
        <v>393.86758400000002</v>
      </c>
      <c r="AD56" s="75">
        <f t="shared" si="5"/>
        <v>3.0499586684375579E-2</v>
      </c>
    </row>
    <row r="57" spans="2:30" x14ac:dyDescent="0.25">
      <c r="B57" s="46">
        <v>44746</v>
      </c>
      <c r="C57" s="235">
        <v>2460.1164549999999</v>
      </c>
      <c r="D57" s="75">
        <f t="shared" si="0"/>
        <v>9.3982056698452832E-2</v>
      </c>
      <c r="F57" s="235">
        <v>16220.599609000001</v>
      </c>
      <c r="G57" s="75">
        <f t="shared" si="1"/>
        <v>2.9745322659611828E-2</v>
      </c>
      <c r="P57" s="46">
        <v>44746</v>
      </c>
      <c r="Q57" s="235">
        <v>18218.951172000001</v>
      </c>
      <c r="R57" s="75">
        <f t="shared" si="2"/>
        <v>3.5071538195556418E-2</v>
      </c>
      <c r="T57" s="46">
        <v>44746</v>
      </c>
      <c r="U57" s="235">
        <v>3694.7197270000001</v>
      </c>
      <c r="V57" s="75">
        <f t="shared" si="3"/>
        <v>6.4893192669330579E-2</v>
      </c>
      <c r="X57" s="46">
        <v>44746</v>
      </c>
      <c r="Y57" s="235">
        <v>850.25</v>
      </c>
      <c r="Z57" s="75">
        <f t="shared" si="4"/>
        <v>8.7971849008317449E-2</v>
      </c>
      <c r="AB57" s="46">
        <v>44746</v>
      </c>
      <c r="AC57" s="235">
        <v>420.927368</v>
      </c>
      <c r="AD57" s="75">
        <f t="shared" si="5"/>
        <v>6.8702744524413495E-2</v>
      </c>
    </row>
    <row r="58" spans="2:30" x14ac:dyDescent="0.25">
      <c r="B58" s="46">
        <v>44753</v>
      </c>
      <c r="C58" s="235">
        <v>2530.7121579999998</v>
      </c>
      <c r="D58" s="75">
        <f t="shared" si="0"/>
        <v>2.8696081787721761E-2</v>
      </c>
      <c r="F58" s="235">
        <v>16049.200194999999</v>
      </c>
      <c r="G58" s="75">
        <f t="shared" si="1"/>
        <v>-1.0566774233481513E-2</v>
      </c>
      <c r="P58" s="46">
        <v>44753</v>
      </c>
      <c r="Q58" s="235">
        <v>18567.470702999999</v>
      </c>
      <c r="R58" s="75">
        <f t="shared" si="2"/>
        <v>1.9129505738816777E-2</v>
      </c>
      <c r="T58" s="46">
        <v>44753</v>
      </c>
      <c r="U58" s="235">
        <v>3725.6464839999999</v>
      </c>
      <c r="V58" s="75">
        <f t="shared" si="3"/>
        <v>8.3705285610693458E-3</v>
      </c>
      <c r="X58" s="46">
        <v>44753</v>
      </c>
      <c r="Y58" s="235">
        <v>874.20001200000002</v>
      </c>
      <c r="Z58" s="75">
        <f t="shared" si="4"/>
        <v>2.8168199941193794E-2</v>
      </c>
      <c r="AB58" s="46">
        <v>44753</v>
      </c>
      <c r="AC58" s="235">
        <v>410.03894000000003</v>
      </c>
      <c r="AD58" s="75">
        <f t="shared" si="5"/>
        <v>-2.5867712170238311E-2</v>
      </c>
    </row>
    <row r="59" spans="2:30" x14ac:dyDescent="0.25">
      <c r="B59" s="46">
        <v>44760</v>
      </c>
      <c r="C59" s="235">
        <v>2601.7517090000001</v>
      </c>
      <c r="D59" s="75">
        <f t="shared" si="0"/>
        <v>2.8070972344852674E-2</v>
      </c>
      <c r="F59" s="235">
        <v>16719.449218999998</v>
      </c>
      <c r="G59" s="75">
        <f t="shared" si="1"/>
        <v>4.1762144895470144E-2</v>
      </c>
      <c r="P59" s="46">
        <v>44760</v>
      </c>
      <c r="Q59" s="235">
        <v>18782.556640999999</v>
      </c>
      <c r="R59" s="75">
        <f t="shared" si="2"/>
        <v>1.1584019247449229E-2</v>
      </c>
      <c r="T59" s="46">
        <v>44760</v>
      </c>
      <c r="U59" s="235">
        <v>3747.474365</v>
      </c>
      <c r="V59" s="75">
        <f t="shared" si="3"/>
        <v>5.8588170116895544E-3</v>
      </c>
      <c r="X59" s="46">
        <v>44760</v>
      </c>
      <c r="Y59" s="235">
        <v>883.34997599999997</v>
      </c>
      <c r="Z59" s="75">
        <f t="shared" si="4"/>
        <v>1.046667109860433E-2</v>
      </c>
      <c r="AB59" s="46">
        <v>44760</v>
      </c>
      <c r="AC59" s="235">
        <v>432.70867900000002</v>
      </c>
      <c r="AD59" s="75">
        <f t="shared" si="5"/>
        <v>5.5286795444354553E-2</v>
      </c>
    </row>
    <row r="60" spans="2:30" x14ac:dyDescent="0.25">
      <c r="B60" s="46">
        <v>44767</v>
      </c>
      <c r="C60" s="235">
        <v>2598.5986330000001</v>
      </c>
      <c r="D60" s="75">
        <f t="shared" si="0"/>
        <v>-1.2119050365539952E-3</v>
      </c>
      <c r="F60" s="235">
        <v>17158.25</v>
      </c>
      <c r="G60" s="75">
        <f t="shared" si="1"/>
        <v>2.6244930395275645E-2</v>
      </c>
      <c r="P60" s="46">
        <v>44767</v>
      </c>
      <c r="Q60" s="235">
        <v>19148.683593999998</v>
      </c>
      <c r="R60" s="75">
        <f t="shared" si="2"/>
        <v>1.949292420611104E-2</v>
      </c>
      <c r="T60" s="46">
        <v>44767</v>
      </c>
      <c r="U60" s="235">
        <v>3775.4973140000002</v>
      </c>
      <c r="V60" s="75">
        <f t="shared" si="3"/>
        <v>7.4778227335519087E-3</v>
      </c>
      <c r="X60" s="46">
        <v>44767</v>
      </c>
      <c r="Y60" s="235">
        <v>853.75</v>
      </c>
      <c r="Z60" s="75">
        <f t="shared" si="4"/>
        <v>-3.3508775461833507E-2</v>
      </c>
      <c r="AB60" s="46">
        <v>44767</v>
      </c>
      <c r="AC60" s="235">
        <v>437.86767600000002</v>
      </c>
      <c r="AD60" s="75">
        <f t="shared" si="5"/>
        <v>1.1922564187810014E-2</v>
      </c>
    </row>
    <row r="61" spans="2:30" x14ac:dyDescent="0.25">
      <c r="B61" s="46">
        <v>44774</v>
      </c>
      <c r="C61" s="235">
        <v>2606.4807129999999</v>
      </c>
      <c r="D61" s="75">
        <f t="shared" si="0"/>
        <v>3.0332040892748768E-3</v>
      </c>
      <c r="F61" s="235">
        <v>17397.5</v>
      </c>
      <c r="G61" s="75">
        <f t="shared" si="1"/>
        <v>1.3943729692713402E-2</v>
      </c>
      <c r="P61" s="46">
        <v>44774</v>
      </c>
      <c r="Q61" s="235">
        <v>19704.970702999999</v>
      </c>
      <c r="R61" s="75">
        <f t="shared" si="2"/>
        <v>2.9050932209998326E-2</v>
      </c>
      <c r="T61" s="46">
        <v>44774</v>
      </c>
      <c r="U61" s="235">
        <v>3569.9958499999998</v>
      </c>
      <c r="V61" s="75">
        <f t="shared" si="3"/>
        <v>-5.4430303324008777E-2</v>
      </c>
      <c r="X61" s="46">
        <v>44774</v>
      </c>
      <c r="Y61" s="235">
        <v>873.09997599999997</v>
      </c>
      <c r="Z61" s="75">
        <f t="shared" si="4"/>
        <v>2.2664686383601751E-2</v>
      </c>
      <c r="AB61" s="46">
        <v>44774</v>
      </c>
      <c r="AC61" s="235">
        <v>508.58029199999999</v>
      </c>
      <c r="AD61" s="75">
        <f t="shared" si="5"/>
        <v>0.16149311738644978</v>
      </c>
    </row>
    <row r="62" spans="2:30" x14ac:dyDescent="0.25">
      <c r="B62" s="46">
        <v>44781</v>
      </c>
      <c r="C62" s="235">
        <v>2556.7729490000002</v>
      </c>
      <c r="D62" s="75">
        <f t="shared" si="0"/>
        <v>-1.9070835150277077E-2</v>
      </c>
      <c r="F62" s="235">
        <v>17698.150390999999</v>
      </c>
      <c r="G62" s="75">
        <f t="shared" si="1"/>
        <v>1.7281241040379314E-2</v>
      </c>
      <c r="P62" s="46">
        <v>44781</v>
      </c>
      <c r="Q62" s="235">
        <v>19330.832031000002</v>
      </c>
      <c r="R62" s="75">
        <f t="shared" si="2"/>
        <v>-1.8987019957509288E-2</v>
      </c>
      <c r="T62" s="46">
        <v>44781</v>
      </c>
      <c r="U62" s="235">
        <v>3542.553711</v>
      </c>
      <c r="V62" s="75">
        <f t="shared" si="3"/>
        <v>-7.6868826051995631E-3</v>
      </c>
      <c r="X62" s="46">
        <v>44781</v>
      </c>
      <c r="Y62" s="235">
        <v>864.79998799999998</v>
      </c>
      <c r="Z62" s="75">
        <f t="shared" si="4"/>
        <v>-9.5063431773591001E-3</v>
      </c>
      <c r="AB62" s="46">
        <v>44781</v>
      </c>
      <c r="AC62" s="235">
        <v>508.70431500000001</v>
      </c>
      <c r="AD62" s="75">
        <f t="shared" si="5"/>
        <v>2.4386119940333906E-4</v>
      </c>
    </row>
    <row r="63" spans="2:30" x14ac:dyDescent="0.25">
      <c r="B63" s="46">
        <v>44788</v>
      </c>
      <c r="C63" s="235">
        <v>2595.7905270000001</v>
      </c>
      <c r="D63" s="75">
        <f t="shared" si="0"/>
        <v>1.5260478258447119E-2</v>
      </c>
      <c r="F63" s="235">
        <v>17758.449218999998</v>
      </c>
      <c r="G63" s="75">
        <f t="shared" si="1"/>
        <v>3.4070694771959342E-3</v>
      </c>
      <c r="P63" s="46">
        <v>44788</v>
      </c>
      <c r="Q63" s="235">
        <v>19229.595702999999</v>
      </c>
      <c r="R63" s="75">
        <f t="shared" si="2"/>
        <v>-5.2370393492454648E-3</v>
      </c>
      <c r="T63" s="46">
        <v>44788</v>
      </c>
      <c r="U63" s="235">
        <v>3545.2641600000002</v>
      </c>
      <c r="V63" s="75">
        <f t="shared" si="3"/>
        <v>7.6511161752712553E-4</v>
      </c>
      <c r="X63" s="46">
        <v>44788</v>
      </c>
      <c r="Y63" s="235">
        <v>905.90002400000003</v>
      </c>
      <c r="Z63" s="75">
        <f t="shared" si="4"/>
        <v>4.752548169554327E-2</v>
      </c>
      <c r="AB63" s="46">
        <v>44788</v>
      </c>
      <c r="AC63" s="235">
        <v>492.63247699999999</v>
      </c>
      <c r="AD63" s="75">
        <f t="shared" si="5"/>
        <v>-3.1593673428934821E-2</v>
      </c>
    </row>
    <row r="64" spans="2:30" x14ac:dyDescent="0.25">
      <c r="B64" s="46">
        <v>44795</v>
      </c>
      <c r="C64" s="235">
        <v>2533.717529</v>
      </c>
      <c r="D64" s="75">
        <f t="shared" si="0"/>
        <v>-2.3912945730539703E-2</v>
      </c>
      <c r="F64" s="235">
        <v>17558.900390999999</v>
      </c>
      <c r="G64" s="75">
        <f t="shared" si="1"/>
        <v>-1.1236838619134604E-2</v>
      </c>
      <c r="P64" s="46">
        <v>44795</v>
      </c>
      <c r="Q64" s="235">
        <v>19315.845702999999</v>
      </c>
      <c r="R64" s="75">
        <f t="shared" si="2"/>
        <v>4.4852737068488135E-3</v>
      </c>
      <c r="T64" s="46">
        <v>44795</v>
      </c>
      <c r="U64" s="235">
        <v>3533.2612300000001</v>
      </c>
      <c r="V64" s="75">
        <f t="shared" si="3"/>
        <v>-3.3856235976503779E-3</v>
      </c>
      <c r="X64" s="46">
        <v>44795</v>
      </c>
      <c r="Y64" s="235">
        <v>897.79998799999998</v>
      </c>
      <c r="Z64" s="75">
        <f t="shared" si="4"/>
        <v>-8.9414237613487657E-3</v>
      </c>
      <c r="AB64" s="46">
        <v>44795</v>
      </c>
      <c r="AC64" s="235">
        <v>510.20602400000001</v>
      </c>
      <c r="AD64" s="75">
        <f t="shared" si="5"/>
        <v>3.5672733367110077E-2</v>
      </c>
    </row>
    <row r="65" spans="2:30" x14ac:dyDescent="0.25">
      <c r="B65" s="46">
        <v>44802</v>
      </c>
      <c r="C65" s="235">
        <v>2565.2958979999999</v>
      </c>
      <c r="D65" s="75">
        <f t="shared" si="0"/>
        <v>1.2463255528118333E-2</v>
      </c>
      <c r="F65" s="235">
        <v>17539.449218999998</v>
      </c>
      <c r="G65" s="75">
        <f t="shared" si="1"/>
        <v>-1.1077670905844661E-3</v>
      </c>
      <c r="P65" s="46">
        <v>44802</v>
      </c>
      <c r="Q65" s="235">
        <v>19349.181640999999</v>
      </c>
      <c r="R65" s="75">
        <f t="shared" si="2"/>
        <v>1.7258337280474656E-3</v>
      </c>
      <c r="T65" s="46">
        <v>44802</v>
      </c>
      <c r="U65" s="235">
        <v>3641.8085940000001</v>
      </c>
      <c r="V65" s="75">
        <f t="shared" si="3"/>
        <v>3.0721578998561538E-2</v>
      </c>
      <c r="X65" s="46">
        <v>44802</v>
      </c>
      <c r="Y65" s="235">
        <v>915.65002400000003</v>
      </c>
      <c r="Z65" s="75">
        <f t="shared" si="4"/>
        <v>1.9881973979264611E-2</v>
      </c>
      <c r="AB65" s="46">
        <v>44802</v>
      </c>
      <c r="AC65" s="235">
        <v>514.29400599999997</v>
      </c>
      <c r="AD65" s="75">
        <f t="shared" si="5"/>
        <v>8.0124142164184065E-3</v>
      </c>
    </row>
    <row r="66" spans="2:30" x14ac:dyDescent="0.25">
      <c r="B66" s="46">
        <v>44809</v>
      </c>
      <c r="C66" s="235">
        <v>2550.61499</v>
      </c>
      <c r="D66" s="75">
        <f t="shared" si="0"/>
        <v>-5.7228906854158712E-3</v>
      </c>
      <c r="F66" s="235">
        <v>17833.349609000001</v>
      </c>
      <c r="G66" s="75">
        <f t="shared" si="1"/>
        <v>1.6756534730955508E-2</v>
      </c>
      <c r="P66" s="46">
        <v>44809</v>
      </c>
      <c r="Q66" s="235">
        <v>18844.179688</v>
      </c>
      <c r="R66" s="75">
        <f t="shared" si="2"/>
        <v>-2.6099395952225879E-2</v>
      </c>
      <c r="T66" s="46">
        <v>44809</v>
      </c>
      <c r="U66" s="235">
        <v>3587.9816890000002</v>
      </c>
      <c r="V66" s="75">
        <f t="shared" si="3"/>
        <v>-1.4780267444225781E-2</v>
      </c>
      <c r="X66" s="46">
        <v>44809</v>
      </c>
      <c r="Y66" s="235">
        <v>938</v>
      </c>
      <c r="Z66" s="75">
        <f t="shared" si="4"/>
        <v>2.4408863008996029E-2</v>
      </c>
      <c r="AB66" s="46">
        <v>44809</v>
      </c>
      <c r="AC66" s="235">
        <v>538.52307099999996</v>
      </c>
      <c r="AD66" s="75">
        <f t="shared" si="5"/>
        <v>4.7111311268130951E-2</v>
      </c>
    </row>
    <row r="67" spans="2:30" x14ac:dyDescent="0.25">
      <c r="B67" s="46">
        <v>44816</v>
      </c>
      <c r="C67" s="235">
        <v>2490.9558109999998</v>
      </c>
      <c r="D67" s="75">
        <f t="shared" si="0"/>
        <v>-2.3390115416831336E-2</v>
      </c>
      <c r="F67" s="235">
        <v>17530.849609000001</v>
      </c>
      <c r="G67" s="75">
        <f t="shared" si="1"/>
        <v>-1.6962601341440453E-2</v>
      </c>
      <c r="P67" s="46">
        <v>44816</v>
      </c>
      <c r="Q67" s="235">
        <v>18204.162109000001</v>
      </c>
      <c r="R67" s="75">
        <f t="shared" si="2"/>
        <v>-3.396367417402435E-2</v>
      </c>
      <c r="T67" s="46">
        <v>44816</v>
      </c>
      <c r="U67" s="235">
        <v>3578.1994629999999</v>
      </c>
      <c r="V67" s="75">
        <f t="shared" si="3"/>
        <v>-2.726386823542204E-3</v>
      </c>
      <c r="X67" s="46">
        <v>44816</v>
      </c>
      <c r="Y67" s="235">
        <v>890.15002400000003</v>
      </c>
      <c r="Z67" s="75">
        <f t="shared" si="4"/>
        <v>-5.1012767590618346E-2</v>
      </c>
      <c r="AB67" s="46">
        <v>44816</v>
      </c>
      <c r="AC67" s="235">
        <v>549.56567399999994</v>
      </c>
      <c r="AD67" s="75">
        <f t="shared" si="5"/>
        <v>2.0505348042925364E-2</v>
      </c>
    </row>
    <row r="68" spans="2:30" x14ac:dyDescent="0.25">
      <c r="B68" s="46">
        <v>44823</v>
      </c>
      <c r="C68" s="235">
        <v>2642.591797</v>
      </c>
      <c r="D68" s="75">
        <f t="shared" si="0"/>
        <v>6.0874619023902232E-2</v>
      </c>
      <c r="F68" s="235">
        <v>17327.349609000001</v>
      </c>
      <c r="G68" s="75">
        <f t="shared" si="1"/>
        <v>-1.1608108251383698E-2</v>
      </c>
      <c r="P68" s="46">
        <v>44823</v>
      </c>
      <c r="Q68" s="235">
        <v>18294.865234000001</v>
      </c>
      <c r="R68" s="75">
        <f t="shared" si="2"/>
        <v>4.982548741156112E-3</v>
      </c>
      <c r="T68" s="46">
        <v>44823</v>
      </c>
      <c r="U68" s="235">
        <v>3732.7001949999999</v>
      </c>
      <c r="V68" s="75">
        <f t="shared" si="3"/>
        <v>4.3178345309589083E-2</v>
      </c>
      <c r="X68" s="46">
        <v>44823</v>
      </c>
      <c r="Y68" s="235">
        <v>890.45001200000002</v>
      </c>
      <c r="Z68" s="75">
        <f t="shared" si="4"/>
        <v>3.3700836028960346E-4</v>
      </c>
      <c r="AB68" s="46">
        <v>44823</v>
      </c>
      <c r="AC68" s="235">
        <v>577.78308100000004</v>
      </c>
      <c r="AD68" s="75">
        <f t="shared" si="5"/>
        <v>5.1344922608831167E-2</v>
      </c>
    </row>
    <row r="69" spans="2:30" x14ac:dyDescent="0.25">
      <c r="B69" s="46">
        <v>44830</v>
      </c>
      <c r="C69" s="235">
        <v>2656.7797850000002</v>
      </c>
      <c r="D69" s="75">
        <f t="shared" si="0"/>
        <v>5.3689669422674058E-3</v>
      </c>
      <c r="F69" s="235">
        <v>17094.349609000001</v>
      </c>
      <c r="G69" s="75">
        <f t="shared" si="1"/>
        <v>-1.3446949779265527E-2</v>
      </c>
      <c r="P69" s="46">
        <v>44830</v>
      </c>
      <c r="Q69" s="235">
        <v>18936.712890999999</v>
      </c>
      <c r="R69" s="75">
        <f t="shared" si="2"/>
        <v>3.5083486475055325E-2</v>
      </c>
      <c r="T69" s="46">
        <v>44830</v>
      </c>
      <c r="U69" s="235">
        <v>3778.2690429999998</v>
      </c>
      <c r="V69" s="75">
        <f t="shared" si="3"/>
        <v>1.2208011792921303E-2</v>
      </c>
      <c r="X69" s="46">
        <v>44830</v>
      </c>
      <c r="Y69" s="235">
        <v>910.45001200000002</v>
      </c>
      <c r="Z69" s="75">
        <f t="shared" si="4"/>
        <v>2.2460553349961554E-2</v>
      </c>
      <c r="AB69" s="46">
        <v>44830</v>
      </c>
      <c r="AC69" s="235">
        <v>520.57562299999995</v>
      </c>
      <c r="AD69" s="75">
        <f t="shared" si="5"/>
        <v>-9.9011999280055218E-2</v>
      </c>
    </row>
    <row r="70" spans="2:30" x14ac:dyDescent="0.25">
      <c r="B70" s="46">
        <v>44837</v>
      </c>
      <c r="C70" s="235">
        <v>2561.4533689999998</v>
      </c>
      <c r="D70" s="75">
        <f t="shared" si="0"/>
        <v>-3.588043560787646E-2</v>
      </c>
      <c r="F70" s="235">
        <v>17314.650390999999</v>
      </c>
      <c r="G70" s="75">
        <f t="shared" si="1"/>
        <v>1.2887345060733635E-2</v>
      </c>
      <c r="P70" s="46">
        <v>44837</v>
      </c>
      <c r="Q70" s="235">
        <v>19110.998047000001</v>
      </c>
      <c r="R70" s="75">
        <f t="shared" si="2"/>
        <v>9.2035590866899053E-3</v>
      </c>
      <c r="T70" s="46">
        <v>44837</v>
      </c>
      <c r="U70" s="235">
        <v>3721.8364259999998</v>
      </c>
      <c r="V70" s="75">
        <f t="shared" si="3"/>
        <v>-1.4936103373726861E-2</v>
      </c>
      <c r="X70" s="46">
        <v>44837</v>
      </c>
      <c r="Y70" s="235">
        <v>829.84997599999997</v>
      </c>
      <c r="Z70" s="75">
        <f t="shared" si="4"/>
        <v>-8.852768953557888E-2</v>
      </c>
      <c r="AB70" s="46">
        <v>44837</v>
      </c>
      <c r="AC70" s="235">
        <v>565.96771200000001</v>
      </c>
      <c r="AD70" s="75">
        <f t="shared" si="5"/>
        <v>8.719595577374939E-2</v>
      </c>
    </row>
    <row r="71" spans="2:30" x14ac:dyDescent="0.25">
      <c r="B71" s="46">
        <v>44844</v>
      </c>
      <c r="C71" s="235">
        <v>2537.905029</v>
      </c>
      <c r="D71" s="75">
        <f t="shared" si="0"/>
        <v>-9.1933510424174747E-3</v>
      </c>
      <c r="F71" s="235">
        <v>17185.699218999998</v>
      </c>
      <c r="G71" s="75">
        <f t="shared" si="1"/>
        <v>-7.4475180894804094E-3</v>
      </c>
      <c r="P71" s="46">
        <v>44844</v>
      </c>
      <c r="Q71" s="235">
        <v>18722.269531000002</v>
      </c>
      <c r="R71" s="75">
        <f t="shared" si="2"/>
        <v>-2.034056594239575E-2</v>
      </c>
      <c r="T71" s="46">
        <v>44844</v>
      </c>
      <c r="U71" s="235">
        <v>3732.2578130000002</v>
      </c>
      <c r="V71" s="75">
        <f t="shared" si="3"/>
        <v>2.8000658296529757E-3</v>
      </c>
      <c r="X71" s="46">
        <v>44844</v>
      </c>
      <c r="Y71" s="235">
        <v>833.40002400000003</v>
      </c>
      <c r="Z71" s="75">
        <f t="shared" si="4"/>
        <v>4.277939510358042E-3</v>
      </c>
      <c r="AB71" s="46">
        <v>44844</v>
      </c>
      <c r="AC71" s="235">
        <v>511.75149499999998</v>
      </c>
      <c r="AD71" s="75">
        <f t="shared" si="5"/>
        <v>-9.5793833906906767E-2</v>
      </c>
    </row>
    <row r="72" spans="2:30" x14ac:dyDescent="0.25">
      <c r="B72" s="46">
        <v>44851</v>
      </c>
      <c r="C72" s="235">
        <v>2614.8557129999999</v>
      </c>
      <c r="D72" s="75">
        <f t="shared" si="0"/>
        <v>3.032055302334169E-2</v>
      </c>
      <c r="F72" s="235">
        <v>17576.300781000002</v>
      </c>
      <c r="G72" s="75">
        <f t="shared" si="1"/>
        <v>2.2728290366455628E-2</v>
      </c>
      <c r="P72" s="46">
        <v>44851</v>
      </c>
      <c r="Q72" s="235">
        <v>20074.359375</v>
      </c>
      <c r="R72" s="75">
        <f t="shared" si="2"/>
        <v>7.2218266154177035E-2</v>
      </c>
      <c r="T72" s="46">
        <v>44851</v>
      </c>
      <c r="U72" s="235">
        <v>3728.767578</v>
      </c>
      <c r="V72" s="75">
        <f t="shared" si="3"/>
        <v>-9.3515377952813061E-4</v>
      </c>
      <c r="X72" s="46">
        <v>44851</v>
      </c>
      <c r="Y72" s="235">
        <v>820.25</v>
      </c>
      <c r="Z72" s="75">
        <f t="shared" si="4"/>
        <v>-1.5778766044288073E-2</v>
      </c>
      <c r="AB72" s="46">
        <v>44851</v>
      </c>
      <c r="AC72" s="235">
        <v>505.07101399999999</v>
      </c>
      <c r="AD72" s="75">
        <f t="shared" si="5"/>
        <v>-1.3054150432916689E-2</v>
      </c>
    </row>
    <row r="73" spans="2:30" x14ac:dyDescent="0.25">
      <c r="B73" s="46">
        <v>44858</v>
      </c>
      <c r="C73" s="235">
        <v>2487.1132809999999</v>
      </c>
      <c r="D73" s="75">
        <f t="shared" ref="D73:D112" si="6">C73/C72-1</f>
        <v>-4.8852573916379649E-2</v>
      </c>
      <c r="F73" s="235">
        <v>17786.800781000002</v>
      </c>
      <c r="G73" s="75">
        <f t="shared" ref="G73:G112" si="7">F73/F72-1</f>
        <v>1.197635399068453E-2</v>
      </c>
      <c r="P73" s="46">
        <v>44858</v>
      </c>
      <c r="Q73" s="235">
        <v>20061.996093999998</v>
      </c>
      <c r="R73" s="75">
        <f t="shared" ref="R73:R112" si="8">Q73/Q72-1</f>
        <v>-6.1587424878917219E-4</v>
      </c>
      <c r="T73" s="46">
        <v>44858</v>
      </c>
      <c r="U73" s="235">
        <v>3714.0205080000001</v>
      </c>
      <c r="V73" s="75">
        <f t="shared" ref="V73:V112" si="9">U73/U72-1</f>
        <v>-3.9549448152812472E-3</v>
      </c>
      <c r="X73" s="46">
        <v>44858</v>
      </c>
      <c r="Y73" s="235">
        <v>829.84997599999997</v>
      </c>
      <c r="Z73" s="75">
        <f t="shared" ref="Z73:Z112" si="10">Y73/Y72-1</f>
        <v>1.1703719597683682E-2</v>
      </c>
      <c r="AB73" s="46">
        <v>44858</v>
      </c>
      <c r="AC73" s="235">
        <v>518.50671399999999</v>
      </c>
      <c r="AD73" s="75">
        <f t="shared" ref="AD73:AD112" si="11">AC73/AC72-1</f>
        <v>2.6601605769441372E-2</v>
      </c>
    </row>
    <row r="74" spans="2:30" x14ac:dyDescent="0.25">
      <c r="B74" s="46">
        <v>44865</v>
      </c>
      <c r="C74" s="235">
        <v>2483.2707519999999</v>
      </c>
      <c r="D74" s="75">
        <f t="shared" si="6"/>
        <v>-1.544975465876286E-3</v>
      </c>
      <c r="F74" s="235">
        <v>18117.150390999999</v>
      </c>
      <c r="G74" s="75">
        <f t="shared" si="7"/>
        <v>1.8572739081492262E-2</v>
      </c>
      <c r="P74" s="46">
        <v>44865</v>
      </c>
      <c r="Q74" s="235">
        <v>20203.296875</v>
      </c>
      <c r="R74" s="75">
        <f t="shared" si="8"/>
        <v>7.0432064854335508E-3</v>
      </c>
      <c r="T74" s="46">
        <v>44865</v>
      </c>
      <c r="U74" s="235">
        <v>3740.0737300000001</v>
      </c>
      <c r="V74" s="75">
        <f t="shared" si="9"/>
        <v>7.0148298707239931E-3</v>
      </c>
      <c r="X74" s="46">
        <v>44865</v>
      </c>
      <c r="Y74" s="235">
        <v>829.15002400000003</v>
      </c>
      <c r="Z74" s="75">
        <f t="shared" si="10"/>
        <v>-8.4346812103774926E-4</v>
      </c>
      <c r="AB74" s="46">
        <v>44865</v>
      </c>
      <c r="AC74" s="235">
        <v>567.78741500000001</v>
      </c>
      <c r="AD74" s="75">
        <f t="shared" si="11"/>
        <v>9.5043515675671708E-2</v>
      </c>
    </row>
    <row r="75" spans="2:30" x14ac:dyDescent="0.25">
      <c r="B75" s="46">
        <v>44872</v>
      </c>
      <c r="C75" s="235">
        <v>2482.772461</v>
      </c>
      <c r="D75" s="75">
        <f t="shared" si="6"/>
        <v>-2.0065915067801754E-4</v>
      </c>
      <c r="F75" s="235">
        <v>18349.699218999998</v>
      </c>
      <c r="G75" s="75">
        <f t="shared" si="7"/>
        <v>1.2835839134808014E-2</v>
      </c>
      <c r="P75" s="46">
        <v>44872</v>
      </c>
      <c r="Q75" s="235">
        <v>20221.25</v>
      </c>
      <c r="R75" s="75">
        <f t="shared" si="8"/>
        <v>8.8862353065821686E-4</v>
      </c>
      <c r="T75" s="46">
        <v>44872</v>
      </c>
      <c r="U75" s="235">
        <v>4029.5603030000002</v>
      </c>
      <c r="V75" s="75">
        <f t="shared" si="9"/>
        <v>7.7401301123547706E-2</v>
      </c>
      <c r="X75" s="46">
        <v>44872</v>
      </c>
      <c r="Y75" s="235">
        <v>819</v>
      </c>
      <c r="Z75" s="75">
        <f t="shared" si="10"/>
        <v>-1.224148068046127E-2</v>
      </c>
      <c r="AB75" s="46">
        <v>44872</v>
      </c>
      <c r="AC75" s="235">
        <v>551.58483899999999</v>
      </c>
      <c r="AD75" s="75">
        <f t="shared" si="11"/>
        <v>-2.8536342250558677E-2</v>
      </c>
    </row>
    <row r="76" spans="2:30" x14ac:dyDescent="0.25">
      <c r="B76" s="46">
        <v>44879</v>
      </c>
      <c r="C76" s="235">
        <v>2463.5791020000001</v>
      </c>
      <c r="D76" s="75">
        <f t="shared" si="6"/>
        <v>-7.7306153912587439E-3</v>
      </c>
      <c r="F76" s="235">
        <v>18307.650390999999</v>
      </c>
      <c r="G76" s="75">
        <f t="shared" si="7"/>
        <v>-2.2915268254892762E-3</v>
      </c>
      <c r="P76" s="46">
        <v>44879</v>
      </c>
      <c r="Q76" s="235">
        <v>19825.830077999999</v>
      </c>
      <c r="R76" s="75">
        <f t="shared" si="8"/>
        <v>-1.9554672535080697E-2</v>
      </c>
      <c r="T76" s="46">
        <v>44879</v>
      </c>
      <c r="U76" s="235">
        <v>4036.8354490000002</v>
      </c>
      <c r="V76" s="75">
        <f t="shared" si="9"/>
        <v>1.8054441311086133E-3</v>
      </c>
      <c r="X76" s="46">
        <v>44879</v>
      </c>
      <c r="Y76" s="235">
        <v>838.90002400000003</v>
      </c>
      <c r="Z76" s="75">
        <f t="shared" si="10"/>
        <v>2.4297953601953637E-2</v>
      </c>
      <c r="AB76" s="46">
        <v>44879</v>
      </c>
      <c r="AC76" s="235">
        <v>570.28008999999997</v>
      </c>
      <c r="AD76" s="75">
        <f t="shared" si="11"/>
        <v>3.3893699895547691E-2</v>
      </c>
    </row>
    <row r="77" spans="2:30" x14ac:dyDescent="0.25">
      <c r="B77" s="46">
        <v>44886</v>
      </c>
      <c r="C77" s="235">
        <v>2516.8935550000001</v>
      </c>
      <c r="D77" s="75">
        <f t="shared" si="6"/>
        <v>2.1641055875460946E-2</v>
      </c>
      <c r="F77" s="235">
        <v>18512.75</v>
      </c>
      <c r="G77" s="75">
        <f t="shared" si="7"/>
        <v>1.1202945469224623E-2</v>
      </c>
      <c r="P77" s="46">
        <v>44886</v>
      </c>
      <c r="Q77" s="235">
        <v>19432.050781000002</v>
      </c>
      <c r="R77" s="75">
        <f t="shared" si="8"/>
        <v>-1.9861932410939032E-2</v>
      </c>
      <c r="T77" s="46">
        <v>44886</v>
      </c>
      <c r="U77" s="235">
        <v>4113.1767579999996</v>
      </c>
      <c r="V77" s="75">
        <f t="shared" si="9"/>
        <v>1.8911176827609122E-2</v>
      </c>
      <c r="X77" s="46">
        <v>44886</v>
      </c>
      <c r="Y77" s="235">
        <v>859.34997599999997</v>
      </c>
      <c r="Z77" s="75">
        <f t="shared" si="10"/>
        <v>2.4377102652222593E-2</v>
      </c>
      <c r="AB77" s="46">
        <v>44886</v>
      </c>
      <c r="AC77" s="235">
        <v>574.293274</v>
      </c>
      <c r="AD77" s="75">
        <f t="shared" si="11"/>
        <v>7.0372156951858944E-3</v>
      </c>
    </row>
    <row r="78" spans="2:30" x14ac:dyDescent="0.25">
      <c r="B78" s="46">
        <v>44893</v>
      </c>
      <c r="C78" s="235">
        <v>2593.9147950000001</v>
      </c>
      <c r="D78" s="75">
        <f t="shared" si="6"/>
        <v>3.0601707349518836E-2</v>
      </c>
      <c r="F78" s="235">
        <v>18696.099609000001</v>
      </c>
      <c r="G78" s="75">
        <f t="shared" si="7"/>
        <v>9.9039639707769744E-3</v>
      </c>
      <c r="P78" s="46">
        <v>44893</v>
      </c>
      <c r="Q78" s="235">
        <v>19652.794922000001</v>
      </c>
      <c r="R78" s="75">
        <f t="shared" si="8"/>
        <v>1.1359796425389979E-2</v>
      </c>
      <c r="T78" s="46">
        <v>44893</v>
      </c>
      <c r="U78" s="235">
        <v>4358.1757809999999</v>
      </c>
      <c r="V78" s="75">
        <f t="shared" si="9"/>
        <v>5.9564428521940993E-2</v>
      </c>
      <c r="X78" s="46">
        <v>44893</v>
      </c>
      <c r="Y78" s="235">
        <v>881.65002400000003</v>
      </c>
      <c r="Z78" s="75">
        <f t="shared" si="10"/>
        <v>2.5949902394597935E-2</v>
      </c>
      <c r="AB78" s="46">
        <v>44893</v>
      </c>
      <c r="AC78" s="235">
        <v>657.37506099999996</v>
      </c>
      <c r="AD78" s="75">
        <f t="shared" si="11"/>
        <v>0.14466787399637893</v>
      </c>
    </row>
    <row r="79" spans="2:30" x14ac:dyDescent="0.25">
      <c r="B79" s="46">
        <v>44900</v>
      </c>
      <c r="C79" s="235">
        <v>2700.1965329999998</v>
      </c>
      <c r="D79" s="75">
        <f t="shared" si="6"/>
        <v>4.0973488491166776E-2</v>
      </c>
      <c r="F79" s="235">
        <v>18496.599609000001</v>
      </c>
      <c r="G79" s="75">
        <f t="shared" si="7"/>
        <v>-1.0670674855838058E-2</v>
      </c>
      <c r="P79" s="46">
        <v>44900</v>
      </c>
      <c r="Q79" s="235">
        <v>20140.902343999998</v>
      </c>
      <c r="R79" s="75">
        <f t="shared" si="8"/>
        <v>2.4836539735811014E-2</v>
      </c>
      <c r="T79" s="46">
        <v>44900</v>
      </c>
      <c r="U79" s="235">
        <v>4335.9570309999999</v>
      </c>
      <c r="V79" s="75">
        <f t="shared" si="9"/>
        <v>-5.0981766492451674E-3</v>
      </c>
      <c r="X79" s="46">
        <v>44900</v>
      </c>
      <c r="Y79" s="235">
        <v>923.59997599999997</v>
      </c>
      <c r="Z79" s="75">
        <f t="shared" si="10"/>
        <v>4.7581183982364328E-2</v>
      </c>
      <c r="AB79" s="46">
        <v>44900</v>
      </c>
      <c r="AC79" s="235">
        <v>703.066284</v>
      </c>
      <c r="AD79" s="75">
        <f t="shared" si="11"/>
        <v>6.9505561909352753E-2</v>
      </c>
    </row>
    <row r="80" spans="2:30" x14ac:dyDescent="0.25">
      <c r="B80" s="46">
        <v>44907</v>
      </c>
      <c r="C80" s="235">
        <v>2649.6594239999999</v>
      </c>
      <c r="D80" s="75">
        <f t="shared" si="6"/>
        <v>-1.8716085433919005E-2</v>
      </c>
      <c r="F80" s="235">
        <v>18269</v>
      </c>
      <c r="G80" s="75">
        <f t="shared" si="7"/>
        <v>-1.2304943276668867E-2</v>
      </c>
      <c r="P80" s="46">
        <v>44907</v>
      </c>
      <c r="Q80" s="235">
        <v>19640.357422000001</v>
      </c>
      <c r="R80" s="75">
        <f t="shared" si="8"/>
        <v>-2.4852159722084655E-2</v>
      </c>
      <c r="T80" s="46">
        <v>44907</v>
      </c>
      <c r="U80" s="235">
        <v>4369.7773440000001</v>
      </c>
      <c r="V80" s="75">
        <f t="shared" si="9"/>
        <v>7.7999649807876104E-3</v>
      </c>
      <c r="X80" s="46">
        <v>44907</v>
      </c>
      <c r="Y80" s="235">
        <v>896.79998799999998</v>
      </c>
      <c r="Z80" s="75">
        <f t="shared" si="10"/>
        <v>-2.9016878190131101E-2</v>
      </c>
      <c r="AB80" s="46">
        <v>44907</v>
      </c>
      <c r="AC80" s="235">
        <v>696.28613299999995</v>
      </c>
      <c r="AD80" s="75">
        <f t="shared" si="11"/>
        <v>-9.6436867394995573E-3</v>
      </c>
    </row>
    <row r="81" spans="2:30" x14ac:dyDescent="0.25">
      <c r="B81" s="46">
        <v>44914</v>
      </c>
      <c r="C81" s="235">
        <v>2599.866211</v>
      </c>
      <c r="D81" s="75">
        <f t="shared" si="6"/>
        <v>-1.8792306871209363E-2</v>
      </c>
      <c r="F81" s="235">
        <v>17806.800781000002</v>
      </c>
      <c r="G81" s="75">
        <f t="shared" si="7"/>
        <v>-2.529964524604511E-2</v>
      </c>
      <c r="P81" s="46">
        <v>44914</v>
      </c>
      <c r="Q81" s="235">
        <v>20032.445313</v>
      </c>
      <c r="R81" s="75">
        <f t="shared" si="8"/>
        <v>1.9963378597214643E-2</v>
      </c>
      <c r="T81" s="46">
        <v>44914</v>
      </c>
      <c r="U81" s="235">
        <v>4258.8784180000002</v>
      </c>
      <c r="V81" s="75">
        <f t="shared" si="9"/>
        <v>-2.5378621671026669E-2</v>
      </c>
      <c r="X81" s="46">
        <v>44914</v>
      </c>
      <c r="Y81" s="235">
        <v>873.40002400000003</v>
      </c>
      <c r="Z81" s="75">
        <f t="shared" si="10"/>
        <v>-2.6092734515067773E-2</v>
      </c>
      <c r="AB81" s="46">
        <v>44914</v>
      </c>
      <c r="AC81" s="235">
        <v>641.92028800000003</v>
      </c>
      <c r="AD81" s="75">
        <f t="shared" si="11"/>
        <v>-7.8079746850279297E-2</v>
      </c>
    </row>
    <row r="82" spans="2:30" x14ac:dyDescent="0.25">
      <c r="B82" s="46">
        <v>44921</v>
      </c>
      <c r="C82" s="235">
        <v>2540.30249</v>
      </c>
      <c r="D82" s="75">
        <f t="shared" si="6"/>
        <v>-2.2910302364016477E-2</v>
      </c>
      <c r="F82" s="235">
        <v>18105.300781000002</v>
      </c>
      <c r="G82" s="75">
        <f t="shared" si="7"/>
        <v>1.6763258244484991E-2</v>
      </c>
      <c r="P82" s="46">
        <v>44921</v>
      </c>
      <c r="Q82" s="235">
        <v>19508.320313</v>
      </c>
      <c r="R82" s="75">
        <f t="shared" si="8"/>
        <v>-2.6163805357295566E-2</v>
      </c>
      <c r="T82" s="46">
        <v>44921</v>
      </c>
      <c r="U82" s="235">
        <v>4234.8408200000003</v>
      </c>
      <c r="V82" s="75">
        <f t="shared" si="9"/>
        <v>-5.6441146331873693E-3</v>
      </c>
      <c r="X82" s="46">
        <v>44921</v>
      </c>
      <c r="Y82" s="235">
        <v>874.04998799999998</v>
      </c>
      <c r="Z82" s="75">
        <f t="shared" si="10"/>
        <v>7.4417675994919996E-4</v>
      </c>
      <c r="AB82" s="46">
        <v>44921</v>
      </c>
      <c r="AC82" s="235">
        <v>659.34429899999998</v>
      </c>
      <c r="AD82" s="75">
        <f t="shared" si="11"/>
        <v>2.7143574250141134E-2</v>
      </c>
    </row>
    <row r="83" spans="2:30" x14ac:dyDescent="0.25">
      <c r="B83" s="46">
        <v>44928</v>
      </c>
      <c r="C83" s="235">
        <v>2555.5776369999999</v>
      </c>
      <c r="D83" s="75">
        <f t="shared" si="6"/>
        <v>6.0131212956453517E-3</v>
      </c>
      <c r="F83" s="235">
        <v>17859.449218999998</v>
      </c>
      <c r="G83" s="75">
        <f t="shared" si="7"/>
        <v>-1.3578982474458767E-2</v>
      </c>
      <c r="P83" s="46">
        <v>44928</v>
      </c>
      <c r="Q83" s="235">
        <v>19786.177734000001</v>
      </c>
      <c r="R83" s="75">
        <f t="shared" si="8"/>
        <v>1.4243021261796773E-2</v>
      </c>
      <c r="T83" s="46">
        <v>44928</v>
      </c>
      <c r="U83" s="235">
        <v>4285.5708009999998</v>
      </c>
      <c r="V83" s="75">
        <f t="shared" si="9"/>
        <v>1.1979194297083273E-2</v>
      </c>
      <c r="X83" s="46">
        <v>44928</v>
      </c>
      <c r="Y83" s="235">
        <v>917.45001200000002</v>
      </c>
      <c r="Z83" s="75">
        <f t="shared" si="10"/>
        <v>4.9653938099476269E-2</v>
      </c>
      <c r="AB83" s="46">
        <v>44928</v>
      </c>
      <c r="AC83" s="235">
        <v>648.55090299999995</v>
      </c>
      <c r="AD83" s="75">
        <f t="shared" si="11"/>
        <v>-1.6369893569065375E-2</v>
      </c>
    </row>
    <row r="84" spans="2:30" x14ac:dyDescent="0.25">
      <c r="B84" s="46">
        <v>44935</v>
      </c>
      <c r="C84" s="235">
        <v>2602.742432</v>
      </c>
      <c r="D84" s="75">
        <f t="shared" si="6"/>
        <v>1.8455629880752555E-2</v>
      </c>
      <c r="F84" s="235">
        <v>17956.599609000001</v>
      </c>
      <c r="G84" s="75">
        <f t="shared" si="7"/>
        <v>5.4397192661825855E-3</v>
      </c>
      <c r="P84" s="46">
        <v>44935</v>
      </c>
      <c r="Q84" s="235">
        <v>19685.78125</v>
      </c>
      <c r="R84" s="75">
        <f t="shared" si="8"/>
        <v>-5.0740716751715986E-3</v>
      </c>
      <c r="T84" s="46">
        <v>44935</v>
      </c>
      <c r="U84" s="235">
        <v>4263.0078130000002</v>
      </c>
      <c r="V84" s="75">
        <f t="shared" si="9"/>
        <v>-5.2648734667350983E-3</v>
      </c>
      <c r="X84" s="46">
        <v>44935</v>
      </c>
      <c r="Y84" s="235">
        <v>917.20001200000002</v>
      </c>
      <c r="Z84" s="75">
        <f t="shared" si="10"/>
        <v>-2.7249441030041677E-4</v>
      </c>
      <c r="AB84" s="46">
        <v>44935</v>
      </c>
      <c r="AC84" s="235">
        <v>566.21698000000004</v>
      </c>
      <c r="AD84" s="75">
        <f t="shared" si="11"/>
        <v>-0.12695059496355354</v>
      </c>
    </row>
    <row r="85" spans="2:30" x14ac:dyDescent="0.25">
      <c r="B85" s="46">
        <v>44942</v>
      </c>
      <c r="C85" s="235">
        <v>2528.1020509999998</v>
      </c>
      <c r="D85" s="75">
        <f t="shared" si="6"/>
        <v>-2.867759025338712E-2</v>
      </c>
      <c r="F85" s="235">
        <v>18027.650390999999</v>
      </c>
      <c r="G85" s="75">
        <f t="shared" si="7"/>
        <v>3.9568060516528281E-3</v>
      </c>
      <c r="P85" s="46">
        <v>44942</v>
      </c>
      <c r="Q85" s="235">
        <v>19104.392577999999</v>
      </c>
      <c r="R85" s="75">
        <f t="shared" si="8"/>
        <v>-2.9533431496400531E-2</v>
      </c>
      <c r="T85" s="46">
        <v>44942</v>
      </c>
      <c r="U85" s="235">
        <v>4246.1469729999999</v>
      </c>
      <c r="V85" s="75">
        <f t="shared" si="9"/>
        <v>-3.9551510904068943E-3</v>
      </c>
      <c r="X85" s="46">
        <v>44942</v>
      </c>
      <c r="Y85" s="235">
        <v>932.40002400000003</v>
      </c>
      <c r="Z85" s="75">
        <f t="shared" si="10"/>
        <v>1.6572189054877562E-2</v>
      </c>
      <c r="AB85" s="46">
        <v>44942</v>
      </c>
      <c r="AC85" s="235">
        <v>614.52551300000005</v>
      </c>
      <c r="AD85" s="75">
        <f t="shared" si="11"/>
        <v>8.5318057752347798E-2</v>
      </c>
    </row>
    <row r="86" spans="2:30" x14ac:dyDescent="0.25">
      <c r="B86" s="46">
        <v>44949</v>
      </c>
      <c r="C86" s="235">
        <v>2590.9885250000002</v>
      </c>
      <c r="D86" s="75">
        <f t="shared" si="6"/>
        <v>2.4874974479422329E-2</v>
      </c>
      <c r="F86" s="235">
        <v>17604.349609000001</v>
      </c>
      <c r="G86" s="75">
        <f t="shared" si="7"/>
        <v>-2.3480640727941093E-2</v>
      </c>
      <c r="P86" s="46">
        <v>44949</v>
      </c>
      <c r="Q86" s="235">
        <v>19120.611327999999</v>
      </c>
      <c r="R86" s="75">
        <f t="shared" si="8"/>
        <v>8.4895397400264194E-4</v>
      </c>
      <c r="T86" s="46">
        <v>44949</v>
      </c>
      <c r="U86" s="235">
        <v>4306.5610349999997</v>
      </c>
      <c r="V86" s="75">
        <f t="shared" si="9"/>
        <v>1.4227972414557311E-2</v>
      </c>
      <c r="X86" s="46">
        <v>44949</v>
      </c>
      <c r="Y86" s="235">
        <v>907.09997599999997</v>
      </c>
      <c r="Z86" s="75">
        <f t="shared" si="10"/>
        <v>-2.7134327915890433E-2</v>
      </c>
      <c r="AB86" s="46">
        <v>44949</v>
      </c>
      <c r="AC86" s="235">
        <v>619.46105999999997</v>
      </c>
      <c r="AD86" s="75">
        <f t="shared" si="11"/>
        <v>8.0314761480049235E-3</v>
      </c>
    </row>
    <row r="87" spans="2:30" x14ac:dyDescent="0.25">
      <c r="B87" s="46">
        <v>44956</v>
      </c>
      <c r="C87" s="235">
        <v>2627.2919919999999</v>
      </c>
      <c r="D87" s="75">
        <f t="shared" si="6"/>
        <v>1.4011434882753804E-2</v>
      </c>
      <c r="F87" s="235">
        <v>17854.050781000002</v>
      </c>
      <c r="G87" s="75">
        <f t="shared" si="7"/>
        <v>1.4184061186352848E-2</v>
      </c>
      <c r="P87" s="46">
        <v>44956</v>
      </c>
      <c r="Q87" s="235">
        <v>18909.617188</v>
      </c>
      <c r="R87" s="75">
        <f t="shared" si="8"/>
        <v>-1.103490554671871E-2</v>
      </c>
      <c r="T87" s="46">
        <v>44956</v>
      </c>
      <c r="U87" s="235">
        <v>4550.8232420000004</v>
      </c>
      <c r="V87" s="75">
        <f t="shared" si="9"/>
        <v>5.6718621892235754E-2</v>
      </c>
      <c r="X87" s="46">
        <v>44956</v>
      </c>
      <c r="Y87" s="235">
        <v>935</v>
      </c>
      <c r="Z87" s="75">
        <f t="shared" si="10"/>
        <v>3.0757385887087763E-2</v>
      </c>
      <c r="AB87" s="46">
        <v>44956</v>
      </c>
      <c r="AC87" s="235">
        <v>575.76403800000003</v>
      </c>
      <c r="AD87" s="75">
        <f t="shared" si="11"/>
        <v>-7.0540385540940886E-2</v>
      </c>
    </row>
    <row r="88" spans="2:30" x14ac:dyDescent="0.25">
      <c r="B88" s="46">
        <v>44963</v>
      </c>
      <c r="C88" s="235">
        <v>2556.6191410000001</v>
      </c>
      <c r="D88" s="75">
        <f t="shared" si="6"/>
        <v>-2.6899503829492799E-2</v>
      </c>
      <c r="F88" s="235">
        <v>17856.5</v>
      </c>
      <c r="G88" s="75">
        <f t="shared" si="7"/>
        <v>1.371800175793414E-4</v>
      </c>
      <c r="P88" s="46">
        <v>44963</v>
      </c>
      <c r="Q88" s="235">
        <v>18929.070313</v>
      </c>
      <c r="R88" s="75">
        <f t="shared" si="8"/>
        <v>1.0287424016359736E-3</v>
      </c>
      <c r="T88" s="46">
        <v>44963</v>
      </c>
      <c r="U88" s="235">
        <v>4544.7768550000001</v>
      </c>
      <c r="V88" s="75">
        <f t="shared" si="9"/>
        <v>-1.3286358705821844E-3</v>
      </c>
      <c r="X88" s="46">
        <v>44963</v>
      </c>
      <c r="Y88" s="235">
        <v>940.40002400000003</v>
      </c>
      <c r="Z88" s="75">
        <f t="shared" si="10"/>
        <v>5.7754267379679369E-3</v>
      </c>
      <c r="AB88" s="46">
        <v>44963</v>
      </c>
      <c r="AC88" s="235">
        <v>634.04339600000003</v>
      </c>
      <c r="AD88" s="75">
        <f t="shared" si="11"/>
        <v>0.10122090674930284</v>
      </c>
    </row>
    <row r="89" spans="2:30" x14ac:dyDescent="0.25">
      <c r="B89" s="46">
        <v>44970</v>
      </c>
      <c r="C89" s="235">
        <v>2495.1215820000002</v>
      </c>
      <c r="D89" s="75">
        <f t="shared" si="6"/>
        <v>-2.4054251184220443E-2</v>
      </c>
      <c r="F89" s="235">
        <v>17944.199218999998</v>
      </c>
      <c r="G89" s="75">
        <f t="shared" si="7"/>
        <v>4.9113330719905424E-3</v>
      </c>
      <c r="P89" s="46">
        <v>44970</v>
      </c>
      <c r="Q89" s="235">
        <v>18926.533202999999</v>
      </c>
      <c r="R89" s="75">
        <f t="shared" si="8"/>
        <v>-1.3403246741905406E-4</v>
      </c>
      <c r="T89" s="46">
        <v>44970</v>
      </c>
      <c r="U89" s="235">
        <v>4456.8344729999999</v>
      </c>
      <c r="V89" s="75">
        <f t="shared" si="9"/>
        <v>-1.9350208999425189E-2</v>
      </c>
      <c r="X89" s="46">
        <v>44970</v>
      </c>
      <c r="Y89" s="235">
        <v>942.09997599999997</v>
      </c>
      <c r="Z89" s="75">
        <f t="shared" si="10"/>
        <v>1.8076902984001109E-3</v>
      </c>
      <c r="AB89" s="46">
        <v>44970</v>
      </c>
      <c r="AC89" s="235">
        <v>639.72668499999997</v>
      </c>
      <c r="AD89" s="75">
        <f t="shared" si="11"/>
        <v>8.9635646958146076E-3</v>
      </c>
    </row>
    <row r="90" spans="2:30" x14ac:dyDescent="0.25">
      <c r="B90" s="46">
        <v>44977</v>
      </c>
      <c r="C90" s="235">
        <v>2464.0749510000001</v>
      </c>
      <c r="D90" s="75">
        <f t="shared" si="6"/>
        <v>-1.2442933131584843E-2</v>
      </c>
      <c r="F90" s="235">
        <v>17465.800781000002</v>
      </c>
      <c r="G90" s="75">
        <f t="shared" si="7"/>
        <v>-2.6660339208308015E-2</v>
      </c>
      <c r="P90" s="46">
        <v>44977</v>
      </c>
      <c r="Q90" s="235">
        <v>18587.828125</v>
      </c>
      <c r="R90" s="75">
        <f t="shared" si="8"/>
        <v>-1.7895780192133226E-2</v>
      </c>
      <c r="T90" s="46">
        <v>44977</v>
      </c>
      <c r="U90" s="235">
        <v>4367.6630859999996</v>
      </c>
      <c r="V90" s="75">
        <f t="shared" si="9"/>
        <v>-2.0007785243138509E-2</v>
      </c>
      <c r="X90" s="46">
        <v>44977</v>
      </c>
      <c r="Y90" s="235">
        <v>927.79998799999998</v>
      </c>
      <c r="Z90" s="75">
        <f t="shared" si="10"/>
        <v>-1.5178843396977171E-2</v>
      </c>
      <c r="AB90" s="46">
        <v>44977</v>
      </c>
      <c r="AC90" s="235">
        <v>643.88952600000005</v>
      </c>
      <c r="AD90" s="75">
        <f t="shared" si="11"/>
        <v>6.5072180004497326E-3</v>
      </c>
    </row>
    <row r="91" spans="2:30" x14ac:dyDescent="0.25">
      <c r="B91" s="46">
        <v>44984</v>
      </c>
      <c r="C91" s="235">
        <v>2450.9819339999999</v>
      </c>
      <c r="D91" s="75">
        <f t="shared" si="6"/>
        <v>-5.3135628016049985E-3</v>
      </c>
      <c r="F91" s="235">
        <v>17594.349609000001</v>
      </c>
      <c r="G91" s="75">
        <f t="shared" si="7"/>
        <v>7.3600305884538031E-3</v>
      </c>
      <c r="P91" s="46">
        <v>44984</v>
      </c>
      <c r="Q91" s="235">
        <v>18357.980468999998</v>
      </c>
      <c r="R91" s="75">
        <f t="shared" si="8"/>
        <v>-1.2365492862012495E-2</v>
      </c>
      <c r="T91" s="46">
        <v>44984</v>
      </c>
      <c r="U91" s="235">
        <v>4337.5795900000003</v>
      </c>
      <c r="V91" s="75">
        <f t="shared" si="9"/>
        <v>-6.8877785231256095E-3</v>
      </c>
      <c r="X91" s="46">
        <v>44984</v>
      </c>
      <c r="Y91" s="235">
        <v>925.75</v>
      </c>
      <c r="Z91" s="75">
        <f t="shared" si="10"/>
        <v>-2.2095150102545702E-3</v>
      </c>
      <c r="AB91" s="46">
        <v>44984</v>
      </c>
      <c r="AC91" s="235">
        <v>677.26684599999999</v>
      </c>
      <c r="AD91" s="75">
        <f t="shared" si="11"/>
        <v>5.1837028950211472E-2</v>
      </c>
    </row>
    <row r="92" spans="2:30" x14ac:dyDescent="0.25">
      <c r="B92" s="46">
        <v>44991</v>
      </c>
      <c r="C92" s="235">
        <v>2445.4770509999998</v>
      </c>
      <c r="D92" s="75">
        <f t="shared" si="6"/>
        <v>-2.2459908511101023E-3</v>
      </c>
      <c r="F92" s="235">
        <v>17412.900390999999</v>
      </c>
      <c r="G92" s="75">
        <f t="shared" si="7"/>
        <v>-1.0312925571695164E-2</v>
      </c>
      <c r="P92" s="46">
        <v>44991</v>
      </c>
      <c r="Q92" s="235">
        <v>18393.650390999999</v>
      </c>
      <c r="R92" s="75">
        <f t="shared" si="8"/>
        <v>1.9430199340408905E-3</v>
      </c>
      <c r="T92" s="46">
        <v>44991</v>
      </c>
      <c r="U92" s="235">
        <v>4238.3310549999997</v>
      </c>
      <c r="V92" s="75">
        <f t="shared" si="9"/>
        <v>-2.2881086776784798E-2</v>
      </c>
      <c r="X92" s="46">
        <v>44991</v>
      </c>
      <c r="Y92" s="235">
        <v>916.34997599999997</v>
      </c>
      <c r="Z92" s="75">
        <f t="shared" si="10"/>
        <v>-1.0153955171482654E-2</v>
      </c>
      <c r="AB92" s="46">
        <v>44991</v>
      </c>
      <c r="AC92" s="235">
        <v>669.93829300000004</v>
      </c>
      <c r="AD92" s="75">
        <f t="shared" si="11"/>
        <v>-1.0820776246885599E-2</v>
      </c>
    </row>
    <row r="93" spans="2:30" x14ac:dyDescent="0.25">
      <c r="B93" s="46">
        <v>44998</v>
      </c>
      <c r="C93" s="235">
        <v>2427.5729980000001</v>
      </c>
      <c r="D93" s="75">
        <f t="shared" si="6"/>
        <v>-7.3212925848878951E-3</v>
      </c>
      <c r="F93" s="235">
        <v>17100.050781000002</v>
      </c>
      <c r="G93" s="75">
        <f t="shared" si="7"/>
        <v>-1.7966542217268788E-2</v>
      </c>
      <c r="P93" s="46">
        <v>44998</v>
      </c>
      <c r="Q93" s="235">
        <v>18764.195313</v>
      </c>
      <c r="R93" s="75">
        <f t="shared" si="8"/>
        <v>2.0145262855561841E-2</v>
      </c>
      <c r="T93" s="46">
        <v>44998</v>
      </c>
      <c r="U93" s="235">
        <v>4289.0117190000001</v>
      </c>
      <c r="V93" s="75">
        <f t="shared" si="9"/>
        <v>1.1957693569078831E-2</v>
      </c>
      <c r="X93" s="46">
        <v>44998</v>
      </c>
      <c r="Y93" s="235">
        <v>947.45001200000002</v>
      </c>
      <c r="Z93" s="75">
        <f t="shared" si="10"/>
        <v>3.3939037283283513E-2</v>
      </c>
      <c r="AB93" s="46">
        <v>44998</v>
      </c>
      <c r="AC93" s="235">
        <v>656.17852800000003</v>
      </c>
      <c r="AD93" s="75">
        <f t="shared" si="11"/>
        <v>-2.0538854315049648E-2</v>
      </c>
    </row>
    <row r="94" spans="2:30" x14ac:dyDescent="0.25">
      <c r="B94" s="46">
        <v>45005</v>
      </c>
      <c r="C94" s="235">
        <v>2460.7026369999999</v>
      </c>
      <c r="D94" s="75">
        <f t="shared" si="6"/>
        <v>1.3647226685786329E-2</v>
      </c>
      <c r="F94" s="235">
        <v>16945.050781000002</v>
      </c>
      <c r="G94" s="75">
        <f t="shared" si="7"/>
        <v>-9.0643005675878907E-3</v>
      </c>
      <c r="P94" s="46">
        <v>45005</v>
      </c>
      <c r="Q94" s="235">
        <v>18858.671875</v>
      </c>
      <c r="R94" s="75">
        <f t="shared" si="8"/>
        <v>5.0349381054750619E-3</v>
      </c>
      <c r="T94" s="46">
        <v>45005</v>
      </c>
      <c r="U94" s="235">
        <v>4129.1528319999998</v>
      </c>
      <c r="V94" s="75">
        <f t="shared" si="9"/>
        <v>-3.7271730056562369E-2</v>
      </c>
      <c r="X94" s="46">
        <v>45005</v>
      </c>
      <c r="Y94" s="235">
        <v>951.20001200000002</v>
      </c>
      <c r="Z94" s="75">
        <f t="shared" si="10"/>
        <v>3.957992456070647E-3</v>
      </c>
      <c r="AB94" s="46">
        <v>45005</v>
      </c>
      <c r="AC94" s="235">
        <v>675.05999799999995</v>
      </c>
      <c r="AD94" s="75">
        <f t="shared" si="11"/>
        <v>2.8774897675408084E-2</v>
      </c>
    </row>
    <row r="95" spans="2:30" x14ac:dyDescent="0.25">
      <c r="B95" s="46">
        <v>45012</v>
      </c>
      <c r="C95" s="235">
        <v>2539.6083979999999</v>
      </c>
      <c r="D95" s="75">
        <f t="shared" si="6"/>
        <v>3.2066353655880508E-2</v>
      </c>
      <c r="F95" s="235">
        <v>17359.75</v>
      </c>
      <c r="G95" s="75">
        <f t="shared" si="7"/>
        <v>2.4473176525678486E-2</v>
      </c>
      <c r="P95" s="46">
        <v>45012</v>
      </c>
      <c r="Q95" s="235">
        <v>19606.328125</v>
      </c>
      <c r="R95" s="75">
        <f t="shared" si="8"/>
        <v>3.9645222895634102E-2</v>
      </c>
      <c r="T95" s="46">
        <v>45012</v>
      </c>
      <c r="U95" s="235">
        <v>4249.2929690000001</v>
      </c>
      <c r="V95" s="75">
        <f t="shared" si="9"/>
        <v>2.9095589794822185E-2</v>
      </c>
      <c r="X95" s="46">
        <v>45012</v>
      </c>
      <c r="Y95" s="235">
        <v>968.15002400000003</v>
      </c>
      <c r="Z95" s="75">
        <f t="shared" si="10"/>
        <v>1.78196086902489E-2</v>
      </c>
      <c r="AB95" s="46">
        <v>45012</v>
      </c>
      <c r="AC95" s="235">
        <v>692.53564500000005</v>
      </c>
      <c r="AD95" s="75">
        <f t="shared" si="11"/>
        <v>2.5887546368878578E-2</v>
      </c>
    </row>
    <row r="96" spans="2:30" x14ac:dyDescent="0.25">
      <c r="B96" s="46">
        <v>45019</v>
      </c>
      <c r="C96" s="235">
        <v>2544.4685060000002</v>
      </c>
      <c r="D96" s="75">
        <f t="shared" si="6"/>
        <v>1.9137233928774311E-3</v>
      </c>
      <c r="F96" s="235">
        <v>17599.150390999999</v>
      </c>
      <c r="G96" s="75">
        <f t="shared" si="7"/>
        <v>1.3790543700226143E-2</v>
      </c>
      <c r="P96" s="46">
        <v>45019</v>
      </c>
      <c r="Q96" s="235">
        <v>19610.060547000001</v>
      </c>
      <c r="R96" s="75">
        <f t="shared" si="8"/>
        <v>1.9036823092033472E-4</v>
      </c>
      <c r="T96" s="46">
        <v>45019</v>
      </c>
      <c r="U96" s="235">
        <v>4227.3193359999996</v>
      </c>
      <c r="V96" s="75">
        <f t="shared" si="9"/>
        <v>-5.1711268581162706E-3</v>
      </c>
      <c r="X96" s="46">
        <v>45019</v>
      </c>
      <c r="Y96" s="235">
        <v>967.65002400000003</v>
      </c>
      <c r="Z96" s="75">
        <f t="shared" si="10"/>
        <v>-5.1644888457902383E-4</v>
      </c>
      <c r="AB96" s="46">
        <v>45019</v>
      </c>
      <c r="AC96" s="235">
        <v>695.78112799999997</v>
      </c>
      <c r="AD96" s="75">
        <f t="shared" si="11"/>
        <v>4.6863768290221763E-3</v>
      </c>
    </row>
    <row r="97" spans="2:30" x14ac:dyDescent="0.25">
      <c r="B97" s="46">
        <v>45026</v>
      </c>
      <c r="C97" s="235">
        <v>2515.6538089999999</v>
      </c>
      <c r="D97" s="75">
        <f t="shared" si="6"/>
        <v>-1.1324446316412828E-2</v>
      </c>
      <c r="F97" s="235">
        <v>17828</v>
      </c>
      <c r="G97" s="75">
        <f t="shared" si="7"/>
        <v>1.3003446411653519E-2</v>
      </c>
      <c r="P97" s="46">
        <v>45026</v>
      </c>
      <c r="Q97" s="235">
        <v>19368.369140999999</v>
      </c>
      <c r="R97" s="75">
        <f t="shared" si="8"/>
        <v>-1.2324867912607007E-2</v>
      </c>
      <c r="T97" s="46">
        <v>45026</v>
      </c>
      <c r="U97" s="235">
        <v>4192.3198240000002</v>
      </c>
      <c r="V97" s="75">
        <f t="shared" si="9"/>
        <v>-8.2793631656691291E-3</v>
      </c>
      <c r="X97" s="46">
        <v>45026</v>
      </c>
      <c r="Y97" s="235">
        <v>963.20001200000002</v>
      </c>
      <c r="Z97" s="75">
        <f t="shared" si="10"/>
        <v>-4.5987825036213348E-3</v>
      </c>
      <c r="AB97" s="46">
        <v>45026</v>
      </c>
      <c r="AC97" s="235">
        <v>713.78106700000001</v>
      </c>
      <c r="AD97" s="75">
        <f t="shared" si="11"/>
        <v>2.5870116730156711E-2</v>
      </c>
    </row>
    <row r="98" spans="2:30" x14ac:dyDescent="0.25">
      <c r="B98" s="46">
        <v>45033</v>
      </c>
      <c r="C98" s="235">
        <v>2477.7136230000001</v>
      </c>
      <c r="D98" s="75">
        <f t="shared" si="6"/>
        <v>-1.5081640353002856E-2</v>
      </c>
      <c r="F98" s="235">
        <v>17624.050781000002</v>
      </c>
      <c r="G98" s="75">
        <f t="shared" si="7"/>
        <v>-1.1439826060130054E-2</v>
      </c>
      <c r="P98" s="46">
        <v>45033</v>
      </c>
      <c r="Q98" s="235">
        <v>20394.730468999998</v>
      </c>
      <c r="R98" s="75">
        <f t="shared" si="8"/>
        <v>5.2991623637910878E-2</v>
      </c>
      <c r="T98" s="46">
        <v>45033</v>
      </c>
      <c r="U98" s="235">
        <v>4327.7998049999997</v>
      </c>
      <c r="V98" s="75">
        <f t="shared" si="9"/>
        <v>3.2316232226465624E-2</v>
      </c>
      <c r="X98" s="46">
        <v>45033</v>
      </c>
      <c r="Y98" s="235">
        <v>987.15002400000003</v>
      </c>
      <c r="Z98" s="75">
        <f t="shared" si="10"/>
        <v>2.4865045371282646E-2</v>
      </c>
      <c r="AB98" s="46">
        <v>45033</v>
      </c>
      <c r="AC98" s="235">
        <v>698.59997599999997</v>
      </c>
      <c r="AD98" s="75">
        <f t="shared" si="11"/>
        <v>-2.1268553765100173E-2</v>
      </c>
    </row>
    <row r="99" spans="2:30" x14ac:dyDescent="0.25">
      <c r="B99" s="46">
        <v>45040</v>
      </c>
      <c r="C99" s="235">
        <v>2437.3930660000001</v>
      </c>
      <c r="D99" s="75">
        <f t="shared" si="6"/>
        <v>-1.6273291887211827E-2</v>
      </c>
      <c r="F99" s="235">
        <v>18065</v>
      </c>
      <c r="G99" s="75">
        <f t="shared" si="7"/>
        <v>2.5019742877464557E-2</v>
      </c>
      <c r="P99" s="46">
        <v>45040</v>
      </c>
      <c r="Q99" s="235">
        <v>21761.400390999999</v>
      </c>
      <c r="R99" s="75">
        <f t="shared" si="8"/>
        <v>6.7010933244611381E-2</v>
      </c>
      <c r="T99" s="46">
        <v>45040</v>
      </c>
      <c r="U99" s="235">
        <v>4553.5498049999997</v>
      </c>
      <c r="V99" s="75">
        <f t="shared" si="9"/>
        <v>5.2162764030625031E-2</v>
      </c>
      <c r="X99" s="46">
        <v>45040</v>
      </c>
      <c r="Y99" s="235">
        <v>907.5</v>
      </c>
      <c r="Z99" s="75">
        <f t="shared" si="10"/>
        <v>-8.0686848061100824E-2</v>
      </c>
      <c r="AB99" s="46">
        <v>45040</v>
      </c>
      <c r="AC99" s="235">
        <v>722.59997599999997</v>
      </c>
      <c r="AD99" s="75">
        <f t="shared" si="11"/>
        <v>3.4354424312204701E-2</v>
      </c>
    </row>
    <row r="100" spans="2:30" x14ac:dyDescent="0.25">
      <c r="B100" s="46">
        <v>45047</v>
      </c>
      <c r="C100" s="235">
        <v>2480.4909670000002</v>
      </c>
      <c r="D100" s="75">
        <f t="shared" si="6"/>
        <v>1.7681965868036276E-2</v>
      </c>
      <c r="F100" s="235">
        <v>18069</v>
      </c>
      <c r="G100" s="75">
        <f t="shared" si="7"/>
        <v>2.2142264046509652E-4</v>
      </c>
      <c r="P100" s="46">
        <v>45047</v>
      </c>
      <c r="Q100" s="235">
        <v>22019.849609000001</v>
      </c>
      <c r="R100" s="75">
        <f t="shared" si="8"/>
        <v>1.1876497530319385E-2</v>
      </c>
      <c r="T100" s="46">
        <v>45047</v>
      </c>
      <c r="U100" s="235">
        <v>4626</v>
      </c>
      <c r="V100" s="75">
        <f t="shared" si="9"/>
        <v>1.5910706614089776E-2</v>
      </c>
      <c r="X100" s="46">
        <v>45047</v>
      </c>
      <c r="Y100" s="235">
        <v>936.65002400000003</v>
      </c>
      <c r="Z100" s="75">
        <f t="shared" si="10"/>
        <v>3.212123856749316E-2</v>
      </c>
      <c r="AB100" s="46">
        <v>45047</v>
      </c>
      <c r="AC100" s="235">
        <v>726.29998799999998</v>
      </c>
      <c r="AD100" s="75">
        <f t="shared" si="11"/>
        <v>5.1204153375172812E-3</v>
      </c>
    </row>
    <row r="101" spans="2:30" x14ac:dyDescent="0.25">
      <c r="B101" s="46">
        <v>45054</v>
      </c>
      <c r="C101" s="235">
        <v>2602.1472170000002</v>
      </c>
      <c r="D101" s="75">
        <f t="shared" si="6"/>
        <v>4.9045230004258311E-2</v>
      </c>
      <c r="F101" s="235">
        <v>18314.800781000002</v>
      </c>
      <c r="G101" s="75">
        <f t="shared" si="7"/>
        <v>1.3603452376999448E-2</v>
      </c>
      <c r="P101" s="46">
        <v>45054</v>
      </c>
      <c r="Q101" s="235">
        <v>21794.150390999999</v>
      </c>
      <c r="R101" s="75">
        <f t="shared" si="8"/>
        <v>-1.0249807424104862E-2</v>
      </c>
      <c r="T101" s="46">
        <v>45054</v>
      </c>
      <c r="U101" s="235">
        <v>4616.5</v>
      </c>
      <c r="V101" s="75">
        <f t="shared" si="9"/>
        <v>-2.0536100302637195E-3</v>
      </c>
      <c r="X101" s="46">
        <v>45054</v>
      </c>
      <c r="Y101" s="235">
        <v>999.20001200000002</v>
      </c>
      <c r="Z101" s="75">
        <f t="shared" si="10"/>
        <v>6.6780533173829371E-2</v>
      </c>
      <c r="AB101" s="46">
        <v>45054</v>
      </c>
      <c r="AC101" s="235">
        <v>777.97497599999997</v>
      </c>
      <c r="AD101" s="75">
        <f t="shared" si="11"/>
        <v>7.1148270485721143E-2</v>
      </c>
    </row>
    <row r="102" spans="2:30" x14ac:dyDescent="0.25">
      <c r="B102" s="46">
        <v>45061</v>
      </c>
      <c r="C102" s="235">
        <v>2620.0510250000002</v>
      </c>
      <c r="D102" s="75">
        <f t="shared" si="6"/>
        <v>6.8803978049485348E-3</v>
      </c>
      <c r="F102" s="235">
        <v>18203.400390999999</v>
      </c>
      <c r="G102" s="75">
        <f t="shared" si="7"/>
        <v>-6.0825335384249168E-3</v>
      </c>
      <c r="P102" s="46">
        <v>45061</v>
      </c>
      <c r="Q102" s="235">
        <v>21690.150390999999</v>
      </c>
      <c r="R102" s="75">
        <f t="shared" si="8"/>
        <v>-4.7719226551243832E-3</v>
      </c>
      <c r="T102" s="46">
        <v>45061</v>
      </c>
      <c r="U102" s="235">
        <v>4499.8500979999999</v>
      </c>
      <c r="V102" s="75">
        <f t="shared" si="9"/>
        <v>-2.526803899057728E-2</v>
      </c>
      <c r="X102" s="46">
        <v>45061</v>
      </c>
      <c r="Y102" s="235">
        <v>1009.75</v>
      </c>
      <c r="Z102" s="75">
        <f t="shared" si="10"/>
        <v>1.0558434620995483E-2</v>
      </c>
      <c r="AB102" s="46">
        <v>45061</v>
      </c>
      <c r="AC102" s="235">
        <v>793.77502400000003</v>
      </c>
      <c r="AD102" s="75">
        <f t="shared" si="11"/>
        <v>2.0309198222848934E-2</v>
      </c>
    </row>
    <row r="103" spans="2:30" x14ac:dyDescent="0.25">
      <c r="B103" s="46">
        <v>45068</v>
      </c>
      <c r="C103" s="235">
        <v>2630.8630370000001</v>
      </c>
      <c r="D103" s="75">
        <f t="shared" si="6"/>
        <v>4.1266417702685576E-3</v>
      </c>
      <c r="F103" s="235">
        <v>18499.349609000001</v>
      </c>
      <c r="G103" s="75">
        <f t="shared" si="7"/>
        <v>1.6257908502980811E-2</v>
      </c>
      <c r="P103" s="46">
        <v>45068</v>
      </c>
      <c r="Q103" s="235">
        <v>21581.75</v>
      </c>
      <c r="R103" s="75">
        <f t="shared" si="8"/>
        <v>-4.9976781647848023E-3</v>
      </c>
      <c r="T103" s="46">
        <v>45068</v>
      </c>
      <c r="U103" s="235">
        <v>4596.2001950000003</v>
      </c>
      <c r="V103" s="75">
        <f t="shared" si="9"/>
        <v>2.1411845928561934E-2</v>
      </c>
      <c r="X103" s="46">
        <v>45068</v>
      </c>
      <c r="Y103" s="235">
        <v>1049.9499510000001</v>
      </c>
      <c r="Z103" s="75">
        <f t="shared" si="10"/>
        <v>3.9811786085664824E-2</v>
      </c>
      <c r="AB103" s="46">
        <v>45068</v>
      </c>
      <c r="AC103" s="235">
        <v>850.97497599999997</v>
      </c>
      <c r="AD103" s="75">
        <f t="shared" si="11"/>
        <v>7.2060659847619446E-2</v>
      </c>
    </row>
    <row r="104" spans="2:30" x14ac:dyDescent="0.25">
      <c r="B104" s="46">
        <v>45075</v>
      </c>
      <c r="C104" s="235">
        <v>2694.6914059999999</v>
      </c>
      <c r="D104" s="75">
        <f t="shared" si="6"/>
        <v>2.4261380430044666E-2</v>
      </c>
      <c r="F104" s="235">
        <v>18534.099609000001</v>
      </c>
      <c r="G104" s="75">
        <f t="shared" si="7"/>
        <v>1.8784444174779757E-3</v>
      </c>
      <c r="P104" s="46">
        <v>45075</v>
      </c>
      <c r="Q104" s="235">
        <v>22046.449218999998</v>
      </c>
      <c r="R104" s="75">
        <f t="shared" si="8"/>
        <v>2.1532045316065673E-2</v>
      </c>
      <c r="T104" s="46">
        <v>45075</v>
      </c>
      <c r="U104" s="235">
        <v>4654.1499020000001</v>
      </c>
      <c r="V104" s="75">
        <f t="shared" si="9"/>
        <v>1.2608177307646518E-2</v>
      </c>
      <c r="X104" s="46">
        <v>45075</v>
      </c>
      <c r="Y104" s="235">
        <v>1060.9499510000001</v>
      </c>
      <c r="Z104" s="75">
        <f t="shared" si="10"/>
        <v>1.0476689855095866E-2</v>
      </c>
      <c r="AB104" s="46">
        <v>45075</v>
      </c>
      <c r="AC104" s="235">
        <v>847.57501200000002</v>
      </c>
      <c r="AD104" s="75">
        <f t="shared" si="11"/>
        <v>-3.9953748299174086E-3</v>
      </c>
    </row>
    <row r="105" spans="2:30" x14ac:dyDescent="0.25">
      <c r="B105" s="46">
        <v>45082</v>
      </c>
      <c r="C105" s="235">
        <v>2614.84375</v>
      </c>
      <c r="D105" s="75">
        <f t="shared" si="6"/>
        <v>-2.963146571151376E-2</v>
      </c>
      <c r="F105" s="235">
        <v>18563.400390999999</v>
      </c>
      <c r="G105" s="75">
        <f t="shared" si="7"/>
        <v>1.5809120819534339E-3</v>
      </c>
      <c r="P105" s="46">
        <v>45082</v>
      </c>
      <c r="Q105" s="235">
        <v>22073.449218999998</v>
      </c>
      <c r="R105" s="75">
        <f t="shared" si="8"/>
        <v>1.2246870111278785E-3</v>
      </c>
      <c r="T105" s="46">
        <v>45082</v>
      </c>
      <c r="U105" s="235">
        <v>4878.75</v>
      </c>
      <c r="V105" s="75">
        <f t="shared" si="9"/>
        <v>4.8258028368077133E-2</v>
      </c>
      <c r="X105" s="46">
        <v>45082</v>
      </c>
      <c r="Y105" s="235">
        <v>1035.349976</v>
      </c>
      <c r="Z105" s="75">
        <f t="shared" si="10"/>
        <v>-2.412929561462418E-2</v>
      </c>
      <c r="AB105" s="46">
        <v>45082</v>
      </c>
      <c r="AC105" s="235">
        <v>795.70001200000002</v>
      </c>
      <c r="AD105" s="75">
        <f t="shared" si="11"/>
        <v>-6.1204022376251888E-2</v>
      </c>
    </row>
    <row r="106" spans="2:30" x14ac:dyDescent="0.25">
      <c r="B106" s="46">
        <v>45089</v>
      </c>
      <c r="C106" s="235">
        <v>2693.6499020000001</v>
      </c>
      <c r="D106" s="75">
        <f t="shared" si="6"/>
        <v>3.0137996582013882E-2</v>
      </c>
      <c r="F106" s="235">
        <v>18826</v>
      </c>
      <c r="G106" s="75">
        <f t="shared" si="7"/>
        <v>1.4146094113625551E-2</v>
      </c>
      <c r="P106" s="46">
        <v>45089</v>
      </c>
      <c r="Q106" s="235">
        <v>22968.550781000002</v>
      </c>
      <c r="R106" s="75">
        <f t="shared" si="8"/>
        <v>4.0551050862931426E-2</v>
      </c>
      <c r="T106" s="46">
        <v>45089</v>
      </c>
      <c r="U106" s="235">
        <v>5044.7001950000003</v>
      </c>
      <c r="V106" s="75">
        <f t="shared" si="9"/>
        <v>3.4014900333077192E-2</v>
      </c>
      <c r="X106" s="46">
        <v>45089</v>
      </c>
      <c r="Y106" s="235">
        <v>1070</v>
      </c>
      <c r="Z106" s="75">
        <f t="shared" si="10"/>
        <v>3.3466967502011169E-2</v>
      </c>
      <c r="AB106" s="46">
        <v>45089</v>
      </c>
      <c r="AC106" s="235">
        <v>821.25</v>
      </c>
      <c r="AD106" s="75">
        <f t="shared" si="11"/>
        <v>3.2110076177804592E-2</v>
      </c>
    </row>
    <row r="107" spans="2:30" x14ac:dyDescent="0.25">
      <c r="B107" s="46">
        <v>45096</v>
      </c>
      <c r="C107" s="235">
        <v>2620.1999510000001</v>
      </c>
      <c r="D107" s="75">
        <f t="shared" si="6"/>
        <v>-2.7267816409795698E-2</v>
      </c>
      <c r="F107" s="235">
        <v>18665.5</v>
      </c>
      <c r="G107" s="75">
        <f t="shared" si="7"/>
        <v>-8.5254435355359703E-3</v>
      </c>
      <c r="P107" s="46">
        <v>45096</v>
      </c>
      <c r="Q107" s="235">
        <v>22536.849609000001</v>
      </c>
      <c r="R107" s="75">
        <f t="shared" si="8"/>
        <v>-1.8795316087469982E-2</v>
      </c>
      <c r="T107" s="46">
        <v>45096</v>
      </c>
      <c r="U107" s="235">
        <v>4970.7998049999997</v>
      </c>
      <c r="V107" s="75">
        <f t="shared" si="9"/>
        <v>-1.4649114346427572E-2</v>
      </c>
      <c r="X107" s="46">
        <v>45096</v>
      </c>
      <c r="Y107" s="235">
        <v>1035.9499510000001</v>
      </c>
      <c r="Z107" s="75">
        <f t="shared" si="10"/>
        <v>-3.1822475700934549E-2</v>
      </c>
      <c r="AB107" s="46">
        <v>45096</v>
      </c>
      <c r="AC107" s="235">
        <v>766.09997599999997</v>
      </c>
      <c r="AD107" s="75">
        <f t="shared" si="11"/>
        <v>-6.7153758295281585E-2</v>
      </c>
    </row>
    <row r="108" spans="2:30" x14ac:dyDescent="0.25">
      <c r="B108" s="46">
        <v>45103</v>
      </c>
      <c r="C108" s="235">
        <v>2678.1499020000001</v>
      </c>
      <c r="D108" s="75">
        <f t="shared" si="6"/>
        <v>2.2116614030880832E-2</v>
      </c>
      <c r="F108" s="235">
        <v>19189.050781000002</v>
      </c>
      <c r="G108" s="75">
        <f t="shared" si="7"/>
        <v>2.804911633762841E-2</v>
      </c>
      <c r="P108" s="46">
        <v>45103</v>
      </c>
      <c r="Q108" s="235">
        <v>22894.300781000002</v>
      </c>
      <c r="R108" s="75">
        <f t="shared" si="8"/>
        <v>1.5860742659313587E-2</v>
      </c>
      <c r="T108" s="46">
        <v>45103</v>
      </c>
      <c r="U108" s="235">
        <v>5024.5498049999997</v>
      </c>
      <c r="V108" s="75">
        <f t="shared" si="9"/>
        <v>1.0813149213117379E-2</v>
      </c>
      <c r="X108" s="46">
        <v>45103</v>
      </c>
      <c r="Y108" s="235">
        <v>1081</v>
      </c>
      <c r="Z108" s="75">
        <f t="shared" si="10"/>
        <v>4.348670411781308E-2</v>
      </c>
      <c r="AB108" s="46">
        <v>45103</v>
      </c>
      <c r="AC108" s="235">
        <v>802.54998799999998</v>
      </c>
      <c r="AD108" s="75">
        <f t="shared" si="11"/>
        <v>4.7578662239770253E-2</v>
      </c>
    </row>
    <row r="109" spans="2:30" x14ac:dyDescent="0.25">
      <c r="B109" s="46">
        <v>45110</v>
      </c>
      <c r="C109" s="235">
        <v>2698.1000979999999</v>
      </c>
      <c r="D109" s="75">
        <f t="shared" si="6"/>
        <v>7.4492454604955238E-3</v>
      </c>
      <c r="F109" s="235">
        <v>19331.800781000002</v>
      </c>
      <c r="G109" s="75">
        <f t="shared" si="7"/>
        <v>7.4391381642151533E-3</v>
      </c>
      <c r="P109" s="46">
        <v>45110</v>
      </c>
      <c r="Q109" s="235">
        <v>22906.199218999998</v>
      </c>
      <c r="R109" s="75">
        <f t="shared" si="8"/>
        <v>5.1971178826604181E-4</v>
      </c>
      <c r="T109" s="46">
        <v>45110</v>
      </c>
      <c r="U109" s="235">
        <v>5054.5</v>
      </c>
      <c r="V109" s="75">
        <f t="shared" si="9"/>
        <v>5.9607718427223677E-3</v>
      </c>
      <c r="X109" s="46">
        <v>45110</v>
      </c>
      <c r="Y109" s="235">
        <v>1062.599976</v>
      </c>
      <c r="Z109" s="75">
        <f t="shared" si="10"/>
        <v>-1.7021298797409878E-2</v>
      </c>
      <c r="AB109" s="46">
        <v>45110</v>
      </c>
      <c r="AC109" s="235">
        <v>821.15002400000003</v>
      </c>
      <c r="AD109" s="75">
        <f t="shared" si="11"/>
        <v>2.3176171301618753E-2</v>
      </c>
    </row>
    <row r="110" spans="2:30" x14ac:dyDescent="0.25">
      <c r="B110" s="46">
        <v>45117</v>
      </c>
      <c r="C110" s="235">
        <v>2676.8999020000001</v>
      </c>
      <c r="D110" s="75">
        <f t="shared" si="6"/>
        <v>-7.8574534783623085E-3</v>
      </c>
      <c r="F110" s="235">
        <v>19564.5</v>
      </c>
      <c r="G110" s="75">
        <f t="shared" si="7"/>
        <v>1.2037120681933855E-2</v>
      </c>
      <c r="P110" s="46">
        <v>45117</v>
      </c>
      <c r="Q110" s="235">
        <v>23138.050781000002</v>
      </c>
      <c r="R110" s="75">
        <f t="shared" si="8"/>
        <v>1.0121782308070149E-2</v>
      </c>
      <c r="T110" s="46">
        <v>45117</v>
      </c>
      <c r="U110" s="235">
        <v>5133.2001950000003</v>
      </c>
      <c r="V110" s="75">
        <f t="shared" si="9"/>
        <v>1.5570322484914412E-2</v>
      </c>
      <c r="X110" s="46">
        <v>45117</v>
      </c>
      <c r="Y110" s="235">
        <v>1062.9499510000001</v>
      </c>
      <c r="Z110" s="75">
        <f t="shared" si="10"/>
        <v>3.2935724440497083E-4</v>
      </c>
      <c r="AB110" s="46">
        <v>45117</v>
      </c>
      <c r="AC110" s="235">
        <v>832.84997599999997</v>
      </c>
      <c r="AD110" s="75">
        <f t="shared" si="11"/>
        <v>1.424825142549091E-2</v>
      </c>
    </row>
    <row r="111" spans="2:30" x14ac:dyDescent="0.25">
      <c r="B111" s="46">
        <v>45124</v>
      </c>
      <c r="C111" s="235">
        <v>2703.25</v>
      </c>
      <c r="D111" s="75">
        <f t="shared" si="6"/>
        <v>9.8435126320237654E-3</v>
      </c>
      <c r="F111" s="235">
        <v>19745</v>
      </c>
      <c r="G111" s="75">
        <f t="shared" si="7"/>
        <v>9.225893838329613E-3</v>
      </c>
      <c r="P111" s="46">
        <v>45124</v>
      </c>
      <c r="Q111" s="235">
        <v>22982.550781000002</v>
      </c>
      <c r="R111" s="75">
        <f t="shared" si="8"/>
        <v>-6.720531537932728E-3</v>
      </c>
      <c r="T111" s="46">
        <v>45124</v>
      </c>
      <c r="U111" s="235">
        <v>5047</v>
      </c>
      <c r="V111" s="75">
        <f t="shared" si="9"/>
        <v>-1.6792681314857671E-2</v>
      </c>
      <c r="X111" s="46">
        <v>45124</v>
      </c>
      <c r="Y111" s="235">
        <v>1056.5500489999999</v>
      </c>
      <c r="Z111" s="75">
        <f t="shared" si="10"/>
        <v>-6.0208874312277505E-3</v>
      </c>
      <c r="AB111" s="46">
        <v>45124</v>
      </c>
      <c r="AC111" s="235">
        <v>800.20001200000002</v>
      </c>
      <c r="AD111" s="75">
        <f t="shared" si="11"/>
        <v>-3.9202695492423167E-2</v>
      </c>
    </row>
    <row r="112" spans="2:30" x14ac:dyDescent="0.25">
      <c r="B112" s="46">
        <v>45131</v>
      </c>
      <c r="C112" s="235">
        <v>2663.0698972999999</v>
      </c>
      <c r="D112" s="75">
        <f t="shared" si="6"/>
        <v>-1.4863628114306859E-2</v>
      </c>
      <c r="F112" s="235">
        <v>19220.308593666665</v>
      </c>
      <c r="G112" s="75">
        <f t="shared" si="7"/>
        <v>-2.6573380923440637E-2</v>
      </c>
      <c r="P112" s="46">
        <v>45131</v>
      </c>
      <c r="Q112" s="235">
        <v>22904.416992000002</v>
      </c>
      <c r="R112" s="75">
        <f t="shared" si="8"/>
        <v>-3.3997004834029898E-3</v>
      </c>
      <c r="T112" s="46">
        <v>45131</v>
      </c>
      <c r="U112" s="235">
        <v>5045.791666666667</v>
      </c>
      <c r="V112" s="75">
        <f t="shared" si="9"/>
        <v>-2.3941615481137823E-4</v>
      </c>
      <c r="X112" s="46">
        <v>45131</v>
      </c>
      <c r="Y112" s="235">
        <v>1061.5083211666667</v>
      </c>
      <c r="Z112" s="75">
        <f t="shared" si="10"/>
        <v>4.6928890603523676E-3</v>
      </c>
      <c r="AB112" s="46">
        <v>45131</v>
      </c>
      <c r="AC112" s="235">
        <v>807.34999600000003</v>
      </c>
      <c r="AD112" s="75">
        <f t="shared" si="11"/>
        <v>8.9352460544576129E-3</v>
      </c>
    </row>
  </sheetData>
  <mergeCells count="13">
    <mergeCell ref="T4:V4"/>
    <mergeCell ref="X4:Z4"/>
    <mergeCell ref="AB4:AD4"/>
    <mergeCell ref="L4:M4"/>
    <mergeCell ref="B2:D2"/>
    <mergeCell ref="B4:D4"/>
    <mergeCell ref="F4:G4"/>
    <mergeCell ref="I4:J4"/>
    <mergeCell ref="L6:M6"/>
    <mergeCell ref="L8:M8"/>
    <mergeCell ref="L10:M10"/>
    <mergeCell ref="L12:M12"/>
    <mergeCell ref="P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CD1D-5564-4EB2-95D2-F3BEED973955}">
  <sheetPr>
    <tabColor rgb="FFFF0000"/>
  </sheetPr>
  <dimension ref="B2:O40"/>
  <sheetViews>
    <sheetView showGridLines="0" workbookViewId="0">
      <selection activeCell="B14" sqref="B14"/>
    </sheetView>
  </sheetViews>
  <sheetFormatPr defaultRowHeight="15" x14ac:dyDescent="0.25"/>
  <cols>
    <col min="1" max="1" width="1.85546875" customWidth="1"/>
    <col min="2" max="2" width="48.42578125" bestFit="1" customWidth="1"/>
    <col min="3" max="3" width="10.7109375" bestFit="1" customWidth="1"/>
    <col min="4" max="4" width="13.28515625" bestFit="1" customWidth="1"/>
    <col min="5" max="5" width="11.42578125" bestFit="1" customWidth="1"/>
    <col min="6" max="6" width="9.85546875" bestFit="1" customWidth="1"/>
    <col min="7" max="7" width="31.42578125" bestFit="1" customWidth="1"/>
    <col min="8" max="8" width="7.140625" bestFit="1" customWidth="1"/>
    <col min="9" max="9" width="9.7109375" bestFit="1" customWidth="1"/>
    <col min="10" max="10" width="12.42578125" bestFit="1" customWidth="1"/>
  </cols>
  <sheetData>
    <row r="2" spans="2:10" ht="18.75" x14ac:dyDescent="0.25">
      <c r="B2" s="291" t="str">
        <f>'Data Sheet'!B1&amp;" - Weighted Average Cost of Capital"</f>
        <v>HINDUSTAN UNILEVER LTD - Weighted Average Cost of Capital</v>
      </c>
      <c r="C2" s="291"/>
      <c r="D2" s="291"/>
      <c r="E2" s="291"/>
      <c r="F2" s="291"/>
      <c r="G2" s="291"/>
      <c r="H2" s="291"/>
      <c r="I2" s="291"/>
      <c r="J2" s="291"/>
    </row>
    <row r="3" spans="2:10" ht="3" customHeight="1" x14ac:dyDescent="0.25"/>
    <row r="4" spans="2:10" x14ac:dyDescent="0.25">
      <c r="B4" s="189" t="s">
        <v>300</v>
      </c>
    </row>
    <row r="5" spans="2:10" ht="2.25" customHeight="1" x14ac:dyDescent="0.25"/>
    <row r="6" spans="2:10" ht="15.75" thickBot="1" x14ac:dyDescent="0.3">
      <c r="B6" s="190" t="s">
        <v>301</v>
      </c>
      <c r="C6" s="191"/>
      <c r="D6" s="191"/>
      <c r="E6" s="191"/>
      <c r="F6" s="191"/>
      <c r="G6" s="191"/>
      <c r="H6" s="191"/>
      <c r="I6" s="191"/>
      <c r="J6" s="191"/>
    </row>
    <row r="7" spans="2:10" x14ac:dyDescent="0.25">
      <c r="C7" s="26"/>
      <c r="D7" s="26"/>
      <c r="E7" s="26"/>
      <c r="F7" s="26"/>
      <c r="G7" s="26" t="s">
        <v>302</v>
      </c>
      <c r="H7" s="26" t="s">
        <v>302</v>
      </c>
      <c r="I7" s="26" t="s">
        <v>303</v>
      </c>
      <c r="J7" s="26" t="s">
        <v>304</v>
      </c>
    </row>
    <row r="8" spans="2:10" ht="15.75" thickBot="1" x14ac:dyDescent="0.3">
      <c r="B8" s="192" t="s">
        <v>267</v>
      </c>
      <c r="C8" s="193" t="s">
        <v>305</v>
      </c>
      <c r="D8" s="193" t="s">
        <v>306</v>
      </c>
      <c r="E8" s="193" t="s">
        <v>307</v>
      </c>
      <c r="F8" s="194" t="s">
        <v>308</v>
      </c>
      <c r="G8" s="193" t="s">
        <v>309</v>
      </c>
      <c r="H8" s="193" t="s">
        <v>310</v>
      </c>
      <c r="I8" s="194" t="s">
        <v>311</v>
      </c>
      <c r="J8" s="194" t="s">
        <v>312</v>
      </c>
    </row>
    <row r="9" spans="2:10" ht="4.5" customHeight="1" x14ac:dyDescent="0.25">
      <c r="B9" s="195"/>
      <c r="C9" s="195"/>
      <c r="D9" s="195"/>
      <c r="E9" s="195"/>
      <c r="F9" s="195"/>
      <c r="G9" s="195"/>
      <c r="H9" s="195"/>
      <c r="I9" s="195"/>
      <c r="J9" s="195"/>
    </row>
    <row r="10" spans="2:10" x14ac:dyDescent="0.25">
      <c r="B10" s="196" t="str">
        <f>'Data For Relative Valuation'!C5</f>
        <v>Hind. Unilever</v>
      </c>
      <c r="C10" s="196" t="s">
        <v>313</v>
      </c>
      <c r="D10" s="197">
        <f>'Data For Relative Valuation'!G5</f>
        <v>1219</v>
      </c>
      <c r="E10" s="198">
        <f>'Data For Relative Valuation'!O5</f>
        <v>608884.80000000005</v>
      </c>
      <c r="F10" s="199">
        <v>0.3</v>
      </c>
      <c r="G10" s="200">
        <f>D10/E10</f>
        <v>2.0020207434969634E-3</v>
      </c>
      <c r="H10" s="200">
        <f>D10/(D10+E10)</f>
        <v>1.9980206646803378E-3</v>
      </c>
      <c r="I10" s="201">
        <f>'Beta Calculation&gt;'!N4</f>
        <v>0.7110929513699058</v>
      </c>
      <c r="J10" s="201">
        <f>I10/(1+(1-F10)*(D10/E10))</f>
        <v>0.71009780998805028</v>
      </c>
    </row>
    <row r="11" spans="2:10" x14ac:dyDescent="0.25">
      <c r="B11" s="196" t="str">
        <f>'Data For Relative Valuation'!C6</f>
        <v>Nestle India</v>
      </c>
      <c r="C11" s="196" t="s">
        <v>313</v>
      </c>
      <c r="D11" s="197">
        <f>'Data For Relative Valuation'!G6</f>
        <v>270.52</v>
      </c>
      <c r="E11" s="198">
        <f>'Data For Relative Valuation'!O6</f>
        <v>220235.68</v>
      </c>
      <c r="F11" s="199">
        <v>0.3</v>
      </c>
      <c r="G11" s="200">
        <f t="shared" ref="G11:G14" si="0">D11/E11</f>
        <v>1.2283204973871627E-3</v>
      </c>
      <c r="H11" s="200">
        <f t="shared" ref="H11:H14" si="1">D11/(D11+E11)</f>
        <v>1.2268135771239086E-3</v>
      </c>
      <c r="I11" s="201">
        <f>'Beta Calculation&gt;'!N6</f>
        <v>0.48302889526947151</v>
      </c>
      <c r="J11" s="201">
        <f>I11/(1+(1-F11)*(D11/E11))</f>
        <v>0.48261393205991987</v>
      </c>
    </row>
    <row r="12" spans="2:10" x14ac:dyDescent="0.25">
      <c r="B12" s="196" t="str">
        <f>'Data For Relative Valuation'!C7</f>
        <v>Britannia Inds.</v>
      </c>
      <c r="C12" s="196" t="s">
        <v>313</v>
      </c>
      <c r="D12" s="197">
        <f>'Data For Relative Valuation'!G7</f>
        <v>2997.37</v>
      </c>
      <c r="E12" s="198">
        <f>'Data For Relative Valuation'!O7</f>
        <v>120042.73</v>
      </c>
      <c r="F12" s="199">
        <v>0.3</v>
      </c>
      <c r="G12" s="200">
        <f t="shared" si="0"/>
        <v>2.4969192220136945E-2</v>
      </c>
      <c r="H12" s="200">
        <f t="shared" si="1"/>
        <v>2.4360919732672518E-2</v>
      </c>
      <c r="I12" s="201">
        <f>'Beta Calculation&gt;'!N8</f>
        <v>0.56473361464143534</v>
      </c>
      <c r="J12" s="201">
        <f t="shared" ref="J12:J14" si="2">I12/(1+(1-F12)*(D12/E12))</f>
        <v>0.55503251514999097</v>
      </c>
    </row>
    <row r="13" spans="2:10" x14ac:dyDescent="0.25">
      <c r="B13" s="196" t="str">
        <f>'Data For Relative Valuation'!C8</f>
        <v>Godrej Consumer</v>
      </c>
      <c r="C13" s="196" t="s">
        <v>313</v>
      </c>
      <c r="D13" s="197">
        <f>'Data For Relative Valuation'!G8</f>
        <v>1129.58</v>
      </c>
      <c r="E13" s="198">
        <f>'Data For Relative Valuation'!O8</f>
        <v>106279.34</v>
      </c>
      <c r="F13" s="199">
        <v>0.3</v>
      </c>
      <c r="G13" s="200">
        <f t="shared" si="0"/>
        <v>1.0628406235868608E-2</v>
      </c>
      <c r="H13" s="200">
        <f t="shared" si="1"/>
        <v>1.0516631207166035E-2</v>
      </c>
      <c r="I13" s="201">
        <f>'Beta Calculation&gt;'!N10</f>
        <v>0.57057385776391434</v>
      </c>
      <c r="J13" s="201">
        <f t="shared" si="2"/>
        <v>0.56636020334205039</v>
      </c>
    </row>
    <row r="14" spans="2:10" x14ac:dyDescent="0.25">
      <c r="B14" s="196" t="str">
        <f>'Data For Relative Valuation'!C9</f>
        <v>Varun Beverages</v>
      </c>
      <c r="C14" s="196" t="s">
        <v>313</v>
      </c>
      <c r="D14" s="197">
        <f>'Data For Relative Valuation'!G9</f>
        <v>3883.81</v>
      </c>
      <c r="E14" s="198">
        <f>'Data For Relative Valuation'!O9</f>
        <v>105143.98</v>
      </c>
      <c r="F14" s="199">
        <v>0.3</v>
      </c>
      <c r="G14" s="200">
        <f t="shared" si="0"/>
        <v>3.6938015852167667E-2</v>
      </c>
      <c r="H14" s="200">
        <f t="shared" si="1"/>
        <v>3.5622202376109802E-2</v>
      </c>
      <c r="I14" s="201">
        <f>'Beta Calculation&gt;'!N12</f>
        <v>0.79011343444032978</v>
      </c>
      <c r="J14" s="201">
        <f t="shared" si="2"/>
        <v>0.77019870603143414</v>
      </c>
    </row>
    <row r="15" spans="2:10" ht="15.75" thickBot="1" x14ac:dyDescent="0.3">
      <c r="E15" s="202"/>
      <c r="F15" s="202"/>
      <c r="G15" s="202"/>
      <c r="H15" s="202"/>
      <c r="I15" s="202"/>
      <c r="J15" s="202"/>
    </row>
    <row r="16" spans="2:10" x14ac:dyDescent="0.25">
      <c r="E16" s="203" t="s">
        <v>286</v>
      </c>
      <c r="F16" s="204">
        <f>AVERAGE(F10:F14)</f>
        <v>0.3</v>
      </c>
      <c r="G16" s="204">
        <f t="shared" ref="G16:J16" si="3">AVERAGE(G10:G14)</f>
        <v>1.5153191109811471E-2</v>
      </c>
      <c r="H16" s="204">
        <f t="shared" si="3"/>
        <v>1.474491751155052E-2</v>
      </c>
      <c r="I16" s="205">
        <f t="shared" si="3"/>
        <v>0.62390855069701134</v>
      </c>
      <c r="J16" s="205">
        <f t="shared" si="3"/>
        <v>0.6168606333142892</v>
      </c>
    </row>
    <row r="17" spans="2:15" ht="15.75" thickBot="1" x14ac:dyDescent="0.3">
      <c r="E17" s="206" t="s">
        <v>152</v>
      </c>
      <c r="F17" s="207">
        <f>MEDIAN(F10:F14)</f>
        <v>0.3</v>
      </c>
      <c r="G17" s="207">
        <f t="shared" ref="G17:H17" si="4">MEDIAN(G10:G14)</f>
        <v>1.0628406235868608E-2</v>
      </c>
      <c r="H17" s="207">
        <f t="shared" si="4"/>
        <v>1.0516631207166035E-2</v>
      </c>
      <c r="I17" s="208">
        <f>MEDIAN(I10:I14)</f>
        <v>0.57057385776391434</v>
      </c>
      <c r="J17" s="208">
        <f>MEDIAN(J10:J14)</f>
        <v>0.56636020334205039</v>
      </c>
    </row>
    <row r="18" spans="2:15" ht="4.5" customHeight="1" x14ac:dyDescent="0.25"/>
    <row r="19" spans="2:15" ht="4.5" customHeight="1" x14ac:dyDescent="0.25"/>
    <row r="20" spans="2:15" ht="15.75" thickBot="1" x14ac:dyDescent="0.3">
      <c r="B20" s="206" t="s">
        <v>314</v>
      </c>
      <c r="C20" s="202"/>
      <c r="D20" s="202"/>
      <c r="E20" s="202"/>
      <c r="G20" s="209" t="s">
        <v>315</v>
      </c>
      <c r="H20" s="202"/>
      <c r="I20" s="202"/>
      <c r="J20" s="202"/>
    </row>
    <row r="21" spans="2:15" x14ac:dyDescent="0.25">
      <c r="C21" s="246"/>
      <c r="D21" s="247"/>
      <c r="E21" s="248"/>
      <c r="K21" s="55"/>
      <c r="L21" s="55"/>
      <c r="M21" s="55"/>
      <c r="N21" s="55"/>
      <c r="O21" s="55"/>
    </row>
    <row r="22" spans="2:15" x14ac:dyDescent="0.25">
      <c r="B22" t="s">
        <v>316</v>
      </c>
      <c r="C22" s="23"/>
      <c r="D22" s="245"/>
      <c r="E22" s="210">
        <v>9.35E-2</v>
      </c>
      <c r="G22" s="185" t="s">
        <v>317</v>
      </c>
      <c r="J22" s="211">
        <v>7.1099999999999997E-2</v>
      </c>
      <c r="K22" s="292"/>
      <c r="L22" s="292"/>
      <c r="M22" s="292"/>
      <c r="N22" s="292"/>
      <c r="O22" s="292"/>
    </row>
    <row r="23" spans="2:15" x14ac:dyDescent="0.25">
      <c r="B23" s="212" t="s">
        <v>231</v>
      </c>
      <c r="C23" s="212"/>
      <c r="D23" s="212"/>
      <c r="E23" s="213">
        <f>F11</f>
        <v>0.3</v>
      </c>
      <c r="G23" s="185" t="s">
        <v>318</v>
      </c>
      <c r="J23" s="4">
        <f>'Market Return of Nifty&gt;'!F7-'WACC&gt;'!J22</f>
        <v>9.8117391304347851E-2</v>
      </c>
      <c r="K23" s="292"/>
      <c r="L23" s="292"/>
      <c r="M23" s="55"/>
      <c r="N23" s="55"/>
      <c r="O23" s="55"/>
    </row>
    <row r="24" spans="2:15" x14ac:dyDescent="0.25">
      <c r="B24" t="s">
        <v>319</v>
      </c>
      <c r="E24" s="200">
        <f>E22*(1-E23)</f>
        <v>6.5449999999999994E-2</v>
      </c>
      <c r="G24" s="214" t="s">
        <v>320</v>
      </c>
      <c r="H24" s="212"/>
      <c r="I24" s="212"/>
      <c r="J24" s="215">
        <f>J33</f>
        <v>0.5722933411050225</v>
      </c>
    </row>
    <row r="25" spans="2:15" x14ac:dyDescent="0.25">
      <c r="G25" s="185" t="s">
        <v>315</v>
      </c>
      <c r="J25" s="216">
        <f>J22+(J23*J24)</f>
        <v>0.12725192969007409</v>
      </c>
    </row>
    <row r="26" spans="2:15" ht="3.75" customHeight="1" x14ac:dyDescent="0.25"/>
    <row r="27" spans="2:15" ht="3.75" customHeight="1" x14ac:dyDescent="0.25"/>
    <row r="28" spans="2:15" ht="15.75" thickBot="1" x14ac:dyDescent="0.3">
      <c r="B28" s="206" t="s">
        <v>321</v>
      </c>
      <c r="C28" s="202"/>
      <c r="D28" s="202"/>
      <c r="E28" s="202"/>
      <c r="G28" s="209" t="s">
        <v>322</v>
      </c>
      <c r="H28" s="202"/>
      <c r="I28" s="202"/>
      <c r="J28" s="202"/>
    </row>
    <row r="29" spans="2:15" x14ac:dyDescent="0.25">
      <c r="G29" s="203"/>
    </row>
    <row r="30" spans="2:15" ht="15.75" thickBot="1" x14ac:dyDescent="0.3">
      <c r="D30" s="217" t="s">
        <v>323</v>
      </c>
      <c r="E30" s="217" t="s">
        <v>324</v>
      </c>
      <c r="G30" s="185" t="s">
        <v>325</v>
      </c>
      <c r="J30" s="205">
        <f>J17</f>
        <v>0.56636020334205039</v>
      </c>
    </row>
    <row r="31" spans="2:15" x14ac:dyDescent="0.25">
      <c r="B31" t="s">
        <v>306</v>
      </c>
      <c r="C31" s="218">
        <f>D10</f>
        <v>1219</v>
      </c>
      <c r="D31" s="204">
        <f>C31/$C$33</f>
        <v>1.9980206646803378E-3</v>
      </c>
      <c r="E31" s="219">
        <f>H16</f>
        <v>1.474491751155052E-2</v>
      </c>
      <c r="G31" s="185" t="s">
        <v>326</v>
      </c>
      <c r="J31" s="204">
        <f>E35</f>
        <v>1.4965583810346272E-2</v>
      </c>
    </row>
    <row r="32" spans="2:15" x14ac:dyDescent="0.25">
      <c r="B32" t="s">
        <v>46</v>
      </c>
      <c r="C32" s="220">
        <f>E10</f>
        <v>608884.80000000005</v>
      </c>
      <c r="D32" s="204">
        <f>C32/$C$33</f>
        <v>0.99800197933531964</v>
      </c>
      <c r="E32" s="213">
        <f>E33-E31</f>
        <v>0.98525508248844951</v>
      </c>
      <c r="G32" s="212" t="s">
        <v>231</v>
      </c>
      <c r="H32" s="212"/>
      <c r="I32" s="212"/>
      <c r="J32" s="213">
        <f>F11</f>
        <v>0.3</v>
      </c>
    </row>
    <row r="33" spans="2:10" x14ac:dyDescent="0.25">
      <c r="B33" t="s">
        <v>327</v>
      </c>
      <c r="C33" s="221">
        <f>C32+C31</f>
        <v>610103.80000000005</v>
      </c>
      <c r="D33" s="222">
        <f>C33/C33</f>
        <v>1</v>
      </c>
      <c r="E33" s="204">
        <f>D33</f>
        <v>1</v>
      </c>
      <c r="G33" s="185" t="s">
        <v>322</v>
      </c>
      <c r="J33" s="205">
        <f>J30*(1+(1-J32)*J31)</f>
        <v>0.5722933411050225</v>
      </c>
    </row>
    <row r="35" spans="2:10" ht="15.75" thickBot="1" x14ac:dyDescent="0.3">
      <c r="B35" s="203" t="s">
        <v>328</v>
      </c>
      <c r="C35" s="203"/>
      <c r="D35" s="223">
        <f>G10</f>
        <v>2.0020207434969634E-3</v>
      </c>
      <c r="E35" s="223">
        <f>E31/E32</f>
        <v>1.4965583810346272E-2</v>
      </c>
      <c r="G35" s="209" t="s">
        <v>299</v>
      </c>
      <c r="H35" s="202"/>
      <c r="I35" s="202"/>
      <c r="J35" s="202"/>
    </row>
    <row r="37" spans="2:10" x14ac:dyDescent="0.25">
      <c r="B37" s="224" t="s">
        <v>329</v>
      </c>
      <c r="I37" s="225" t="s">
        <v>330</v>
      </c>
      <c r="J37" s="225" t="s">
        <v>331</v>
      </c>
    </row>
    <row r="38" spans="2:10" x14ac:dyDescent="0.25">
      <c r="B38" s="224" t="s">
        <v>332</v>
      </c>
      <c r="G38" t="s">
        <v>333</v>
      </c>
      <c r="I38" s="4">
        <f>E24</f>
        <v>6.5449999999999994E-2</v>
      </c>
      <c r="J38" s="4">
        <f>E31</f>
        <v>1.474491751155052E-2</v>
      </c>
    </row>
    <row r="39" spans="2:10" x14ac:dyDescent="0.25">
      <c r="B39" s="224" t="s">
        <v>334</v>
      </c>
      <c r="G39" t="s">
        <v>309</v>
      </c>
      <c r="I39" s="4">
        <f>J25</f>
        <v>0.12725192969007409</v>
      </c>
      <c r="J39" s="4">
        <f>E32</f>
        <v>0.98525508248844951</v>
      </c>
    </row>
    <row r="40" spans="2:10" x14ac:dyDescent="0.25">
      <c r="B40" s="224" t="s">
        <v>335</v>
      </c>
      <c r="G40" s="226" t="s">
        <v>299</v>
      </c>
      <c r="H40" s="226"/>
      <c r="I40" s="227"/>
      <c r="J40" s="228">
        <f>SUMPRODUCT(I38:I39,J38:J39)</f>
        <v>0.12634066533473931</v>
      </c>
    </row>
  </sheetData>
  <mergeCells count="3">
    <mergeCell ref="B2:J2"/>
    <mergeCell ref="K22:O22"/>
    <mergeCell ref="K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F53-778E-404E-8CE9-85ED6041C6DC}">
  <sheetPr>
    <tabColor rgb="FFFF0000"/>
  </sheetPr>
  <dimension ref="B1:G27"/>
  <sheetViews>
    <sheetView showGridLines="0" topLeftCell="A2" workbookViewId="0">
      <selection activeCell="F7" sqref="F7"/>
    </sheetView>
  </sheetViews>
  <sheetFormatPr defaultRowHeight="15" x14ac:dyDescent="0.25"/>
  <cols>
    <col min="1" max="1" width="1.85546875" customWidth="1"/>
    <col min="2" max="2" width="8.85546875" customWidth="1"/>
    <col min="3" max="3" width="14.7109375" customWidth="1"/>
    <col min="5" max="5" width="19.85546875" bestFit="1" customWidth="1"/>
    <col min="6" max="6" width="7.140625" bestFit="1" customWidth="1"/>
  </cols>
  <sheetData>
    <row r="1" spans="2:7" x14ac:dyDescent="0.25">
      <c r="B1" s="293"/>
      <c r="C1" s="293"/>
      <c r="D1" s="293"/>
      <c r="E1" s="293"/>
      <c r="F1" s="293"/>
    </row>
    <row r="3" spans="2:7" ht="33.75" customHeight="1" x14ac:dyDescent="0.25">
      <c r="B3" s="294" t="s">
        <v>369</v>
      </c>
      <c r="C3" s="295"/>
      <c r="E3" s="297" t="s">
        <v>158</v>
      </c>
      <c r="F3" s="285">
        <f>_xlfn.STDEV.P(C5:C27)</f>
        <v>0.28866161271299012</v>
      </c>
    </row>
    <row r="4" spans="2:7" x14ac:dyDescent="0.25">
      <c r="B4" s="240" t="s">
        <v>155</v>
      </c>
      <c r="C4" s="241" t="s">
        <v>346</v>
      </c>
      <c r="E4" s="297"/>
      <c r="F4" s="279">
        <f>_xlfn.STDEV.S(C5:C27)</f>
        <v>0.29514920056284311</v>
      </c>
      <c r="G4" s="4"/>
    </row>
    <row r="5" spans="2:7" x14ac:dyDescent="0.25">
      <c r="B5" s="47">
        <v>2000</v>
      </c>
      <c r="C5" s="242">
        <v>-0.14649999999999999</v>
      </c>
      <c r="E5" s="284" t="s">
        <v>286</v>
      </c>
      <c r="F5" s="283">
        <f>AVERAGE(C5:C27)</f>
        <v>0.15411739130434784</v>
      </c>
    </row>
    <row r="6" spans="2:7" x14ac:dyDescent="0.25">
      <c r="B6" s="47">
        <v>2001</v>
      </c>
      <c r="C6" s="242">
        <v>-0.1618</v>
      </c>
      <c r="E6" s="280" t="s">
        <v>347</v>
      </c>
      <c r="F6" s="281">
        <v>1.5100000000000001E-2</v>
      </c>
    </row>
    <row r="7" spans="2:7" x14ac:dyDescent="0.25">
      <c r="B7" s="47">
        <v>2002</v>
      </c>
      <c r="C7" s="242">
        <v>3.2500000000000001E-2</v>
      </c>
      <c r="E7" s="243" t="s">
        <v>348</v>
      </c>
      <c r="F7" s="244">
        <f>F5+F6</f>
        <v>0.16921739130434785</v>
      </c>
    </row>
    <row r="8" spans="2:7" x14ac:dyDescent="0.25">
      <c r="B8" s="47">
        <v>2003</v>
      </c>
      <c r="C8" s="242">
        <v>0.71900000000000008</v>
      </c>
      <c r="F8" s="282"/>
    </row>
    <row r="9" spans="2:7" x14ac:dyDescent="0.25">
      <c r="B9" s="47">
        <v>2004</v>
      </c>
      <c r="C9" s="242">
        <v>0.10679999999999999</v>
      </c>
      <c r="E9" s="278"/>
      <c r="F9" s="282"/>
    </row>
    <row r="10" spans="2:7" x14ac:dyDescent="0.25">
      <c r="B10" s="47">
        <v>2005</v>
      </c>
      <c r="C10" s="242">
        <v>0.36340000000000006</v>
      </c>
      <c r="E10" s="296"/>
    </row>
    <row r="11" spans="2:7" x14ac:dyDescent="0.25">
      <c r="B11" s="47">
        <v>2006</v>
      </c>
      <c r="C11" s="242">
        <v>0.39829999999999999</v>
      </c>
      <c r="E11" s="296"/>
    </row>
    <row r="12" spans="2:7" x14ac:dyDescent="0.25">
      <c r="B12" s="47">
        <v>2007</v>
      </c>
      <c r="C12" s="242">
        <v>0.54770000000000008</v>
      </c>
      <c r="E12" s="296"/>
    </row>
    <row r="13" spans="2:7" x14ac:dyDescent="0.25">
      <c r="B13" s="47">
        <v>2008</v>
      </c>
      <c r="C13" s="242">
        <v>-0.51790000000000003</v>
      </c>
      <c r="E13" s="296"/>
    </row>
    <row r="14" spans="2:7" x14ac:dyDescent="0.25">
      <c r="B14" s="47">
        <v>2009</v>
      </c>
      <c r="C14" s="242">
        <v>0.75760000000000005</v>
      </c>
    </row>
    <row r="15" spans="2:7" x14ac:dyDescent="0.25">
      <c r="B15" s="47">
        <v>2010</v>
      </c>
      <c r="C15" s="242">
        <v>0.17949999999999999</v>
      </c>
    </row>
    <row r="16" spans="2:7" x14ac:dyDescent="0.25">
      <c r="B16" s="47">
        <v>2011</v>
      </c>
      <c r="C16" s="242">
        <v>-0.2462</v>
      </c>
    </row>
    <row r="17" spans="2:3" x14ac:dyDescent="0.25">
      <c r="B17" s="47">
        <v>2012</v>
      </c>
      <c r="C17" s="242">
        <v>0.27699999999999997</v>
      </c>
    </row>
    <row r="18" spans="2:3" x14ac:dyDescent="0.25">
      <c r="B18" s="47">
        <v>2013</v>
      </c>
      <c r="C18" s="242">
        <v>6.7599999999999993E-2</v>
      </c>
    </row>
    <row r="19" spans="2:3" x14ac:dyDescent="0.25">
      <c r="B19" s="47">
        <v>2014</v>
      </c>
      <c r="C19" s="242">
        <v>0.31390000000000001</v>
      </c>
    </row>
    <row r="20" spans="2:3" x14ac:dyDescent="0.25">
      <c r="B20" s="47">
        <v>2015</v>
      </c>
      <c r="C20" s="242">
        <v>-4.0599999999999997E-2</v>
      </c>
    </row>
    <row r="21" spans="2:3" x14ac:dyDescent="0.25">
      <c r="B21" s="47">
        <v>2016</v>
      </c>
      <c r="C21" s="242">
        <v>3.0099999999999998E-2</v>
      </c>
    </row>
    <row r="22" spans="2:3" x14ac:dyDescent="0.25">
      <c r="B22" s="47">
        <v>2017</v>
      </c>
      <c r="C22" s="242">
        <v>0.28649999999999998</v>
      </c>
    </row>
    <row r="23" spans="2:3" x14ac:dyDescent="0.25">
      <c r="B23" s="47">
        <v>2018</v>
      </c>
      <c r="C23" s="242">
        <v>3.15E-2</v>
      </c>
    </row>
    <row r="24" spans="2:3" x14ac:dyDescent="0.25">
      <c r="B24" s="47">
        <v>2019</v>
      </c>
      <c r="C24" s="242">
        <v>0.1202</v>
      </c>
    </row>
    <row r="25" spans="2:3" x14ac:dyDescent="0.25">
      <c r="B25" s="47">
        <v>2020</v>
      </c>
      <c r="C25" s="242">
        <v>0.14169999999999999</v>
      </c>
    </row>
    <row r="26" spans="2:3" x14ac:dyDescent="0.25">
      <c r="B26" s="47">
        <v>2021</v>
      </c>
      <c r="C26" s="242">
        <v>0.2412</v>
      </c>
    </row>
    <row r="27" spans="2:3" x14ac:dyDescent="0.25">
      <c r="B27" s="47">
        <v>2022</v>
      </c>
      <c r="C27" s="242">
        <v>4.3200000000000002E-2</v>
      </c>
    </row>
  </sheetData>
  <mergeCells count="5">
    <mergeCell ref="B1:F1"/>
    <mergeCell ref="B3:C3"/>
    <mergeCell ref="E10:E11"/>
    <mergeCell ref="E12:E13"/>
    <mergeCell ref="E3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6210-9E54-4287-8C92-B3004DB76EA9}">
  <sheetPr>
    <tabColor rgb="FFFF0000"/>
  </sheetPr>
  <dimension ref="B2:S43"/>
  <sheetViews>
    <sheetView showGridLines="0" topLeftCell="A30" zoomScale="90" zoomScaleNormal="90" workbookViewId="0">
      <selection activeCell="E39" sqref="E39"/>
    </sheetView>
  </sheetViews>
  <sheetFormatPr defaultRowHeight="15" x14ac:dyDescent="0.25"/>
  <cols>
    <col min="1" max="1" width="1.85546875" customWidth="1"/>
    <col min="2" max="2" width="18" bestFit="1" customWidth="1"/>
    <col min="3" max="3" width="12" customWidth="1"/>
    <col min="4" max="4" width="13.7109375" customWidth="1"/>
    <col min="5" max="5" width="14.85546875" bestFit="1" customWidth="1"/>
    <col min="7" max="14" width="14.140625" bestFit="1" customWidth="1"/>
    <col min="15" max="15" width="11.85546875" bestFit="1" customWidth="1"/>
  </cols>
  <sheetData>
    <row r="2" spans="2:19" x14ac:dyDescent="0.25">
      <c r="B2" s="301" t="str">
        <f>"Calculation of Present Value of Free Cash flow to Firm(FCFF)   - "&amp;'Data Sheet'!B1</f>
        <v>Calculation of Present Value of Free Cash flow to Firm(FCFF)   - HINDUSTAN UNILEVER LTD</v>
      </c>
      <c r="C2" s="301"/>
      <c r="D2" s="301"/>
      <c r="E2" s="301"/>
      <c r="F2" s="301"/>
      <c r="G2" s="301"/>
      <c r="H2" s="301"/>
      <c r="I2" s="301"/>
      <c r="J2" s="118">
        <f>'Data Sheet'!K16</f>
        <v>45016</v>
      </c>
      <c r="K2" s="119">
        <f>J2+365</f>
        <v>45381</v>
      </c>
      <c r="L2" s="119">
        <f t="shared" ref="L2:O2" si="0">K2+365</f>
        <v>45746</v>
      </c>
      <c r="M2" s="119">
        <f t="shared" si="0"/>
        <v>46111</v>
      </c>
      <c r="N2" s="119">
        <f t="shared" si="0"/>
        <v>46476</v>
      </c>
      <c r="O2" s="119">
        <f t="shared" si="0"/>
        <v>46841</v>
      </c>
    </row>
    <row r="4" spans="2:19" x14ac:dyDescent="0.25">
      <c r="B4" s="2" t="s">
        <v>222</v>
      </c>
      <c r="C4" s="2"/>
      <c r="D4" s="2"/>
      <c r="J4" s="130">
        <f>'Data Sheet'!K28+'Data Sheet'!K27</f>
        <v>13458</v>
      </c>
      <c r="K4" s="13">
        <f>J4*(1+$D$14)</f>
        <v>13728.837673227996</v>
      </c>
      <c r="L4" s="13">
        <f>K4*(1+$D$14)</f>
        <v>14005.125862523724</v>
      </c>
      <c r="M4" s="13">
        <f>L4*(1+$D$14)</f>
        <v>14286.974257669448</v>
      </c>
      <c r="N4" s="13">
        <f>M4*(1+$D$14)</f>
        <v>14574.494755916992</v>
      </c>
      <c r="O4" s="13">
        <f>N4*(1+$D$14)</f>
        <v>14867.801506412325</v>
      </c>
    </row>
    <row r="5" spans="2:19" ht="15.75" thickBot="1" x14ac:dyDescent="0.3">
      <c r="B5" s="2" t="s">
        <v>231</v>
      </c>
      <c r="C5" s="2"/>
      <c r="D5" s="2"/>
      <c r="J5" s="131">
        <f>'Intrinsic Growth&gt;'!H44</f>
        <v>0.25</v>
      </c>
      <c r="K5" s="4">
        <f>J5</f>
        <v>0.25</v>
      </c>
      <c r="L5" s="4">
        <f t="shared" ref="L5:O5" si="1">K5</f>
        <v>0.25</v>
      </c>
      <c r="M5" s="4">
        <f t="shared" si="1"/>
        <v>0.25</v>
      </c>
      <c r="N5" s="4">
        <f t="shared" si="1"/>
        <v>0.25</v>
      </c>
      <c r="O5" s="4">
        <f t="shared" si="1"/>
        <v>0.25</v>
      </c>
    </row>
    <row r="6" spans="2:19" x14ac:dyDescent="0.25">
      <c r="B6" s="302" t="s">
        <v>232</v>
      </c>
      <c r="C6" s="302"/>
      <c r="D6" s="128"/>
      <c r="E6" s="129"/>
      <c r="F6" s="129"/>
      <c r="G6" s="129"/>
      <c r="H6" s="129"/>
      <c r="I6" s="129"/>
      <c r="J6" s="132">
        <f>J4*(1-J5)</f>
        <v>10093.5</v>
      </c>
      <c r="K6" s="136">
        <f>J6*(1+$D$14)</f>
        <v>10296.628254920997</v>
      </c>
      <c r="L6" s="136">
        <f>K6*(1+$D$14)</f>
        <v>10503.844396892793</v>
      </c>
      <c r="M6" s="136">
        <f>L6*(1+$D$14)</f>
        <v>10715.230693252086</v>
      </c>
      <c r="N6" s="136">
        <f>M6*(1+$D$14)</f>
        <v>10930.871066937745</v>
      </c>
      <c r="O6" s="136">
        <f>N6*(1+$D$14)</f>
        <v>11150.851129809244</v>
      </c>
    </row>
    <row r="7" spans="2:19" ht="15.75" thickBot="1" x14ac:dyDescent="0.3">
      <c r="B7" s="303" t="s">
        <v>233</v>
      </c>
      <c r="C7" s="303"/>
      <c r="D7" s="303"/>
      <c r="J7" s="131">
        <f>'Intrinsic Growth&gt;'!L51</f>
        <v>8.8711641557520537E-2</v>
      </c>
      <c r="K7" s="4">
        <f>J7+(($O$7-$J$7)/4)</f>
        <v>0.11785873116814041</v>
      </c>
      <c r="L7" s="4">
        <f t="shared" ref="L7:N7" si="2">K7+(($O$7-$J$7)/4)</f>
        <v>0.14700582077876029</v>
      </c>
      <c r="M7" s="4">
        <f t="shared" si="2"/>
        <v>0.17615291038938016</v>
      </c>
      <c r="N7" s="4">
        <f t="shared" si="2"/>
        <v>0.20530000000000004</v>
      </c>
      <c r="O7" s="121">
        <v>0.20530000000000001</v>
      </c>
      <c r="P7" s="305"/>
      <c r="Q7" s="305"/>
      <c r="R7" s="305"/>
      <c r="S7" s="305"/>
    </row>
    <row r="8" spans="2:19" x14ac:dyDescent="0.25">
      <c r="B8" s="302" t="s">
        <v>234</v>
      </c>
      <c r="C8" s="302"/>
      <c r="D8" s="302"/>
      <c r="E8" s="129"/>
      <c r="F8" s="129"/>
      <c r="G8" s="129"/>
      <c r="H8" s="129"/>
      <c r="I8" s="129"/>
      <c r="J8" s="133">
        <f>J6*(1-J7)</f>
        <v>9198.0890459391667</v>
      </c>
      <c r="K8" s="136">
        <f>J8*(1+$D$14)</f>
        <v>9383.1974599194073</v>
      </c>
      <c r="L8" s="136">
        <f t="shared" ref="L8:O8" si="3">K8*(1+$D$14)</f>
        <v>9572.0311177796702</v>
      </c>
      <c r="M8" s="136">
        <f t="shared" si="3"/>
        <v>9764.6649887861658</v>
      </c>
      <c r="N8" s="136">
        <f t="shared" si="3"/>
        <v>9961.1755509360919</v>
      </c>
      <c r="O8" s="136">
        <f t="shared" si="3"/>
        <v>10161.640821320334</v>
      </c>
    </row>
    <row r="9" spans="2:19" x14ac:dyDescent="0.25">
      <c r="J9" s="134"/>
    </row>
    <row r="10" spans="2:19" x14ac:dyDescent="0.25">
      <c r="B10" t="s">
        <v>235</v>
      </c>
      <c r="J10" s="134"/>
      <c r="K10" s="137">
        <v>0.5</v>
      </c>
      <c r="L10">
        <f>K10+1</f>
        <v>1.5</v>
      </c>
      <c r="M10">
        <f t="shared" ref="M10:O10" si="4">L10+1</f>
        <v>2.5</v>
      </c>
      <c r="N10">
        <f t="shared" si="4"/>
        <v>3.5</v>
      </c>
      <c r="O10">
        <f t="shared" si="4"/>
        <v>4.5</v>
      </c>
    </row>
    <row r="11" spans="2:19" ht="15.75" thickBot="1" x14ac:dyDescent="0.3">
      <c r="B11" t="s">
        <v>236</v>
      </c>
      <c r="J11" s="134"/>
      <c r="K11" s="138">
        <f>(1/(1+$D$16)^K10)</f>
        <v>0.94224776922927567</v>
      </c>
      <c r="L11" s="138">
        <f t="shared" ref="L11:O11" si="5">(1/(1+$D$16)^L10)</f>
        <v>0.83655664598529555</v>
      </c>
      <c r="M11" s="138">
        <f t="shared" si="5"/>
        <v>0.74272080528733975</v>
      </c>
      <c r="N11" s="138">
        <f t="shared" si="5"/>
        <v>0.65941045027137435</v>
      </c>
      <c r="O11" s="138">
        <f t="shared" si="5"/>
        <v>0.58544494624581722</v>
      </c>
    </row>
    <row r="12" spans="2:19" ht="15.75" thickBot="1" x14ac:dyDescent="0.3">
      <c r="B12" s="125" t="s">
        <v>237</v>
      </c>
      <c r="C12" s="125"/>
      <c r="D12" s="125"/>
      <c r="E12" s="125"/>
      <c r="F12" s="125"/>
      <c r="G12" s="125"/>
      <c r="H12" s="125"/>
      <c r="I12" s="125"/>
      <c r="J12" s="135"/>
      <c r="K12" s="139">
        <f>K8*K11</f>
        <v>8841.2968748468666</v>
      </c>
      <c r="L12" s="139">
        <f t="shared" ref="L12:O12" si="6">L8*L11</f>
        <v>8007.5462471566407</v>
      </c>
      <c r="M12" s="139">
        <f t="shared" si="6"/>
        <v>7252.4198438323538</v>
      </c>
      <c r="N12" s="139">
        <f t="shared" si="6"/>
        <v>6568.5032552749735</v>
      </c>
      <c r="O12" s="139">
        <f t="shared" si="6"/>
        <v>5949.0812644071848</v>
      </c>
    </row>
    <row r="13" spans="2:19" ht="15.75" thickTop="1" x14ac:dyDescent="0.25"/>
    <row r="14" spans="2:19" x14ac:dyDescent="0.25">
      <c r="B14" s="123" t="s">
        <v>349</v>
      </c>
      <c r="C14" s="123"/>
      <c r="D14" s="124">
        <f>'Intrinsic Growth&gt;'!L61</f>
        <v>2.0124659921830514E-2</v>
      </c>
    </row>
    <row r="15" spans="2:19" x14ac:dyDescent="0.25">
      <c r="B15" s="123" t="s">
        <v>238</v>
      </c>
      <c r="C15" s="123"/>
      <c r="D15" s="126">
        <v>5.8999999999999997E-2</v>
      </c>
      <c r="E15" s="305"/>
      <c r="F15" s="305"/>
      <c r="G15" s="305"/>
      <c r="H15" s="23"/>
    </row>
    <row r="16" spans="2:19" x14ac:dyDescent="0.25">
      <c r="B16" s="123" t="s">
        <v>239</v>
      </c>
      <c r="C16" s="122"/>
      <c r="D16" s="250">
        <f>'WACC&gt;'!J40</f>
        <v>0.12634066533473931</v>
      </c>
      <c r="E16" s="305"/>
      <c r="F16" s="305"/>
      <c r="G16" s="305"/>
      <c r="H16" s="305"/>
    </row>
    <row r="17" spans="2:14" x14ac:dyDescent="0.25">
      <c r="J17" s="300"/>
      <c r="K17" s="300"/>
      <c r="L17" s="300"/>
      <c r="M17" s="300"/>
    </row>
    <row r="18" spans="2:14" x14ac:dyDescent="0.25">
      <c r="B18" s="301" t="s">
        <v>240</v>
      </c>
      <c r="C18" s="301"/>
      <c r="D18" s="301"/>
      <c r="E18" s="301"/>
      <c r="G18" s="301" t="s">
        <v>297</v>
      </c>
      <c r="H18" s="301"/>
      <c r="I18" s="301"/>
      <c r="J18" s="301"/>
      <c r="K18" s="301"/>
      <c r="L18" s="301"/>
      <c r="M18" s="301"/>
      <c r="N18" s="301"/>
    </row>
    <row r="19" spans="2:14" x14ac:dyDescent="0.25">
      <c r="G19" s="171">
        <f>E24</f>
        <v>90120.946556344366</v>
      </c>
      <c r="H19" s="175">
        <v>0.12</v>
      </c>
      <c r="I19" s="175">
        <v>0.13</v>
      </c>
      <c r="J19" s="175">
        <v>0.14000000000000001</v>
      </c>
      <c r="K19" s="176">
        <v>0.14499999999999999</v>
      </c>
      <c r="L19" s="175">
        <v>0.15</v>
      </c>
      <c r="M19" s="175">
        <v>0.16</v>
      </c>
      <c r="N19" s="175">
        <v>0.17</v>
      </c>
    </row>
    <row r="20" spans="2:14" x14ac:dyDescent="0.25">
      <c r="B20" t="s">
        <v>241</v>
      </c>
      <c r="E20" s="53">
        <f>O12*(1+D14)</f>
        <v>6068.8045017007134</v>
      </c>
      <c r="G20" s="175">
        <v>0.03</v>
      </c>
      <c r="H20" s="173">
        <f t="dataTable" ref="H20:N24" dt2D="1" dtr="1" r1="E21" r2="E22"/>
        <v>67431.161130007924</v>
      </c>
      <c r="I20" s="173">
        <v>60688.045017007134</v>
      </c>
      <c r="J20" s="173">
        <v>55170.950015461021</v>
      </c>
      <c r="K20" s="173">
        <v>52772.21305826708</v>
      </c>
      <c r="L20" s="173">
        <v>50573.370847505947</v>
      </c>
      <c r="M20" s="173">
        <v>46683.111551543945</v>
      </c>
      <c r="N20" s="173">
        <v>43348.603583576521</v>
      </c>
    </row>
    <row r="21" spans="2:14" x14ac:dyDescent="0.25">
      <c r="B21" t="s">
        <v>239</v>
      </c>
      <c r="E21" s="4">
        <f>D16</f>
        <v>0.12634066533473931</v>
      </c>
      <c r="G21" s="175">
        <v>0.04</v>
      </c>
      <c r="H21" s="173">
        <v>75860.056271258931</v>
      </c>
      <c r="I21" s="173">
        <v>67431.161130007924</v>
      </c>
      <c r="J21" s="173">
        <v>60688.045017007134</v>
      </c>
      <c r="K21" s="173">
        <v>57798.138111435379</v>
      </c>
      <c r="L21" s="173">
        <v>55170.950015461036</v>
      </c>
      <c r="M21" s="173">
        <v>50573.370847505947</v>
      </c>
      <c r="N21" s="173">
        <v>46683.111551543945</v>
      </c>
    </row>
    <row r="22" spans="2:14" x14ac:dyDescent="0.25">
      <c r="B22" s="306" t="s">
        <v>242</v>
      </c>
      <c r="C22" s="306"/>
      <c r="D22" s="306"/>
      <c r="E22" s="4">
        <f>D15</f>
        <v>5.8999999999999997E-2</v>
      </c>
      <c r="G22" s="176">
        <v>5.8999999999999997E-2</v>
      </c>
      <c r="H22" s="173">
        <v>99488.598388536295</v>
      </c>
      <c r="I22" s="173">
        <v>85476.11974226356</v>
      </c>
      <c r="J22" s="173">
        <v>74923.512366675466</v>
      </c>
      <c r="K22" s="174">
        <v>70567.494205822251</v>
      </c>
      <c r="L22" s="173">
        <v>66690.159359348501</v>
      </c>
      <c r="M22" s="173">
        <v>60087.173284165474</v>
      </c>
      <c r="N22" s="173">
        <v>54673.914429736149</v>
      </c>
    </row>
    <row r="23" spans="2:14" ht="15.75" thickBot="1" x14ac:dyDescent="0.3">
      <c r="G23" s="175">
        <v>0.06</v>
      </c>
      <c r="H23" s="173">
        <v>101146.74169501189</v>
      </c>
      <c r="I23" s="173">
        <v>86697.207167153043</v>
      </c>
      <c r="J23" s="173">
        <v>75860.056271258902</v>
      </c>
      <c r="K23" s="173">
        <v>71397.7000200084</v>
      </c>
      <c r="L23" s="173">
        <v>67431.161130007924</v>
      </c>
      <c r="M23" s="173">
        <v>60688.045017007134</v>
      </c>
      <c r="N23" s="173">
        <v>55170.950015461021</v>
      </c>
    </row>
    <row r="24" spans="2:14" ht="15.75" thickBot="1" x14ac:dyDescent="0.3">
      <c r="B24" s="299" t="s">
        <v>243</v>
      </c>
      <c r="C24" s="299"/>
      <c r="D24" s="127"/>
      <c r="E24" s="139">
        <f>E20/(E21-E22)</f>
        <v>90120.946556344366</v>
      </c>
      <c r="G24" s="175">
        <v>7.0000000000000007E-2</v>
      </c>
      <c r="H24" s="173">
        <v>121376.0900340143</v>
      </c>
      <c r="I24" s="173">
        <v>101146.74169501189</v>
      </c>
      <c r="J24" s="173">
        <v>86697.207167153043</v>
      </c>
      <c r="K24" s="173">
        <v>80917.393356009532</v>
      </c>
      <c r="L24" s="173">
        <v>75860.056271258931</v>
      </c>
      <c r="M24" s="173">
        <v>67431.161130007924</v>
      </c>
      <c r="N24" s="173">
        <v>60688.045017007134</v>
      </c>
    </row>
    <row r="25" spans="2:14" ht="15.75" thickTop="1" x14ac:dyDescent="0.25"/>
    <row r="26" spans="2:14" x14ac:dyDescent="0.25">
      <c r="B26" s="301" t="s">
        <v>248</v>
      </c>
      <c r="C26" s="301"/>
      <c r="D26" s="301"/>
      <c r="E26" s="301"/>
    </row>
    <row r="28" spans="2:14" x14ac:dyDescent="0.25">
      <c r="B28" t="s">
        <v>237</v>
      </c>
      <c r="E28" s="53">
        <f>SUM(K12:O12)</f>
        <v>36618.847485518017</v>
      </c>
    </row>
    <row r="29" spans="2:14" x14ac:dyDescent="0.25">
      <c r="B29" t="s">
        <v>244</v>
      </c>
      <c r="E29" s="53">
        <f>E24*O11</f>
        <v>52760.852712301195</v>
      </c>
      <c r="G29" s="140"/>
      <c r="H29" s="75"/>
      <c r="I29" s="75"/>
      <c r="J29" s="75"/>
      <c r="K29" s="75"/>
      <c r="L29" s="75"/>
      <c r="M29" s="75"/>
      <c r="N29" s="75"/>
    </row>
    <row r="30" spans="2:14" x14ac:dyDescent="0.25">
      <c r="B30" s="303" t="s">
        <v>245</v>
      </c>
      <c r="C30" s="303"/>
      <c r="D30" s="303"/>
      <c r="E30" s="141">
        <f>SUM(E28:E29)</f>
        <v>89379.700197819213</v>
      </c>
      <c r="G30" s="75"/>
    </row>
    <row r="31" spans="2:14" x14ac:dyDescent="0.25">
      <c r="B31" s="47"/>
      <c r="C31" s="47"/>
      <c r="D31" s="47"/>
      <c r="E31" s="53"/>
      <c r="G31" s="75"/>
    </row>
    <row r="32" spans="2:14" x14ac:dyDescent="0.25">
      <c r="B32" s="47" t="s">
        <v>246</v>
      </c>
      <c r="C32" s="47"/>
      <c r="D32" s="47"/>
      <c r="E32" s="53">
        <f>'Data Sheet'!K69</f>
        <v>4678</v>
      </c>
      <c r="G32" s="75"/>
    </row>
    <row r="33" spans="2:10" x14ac:dyDescent="0.25">
      <c r="B33" s="47" t="s">
        <v>247</v>
      </c>
      <c r="C33" s="47"/>
      <c r="D33" s="47"/>
      <c r="E33" s="53">
        <f>SUM('RAW FS'!N7:N8)</f>
        <v>98</v>
      </c>
      <c r="G33" s="75"/>
    </row>
    <row r="34" spans="2:10" x14ac:dyDescent="0.25">
      <c r="B34" s="117" t="s">
        <v>249</v>
      </c>
      <c r="C34" s="117"/>
      <c r="D34" s="117"/>
      <c r="E34" s="141">
        <f>E30+E32-E33</f>
        <v>93959.700197819213</v>
      </c>
      <c r="G34" s="75"/>
    </row>
    <row r="35" spans="2:10" x14ac:dyDescent="0.25">
      <c r="B35" s="47" t="s">
        <v>250</v>
      </c>
      <c r="C35" s="47"/>
      <c r="D35" s="47"/>
      <c r="E35" s="140">
        <f>'Data Sheet'!B6</f>
        <v>234.95911847645539</v>
      </c>
    </row>
    <row r="36" spans="2:10" ht="15.75" thickBot="1" x14ac:dyDescent="0.3">
      <c r="E36" s="53"/>
    </row>
    <row r="37" spans="2:10" ht="15.75" thickBot="1" x14ac:dyDescent="0.3">
      <c r="B37" s="299" t="s">
        <v>251</v>
      </c>
      <c r="C37" s="299"/>
      <c r="D37" s="299"/>
      <c r="E37" s="139">
        <f>E34/E35</f>
        <v>399.89807932155082</v>
      </c>
    </row>
    <row r="38" spans="2:10" ht="15.75" thickTop="1" x14ac:dyDescent="0.25"/>
    <row r="39" spans="2:10" x14ac:dyDescent="0.25">
      <c r="B39" s="2" t="s">
        <v>252</v>
      </c>
      <c r="E39" s="141">
        <f>'Relative Valuation&gt;'!D7</f>
        <v>2591.4499999999998</v>
      </c>
      <c r="G39" s="2" t="s">
        <v>360</v>
      </c>
      <c r="H39" s="141">
        <v>214.1</v>
      </c>
    </row>
    <row r="40" spans="2:10" s="2" customFormat="1" x14ac:dyDescent="0.25">
      <c r="B40" s="304" t="s">
        <v>253</v>
      </c>
      <c r="C40" s="142"/>
      <c r="D40" s="142" t="s">
        <v>361</v>
      </c>
      <c r="E40" s="270">
        <f>(E39/E37-1)</f>
        <v>5.4802761853633752</v>
      </c>
      <c r="G40" s="268" t="s">
        <v>370</v>
      </c>
      <c r="H40" s="269"/>
      <c r="I40" s="269"/>
      <c r="J40" s="267"/>
    </row>
    <row r="41" spans="2:10" x14ac:dyDescent="0.25">
      <c r="B41" s="304"/>
      <c r="C41" s="142"/>
      <c r="D41" s="142" t="s">
        <v>362</v>
      </c>
      <c r="E41" s="271">
        <f>(E39/E37-1)+1</f>
        <v>6.4802761853633752</v>
      </c>
    </row>
    <row r="42" spans="2:10" x14ac:dyDescent="0.25">
      <c r="E42" s="140"/>
    </row>
    <row r="43" spans="2:10" x14ac:dyDescent="0.25">
      <c r="B43" s="298" t="s">
        <v>372</v>
      </c>
      <c r="C43" s="298"/>
      <c r="D43" s="298"/>
      <c r="E43" s="298"/>
    </row>
  </sheetData>
  <mergeCells count="17">
    <mergeCell ref="P7:S7"/>
    <mergeCell ref="B30:D30"/>
    <mergeCell ref="E15:G15"/>
    <mergeCell ref="E16:H16"/>
    <mergeCell ref="B18:E18"/>
    <mergeCell ref="B24:C24"/>
    <mergeCell ref="B22:D22"/>
    <mergeCell ref="B26:E26"/>
    <mergeCell ref="B43:E43"/>
    <mergeCell ref="B37:D37"/>
    <mergeCell ref="J17:M17"/>
    <mergeCell ref="G18:N18"/>
    <mergeCell ref="B2:I2"/>
    <mergeCell ref="B8:D8"/>
    <mergeCell ref="B7:D7"/>
    <mergeCell ref="B6:C6"/>
    <mergeCell ref="B40:B41"/>
  </mergeCells>
  <pageMargins left="0.7" right="0.7" top="0.75" bottom="0.75" header="0.3" footer="0.3"/>
  <ignoredErrors>
    <ignoredError sqref="J7:N7 K5:O5" formula="1"/>
    <ignoredError sqref="E3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2F93-9F36-4A68-986F-679EBA9EEBF0}">
  <sheetPr>
    <tabColor rgb="FFFF0000"/>
  </sheetPr>
  <dimension ref="A2:R61"/>
  <sheetViews>
    <sheetView showGridLines="0" zoomScale="80" zoomScaleNormal="80" workbookViewId="0">
      <pane ySplit="2" topLeftCell="A3" activePane="bottomLeft" state="frozen"/>
      <selection pane="bottomLeft" activeCell="H44" sqref="H44"/>
    </sheetView>
  </sheetViews>
  <sheetFormatPr defaultRowHeight="15" x14ac:dyDescent="0.25"/>
  <cols>
    <col min="1" max="1" width="1.85546875" customWidth="1"/>
    <col min="2" max="2" width="26.5703125" bestFit="1" customWidth="1"/>
    <col min="8" max="8" width="13.42578125" bestFit="1" customWidth="1"/>
    <col min="9" max="9" width="19.5703125" bestFit="1" customWidth="1"/>
    <col min="10" max="12" width="18.42578125" bestFit="1" customWidth="1"/>
  </cols>
  <sheetData>
    <row r="2" spans="2:12" x14ac:dyDescent="0.25">
      <c r="B2" s="301" t="str">
        <f>"Calculation of Return on invested capital - "&amp;'Data Sheet'!B1</f>
        <v>Calculation of Return on invested capital - HINDUSTAN UNILEVER LTD</v>
      </c>
      <c r="C2" s="301"/>
      <c r="D2" s="301"/>
      <c r="E2" s="301"/>
      <c r="F2" s="301"/>
      <c r="G2" s="301"/>
      <c r="H2" s="84">
        <f>'RAW FS'!J2</f>
        <v>43525</v>
      </c>
      <c r="I2" s="84">
        <f>'RAW FS'!K2</f>
        <v>43891</v>
      </c>
      <c r="J2" s="84">
        <f>'RAW FS'!L2</f>
        <v>44256</v>
      </c>
      <c r="K2" s="84">
        <f>'RAW FS'!M2</f>
        <v>44621</v>
      </c>
      <c r="L2" s="84">
        <f>'RAW FS'!N2</f>
        <v>44986</v>
      </c>
    </row>
    <row r="4" spans="2:12" x14ac:dyDescent="0.25">
      <c r="B4" s="2" t="s">
        <v>215</v>
      </c>
    </row>
    <row r="5" spans="2:12" x14ac:dyDescent="0.25">
      <c r="B5" t="s">
        <v>210</v>
      </c>
      <c r="H5" s="97">
        <f>INDEX('RAW FS'!J:J,MATCH('Intrinsic Growth&gt;'!$B5,'RAW FS'!$B:$B,0))</f>
        <v>2574</v>
      </c>
      <c r="I5" s="97">
        <f>INDEX('RAW FS'!K:K,MATCH('Intrinsic Growth&gt;'!$B5,'RAW FS'!$B:$B,0))</f>
        <v>2767</v>
      </c>
      <c r="J5" s="97">
        <f>INDEX('RAW FS'!L:L,MATCH('Intrinsic Growth&gt;'!$B5,'RAW FS'!$B:$B,0))</f>
        <v>3579</v>
      </c>
      <c r="K5" s="97">
        <f>INDEX('RAW FS'!M:M,MATCH('Intrinsic Growth&gt;'!$B5,'RAW FS'!$B:$B,0))</f>
        <v>4096</v>
      </c>
      <c r="L5" s="97">
        <f>INDEX('RAW FS'!N:N,MATCH('Intrinsic Growth&gt;'!$B5,'RAW FS'!$B:$B,0))</f>
        <v>4251</v>
      </c>
    </row>
    <row r="6" spans="2:12" x14ac:dyDescent="0.25">
      <c r="B6" s="113" t="s">
        <v>211</v>
      </c>
      <c r="C6" s="113"/>
      <c r="D6" s="113"/>
      <c r="E6" s="113"/>
      <c r="F6" s="113"/>
      <c r="G6" s="113"/>
      <c r="H6" s="92">
        <f>INDEX('RAW FS'!J:J,MATCH('Intrinsic Growth&gt;'!$B6,'RAW FS'!$B:$B,0))</f>
        <v>1816</v>
      </c>
      <c r="I6" s="92">
        <f>INDEX('RAW FS'!K:K,MATCH('Intrinsic Growth&gt;'!$B6,'RAW FS'!$B:$B,0))</f>
        <v>1149</v>
      </c>
      <c r="J6" s="92">
        <f>INDEX('RAW FS'!L:L,MATCH('Intrinsic Growth&gt;'!$B6,'RAW FS'!$B:$B,0))</f>
        <v>1758</v>
      </c>
      <c r="K6" s="92">
        <f>INDEX('RAW FS'!M:M,MATCH('Intrinsic Growth&gt;'!$B6,'RAW FS'!$B:$B,0))</f>
        <v>2236</v>
      </c>
      <c r="L6" s="92">
        <f>INDEX('RAW FS'!N:N,MATCH('Intrinsic Growth&gt;'!$B6,'RAW FS'!$B:$B,0))</f>
        <v>3079</v>
      </c>
    </row>
    <row r="7" spans="2:12" x14ac:dyDescent="0.25">
      <c r="B7" s="113" t="s">
        <v>213</v>
      </c>
      <c r="C7" s="113"/>
      <c r="D7" s="113"/>
      <c r="E7" s="113"/>
      <c r="F7" s="113"/>
      <c r="G7" s="113"/>
      <c r="H7" s="92">
        <f>INDEX('RAW FS'!J:J,MATCH('Intrinsic Growth&gt;'!$B7,'RAW FS'!$B:$B,0))</f>
        <v>26</v>
      </c>
      <c r="I7" s="92">
        <f>INDEX('RAW FS'!K:K,MATCH('Intrinsic Growth&gt;'!$B7,'RAW FS'!$B:$B,0))</f>
        <v>19</v>
      </c>
      <c r="J7" s="92">
        <f>INDEX('RAW FS'!L:L,MATCH('Intrinsic Growth&gt;'!$B7,'RAW FS'!$B:$B,0))</f>
        <v>112</v>
      </c>
      <c r="K7" s="92">
        <f>INDEX('RAW FS'!M:M,MATCH('Intrinsic Growth&gt;'!$B7,'RAW FS'!$B:$B,0))</f>
        <v>170</v>
      </c>
      <c r="L7" s="92">
        <f>INDEX('RAW FS'!N:N,MATCH('Intrinsic Growth&gt;'!$B7,'RAW FS'!$B:$B,0))</f>
        <v>188</v>
      </c>
    </row>
    <row r="8" spans="2:12" x14ac:dyDescent="0.25">
      <c r="B8" t="s">
        <v>214</v>
      </c>
      <c r="H8" s="95">
        <f>INDEX('RAW FS'!J:J,MATCH('Intrinsic Growth&gt;'!$B8,'RAW FS'!$B:$B,0))</f>
        <v>2619</v>
      </c>
      <c r="I8" s="95">
        <f>INDEX('RAW FS'!K:K,MATCH('Intrinsic Growth&gt;'!$B8,'RAW FS'!$B:$B,0))</f>
        <v>3774</v>
      </c>
      <c r="J8" s="95">
        <f>INDEX('RAW FS'!L:L,MATCH('Intrinsic Growth&gt;'!$B8,'RAW FS'!$B:$B,0))</f>
        <v>3923</v>
      </c>
      <c r="K8" s="95">
        <f>INDEX('RAW FS'!M:M,MATCH('Intrinsic Growth&gt;'!$B8,'RAW FS'!$B:$B,0))</f>
        <v>3851</v>
      </c>
      <c r="L8" s="95">
        <f>INDEX('RAW FS'!N:N,MATCH('Intrinsic Growth&gt;'!$B8,'RAW FS'!$B:$B,0))</f>
        <v>4189</v>
      </c>
    </row>
    <row r="9" spans="2:12" x14ac:dyDescent="0.25">
      <c r="B9" s="96" t="s">
        <v>87</v>
      </c>
      <c r="C9" s="96"/>
      <c r="D9" s="96"/>
      <c r="E9" s="96"/>
      <c r="F9" s="96"/>
      <c r="G9" s="96"/>
      <c r="H9" s="94">
        <f>SUM(H5:H8)</f>
        <v>7035</v>
      </c>
      <c r="I9" s="94">
        <f>SUM(I5:I8)</f>
        <v>7709</v>
      </c>
      <c r="J9" s="94">
        <f>SUM(J5:J8)</f>
        <v>9372</v>
      </c>
      <c r="K9" s="94">
        <f>SUM(K5:K8)</f>
        <v>10353</v>
      </c>
      <c r="L9" s="94">
        <f>SUM(L5:L8)</f>
        <v>11707</v>
      </c>
    </row>
    <row r="11" spans="2:12" x14ac:dyDescent="0.25">
      <c r="B11" s="2" t="s">
        <v>216</v>
      </c>
    </row>
    <row r="12" spans="2:12" x14ac:dyDescent="0.25">
      <c r="B12" t="s">
        <v>193</v>
      </c>
      <c r="H12" s="97">
        <f>INDEX('RAW FS'!J:J,MATCH('Intrinsic Growth&gt;'!$B12,'RAW FS'!$B:$B,0))</f>
        <v>7206</v>
      </c>
      <c r="I12" s="97">
        <f>INDEX('RAW FS'!K:K,MATCH('Intrinsic Growth&gt;'!$B12,'RAW FS'!$B:$B,0))</f>
        <v>7535</v>
      </c>
      <c r="J12" s="97">
        <f>INDEX('RAW FS'!L:L,MATCH('Intrinsic Growth&gt;'!$B12,'RAW FS'!$B:$B,0))</f>
        <v>8802</v>
      </c>
      <c r="K12" s="97">
        <f>INDEX('RAW FS'!M:M,MATCH('Intrinsic Growth&gt;'!$B12,'RAW FS'!$B:$B,0))</f>
        <v>9068</v>
      </c>
      <c r="L12" s="97">
        <f>INDEX('RAW FS'!N:N,MATCH('Intrinsic Growth&gt;'!$B12,'RAW FS'!$B:$B,0))</f>
        <v>9574</v>
      </c>
    </row>
    <row r="13" spans="2:12" x14ac:dyDescent="0.25">
      <c r="B13" s="113" t="s">
        <v>194</v>
      </c>
      <c r="C13" s="113"/>
      <c r="D13" s="113"/>
      <c r="E13" s="113"/>
      <c r="F13" s="113"/>
      <c r="G13" s="113"/>
      <c r="H13" s="92">
        <f>INDEX('RAW FS'!J:J,MATCH('Intrinsic Growth&gt;'!$B13,'RAW FS'!$B:$B,0))</f>
        <v>43</v>
      </c>
      <c r="I13" s="92">
        <f>INDEX('RAW FS'!K:K,MATCH('Intrinsic Growth&gt;'!$B13,'RAW FS'!$B:$B,0))</f>
        <v>158</v>
      </c>
      <c r="J13" s="92">
        <f>INDEX('RAW FS'!L:L,MATCH('Intrinsic Growth&gt;'!$B13,'RAW FS'!$B:$B,0))</f>
        <v>96</v>
      </c>
      <c r="K13" s="92">
        <f>INDEX('RAW FS'!M:M,MATCH('Intrinsic Growth&gt;'!$B13,'RAW FS'!$B:$B,0))</f>
        <v>119</v>
      </c>
      <c r="L13" s="92">
        <f>INDEX('RAW FS'!N:N,MATCH('Intrinsic Growth&gt;'!$B13,'RAW FS'!$B:$B,0))</f>
        <v>98</v>
      </c>
    </row>
    <row r="14" spans="2:12" x14ac:dyDescent="0.25">
      <c r="B14" t="s">
        <v>195</v>
      </c>
      <c r="H14" s="95">
        <f>INDEX('RAW FS'!J:J,MATCH('Intrinsic Growth&gt;'!$B14,'RAW FS'!$B:$B,0))</f>
        <v>3396</v>
      </c>
      <c r="I14" s="95">
        <f>INDEX('RAW FS'!K:K,MATCH('Intrinsic Growth&gt;'!$B14,'RAW FS'!$B:$B,0))</f>
        <v>4214</v>
      </c>
      <c r="J14" s="95">
        <f>INDEX('RAW FS'!L:L,MATCH('Intrinsic Growth&gt;'!$B14,'RAW FS'!$B:$B,0))</f>
        <v>11139</v>
      </c>
      <c r="K14" s="95">
        <f>INDEX('RAW FS'!M:M,MATCH('Intrinsic Growth&gt;'!$B14,'RAW FS'!$B:$B,0))</f>
        <v>11189</v>
      </c>
      <c r="L14" s="95">
        <f>INDEX('RAW FS'!N:N,MATCH('Intrinsic Growth&gt;'!$B14,'RAW FS'!$B:$B,0))</f>
        <v>11664</v>
      </c>
    </row>
    <row r="15" spans="2:12" x14ac:dyDescent="0.25">
      <c r="B15" s="96" t="s">
        <v>217</v>
      </c>
      <c r="C15" s="96"/>
      <c r="D15" s="96"/>
      <c r="E15" s="96"/>
      <c r="F15" s="96"/>
      <c r="G15" s="96"/>
      <c r="H15" s="94">
        <f>SUM(H12:H14)</f>
        <v>10645</v>
      </c>
      <c r="I15" s="94">
        <f>SUM(I12:I14)</f>
        <v>11907</v>
      </c>
      <c r="J15" s="94">
        <f>SUM(J12:J14)</f>
        <v>20037</v>
      </c>
      <c r="K15" s="94">
        <f>SUM(K12:K14)</f>
        <v>20376</v>
      </c>
      <c r="L15" s="94">
        <f>SUM(L12:L14)</f>
        <v>21336</v>
      </c>
    </row>
    <row r="17" spans="1:12" x14ac:dyDescent="0.25">
      <c r="A17" t="s">
        <v>59</v>
      </c>
      <c r="B17" s="104" t="s">
        <v>218</v>
      </c>
      <c r="C17" s="104"/>
      <c r="D17" s="104"/>
      <c r="E17" s="104"/>
      <c r="F17" s="104"/>
      <c r="G17" s="104"/>
      <c r="H17" s="93">
        <f>H9-H15</f>
        <v>-3610</v>
      </c>
      <c r="I17" s="93">
        <f t="shared" ref="I17:L17" si="0">I9-I15</f>
        <v>-4198</v>
      </c>
      <c r="J17" s="93">
        <f t="shared" si="0"/>
        <v>-10665</v>
      </c>
      <c r="K17" s="93">
        <f t="shared" si="0"/>
        <v>-10023</v>
      </c>
      <c r="L17" s="93">
        <f t="shared" si="0"/>
        <v>-9629</v>
      </c>
    </row>
    <row r="19" spans="1:12" x14ac:dyDescent="0.25">
      <c r="B19" s="2" t="s">
        <v>219</v>
      </c>
    </row>
    <row r="20" spans="1:12" x14ac:dyDescent="0.25">
      <c r="B20" t="s">
        <v>197</v>
      </c>
      <c r="H20" s="97">
        <f>INDEX('RAW FS'!J:J,MATCH('Intrinsic Growth&gt;'!$B20,'RAW FS'!$B:$B,0))</f>
        <v>86</v>
      </c>
      <c r="I20" s="97">
        <f>INDEX('RAW FS'!K:K,MATCH('Intrinsic Growth&gt;'!$B20,'RAW FS'!$B:$B,0))</f>
        <v>59</v>
      </c>
      <c r="J20" s="97">
        <f>INDEX('RAW FS'!L:L,MATCH('Intrinsic Growth&gt;'!$B20,'RAW FS'!$B:$B,0))</f>
        <v>477</v>
      </c>
      <c r="K20" s="97">
        <f>INDEX('RAW FS'!M:M,MATCH('Intrinsic Growth&gt;'!$B20,'RAW FS'!$B:$B,0))</f>
        <v>477</v>
      </c>
      <c r="L20" s="97">
        <f>INDEX('RAW FS'!N:N,MATCH('Intrinsic Growth&gt;'!$B20,'RAW FS'!$B:$B,0))</f>
        <v>476</v>
      </c>
    </row>
    <row r="21" spans="1:12" x14ac:dyDescent="0.25">
      <c r="B21" s="113" t="s">
        <v>198</v>
      </c>
      <c r="C21" s="113"/>
      <c r="D21" s="113"/>
      <c r="E21" s="113"/>
      <c r="F21" s="113"/>
      <c r="G21" s="113"/>
      <c r="H21" s="97">
        <f>INDEX('RAW FS'!J:J,MATCH('Intrinsic Growth&gt;'!$B21,'RAW FS'!$B:$B,0))</f>
        <v>1527</v>
      </c>
      <c r="I21" s="97">
        <f>INDEX('RAW FS'!K:K,MATCH('Intrinsic Growth&gt;'!$B21,'RAW FS'!$B:$B,0))</f>
        <v>2044</v>
      </c>
      <c r="J21" s="97">
        <f>INDEX('RAW FS'!L:L,MATCH('Intrinsic Growth&gt;'!$B21,'RAW FS'!$B:$B,0))</f>
        <v>2602</v>
      </c>
      <c r="K21" s="97">
        <f>INDEX('RAW FS'!M:M,MATCH('Intrinsic Growth&gt;'!$B21,'RAW FS'!$B:$B,0))</f>
        <v>2788</v>
      </c>
      <c r="L21" s="97">
        <f>INDEX('RAW FS'!N:N,MATCH('Intrinsic Growth&gt;'!$B21,'RAW FS'!$B:$B,0))</f>
        <v>3234</v>
      </c>
    </row>
    <row r="22" spans="1:12" x14ac:dyDescent="0.25">
      <c r="B22" s="113" t="s">
        <v>199</v>
      </c>
      <c r="C22" s="113"/>
      <c r="D22" s="113"/>
      <c r="E22" s="113"/>
      <c r="F22" s="113"/>
      <c r="G22" s="113"/>
      <c r="H22" s="97">
        <f>INDEX('RAW FS'!J:J,MATCH('Intrinsic Growth&gt;'!$B22,'RAW FS'!$B:$B,0))</f>
        <v>4092</v>
      </c>
      <c r="I22" s="97">
        <f>INDEX('RAW FS'!K:K,MATCH('Intrinsic Growth&gt;'!$B22,'RAW FS'!$B:$B,0))</f>
        <v>5001</v>
      </c>
      <c r="J22" s="97">
        <f>INDEX('RAW FS'!L:L,MATCH('Intrinsic Growth&gt;'!$B22,'RAW FS'!$B:$B,0))</f>
        <v>6097</v>
      </c>
      <c r="K22" s="97">
        <f>INDEX('RAW FS'!M:M,MATCH('Intrinsic Growth&gt;'!$B22,'RAW FS'!$B:$B,0))</f>
        <v>6566</v>
      </c>
      <c r="L22" s="97">
        <f>INDEX('RAW FS'!N:N,MATCH('Intrinsic Growth&gt;'!$B22,'RAW FS'!$B:$B,0))</f>
        <v>7645</v>
      </c>
    </row>
    <row r="23" spans="1:12" x14ac:dyDescent="0.25">
      <c r="B23" s="113" t="s">
        <v>200</v>
      </c>
      <c r="C23" s="113"/>
      <c r="D23" s="113"/>
      <c r="E23" s="113"/>
      <c r="F23" s="113"/>
      <c r="G23" s="113"/>
      <c r="H23" s="97">
        <f>INDEX('RAW FS'!J:J,MATCH('Intrinsic Growth&gt;'!$B23,'RAW FS'!$B:$B,0))</f>
        <v>95</v>
      </c>
      <c r="I23" s="97">
        <f>INDEX('RAW FS'!K:K,MATCH('Intrinsic Growth&gt;'!$B23,'RAW FS'!$B:$B,0))</f>
        <v>139</v>
      </c>
      <c r="J23" s="97">
        <f>INDEX('RAW FS'!L:L,MATCH('Intrinsic Growth&gt;'!$B23,'RAW FS'!$B:$B,0))</f>
        <v>175</v>
      </c>
      <c r="K23" s="97">
        <f>INDEX('RAW FS'!M:M,MATCH('Intrinsic Growth&gt;'!$B23,'RAW FS'!$B:$B,0))</f>
        <v>181</v>
      </c>
      <c r="L23" s="97">
        <f>INDEX('RAW FS'!N:N,MATCH('Intrinsic Growth&gt;'!$B23,'RAW FS'!$B:$B,0))</f>
        <v>185</v>
      </c>
    </row>
    <row r="24" spans="1:12" x14ac:dyDescent="0.25">
      <c r="B24" s="113" t="s">
        <v>201</v>
      </c>
      <c r="C24" s="113"/>
      <c r="D24" s="113"/>
      <c r="E24" s="113"/>
      <c r="F24" s="113"/>
      <c r="G24" s="113"/>
      <c r="H24" s="266" t="s">
        <v>61</v>
      </c>
      <c r="I24" s="266" t="s">
        <v>61</v>
      </c>
      <c r="J24" s="266" t="s">
        <v>61</v>
      </c>
      <c r="K24" s="266" t="s">
        <v>61</v>
      </c>
      <c r="L24" s="266" t="s">
        <v>61</v>
      </c>
    </row>
    <row r="25" spans="1:12" x14ac:dyDescent="0.25">
      <c r="B25" s="113" t="s">
        <v>202</v>
      </c>
      <c r="C25" s="113"/>
      <c r="D25" s="113"/>
      <c r="E25" s="113"/>
      <c r="F25" s="113"/>
      <c r="G25" s="113"/>
      <c r="H25" s="97">
        <f>INDEX('RAW FS'!J:J,MATCH('Intrinsic Growth&gt;'!$B25,'RAW FS'!$B:$B,0))</f>
        <v>88</v>
      </c>
      <c r="I25" s="97">
        <f>INDEX('RAW FS'!K:K,MATCH('Intrinsic Growth&gt;'!$B25,'RAW FS'!$B:$B,0))</f>
        <v>154</v>
      </c>
      <c r="J25" s="97">
        <f>INDEX('RAW FS'!L:L,MATCH('Intrinsic Growth&gt;'!$B25,'RAW FS'!$B:$B,0))</f>
        <v>156</v>
      </c>
      <c r="K25" s="97">
        <f>INDEX('RAW FS'!M:M,MATCH('Intrinsic Growth&gt;'!$B25,'RAW FS'!$B:$B,0))</f>
        <v>152</v>
      </c>
      <c r="L25" s="97">
        <f>INDEX('RAW FS'!N:N,MATCH('Intrinsic Growth&gt;'!$B25,'RAW FS'!$B:$B,0))</f>
        <v>161</v>
      </c>
    </row>
    <row r="26" spans="1:12" x14ac:dyDescent="0.25">
      <c r="B26" s="113" t="s">
        <v>203</v>
      </c>
      <c r="C26" s="113"/>
      <c r="D26" s="113"/>
      <c r="E26" s="113"/>
      <c r="F26" s="113"/>
      <c r="G26" s="113"/>
      <c r="H26" s="97">
        <f>INDEX('RAW FS'!J:J,MATCH('Intrinsic Growth&gt;'!$B26,'RAW FS'!$B:$B,0))</f>
        <v>0</v>
      </c>
      <c r="I26" s="97">
        <f>INDEX('RAW FS'!K:K,MATCH('Intrinsic Growth&gt;'!$B26,'RAW FS'!$B:$B,0))</f>
        <v>0</v>
      </c>
      <c r="J26" s="97">
        <f>INDEX('RAW FS'!L:L,MATCH('Intrinsic Growth&gt;'!$B26,'RAW FS'!$B:$B,0))</f>
        <v>0</v>
      </c>
      <c r="K26" s="97">
        <f>INDEX('RAW FS'!M:M,MATCH('Intrinsic Growth&gt;'!$B26,'RAW FS'!$B:$B,0))</f>
        <v>0</v>
      </c>
      <c r="L26" s="97">
        <f>INDEX('RAW FS'!N:N,MATCH('Intrinsic Growth&gt;'!$B26,'RAW FS'!$B:$B,0))</f>
        <v>0</v>
      </c>
    </row>
    <row r="27" spans="1:12" x14ac:dyDescent="0.25">
      <c r="B27" s="113" t="s">
        <v>204</v>
      </c>
      <c r="C27" s="113"/>
      <c r="D27" s="113"/>
      <c r="E27" s="113"/>
      <c r="F27" s="113"/>
      <c r="G27" s="113"/>
      <c r="H27" s="97">
        <f>INDEX('RAW FS'!J:J,MATCH('Intrinsic Growth&gt;'!$B27,'RAW FS'!$B:$B,0))</f>
        <v>511</v>
      </c>
      <c r="I27" s="97">
        <f>INDEX('RAW FS'!K:K,MATCH('Intrinsic Growth&gt;'!$B27,'RAW FS'!$B:$B,0))</f>
        <v>511</v>
      </c>
      <c r="J27" s="97">
        <f>INDEX('RAW FS'!L:L,MATCH('Intrinsic Growth&gt;'!$B27,'RAW FS'!$B:$B,0))</f>
        <v>45262</v>
      </c>
      <c r="K27" s="97">
        <f>INDEX('RAW FS'!M:M,MATCH('Intrinsic Growth&gt;'!$B27,'RAW FS'!$B:$B,0))</f>
        <v>45262</v>
      </c>
      <c r="L27" s="97">
        <f>INDEX('RAW FS'!N:N,MATCH('Intrinsic Growth&gt;'!$B27,'RAW FS'!$B:$B,0))</f>
        <v>45692</v>
      </c>
    </row>
    <row r="28" spans="1:12" x14ac:dyDescent="0.25">
      <c r="B28" t="s">
        <v>205</v>
      </c>
      <c r="H28" s="105">
        <f>INDEX('RAW FS'!J:J,MATCH('Intrinsic Growth&gt;'!$B28,'RAW FS'!$B:$B,0))</f>
        <v>60</v>
      </c>
      <c r="I28" s="105">
        <f>INDEX('RAW FS'!K:K,MATCH('Intrinsic Growth&gt;'!$B28,'RAW FS'!$B:$B,0))</f>
        <v>71</v>
      </c>
      <c r="J28" s="105">
        <f>INDEX('RAW FS'!L:L,MATCH('Intrinsic Growth&gt;'!$B28,'RAW FS'!$B:$B,0))</f>
        <v>155</v>
      </c>
      <c r="K28" s="105">
        <f>INDEX('RAW FS'!M:M,MATCH('Intrinsic Growth&gt;'!$B28,'RAW FS'!$B:$B,0))</f>
        <v>152</v>
      </c>
      <c r="L28" s="105">
        <f>INDEX('RAW FS'!N:N,MATCH('Intrinsic Growth&gt;'!$B28,'RAW FS'!$B:$B,0))</f>
        <v>171</v>
      </c>
    </row>
    <row r="29" spans="1:12" s="2" customFormat="1" x14ac:dyDescent="0.25">
      <c r="B29" s="96" t="s">
        <v>206</v>
      </c>
      <c r="C29" s="96"/>
      <c r="D29" s="96"/>
      <c r="E29" s="96"/>
      <c r="F29" s="96"/>
      <c r="G29" s="96"/>
      <c r="H29" s="94">
        <f>SUM(H20:H28)</f>
        <v>6459</v>
      </c>
      <c r="I29" s="94">
        <f>SUM(I20:I28)</f>
        <v>7979</v>
      </c>
      <c r="J29" s="94">
        <f>SUM(J20:J28)</f>
        <v>54924</v>
      </c>
      <c r="K29" s="94">
        <f>SUM(K20:K28)</f>
        <v>55578</v>
      </c>
      <c r="L29" s="94">
        <f>SUM(L20:L28)</f>
        <v>57564</v>
      </c>
    </row>
    <row r="30" spans="1:12" x14ac:dyDescent="0.25">
      <c r="B30" t="s">
        <v>207</v>
      </c>
      <c r="H30" s="105">
        <f>-INDEX('RAW FS'!J:J,MATCH('Intrinsic Growth&gt;'!$B30,'RAW FS'!$B:$B,0))</f>
        <v>-10928</v>
      </c>
      <c r="I30" s="105">
        <f>-INDEX('RAW FS'!K:K,MATCH('Intrinsic Growth&gt;'!$B30,'RAW FS'!$B:$B,0))</f>
        <v>-14024</v>
      </c>
      <c r="J30" s="105">
        <f>-INDEX('RAW FS'!L:L,MATCH('Intrinsic Growth&gt;'!$B30,'RAW FS'!$B:$B,0))</f>
        <v>-16508</v>
      </c>
      <c r="K30" s="105">
        <f>-INDEX('RAW FS'!M:M,MATCH('Intrinsic Growth&gt;'!$B30,'RAW FS'!$B:$B,0))</f>
        <v>-18783</v>
      </c>
      <c r="L30" s="105">
        <f>-INDEX('RAW FS'!N:N,MATCH('Intrinsic Growth&gt;'!$B30,'RAW FS'!$B:$B,0))</f>
        <v>-20843</v>
      </c>
    </row>
    <row r="31" spans="1:12" x14ac:dyDescent="0.25">
      <c r="A31" t="s">
        <v>59</v>
      </c>
      <c r="B31" s="96" t="s">
        <v>220</v>
      </c>
      <c r="C31" s="96"/>
      <c r="D31" s="96"/>
      <c r="E31" s="96"/>
      <c r="F31" s="96"/>
      <c r="G31" s="96"/>
      <c r="H31" s="106">
        <f>H29+H30</f>
        <v>-4469</v>
      </c>
      <c r="I31" s="106">
        <f t="shared" ref="I31:L31" si="1">I29+I30</f>
        <v>-6045</v>
      </c>
      <c r="J31" s="106">
        <f t="shared" si="1"/>
        <v>38416</v>
      </c>
      <c r="K31" s="106">
        <f t="shared" si="1"/>
        <v>36795</v>
      </c>
      <c r="L31" s="106">
        <f t="shared" si="1"/>
        <v>36721</v>
      </c>
    </row>
    <row r="32" spans="1:12" x14ac:dyDescent="0.25">
      <c r="B32" s="2"/>
      <c r="C32" s="2"/>
      <c r="D32" s="2"/>
      <c r="E32" s="2"/>
      <c r="F32" s="2"/>
      <c r="G32" s="2"/>
      <c r="H32" s="103"/>
      <c r="I32" s="103"/>
      <c r="J32" s="103"/>
      <c r="K32" s="103"/>
      <c r="L32" s="103"/>
    </row>
    <row r="33" spans="1:18" x14ac:dyDescent="0.25">
      <c r="A33" t="s">
        <v>59</v>
      </c>
      <c r="B33" s="2" t="s">
        <v>221</v>
      </c>
      <c r="C33" s="2"/>
      <c r="D33" s="2"/>
      <c r="E33" s="2"/>
      <c r="F33" s="2"/>
      <c r="G33" s="2"/>
      <c r="H33" s="109">
        <f>H31+H17</f>
        <v>-8079</v>
      </c>
      <c r="I33" s="109">
        <f t="shared" ref="I33:L33" si="2">I31+I17</f>
        <v>-10243</v>
      </c>
      <c r="J33" s="109">
        <f t="shared" si="2"/>
        <v>27751</v>
      </c>
      <c r="K33" s="109">
        <f t="shared" si="2"/>
        <v>26772</v>
      </c>
      <c r="L33" s="109">
        <f t="shared" si="2"/>
        <v>27092</v>
      </c>
    </row>
    <row r="34" spans="1:18" x14ac:dyDescent="0.25">
      <c r="A34" t="s">
        <v>59</v>
      </c>
      <c r="B34" s="2" t="s">
        <v>222</v>
      </c>
      <c r="C34" s="2"/>
      <c r="D34" s="2"/>
      <c r="E34" s="2"/>
      <c r="F34" s="2"/>
      <c r="G34" s="2"/>
      <c r="H34" s="109">
        <f>'Historical FS&gt;'!H26+'Historical FS&gt;'!H20</f>
        <v>8315</v>
      </c>
      <c r="I34" s="109">
        <f>'Historical FS&gt;'!I26+'Historical FS&gt;'!I20</f>
        <v>8851</v>
      </c>
      <c r="J34" s="109">
        <f>'Historical FS&gt;'!J26+'Historical FS&gt;'!J20</f>
        <v>10552</v>
      </c>
      <c r="K34" s="109">
        <f>'Historical FS&gt;'!K26+'Historical FS&gt;'!K20</f>
        <v>11766</v>
      </c>
      <c r="L34" s="109">
        <f>'Historical FS&gt;'!L26+'Historical FS&gt;'!L20</f>
        <v>13011</v>
      </c>
      <c r="M34" s="103"/>
      <c r="N34" s="103"/>
      <c r="O34" s="103"/>
    </row>
    <row r="35" spans="1:18" x14ac:dyDescent="0.25">
      <c r="A35" s="2"/>
      <c r="B35" s="2"/>
      <c r="C35" s="2"/>
      <c r="D35" s="2"/>
      <c r="E35" s="2"/>
      <c r="F35" s="2"/>
      <c r="G35" s="2"/>
      <c r="H35" s="103"/>
      <c r="I35" s="103"/>
      <c r="J35" s="103"/>
      <c r="K35" s="103"/>
      <c r="L35" s="103"/>
      <c r="M35" s="103"/>
      <c r="N35" s="103"/>
      <c r="O35" s="103"/>
    </row>
    <row r="36" spans="1:18" s="2" customFormat="1" x14ac:dyDescent="0.25">
      <c r="A36" s="2" t="s">
        <v>59</v>
      </c>
      <c r="B36" s="104" t="s">
        <v>223</v>
      </c>
      <c r="C36" s="104"/>
      <c r="D36" s="104"/>
      <c r="E36" s="104"/>
      <c r="F36" s="104"/>
      <c r="G36" s="104"/>
      <c r="H36" s="78">
        <f>H34/H33</f>
        <v>-1.0292115360811982</v>
      </c>
      <c r="I36" s="78">
        <f t="shared" ref="I36:L36" si="3">I34/I33</f>
        <v>-0.86410231377526114</v>
      </c>
      <c r="J36" s="78">
        <f t="shared" si="3"/>
        <v>0.38023854996216355</v>
      </c>
      <c r="K36" s="78">
        <f t="shared" si="3"/>
        <v>0.43948901837740922</v>
      </c>
      <c r="L36" s="78">
        <f t="shared" si="3"/>
        <v>0.48025247305477631</v>
      </c>
    </row>
    <row r="37" spans="1:18" s="2" customFormat="1" x14ac:dyDescent="0.25">
      <c r="H37" s="77"/>
      <c r="I37" s="77"/>
      <c r="J37" s="77"/>
      <c r="K37" s="77"/>
      <c r="L37" s="77"/>
    </row>
    <row r="38" spans="1:18" s="2" customFormat="1" x14ac:dyDescent="0.25">
      <c r="B38" s="301" t="str">
        <f>"Calculation of Re-investment Rate - "&amp;'Data Sheet'!B1</f>
        <v>Calculation of Re-investment Rate - HINDUSTAN UNILEVER LTD</v>
      </c>
      <c r="C38" s="301"/>
      <c r="D38" s="301"/>
      <c r="E38" s="301"/>
      <c r="F38" s="301"/>
      <c r="G38" s="301"/>
      <c r="H38" s="84">
        <f>'RAW FS'!J2</f>
        <v>43525</v>
      </c>
      <c r="I38" s="84">
        <f>'RAW FS'!K2</f>
        <v>43891</v>
      </c>
      <c r="J38" s="84">
        <f>'RAW FS'!L2</f>
        <v>44256</v>
      </c>
      <c r="K38" s="84">
        <f>'RAW FS'!M2</f>
        <v>44621</v>
      </c>
      <c r="L38" s="84">
        <f>'RAW FS'!N2</f>
        <v>44986</v>
      </c>
    </row>
    <row r="39" spans="1:18" s="2" customFormat="1" x14ac:dyDescent="0.25">
      <c r="H39" s="77"/>
      <c r="I39" s="77"/>
      <c r="J39" s="77"/>
      <c r="K39" s="77"/>
      <c r="L39" s="77"/>
    </row>
    <row r="40" spans="1:18" s="2" customFormat="1" x14ac:dyDescent="0.25">
      <c r="B40" s="2" t="s">
        <v>224</v>
      </c>
      <c r="H40" s="83">
        <f>-SUM('Cash Flow Data'!J16:J17)</f>
        <v>754</v>
      </c>
      <c r="I40" s="83">
        <f>-SUM('Cash Flow Data'!K16:K17)</f>
        <v>810</v>
      </c>
      <c r="J40" s="83">
        <f>-SUM('Cash Flow Data'!L16:L17)</f>
        <v>4066</v>
      </c>
      <c r="K40" s="83">
        <f>-SUM('Cash Flow Data'!M16:M17)</f>
        <v>1053</v>
      </c>
      <c r="L40" s="83">
        <f>-SUM('Cash Flow Data'!N16:N17)</f>
        <v>1011</v>
      </c>
      <c r="M40" s="83"/>
      <c r="N40" s="307"/>
      <c r="O40" s="307"/>
      <c r="P40" s="307"/>
      <c r="Q40" s="307"/>
      <c r="R40" s="307"/>
    </row>
    <row r="41" spans="1:18" x14ac:dyDescent="0.25">
      <c r="B41" t="s">
        <v>225</v>
      </c>
      <c r="H41" s="107"/>
      <c r="I41" s="107">
        <f>I17-H17</f>
        <v>-588</v>
      </c>
      <c r="J41" s="107">
        <f t="shared" ref="J41:L41" si="4">J17-I17</f>
        <v>-6467</v>
      </c>
      <c r="K41" s="107">
        <f t="shared" si="4"/>
        <v>642</v>
      </c>
      <c r="L41" s="107">
        <f t="shared" si="4"/>
        <v>394</v>
      </c>
    </row>
    <row r="42" spans="1:18" x14ac:dyDescent="0.25">
      <c r="H42" s="108"/>
      <c r="I42" s="108"/>
      <c r="J42" s="108"/>
      <c r="K42" s="108"/>
      <c r="L42" s="108"/>
    </row>
    <row r="43" spans="1:18" x14ac:dyDescent="0.25">
      <c r="B43" t="s">
        <v>222</v>
      </c>
      <c r="H43" s="108">
        <f>H34</f>
        <v>8315</v>
      </c>
      <c r="I43" s="108">
        <f t="shared" ref="I43:L43" si="5">I34</f>
        <v>8851</v>
      </c>
      <c r="J43" s="108">
        <f t="shared" si="5"/>
        <v>10552</v>
      </c>
      <c r="K43" s="108">
        <f t="shared" si="5"/>
        <v>11766</v>
      </c>
      <c r="L43" s="108">
        <f t="shared" si="5"/>
        <v>13011</v>
      </c>
    </row>
    <row r="44" spans="1:18" x14ac:dyDescent="0.25">
      <c r="B44" t="s">
        <v>226</v>
      </c>
      <c r="H44" s="110">
        <v>0.25</v>
      </c>
      <c r="I44" s="120">
        <f>H44</f>
        <v>0.25</v>
      </c>
      <c r="J44" s="120">
        <f t="shared" ref="J44:L44" si="6">I44</f>
        <v>0.25</v>
      </c>
      <c r="K44" s="120">
        <f t="shared" si="6"/>
        <v>0.25</v>
      </c>
      <c r="L44" s="120">
        <f t="shared" si="6"/>
        <v>0.25</v>
      </c>
    </row>
    <row r="45" spans="1:18" x14ac:dyDescent="0.25">
      <c r="B45" s="96" t="str">
        <f>"EBIT*(1-"&amp;B44&amp;")"</f>
        <v>EBIT*(1-Marginal Tax Rate)</v>
      </c>
      <c r="C45" s="96"/>
      <c r="D45" s="96"/>
      <c r="E45" s="96"/>
      <c r="F45" s="96"/>
      <c r="G45" s="96"/>
      <c r="H45" s="94">
        <f>H43*(1-H44)</f>
        <v>6236.25</v>
      </c>
      <c r="I45" s="94">
        <f t="shared" ref="I45:L45" si="7">I43*(1-I44)</f>
        <v>6638.25</v>
      </c>
      <c r="J45" s="94">
        <f t="shared" si="7"/>
        <v>7914</v>
      </c>
      <c r="K45" s="94">
        <f t="shared" si="7"/>
        <v>8824.5</v>
      </c>
      <c r="L45" s="94">
        <f t="shared" si="7"/>
        <v>9758.25</v>
      </c>
    </row>
    <row r="47" spans="1:18" x14ac:dyDescent="0.25">
      <c r="B47" s="2" t="s">
        <v>227</v>
      </c>
      <c r="C47" s="2"/>
      <c r="D47" s="2"/>
      <c r="E47" s="2"/>
      <c r="F47" s="2"/>
      <c r="G47" s="2"/>
      <c r="H47" s="2"/>
      <c r="I47" s="103">
        <f>I40+I41</f>
        <v>222</v>
      </c>
      <c r="J47" s="103">
        <f t="shared" ref="J47:L47" si="8">J40+J41</f>
        <v>-2401</v>
      </c>
      <c r="K47" s="103">
        <f t="shared" si="8"/>
        <v>1695</v>
      </c>
      <c r="L47" s="103">
        <f t="shared" si="8"/>
        <v>1405</v>
      </c>
    </row>
    <row r="48" spans="1:18" x14ac:dyDescent="0.25">
      <c r="B48" t="str">
        <f>B47&amp;" Rate"</f>
        <v>Re-Investment Rate</v>
      </c>
      <c r="I48" s="75">
        <f>I47/I45</f>
        <v>3.3442548864535078E-2</v>
      </c>
      <c r="J48" s="75">
        <f t="shared" ref="J48:L48" si="9">J47/J45</f>
        <v>-0.30338640384129389</v>
      </c>
      <c r="K48" s="75">
        <f t="shared" si="9"/>
        <v>0.19207887132415435</v>
      </c>
      <c r="L48" s="75">
        <f t="shared" si="9"/>
        <v>0.14398073425050598</v>
      </c>
    </row>
    <row r="50" spans="2:12" x14ac:dyDescent="0.25">
      <c r="J50" s="2" t="s">
        <v>228</v>
      </c>
      <c r="L50" s="111">
        <f>AVERAGE(I48:L48)</f>
        <v>1.6528937649475377E-2</v>
      </c>
    </row>
    <row r="51" spans="2:12" x14ac:dyDescent="0.25">
      <c r="J51" s="2" t="s">
        <v>229</v>
      </c>
      <c r="L51" s="111">
        <f>MEDIAN(I48:L48)</f>
        <v>8.8711641557520537E-2</v>
      </c>
    </row>
    <row r="53" spans="2:12" x14ac:dyDescent="0.25">
      <c r="B53" s="301" t="str">
        <f>"Calculation of Growth Rate - "&amp;'Data Sheet'!B1</f>
        <v>Calculation of Growth Rate - HINDUSTAN UNILEVER LTD</v>
      </c>
      <c r="C53" s="301"/>
      <c r="D53" s="301"/>
      <c r="E53" s="301"/>
      <c r="F53" s="301"/>
      <c r="G53" s="301"/>
      <c r="H53" s="84">
        <f>'RAW FS'!J2</f>
        <v>43525</v>
      </c>
      <c r="I53" s="84">
        <f>'RAW FS'!K2</f>
        <v>43891</v>
      </c>
      <c r="J53" s="84">
        <f>'RAW FS'!L2</f>
        <v>44256</v>
      </c>
      <c r="K53" s="84">
        <f>'RAW FS'!M2</f>
        <v>44621</v>
      </c>
      <c r="L53" s="84">
        <f>'RAW FS'!N2</f>
        <v>44986</v>
      </c>
    </row>
    <row r="55" spans="2:12" x14ac:dyDescent="0.25">
      <c r="B55" t="str">
        <f>B48</f>
        <v>Re-Investment Rate</v>
      </c>
      <c r="I55" s="4">
        <f>I48</f>
        <v>3.3442548864535078E-2</v>
      </c>
      <c r="J55" s="4">
        <f t="shared" ref="J55:L55" si="10">J48</f>
        <v>-0.30338640384129389</v>
      </c>
      <c r="K55" s="4">
        <f t="shared" si="10"/>
        <v>0.19207887132415435</v>
      </c>
      <c r="L55" s="4">
        <f t="shared" si="10"/>
        <v>0.14398073425050598</v>
      </c>
    </row>
    <row r="56" spans="2:12" x14ac:dyDescent="0.25">
      <c r="B56" t="str">
        <f>B36</f>
        <v>ROIC(Return on invested capital)</v>
      </c>
      <c r="I56" s="4">
        <f>I36</f>
        <v>-0.86410231377526114</v>
      </c>
      <c r="J56" s="4">
        <f t="shared" ref="J56:L56" si="11">J36</f>
        <v>0.38023854996216355</v>
      </c>
      <c r="K56" s="4">
        <f t="shared" si="11"/>
        <v>0.43948901837740922</v>
      </c>
      <c r="L56" s="4">
        <f t="shared" si="11"/>
        <v>0.48025247305477631</v>
      </c>
    </row>
    <row r="58" spans="2:12" s="2" customFormat="1" x14ac:dyDescent="0.25">
      <c r="B58" s="112" t="s">
        <v>230</v>
      </c>
      <c r="C58" s="104"/>
      <c r="D58" s="104"/>
      <c r="E58" s="104"/>
      <c r="F58" s="104"/>
      <c r="G58" s="104"/>
      <c r="H58" s="104"/>
      <c r="I58" s="80">
        <f>I55*I56</f>
        <v>-2.8897783852386994E-2</v>
      </c>
      <c r="J58" s="80">
        <f t="shared" ref="J58:L58" si="12">J55*J56</f>
        <v>-0.11535920627484895</v>
      </c>
      <c r="K58" s="80">
        <f t="shared" si="12"/>
        <v>8.4416554609293301E-2</v>
      </c>
      <c r="L58" s="81">
        <f t="shared" si="12"/>
        <v>6.9147103696048026E-2</v>
      </c>
    </row>
    <row r="60" spans="2:12" x14ac:dyDescent="0.25">
      <c r="J60" s="114" t="str">
        <f>"Four Years- Average "&amp;B58</f>
        <v>Four Years- Average Intrinsic Growth</v>
      </c>
      <c r="K60" s="115"/>
      <c r="L60" s="116">
        <f>AVERAGE(I58:L58)</f>
        <v>2.3266670445263454E-3</v>
      </c>
    </row>
    <row r="61" spans="2:12" x14ac:dyDescent="0.25">
      <c r="J61" s="114" t="str">
        <f>"Four Years- Median of "&amp;B58</f>
        <v>Four Years- Median of Intrinsic Growth</v>
      </c>
      <c r="K61" s="115"/>
      <c r="L61" s="116">
        <f>MEDIAN(I58:L58)</f>
        <v>2.0124659921830514E-2</v>
      </c>
    </row>
  </sheetData>
  <mergeCells count="4">
    <mergeCell ref="B2:G2"/>
    <mergeCell ref="B38:G38"/>
    <mergeCell ref="B53:G53"/>
    <mergeCell ref="N40:R40"/>
  </mergeCells>
  <pageMargins left="0.7" right="0.7" top="0.75" bottom="0.75" header="0.3" footer="0.3"/>
  <pageSetup orientation="portrait" r:id="rId1"/>
  <ignoredErrors>
    <ignoredError sqref="H40:L40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7E91-FAA6-4528-8485-873327648201}">
  <sheetPr>
    <tabColor rgb="FFFF0000"/>
    <pageSetUpPr fitToPage="1"/>
  </sheetPr>
  <dimension ref="B1:Q29"/>
  <sheetViews>
    <sheetView showGridLines="0" zoomScaleNormal="100" workbookViewId="0">
      <selection activeCell="D7" sqref="D7"/>
    </sheetView>
  </sheetViews>
  <sheetFormatPr defaultRowHeight="15" x14ac:dyDescent="0.25"/>
  <cols>
    <col min="1" max="1" width="1.85546875" customWidth="1"/>
    <col min="2" max="2" width="16.140625" bestFit="1" customWidth="1"/>
    <col min="3" max="3" width="11.140625" customWidth="1"/>
    <col min="4" max="4" width="10.140625" customWidth="1"/>
    <col min="5" max="5" width="11.85546875" customWidth="1"/>
    <col min="6" max="6" width="12.7109375" customWidth="1"/>
    <col min="7" max="7" width="10.7109375" customWidth="1"/>
    <col min="8" max="8" width="13.42578125" customWidth="1"/>
    <col min="9" max="9" width="2.85546875" customWidth="1"/>
    <col min="10" max="10" width="11.28515625" bestFit="1" customWidth="1"/>
    <col min="11" max="11" width="10.7109375" customWidth="1"/>
    <col min="12" max="12" width="11.140625" bestFit="1" customWidth="1"/>
    <col min="13" max="13" width="2.85546875" customWidth="1"/>
    <col min="14" max="15" width="12.28515625" bestFit="1" customWidth="1"/>
    <col min="16" max="16" width="13.28515625" customWidth="1"/>
    <col min="17" max="17" width="9.140625" style="23"/>
  </cols>
  <sheetData>
    <row r="1" spans="2:17" x14ac:dyDescent="0.25">
      <c r="B1" s="170" t="s">
        <v>296</v>
      </c>
    </row>
    <row r="2" spans="2:17" ht="15.75" x14ac:dyDescent="0.25">
      <c r="B2" s="309" t="s">
        <v>254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147"/>
    </row>
    <row r="3" spans="2:17" ht="4.5" customHeight="1" x14ac:dyDescent="0.25"/>
    <row r="4" spans="2:17" x14ac:dyDescent="0.25">
      <c r="B4" s="143"/>
      <c r="C4" s="143"/>
      <c r="D4" s="308" t="s">
        <v>261</v>
      </c>
      <c r="E4" s="308"/>
      <c r="F4" s="308"/>
      <c r="G4" s="308"/>
      <c r="H4" s="308"/>
      <c r="I4" s="142"/>
      <c r="J4" s="308" t="s">
        <v>261</v>
      </c>
      <c r="K4" s="308"/>
      <c r="L4" s="308"/>
      <c r="M4" s="142"/>
      <c r="N4" s="308" t="s">
        <v>265</v>
      </c>
      <c r="O4" s="308"/>
      <c r="P4" s="308"/>
      <c r="Q4" s="146"/>
    </row>
    <row r="5" spans="2:17" s="117" customFormat="1" ht="37.5" customHeight="1" x14ac:dyDescent="0.25">
      <c r="B5" s="142" t="s">
        <v>255</v>
      </c>
      <c r="C5" s="142" t="s">
        <v>256</v>
      </c>
      <c r="D5" s="145" t="s">
        <v>252</v>
      </c>
      <c r="E5" s="145" t="s">
        <v>257</v>
      </c>
      <c r="F5" s="145" t="s">
        <v>258</v>
      </c>
      <c r="G5" s="145" t="s">
        <v>259</v>
      </c>
      <c r="H5" s="145" t="s">
        <v>260</v>
      </c>
      <c r="I5" s="145"/>
      <c r="J5" s="145" t="s">
        <v>262</v>
      </c>
      <c r="K5" s="145" t="s">
        <v>263</v>
      </c>
      <c r="L5" s="145" t="s">
        <v>264</v>
      </c>
      <c r="M5" s="145"/>
      <c r="N5" s="144" t="s">
        <v>283</v>
      </c>
      <c r="O5" s="144" t="s">
        <v>281</v>
      </c>
      <c r="P5" s="249" t="s">
        <v>282</v>
      </c>
      <c r="Q5" s="148"/>
    </row>
    <row r="6" spans="2:17" ht="4.5" customHeight="1" x14ac:dyDescent="0.25"/>
    <row r="7" spans="2:17" x14ac:dyDescent="0.25">
      <c r="B7" s="154" t="str">
        <f>'Data For Relative Valuation'!C5</f>
        <v>Hind. Unilever</v>
      </c>
      <c r="C7" s="154"/>
      <c r="D7" s="161">
        <f>'Data For Relative Valuation'!D5</f>
        <v>2591.4499999999998</v>
      </c>
      <c r="E7" s="161">
        <f>'Data For Relative Valuation'!E5</f>
        <v>234.96</v>
      </c>
      <c r="F7" s="161">
        <f>E7*D7</f>
        <v>608887.09199999995</v>
      </c>
      <c r="G7" s="161">
        <f>'Data For Relative Valuation'!G5-'Data For Relative Valuation'!H5</f>
        <v>-3459</v>
      </c>
      <c r="H7" s="161">
        <f>F7+G7</f>
        <v>605428.09199999995</v>
      </c>
      <c r="I7" s="155"/>
      <c r="J7" s="161">
        <f>'Data For Relative Valuation'!K5</f>
        <v>61452</v>
      </c>
      <c r="K7" s="161">
        <f>'Data For Relative Valuation'!M5</f>
        <v>14972</v>
      </c>
      <c r="L7" s="161">
        <f>'Data For Relative Valuation'!N5</f>
        <v>10308</v>
      </c>
      <c r="M7" s="156"/>
      <c r="N7" s="157">
        <f t="shared" ref="N7:O12" si="0">$H7/J7</f>
        <v>9.852048623315758</v>
      </c>
      <c r="O7" s="157">
        <f t="shared" si="0"/>
        <v>40.437355864279986</v>
      </c>
      <c r="P7" s="157">
        <f>F7/L7</f>
        <v>59.069372526193241</v>
      </c>
    </row>
    <row r="8" spans="2:17" x14ac:dyDescent="0.25">
      <c r="B8" s="113" t="str">
        <f>'Data For Relative Valuation'!C6</f>
        <v>Nestle India</v>
      </c>
      <c r="C8" s="113"/>
      <c r="D8" s="162">
        <f>'Data For Relative Valuation'!D6</f>
        <v>22842.3</v>
      </c>
      <c r="E8" s="162">
        <f>'Data For Relative Valuation'!E6</f>
        <v>9.64</v>
      </c>
      <c r="F8" s="162">
        <f t="shared" ref="F8:F12" si="1">E8*D8</f>
        <v>220199.772</v>
      </c>
      <c r="G8" s="162">
        <f>'Data For Relative Valuation'!G6-'Data For Relative Valuation'!H6</f>
        <v>-675.03</v>
      </c>
      <c r="H8" s="162">
        <f t="shared" ref="H8:H12" si="2">F8+G8</f>
        <v>219524.742</v>
      </c>
      <c r="I8" s="158"/>
      <c r="J8" s="162">
        <f>'Data For Relative Valuation'!K6</f>
        <v>17725.73</v>
      </c>
      <c r="K8" s="162">
        <f>'Data For Relative Valuation'!M6</f>
        <v>4005.31</v>
      </c>
      <c r="L8" s="162">
        <f>'Data For Relative Valuation'!N6</f>
        <v>2541.5</v>
      </c>
      <c r="M8" s="159"/>
      <c r="N8" s="160">
        <f t="shared" si="0"/>
        <v>12.384524755821058</v>
      </c>
      <c r="O8" s="160">
        <f t="shared" si="0"/>
        <v>54.808427312742332</v>
      </c>
      <c r="P8" s="160">
        <f t="shared" ref="P8:P12" si="3">F8/L8</f>
        <v>86.641657289002552</v>
      </c>
    </row>
    <row r="9" spans="2:17" x14ac:dyDescent="0.25">
      <c r="B9" s="113" t="str">
        <f>'Data For Relative Valuation'!C7</f>
        <v>Britannia Inds.</v>
      </c>
      <c r="C9" s="113"/>
      <c r="D9" s="162">
        <f>'Data For Relative Valuation'!D7</f>
        <v>4983.75</v>
      </c>
      <c r="E9" s="162">
        <f>'Data For Relative Valuation'!E7</f>
        <v>24.09</v>
      </c>
      <c r="F9" s="162">
        <f t="shared" si="1"/>
        <v>120058.53750000001</v>
      </c>
      <c r="G9" s="162">
        <f>'Data For Relative Valuation'!G7-'Data For Relative Valuation'!H7</f>
        <v>2799.39</v>
      </c>
      <c r="H9" s="162">
        <f t="shared" si="2"/>
        <v>122857.92750000001</v>
      </c>
      <c r="I9" s="158"/>
      <c r="J9" s="162">
        <f>'Data For Relative Valuation'!K7</f>
        <v>16300.55</v>
      </c>
      <c r="K9" s="162">
        <f>'Data For Relative Valuation'!M7</f>
        <v>3052.18</v>
      </c>
      <c r="L9" s="162">
        <f>'Data For Relative Valuation'!N7</f>
        <v>2316.3200000000002</v>
      </c>
      <c r="M9" s="159"/>
      <c r="N9" s="160">
        <f t="shared" si="0"/>
        <v>7.5370418482811941</v>
      </c>
      <c r="O9" s="160">
        <f t="shared" si="0"/>
        <v>40.2525170533848</v>
      </c>
      <c r="P9" s="160">
        <f t="shared" si="3"/>
        <v>51.831585230020032</v>
      </c>
    </row>
    <row r="10" spans="2:17" x14ac:dyDescent="0.25">
      <c r="B10" s="113" t="str">
        <f>'Data For Relative Valuation'!C8</f>
        <v>Godrej Consumer</v>
      </c>
      <c r="C10" s="113"/>
      <c r="D10" s="162">
        <f>'Data For Relative Valuation'!D8</f>
        <v>1039.2</v>
      </c>
      <c r="E10" s="162">
        <f>'Data For Relative Valuation'!E8</f>
        <v>102.27</v>
      </c>
      <c r="F10" s="162">
        <f t="shared" si="1"/>
        <v>106278.984</v>
      </c>
      <c r="G10" s="162">
        <f>'Data For Relative Valuation'!G8-'Data For Relative Valuation'!H8</f>
        <v>738.8599999999999</v>
      </c>
      <c r="H10" s="162">
        <f t="shared" si="2"/>
        <v>107017.844</v>
      </c>
      <c r="I10" s="158"/>
      <c r="J10" s="162">
        <f>'Data For Relative Valuation'!K8</f>
        <v>13315.97</v>
      </c>
      <c r="K10" s="162">
        <f>'Data For Relative Valuation'!M8</f>
        <v>2562.2199999999998</v>
      </c>
      <c r="L10" s="162">
        <f>'Data For Relative Valuation'!N8</f>
        <v>1702.46</v>
      </c>
      <c r="M10" s="159"/>
      <c r="N10" s="160">
        <f t="shared" si="0"/>
        <v>8.0368042283063126</v>
      </c>
      <c r="O10" s="160">
        <f t="shared" si="0"/>
        <v>41.767624950238471</v>
      </c>
      <c r="P10" s="160">
        <f t="shared" si="3"/>
        <v>62.426714284036038</v>
      </c>
    </row>
    <row r="11" spans="2:17" x14ac:dyDescent="0.25">
      <c r="B11" s="113" t="str">
        <f>'Data For Relative Valuation'!C9</f>
        <v>Varun Beverages</v>
      </c>
      <c r="C11" s="113"/>
      <c r="D11" s="162">
        <f>'Data For Relative Valuation'!D9</f>
        <v>809.35</v>
      </c>
      <c r="E11" s="162">
        <f>'Data For Relative Valuation'!E9</f>
        <v>129.91</v>
      </c>
      <c r="F11" s="162">
        <f t="shared" si="1"/>
        <v>105142.65850000001</v>
      </c>
      <c r="G11" s="162">
        <f>'Data For Relative Valuation'!G9-'Data For Relative Valuation'!H9</f>
        <v>3598.54</v>
      </c>
      <c r="H11" s="162">
        <f t="shared" si="2"/>
        <v>108741.1985</v>
      </c>
      <c r="I11" s="158"/>
      <c r="J11" s="162">
        <f>'Data For Relative Valuation'!K9</f>
        <v>14238.66</v>
      </c>
      <c r="K11" s="162">
        <f>'Data For Relative Valuation'!M9</f>
        <v>3095.6000000000004</v>
      </c>
      <c r="L11" s="162">
        <f>'Data For Relative Valuation'!N9</f>
        <v>1717.59</v>
      </c>
      <c r="M11" s="159"/>
      <c r="N11" s="160">
        <f t="shared" si="0"/>
        <v>7.6370387733115335</v>
      </c>
      <c r="O11" s="160">
        <f t="shared" si="0"/>
        <v>35.127664588448113</v>
      </c>
      <c r="P11" s="160">
        <f t="shared" si="3"/>
        <v>61.215225111930096</v>
      </c>
    </row>
    <row r="12" spans="2:17" x14ac:dyDescent="0.25">
      <c r="B12" s="113" t="str">
        <f>'Data For Relative Valuation'!C10</f>
        <v>Dabur India</v>
      </c>
      <c r="C12" s="113"/>
      <c r="D12" s="162">
        <f>'Data For Relative Valuation'!D10</f>
        <v>566.1</v>
      </c>
      <c r="E12" s="162">
        <f>'Data For Relative Valuation'!E10</f>
        <v>177.2</v>
      </c>
      <c r="F12" s="162">
        <f t="shared" si="1"/>
        <v>100312.92</v>
      </c>
      <c r="G12" s="162">
        <f>'Data For Relative Valuation'!G10-'Data For Relative Valuation'!H10</f>
        <v>847.86999999999989</v>
      </c>
      <c r="H12" s="162">
        <f t="shared" si="2"/>
        <v>101160.79</v>
      </c>
      <c r="I12" s="158"/>
      <c r="J12" s="162">
        <f>'Data For Relative Valuation'!K10</f>
        <v>11529.89</v>
      </c>
      <c r="K12" s="162">
        <f>'Data For Relative Valuation'!M10</f>
        <v>2591.39</v>
      </c>
      <c r="L12" s="162">
        <f>'Data For Relative Valuation'!N10</f>
        <v>1701.33</v>
      </c>
      <c r="M12" s="159"/>
      <c r="N12" s="160">
        <f t="shared" si="0"/>
        <v>8.7737862199899563</v>
      </c>
      <c r="O12" s="160">
        <f t="shared" si="0"/>
        <v>39.037269573472152</v>
      </c>
      <c r="P12" s="160">
        <f t="shared" si="3"/>
        <v>58.9614713194971</v>
      </c>
    </row>
    <row r="14" spans="2:17" x14ac:dyDescent="0.25">
      <c r="B14" s="154" t="s">
        <v>285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64">
        <f>MAX(N7:N12)</f>
        <v>12.384524755821058</v>
      </c>
      <c r="O14" s="164">
        <f t="shared" ref="O14:P14" si="4">MAX(O7:O12)</f>
        <v>54.808427312742332</v>
      </c>
      <c r="P14" s="164">
        <f t="shared" si="4"/>
        <v>86.641657289002552</v>
      </c>
    </row>
    <row r="15" spans="2:17" x14ac:dyDescent="0.25">
      <c r="B15" s="154" t="s">
        <v>287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64">
        <f>QUARTILE(N7:N12,3)</f>
        <v>9.5824830224843076</v>
      </c>
      <c r="O15" s="164">
        <f t="shared" ref="O15:P15" si="5">QUARTILE(O7:O12,3)</f>
        <v>41.435057678748848</v>
      </c>
      <c r="P15" s="164">
        <f t="shared" si="5"/>
        <v>62.123841991009556</v>
      </c>
    </row>
    <row r="16" spans="2:17" x14ac:dyDescent="0.25">
      <c r="B16" s="165" t="s">
        <v>286</v>
      </c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6">
        <f>AVERAGE(N7:N12)</f>
        <v>9.0368740748376357</v>
      </c>
      <c r="O16" s="166">
        <f t="shared" ref="O16:P16" si="6">AVERAGE(O7:O12)</f>
        <v>41.905143223760973</v>
      </c>
      <c r="P16" s="166">
        <f t="shared" si="6"/>
        <v>63.357670960113175</v>
      </c>
    </row>
    <row r="17" spans="2:17" x14ac:dyDescent="0.25">
      <c r="B17" s="165" t="s">
        <v>152</v>
      </c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6">
        <f>MEDIAN(N7:N12)</f>
        <v>8.4052952241481336</v>
      </c>
      <c r="O17" s="166">
        <f t="shared" ref="O17:P17" si="7">MEDIAN(O7:O12)</f>
        <v>40.344936458832393</v>
      </c>
      <c r="P17" s="166">
        <f t="shared" si="7"/>
        <v>60.142298819061665</v>
      </c>
    </row>
    <row r="18" spans="2:17" x14ac:dyDescent="0.25">
      <c r="B18" s="154" t="s">
        <v>288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64">
        <f>QUARTILE(N7:N12,1)</f>
        <v>7.736980137060228</v>
      </c>
      <c r="O18" s="164">
        <f t="shared" ref="O18:P18" si="8">QUARTILE(O7:O12,1)</f>
        <v>39.341081443450314</v>
      </c>
      <c r="P18" s="164">
        <f t="shared" si="8"/>
        <v>58.988446621171136</v>
      </c>
    </row>
    <row r="19" spans="2:17" x14ac:dyDescent="0.25">
      <c r="B19" s="154" t="s">
        <v>289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64">
        <f>MIN(N7:N12)</f>
        <v>7.5370418482811941</v>
      </c>
      <c r="O19" s="164">
        <f t="shared" ref="O19:P19" si="9">MIN(O7:O12)</f>
        <v>35.127664588448113</v>
      </c>
      <c r="P19" s="164">
        <f t="shared" si="9"/>
        <v>51.831585230020032</v>
      </c>
    </row>
    <row r="21" spans="2:17" ht="15.75" x14ac:dyDescent="0.25">
      <c r="B21" s="163" t="str">
        <f>B7&amp;" Comparable Valuation"</f>
        <v>Hind. Unilever Comparable Valuation</v>
      </c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44" t="s">
        <v>283</v>
      </c>
      <c r="O21" s="144" t="s">
        <v>281</v>
      </c>
      <c r="P21" s="249" t="s">
        <v>282</v>
      </c>
    </row>
    <row r="22" spans="2:17" ht="4.5" customHeight="1" x14ac:dyDescent="0.25"/>
    <row r="23" spans="2:17" x14ac:dyDescent="0.25">
      <c r="B23" s="113" t="s">
        <v>290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67">
        <f>N17*J7</f>
        <v>516522.20211435109</v>
      </c>
      <c r="O23" s="167">
        <f>O17*K7</f>
        <v>604044.3886616386</v>
      </c>
      <c r="P23" s="167">
        <f>P24+P25</f>
        <v>616487.81622688763</v>
      </c>
    </row>
    <row r="24" spans="2:17" x14ac:dyDescent="0.25">
      <c r="B24" s="113" t="s">
        <v>259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68">
        <f>G7</f>
        <v>-3459</v>
      </c>
      <c r="O24" s="168">
        <f>N24</f>
        <v>-3459</v>
      </c>
      <c r="P24" s="168">
        <f>O24</f>
        <v>-3459</v>
      </c>
    </row>
    <row r="25" spans="2:17" x14ac:dyDescent="0.25">
      <c r="B25" s="113" t="s">
        <v>291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67">
        <f>N23-N24</f>
        <v>519981.20211435109</v>
      </c>
      <c r="O25" s="167">
        <f>O23-O24</f>
        <v>607503.3886616386</v>
      </c>
      <c r="P25" s="167">
        <f>P17*L7</f>
        <v>619946.81622688763</v>
      </c>
    </row>
    <row r="26" spans="2:17" x14ac:dyDescent="0.25">
      <c r="B26" s="113" t="s">
        <v>292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72">
        <f>E7</f>
        <v>234.96</v>
      </c>
      <c r="O26" s="172">
        <f>N26</f>
        <v>234.96</v>
      </c>
      <c r="P26" s="172">
        <f>O26</f>
        <v>234.96</v>
      </c>
    </row>
    <row r="27" spans="2:17" ht="15.75" thickBot="1" x14ac:dyDescent="0.3">
      <c r="B27" s="169" t="s">
        <v>293</v>
      </c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251">
        <f>N25/N26</f>
        <v>2213.0626579602958</v>
      </c>
      <c r="O27" s="251">
        <f>O25/O26</f>
        <v>2585.5608982875324</v>
      </c>
      <c r="P27" s="251">
        <f>P25/P26</f>
        <v>2638.5206683132774</v>
      </c>
    </row>
    <row r="28" spans="2:17" ht="15.75" thickTop="1" x14ac:dyDescent="0.25">
      <c r="B28" s="170" t="s">
        <v>295</v>
      </c>
    </row>
    <row r="29" spans="2:17" s="2" customFormat="1" x14ac:dyDescent="0.25">
      <c r="B29" s="276" t="s">
        <v>294</v>
      </c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7" t="str">
        <f>IF(N27&gt;$D$7,"UnderValued","OverValued")</f>
        <v>OverValued</v>
      </c>
      <c r="O29" s="277" t="str">
        <f t="shared" ref="O29:P29" si="10">IF(O27&gt;$D$7,"UnderValued","OverValued")</f>
        <v>OverValued</v>
      </c>
      <c r="P29" s="277" t="str">
        <f t="shared" si="10"/>
        <v>UnderValued</v>
      </c>
      <c r="Q29" s="252"/>
    </row>
  </sheetData>
  <mergeCells count="4">
    <mergeCell ref="N4:P4"/>
    <mergeCell ref="B2:P2"/>
    <mergeCell ref="D4:H4"/>
    <mergeCell ref="J4:L4"/>
  </mergeCells>
  <pageMargins left="0.70866141732283461" right="0.70866141732283461" top="0.74803149606299213" bottom="0.74803149606299213" header="0.31496062992125984" footer="0.31496062992125984"/>
  <pageSetup paperSize="9" scale="80" fitToHeight="0" orientation="landscape" r:id="rId1"/>
  <ignoredErrors>
    <ignoredError sqref="O25:P2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DC4A-F181-4EF4-8A49-FD0BA366981F}">
  <sheetPr>
    <tabColor rgb="FFFF0000"/>
  </sheetPr>
  <dimension ref="B2:L50"/>
  <sheetViews>
    <sheetView showGridLines="0" workbookViewId="0">
      <selection activeCell="B2" sqref="B2:L40"/>
    </sheetView>
  </sheetViews>
  <sheetFormatPr defaultRowHeight="15" x14ac:dyDescent="0.25"/>
  <cols>
    <col min="1" max="1" width="1.85546875" customWidth="1"/>
    <col min="2" max="2" width="23.7109375" bestFit="1" customWidth="1"/>
    <col min="3" max="12" width="11.5703125" bestFit="1" customWidth="1"/>
  </cols>
  <sheetData>
    <row r="2" spans="2:12" ht="15" customHeight="1" x14ac:dyDescent="0.25">
      <c r="B2" s="310" t="str">
        <f>"Common size income statement - "&amp;'Data Sheet'!B1</f>
        <v>Common size income statement - HINDUSTAN UNILEVER LTD</v>
      </c>
      <c r="C2" s="310"/>
      <c r="D2" s="310"/>
      <c r="E2" s="310"/>
      <c r="F2" s="310"/>
      <c r="G2" s="310"/>
      <c r="H2" s="310"/>
      <c r="I2" s="310"/>
      <c r="J2" s="310"/>
      <c r="K2" s="310"/>
      <c r="L2" s="310"/>
    </row>
    <row r="4" spans="2:12" x14ac:dyDescent="0.25">
      <c r="B4" s="72" t="s">
        <v>182</v>
      </c>
      <c r="C4" s="73">
        <f>'Data Sheet'!B16</f>
        <v>41729</v>
      </c>
      <c r="D4" s="73">
        <f>'Data Sheet'!C16</f>
        <v>42094</v>
      </c>
      <c r="E4" s="73">
        <f>'Data Sheet'!D16</f>
        <v>42460</v>
      </c>
      <c r="F4" s="73">
        <f>'Data Sheet'!E16</f>
        <v>42825</v>
      </c>
      <c r="G4" s="73">
        <f>'Data Sheet'!F16</f>
        <v>43190</v>
      </c>
      <c r="H4" s="73">
        <f>'Data Sheet'!G16</f>
        <v>43555</v>
      </c>
      <c r="I4" s="73">
        <f>'Data Sheet'!H16</f>
        <v>43921</v>
      </c>
      <c r="J4" s="73">
        <f>'Data Sheet'!I16</f>
        <v>44286</v>
      </c>
      <c r="K4" s="73">
        <f>'Data Sheet'!J16</f>
        <v>44651</v>
      </c>
      <c r="L4" s="73">
        <f>'Data Sheet'!K16</f>
        <v>45016</v>
      </c>
    </row>
    <row r="6" spans="2:12" x14ac:dyDescent="0.25">
      <c r="B6" s="98" t="str">
        <f>'Data Sheet'!A17</f>
        <v>Sales</v>
      </c>
      <c r="C6" s="100">
        <f>'Data Sheet'!B17/'Data Sheet'!B$17</f>
        <v>1</v>
      </c>
      <c r="D6" s="100">
        <f>'Data Sheet'!C17/'Data Sheet'!C$17</f>
        <v>1</v>
      </c>
      <c r="E6" s="100">
        <f>'Data Sheet'!D17/'Data Sheet'!D$17</f>
        <v>1</v>
      </c>
      <c r="F6" s="100">
        <f>'Data Sheet'!E17/'Data Sheet'!E$17</f>
        <v>1</v>
      </c>
      <c r="G6" s="100">
        <f>'Data Sheet'!F17/'Data Sheet'!F$17</f>
        <v>1</v>
      </c>
      <c r="H6" s="100">
        <f>'Data Sheet'!G17/'Data Sheet'!G$17</f>
        <v>1</v>
      </c>
      <c r="I6" s="100">
        <f>'Data Sheet'!H17/'Data Sheet'!H$17</f>
        <v>1</v>
      </c>
      <c r="J6" s="100">
        <f>'Data Sheet'!I17/'Data Sheet'!I$17</f>
        <v>1</v>
      </c>
      <c r="K6" s="100">
        <f>'Data Sheet'!J17/'Data Sheet'!J$17</f>
        <v>1</v>
      </c>
      <c r="L6" s="100">
        <f>'Data Sheet'!K17/'Data Sheet'!K$17</f>
        <v>1</v>
      </c>
    </row>
    <row r="7" spans="2:12" x14ac:dyDescent="0.25">
      <c r="B7" s="74" t="str">
        <f>'Data Sheet'!A18</f>
        <v>Raw Material Cost</v>
      </c>
      <c r="C7" s="75">
        <f>'Data Sheet'!B18/'Data Sheet'!B$17</f>
        <v>0.43253548810381426</v>
      </c>
      <c r="D7" s="75">
        <f>'Data Sheet'!C18/'Data Sheet'!C$17</f>
        <v>0.4225359601578747</v>
      </c>
      <c r="E7" s="75">
        <f>'Data Sheet'!D18/'Data Sheet'!D$17</f>
        <v>0.40961908904492639</v>
      </c>
      <c r="F7" s="75">
        <f>'Data Sheet'!E18/'Data Sheet'!E$17</f>
        <v>0.41028888486822268</v>
      </c>
      <c r="G7" s="75">
        <f>'Data Sheet'!F18/'Data Sheet'!F$17</f>
        <v>0.40042200028133351</v>
      </c>
      <c r="H7" s="75">
        <f>'Data Sheet'!G18/'Data Sheet'!G$17</f>
        <v>0.40307809717629101</v>
      </c>
      <c r="I7" s="75">
        <f>'Data Sheet'!H18/'Data Sheet'!H$17</f>
        <v>0.39456551793479627</v>
      </c>
      <c r="J7" s="75">
        <f>'Data Sheet'!I18/'Data Sheet'!I$17</f>
        <v>0.42827677128519182</v>
      </c>
      <c r="K7" s="75">
        <f>'Data Sheet'!J18/'Data Sheet'!J$17</f>
        <v>0.43608664149792165</v>
      </c>
      <c r="L7" s="75">
        <f>'Data Sheet'!K18/'Data Sheet'!K$17</f>
        <v>0.46924727632882141</v>
      </c>
    </row>
    <row r="8" spans="2:12" x14ac:dyDescent="0.25">
      <c r="B8" s="74" t="str">
        <f>'Data Sheet'!A19</f>
        <v>Change in Inventory</v>
      </c>
      <c r="C8" s="79">
        <f>'Data Sheet'!B19/'Data Sheet'!B$17</f>
        <v>5.8596676306213302E-3</v>
      </c>
      <c r="D8" s="79">
        <f>'Data Sheet'!C19/'Data Sheet'!C$17</f>
        <v>-1.7840504513453725E-3</v>
      </c>
      <c r="E8" s="79">
        <f>'Data Sheet'!D19/'Data Sheet'!D$17</f>
        <v>-2.5787609519666937E-3</v>
      </c>
      <c r="F8" s="79">
        <f>'Data Sheet'!E19/'Data Sheet'!E$17</f>
        <v>-4.3423195223448521E-3</v>
      </c>
      <c r="G8" s="79">
        <f>'Data Sheet'!F19/'Data Sheet'!F$17</f>
        <v>2.0256013504009003E-3</v>
      </c>
      <c r="H8" s="79">
        <f>'Data Sheet'!G19/'Data Sheet'!G$17</f>
        <v>-3.0526583566522515E-4</v>
      </c>
      <c r="I8" s="79">
        <f>'Data Sheet'!H19/'Data Sheet'!H$17</f>
        <v>2.7147273961239727E-3</v>
      </c>
      <c r="J8" s="79">
        <f>'Data Sheet'!I19/'Data Sheet'!I$17</f>
        <v>8.6118907884664454E-3</v>
      </c>
      <c r="K8" s="79">
        <f>'Data Sheet'!J19/'Data Sheet'!J$17</f>
        <v>4.1947908324753078E-4</v>
      </c>
      <c r="L8" s="79">
        <f>'Data Sheet'!K19/'Data Sheet'!K$17</f>
        <v>1.2380323539121821E-3</v>
      </c>
    </row>
    <row r="9" spans="2:12" x14ac:dyDescent="0.25">
      <c r="B9" s="74" t="str">
        <f>'Data Sheet'!A20</f>
        <v>Power and Fuel</v>
      </c>
      <c r="C9" s="79">
        <f>'Data Sheet'!B20/'Data Sheet'!B$17</f>
        <v>1.2408949385196693E-2</v>
      </c>
      <c r="D9" s="79">
        <f>'Data Sheet'!C20/'Data Sheet'!C$17</f>
        <v>1.0852243778108414E-2</v>
      </c>
      <c r="E9" s="79">
        <f>'Data Sheet'!D20/'Data Sheet'!D$17</f>
        <v>9.6004473994904613E-3</v>
      </c>
      <c r="F9" s="79">
        <f>'Data Sheet'!E20/'Data Sheet'!E$17</f>
        <v>8.8957240214703574E-3</v>
      </c>
      <c r="G9" s="79">
        <f>'Data Sheet'!F20/'Data Sheet'!F$17</f>
        <v>8.2993388662259103E-3</v>
      </c>
      <c r="H9" s="79">
        <f>'Data Sheet'!G20/'Data Sheet'!G$17</f>
        <v>7.8351564487407783E-3</v>
      </c>
      <c r="I9" s="79">
        <f>'Data Sheet'!H20/'Data Sheet'!H$17</f>
        <v>7.5157730688987755E-3</v>
      </c>
      <c r="J9" s="79">
        <f>'Data Sheet'!I20/'Data Sheet'!I$17</f>
        <v>7.2084715488645061E-3</v>
      </c>
      <c r="K9" s="79">
        <f>'Data Sheet'!J20/'Data Sheet'!J$17</f>
        <v>6.0633794760324902E-3</v>
      </c>
      <c r="L9" s="79">
        <f>'Data Sheet'!K20/'Data Sheet'!K$17</f>
        <v>6.3387256520303732E-3</v>
      </c>
    </row>
    <row r="10" spans="2:12" x14ac:dyDescent="0.25">
      <c r="B10" s="74" t="str">
        <f>'Data Sheet'!A21</f>
        <v>Other Mfr. Exp</v>
      </c>
      <c r="C10" s="79">
        <f>'Data Sheet'!B21/'Data Sheet'!B$17</f>
        <v>0.1005533332375536</v>
      </c>
      <c r="D10" s="79">
        <f>'Data Sheet'!C21/'Data Sheet'!C$17</f>
        <v>9.8981020693296271E-2</v>
      </c>
      <c r="E10" s="79">
        <f>'Data Sheet'!D21/'Data Sheet'!D$17</f>
        <v>9.21518672714845E-2</v>
      </c>
      <c r="F10" s="79">
        <f>'Data Sheet'!E21/'Data Sheet'!E$17</f>
        <v>8.7057475423677699E-2</v>
      </c>
      <c r="G10" s="79">
        <f>'Data Sheet'!F21/'Data Sheet'!F$17</f>
        <v>8.4343789562526375E-2</v>
      </c>
      <c r="H10" s="79">
        <f>'Data Sheet'!G21/'Data Sheet'!G$17</f>
        <v>7.7359450521495801E-2</v>
      </c>
      <c r="I10" s="79">
        <f>'Data Sheet'!H21/'Data Sheet'!H$17</f>
        <v>7.3046276047558006E-2</v>
      </c>
      <c r="J10" s="79">
        <f>'Data Sheet'!I21/'Data Sheet'!I$17</f>
        <v>6.0984945139066091E-2</v>
      </c>
      <c r="K10" s="79">
        <f>'Data Sheet'!J21/'Data Sheet'!J$17</f>
        <v>6.3951492964191739E-2</v>
      </c>
      <c r="L10" s="79">
        <f>'Data Sheet'!K21/'Data Sheet'!K$17</f>
        <v>6.2578408715747769E-2</v>
      </c>
    </row>
    <row r="11" spans="2:12" x14ac:dyDescent="0.25">
      <c r="B11" s="74" t="str">
        <f>'Data Sheet'!A22</f>
        <v>Employee Cost</v>
      </c>
      <c r="C11" s="79">
        <f>'Data Sheet'!B22/'Data Sheet'!B$17</f>
        <v>5.3796058937378523E-2</v>
      </c>
      <c r="D11" s="79">
        <f>'Data Sheet'!C22/'Data Sheet'!C$17</f>
        <v>5.3917795434094438E-2</v>
      </c>
      <c r="E11" s="79">
        <f>'Data Sheet'!D22/'Data Sheet'!D$17</f>
        <v>5.2196607220530662E-2</v>
      </c>
      <c r="F11" s="79">
        <f>'Data Sheet'!E22/'Data Sheet'!E$17</f>
        <v>5.2560159218382488E-2</v>
      </c>
      <c r="G11" s="79">
        <f>'Data Sheet'!F22/'Data Sheet'!F$17</f>
        <v>5.2328034885356589E-2</v>
      </c>
      <c r="H11" s="79">
        <f>'Data Sheet'!G22/'Data Sheet'!G$17</f>
        <v>4.7697786822691428E-2</v>
      </c>
      <c r="I11" s="79">
        <f>'Data Sheet'!H22/'Data Sheet'!H$17</f>
        <v>4.574818389764472E-2</v>
      </c>
      <c r="J11" s="79">
        <f>'Data Sheet'!I22/'Data Sheet'!I$17</f>
        <v>5.0140341923960191E-2</v>
      </c>
      <c r="K11" s="79">
        <f>'Data Sheet'!J22/'Data Sheet'!J$17</f>
        <v>4.8526103039316627E-2</v>
      </c>
      <c r="L11" s="79">
        <f>'Data Sheet'!K22/'Data Sheet'!K$17</f>
        <v>4.7111257840871577E-2</v>
      </c>
    </row>
    <row r="12" spans="2:12" x14ac:dyDescent="0.25">
      <c r="B12" s="74" t="str">
        <f>'Data Sheet'!A23</f>
        <v>Selling and admin</v>
      </c>
      <c r="C12" s="79">
        <f>'Data Sheet'!B23/'Data Sheet'!B$17</f>
        <v>0.20925889058327807</v>
      </c>
      <c r="D12" s="79">
        <f>'Data Sheet'!C23/'Data Sheet'!C$17</f>
        <v>0.21171649486631977</v>
      </c>
      <c r="E12" s="79">
        <f>'Data Sheet'!D23/'Data Sheet'!D$17</f>
        <v>0.20943888647237929</v>
      </c>
      <c r="F12" s="79">
        <f>'Data Sheet'!E23/'Data Sheet'!E$17</f>
        <v>0.20170677281225499</v>
      </c>
      <c r="G12" s="79">
        <f>'Data Sheet'!F23/'Data Sheet'!F$17</f>
        <v>0.20402306934871289</v>
      </c>
      <c r="H12" s="79">
        <f>'Data Sheet'!G23/'Data Sheet'!G$17</f>
        <v>0.19832103790384126</v>
      </c>
      <c r="I12" s="79">
        <f>'Data Sheet'!H23/'Data Sheet'!H$17</f>
        <v>0.19153909961541363</v>
      </c>
      <c r="J12" s="79">
        <f>'Data Sheet'!I23/'Data Sheet'!I$17</f>
        <v>0.16794250233903207</v>
      </c>
      <c r="K12" s="79">
        <f>'Data Sheet'!J23/'Data Sheet'!J$17</f>
        <v>0.15566487434694734</v>
      </c>
      <c r="L12" s="79">
        <f>'Data Sheet'!K23/'Data Sheet'!K$17</f>
        <v>0.14501485638824696</v>
      </c>
    </row>
    <row r="13" spans="2:12" x14ac:dyDescent="0.25">
      <c r="B13" s="74" t="str">
        <f>'Data Sheet'!A24</f>
        <v>Other Expenses</v>
      </c>
      <c r="C13" s="79">
        <f>'Data Sheet'!B24/'Data Sheet'!B$17</f>
        <v>3.4515255317998997E-2</v>
      </c>
      <c r="D13" s="79">
        <f>'Data Sheet'!C24/'Data Sheet'!C$17</f>
        <v>3.0927190161199467E-2</v>
      </c>
      <c r="E13" s="79">
        <f>'Data Sheet'!D24/'Data Sheet'!D$17</f>
        <v>4.0794134095569499E-2</v>
      </c>
      <c r="F13" s="79">
        <f>'Data Sheet'!E24/'Data Sheet'!E$17</f>
        <v>4.4327845123937039E-2</v>
      </c>
      <c r="G13" s="79">
        <f>'Data Sheet'!F24/'Data Sheet'!F$17</f>
        <v>4.1637361091574059E-2</v>
      </c>
      <c r="H13" s="79">
        <f>'Data Sheet'!G24/'Data Sheet'!G$17</f>
        <v>3.9506486899007889E-2</v>
      </c>
      <c r="I13" s="79">
        <f>'Data Sheet'!H24/'Data Sheet'!H$17</f>
        <v>4.2631274665057936E-2</v>
      </c>
      <c r="J13" s="79">
        <f>'Data Sheet'!I24/'Data Sheet'!I$17</f>
        <v>4.6844433103682914E-2</v>
      </c>
      <c r="K13" s="79">
        <f>'Data Sheet'!J24/'Data Sheet'!J$17</f>
        <v>4.4979598062769327E-2</v>
      </c>
      <c r="L13" s="79">
        <f>'Data Sheet'!K24/'Data Sheet'!K$17</f>
        <v>3.7405084186200067E-2</v>
      </c>
    </row>
    <row r="14" spans="2:12" x14ac:dyDescent="0.25">
      <c r="B14" s="74" t="str">
        <f>'Data Sheet'!A25</f>
        <v>Other Income</v>
      </c>
      <c r="C14" s="79">
        <f>'Data Sheet'!B25/'Data Sheet'!B$17</f>
        <v>2.7105324190473061E-2</v>
      </c>
      <c r="D14" s="79">
        <f>'Data Sheet'!C25/'Data Sheet'!C$17</f>
        <v>3.9008275629539298E-2</v>
      </c>
      <c r="E14" s="79">
        <f>'Data Sheet'!D25/'Data Sheet'!D$17</f>
        <v>1.5099732803082085E-2</v>
      </c>
      <c r="F14" s="79">
        <f>'Data Sheet'!E25/'Data Sheet'!E$17</f>
        <v>1.8273927989867923E-2</v>
      </c>
      <c r="G14" s="79">
        <f>'Data Sheet'!F25/'Data Sheet'!F$17</f>
        <v>9.9310732873821913E-3</v>
      </c>
      <c r="H14" s="79">
        <f>'Data Sheet'!G25/'Data Sheet'!G$17</f>
        <v>8.1912999236835402E-3</v>
      </c>
      <c r="I14" s="79">
        <f>'Data Sheet'!H25/'Data Sheet'!H$17</f>
        <v>1.0858909584495891E-2</v>
      </c>
      <c r="J14" s="79">
        <f>'Data Sheet'!I25/'Data Sheet'!I$17</f>
        <v>3.6148677383686313E-3</v>
      </c>
      <c r="K14" s="79">
        <f>'Data Sheet'!J25/'Data Sheet'!J$17</f>
        <v>4.1757236014186017E-3</v>
      </c>
      <c r="L14" s="79">
        <f>'Data Sheet'!K25/'Data Sheet'!K$17</f>
        <v>7.378672829316606E-3</v>
      </c>
    </row>
    <row r="15" spans="2:12" x14ac:dyDescent="0.25">
      <c r="B15" s="74" t="str">
        <f>'Data Sheet'!A26</f>
        <v>Depreciation</v>
      </c>
      <c r="C15" s="79">
        <f>'Data Sheet'!B26/'Data Sheet'!B$17</f>
        <v>1.0109551497687261E-2</v>
      </c>
      <c r="D15" s="79">
        <f>'Data Sheet'!C26/'Data Sheet'!C$17</f>
        <v>1.0083450648829498E-2</v>
      </c>
      <c r="E15" s="79">
        <f>'Data Sheet'!D26/'Data Sheet'!D$17</f>
        <v>1.0967501398123409E-2</v>
      </c>
      <c r="F15" s="79">
        <f>'Data Sheet'!E26/'Data Sheet'!E$17</f>
        <v>1.3026958567034558E-2</v>
      </c>
      <c r="G15" s="79">
        <f>'Data Sheet'!F26/'Data Sheet'!F$17</f>
        <v>1.4629343086228723E-2</v>
      </c>
      <c r="H15" s="79">
        <f>'Data Sheet'!G26/'Data Sheet'!G$17</f>
        <v>1.437293309590435E-2</v>
      </c>
      <c r="I15" s="79">
        <f>'Data Sheet'!H26/'Data Sheet'!H$17</f>
        <v>2.5186637508483524E-2</v>
      </c>
      <c r="J15" s="79">
        <f>'Data Sheet'!I26/'Data Sheet'!I$17</f>
        <v>2.2837458535340648E-2</v>
      </c>
      <c r="K15" s="79">
        <f>'Data Sheet'!J26/'Data Sheet'!J$17</f>
        <v>2.0802349082866187E-2</v>
      </c>
      <c r="L15" s="79">
        <f>'Data Sheet'!K26/'Data Sheet'!K$17</f>
        <v>1.8768570485308684E-2</v>
      </c>
    </row>
    <row r="16" spans="2:12" x14ac:dyDescent="0.25">
      <c r="B16" s="74" t="str">
        <f>'Data Sheet'!A27</f>
        <v>Interest</v>
      </c>
      <c r="C16" s="79">
        <f>'Data Sheet'!B27/'Data Sheet'!B$17</f>
        <v>1.3915427858358185E-3</v>
      </c>
      <c r="D16" s="79">
        <f>'Data Sheet'!C27/'Data Sheet'!C$17</f>
        <v>5.536061183172E-4</v>
      </c>
      <c r="E16" s="79">
        <f>'Data Sheet'!D27/'Data Sheet'!D$17</f>
        <v>5.2817995401727462E-4</v>
      </c>
      <c r="F16" s="79">
        <f>'Data Sheet'!E27/'Data Sheet'!E$17</f>
        <v>1.0554248839032628E-3</v>
      </c>
      <c r="G16" s="79">
        <f>'Data Sheet'!F27/'Data Sheet'!F$17</f>
        <v>7.3146715431143621E-4</v>
      </c>
      <c r="H16" s="79">
        <f>'Data Sheet'!G27/'Data Sheet'!G$17</f>
        <v>8.3948104807936915E-4</v>
      </c>
      <c r="I16" s="79">
        <f>'Data Sheet'!H27/'Data Sheet'!H$17</f>
        <v>2.9660910439132291E-3</v>
      </c>
      <c r="J16" s="79">
        <f>'Data Sheet'!I27/'Data Sheet'!I$17</f>
        <v>2.4878795611125285E-3</v>
      </c>
      <c r="K16" s="79">
        <f>'Data Sheet'!J27/'Data Sheet'!J$17</f>
        <v>2.0211264920108303E-3</v>
      </c>
      <c r="L16" s="79">
        <f>'Data Sheet'!K27/'Data Sheet'!K$17</f>
        <v>1.881809177946517E-3</v>
      </c>
    </row>
    <row r="17" spans="2:12" x14ac:dyDescent="0.25">
      <c r="B17" s="74" t="str">
        <f>'Data Sheet'!A28</f>
        <v>Profit before tax</v>
      </c>
      <c r="C17" s="79">
        <f>'Data Sheet'!B28/'Data Sheet'!B$17</f>
        <v>0.17839592197235113</v>
      </c>
      <c r="D17" s="79">
        <f>'Data Sheet'!C28/'Data Sheet'!C$17</f>
        <v>0.19765646332015419</v>
      </c>
      <c r="E17" s="79">
        <f>'Data Sheet'!D28/'Data Sheet'!D$17</f>
        <v>0.18722425899459391</v>
      </c>
      <c r="F17" s="79">
        <f>'Data Sheet'!E28/'Data Sheet'!E$17</f>
        <v>0.19501236354864002</v>
      </c>
      <c r="G17" s="79">
        <f>'Data Sheet'!F28/'Data Sheet'!F$17</f>
        <v>0.20554227036151357</v>
      </c>
      <c r="H17" s="79">
        <f>'Data Sheet'!G28/'Data Sheet'!G$17</f>
        <v>0.21887560417196641</v>
      </c>
      <c r="I17" s="79">
        <f>'Data Sheet'!H28/'Data Sheet'!H$17</f>
        <v>0.23037478319885379</v>
      </c>
      <c r="J17" s="79">
        <f>'Data Sheet'!I28/'Data Sheet'!I$17</f>
        <v>0.22550395509058432</v>
      </c>
      <c r="K17" s="79">
        <f>'Data Sheet'!J28/'Data Sheet'!J$17</f>
        <v>0.22649963772260992</v>
      </c>
      <c r="L17" s="79">
        <f>'Data Sheet'!K28/'Data Sheet'!K$17</f>
        <v>0.22027071640805546</v>
      </c>
    </row>
    <row r="18" spans="2:12" x14ac:dyDescent="0.25">
      <c r="B18" s="74" t="str">
        <f>'Data Sheet'!A29</f>
        <v>Tax</v>
      </c>
      <c r="C18" s="79">
        <f>'Data Sheet'!B29/'Data Sheet'!B$17</f>
        <v>4.3081726799239509E-2</v>
      </c>
      <c r="D18" s="79">
        <f>'Data Sheet'!C29/'Data Sheet'!C$17</f>
        <v>6.0802841469414518E-2</v>
      </c>
      <c r="E18" s="79">
        <f>'Data Sheet'!D29/'Data Sheet'!D$17</f>
        <v>5.8255141987199402E-2</v>
      </c>
      <c r="F18" s="79">
        <f>'Data Sheet'!E29/'Data Sheet'!E$17</f>
        <v>5.9616428442192872E-2</v>
      </c>
      <c r="G18" s="79">
        <f>'Data Sheet'!F29/'Data Sheet'!F$17</f>
        <v>5.8489238992825994E-2</v>
      </c>
      <c r="H18" s="79">
        <f>'Data Sheet'!G29/'Data Sheet'!G$17</f>
        <v>6.4716357161027735E-2</v>
      </c>
      <c r="I18" s="79">
        <f>'Data Sheet'!H29/'Data Sheet'!H$17</f>
        <v>6.0553502752431945E-2</v>
      </c>
      <c r="J18" s="79">
        <f>'Data Sheet'!I29/'Data Sheet'!I$17</f>
        <v>5.5413796036403846E-2</v>
      </c>
      <c r="K18" s="79">
        <f>'Data Sheet'!J29/'Data Sheet'!J$17</f>
        <v>5.6953819166380655E-2</v>
      </c>
      <c r="L18" s="79">
        <f>'Data Sheet'!K29/'Data Sheet'!K$17</f>
        <v>5.2839220864971941E-2</v>
      </c>
    </row>
    <row r="19" spans="2:12" x14ac:dyDescent="0.25">
      <c r="B19" s="74" t="str">
        <f>'Data Sheet'!A30</f>
        <v>Net profit</v>
      </c>
      <c r="C19" s="79">
        <f>'Data Sheet'!B30/'Data Sheet'!B$17</f>
        <v>0.13496630947665267</v>
      </c>
      <c r="D19" s="79">
        <f>'Data Sheet'!C30/'Data Sheet'!C$17</f>
        <v>0.13646484648064458</v>
      </c>
      <c r="E19" s="79">
        <f>'Data Sheet'!D30/'Data Sheet'!D$17</f>
        <v>0.12896911700739452</v>
      </c>
      <c r="F19" s="79">
        <f>'Data Sheet'!E30/'Data Sheet'!E$17</f>
        <v>0.13497376515288584</v>
      </c>
      <c r="G19" s="79">
        <f>'Data Sheet'!F30/'Data Sheet'!F$17</f>
        <v>0.14668729779153186</v>
      </c>
      <c r="H19" s="79">
        <f>'Data Sheet'!G30/'Data Sheet'!G$17</f>
        <v>0.15400661409310609</v>
      </c>
      <c r="I19" s="79">
        <f>'Data Sheet'!H30/'Data Sheet'!H$17</f>
        <v>0.16962018952819044</v>
      </c>
      <c r="J19" s="79">
        <f>'Data Sheet'!I30/'Data Sheet'!I$17</f>
        <v>0.17000510334268945</v>
      </c>
      <c r="K19" s="79">
        <f>'Data Sheet'!J30/'Data Sheet'!J$17</f>
        <v>0.16929794455249209</v>
      </c>
      <c r="L19" s="79">
        <f>'Data Sheet'!K30/'Data Sheet'!K$17</f>
        <v>0.16705183228788378</v>
      </c>
    </row>
    <row r="20" spans="2:12" x14ac:dyDescent="0.25">
      <c r="B20" s="74" t="str">
        <f>'Data Sheet'!A31</f>
        <v>Dividend Amount</v>
      </c>
      <c r="C20" s="79">
        <f>'Data Sheet'!B31/'Data Sheet'!B$17</f>
        <v>9.6173462581250299E-2</v>
      </c>
      <c r="D20" s="79">
        <f>'Data Sheet'!C31/'Data Sheet'!C$17</f>
        <v>0.10150227432027648</v>
      </c>
      <c r="E20" s="79">
        <f>'Data Sheet'!D31/'Data Sheet'!D$17</f>
        <v>0.10737587771080594</v>
      </c>
      <c r="F20" s="79">
        <f>'Data Sheet'!E31/'Data Sheet'!E$17</f>
        <v>0.11072914781979373</v>
      </c>
      <c r="G20" s="79">
        <f>'Data Sheet'!F31/'Data Sheet'!F$17</f>
        <v>0.12153608102405401</v>
      </c>
      <c r="H20" s="79">
        <f>'Data Sheet'!G31/'Data Sheet'!G$17</f>
        <v>0.12088527092342916</v>
      </c>
      <c r="I20" s="79">
        <f>'Data Sheet'!H31/'Data Sheet'!H$17</f>
        <v>0.13573636980619863</v>
      </c>
      <c r="J20" s="79">
        <f>'Data Sheet'!I31/'Data Sheet'!I$17</f>
        <v>0.20237943352896148</v>
      </c>
      <c r="K20" s="79">
        <f>'Data Sheet'!J31/'Data Sheet'!J$17</f>
        <v>0.15234717614308049</v>
      </c>
      <c r="L20" s="79">
        <f>'Data Sheet'!K31/'Data Sheet'!K$17</f>
        <v>0.15128755364806867</v>
      </c>
    </row>
    <row r="21" spans="2:12" x14ac:dyDescent="0.25">
      <c r="B21" s="101" t="s">
        <v>183</v>
      </c>
      <c r="C21" s="102">
        <f>C19+C18+C15+C16</f>
        <v>0.18954913055941525</v>
      </c>
      <c r="D21" s="102">
        <f t="shared" ref="D21:L21" si="0">D19+D18+D15+D16</f>
        <v>0.2079047447172058</v>
      </c>
      <c r="E21" s="102">
        <f t="shared" si="0"/>
        <v>0.19871994034673462</v>
      </c>
      <c r="F21" s="102">
        <f t="shared" si="0"/>
        <v>0.20867257704601652</v>
      </c>
      <c r="G21" s="102">
        <f t="shared" si="0"/>
        <v>0.22053734702489802</v>
      </c>
      <c r="H21" s="102">
        <f t="shared" si="0"/>
        <v>0.23393538539811753</v>
      </c>
      <c r="I21" s="102">
        <f t="shared" si="0"/>
        <v>0.25832642083301915</v>
      </c>
      <c r="J21" s="102">
        <f t="shared" si="0"/>
        <v>0.25074423747554647</v>
      </c>
      <c r="K21" s="102">
        <f t="shared" si="0"/>
        <v>0.24907523929374975</v>
      </c>
      <c r="L21" s="102">
        <f t="shared" si="0"/>
        <v>0.24054143281611096</v>
      </c>
    </row>
    <row r="22" spans="2:12" x14ac:dyDescent="0.25">
      <c r="B22" s="74"/>
    </row>
    <row r="23" spans="2:12" ht="15.75" x14ac:dyDescent="0.25">
      <c r="B23" s="310" t="str">
        <f>"Common size balance sheet - "&amp;'Data Sheet'!B1</f>
        <v>Common size balance sheet - HINDUSTAN UNILEVER LTD</v>
      </c>
      <c r="C23" s="310"/>
      <c r="D23" s="310"/>
      <c r="E23" s="310"/>
      <c r="F23" s="310"/>
      <c r="G23" s="310"/>
      <c r="H23" s="310"/>
      <c r="I23" s="310"/>
      <c r="J23" s="310"/>
      <c r="K23" s="310"/>
      <c r="L23" s="310"/>
    </row>
    <row r="25" spans="2:12" x14ac:dyDescent="0.25">
      <c r="B25" s="72" t="s">
        <v>182</v>
      </c>
      <c r="C25" s="73">
        <f>'Data Sheet'!B16</f>
        <v>41729</v>
      </c>
      <c r="D25" s="73">
        <f>'Data Sheet'!C16</f>
        <v>42094</v>
      </c>
      <c r="E25" s="73">
        <f>'Data Sheet'!D16</f>
        <v>42460</v>
      </c>
      <c r="F25" s="73">
        <f>'Data Sheet'!E16</f>
        <v>42825</v>
      </c>
      <c r="G25" s="73">
        <f>'Data Sheet'!F16</f>
        <v>43190</v>
      </c>
      <c r="H25" s="73">
        <f>'Data Sheet'!G16</f>
        <v>43555</v>
      </c>
      <c r="I25" s="73">
        <f>'Data Sheet'!H16</f>
        <v>43921</v>
      </c>
      <c r="J25" s="73">
        <f>'Data Sheet'!I16</f>
        <v>44286</v>
      </c>
      <c r="K25" s="73">
        <f>'Data Sheet'!J16</f>
        <v>44651</v>
      </c>
      <c r="L25" s="73">
        <f>'Data Sheet'!K16</f>
        <v>45016</v>
      </c>
    </row>
    <row r="26" spans="2:12" x14ac:dyDescent="0.25">
      <c r="B26" s="2"/>
      <c r="C26" s="76"/>
      <c r="D26" s="76"/>
      <c r="E26" s="76"/>
      <c r="F26" s="76"/>
      <c r="G26" s="76"/>
      <c r="H26" s="76"/>
      <c r="I26" s="76"/>
      <c r="J26" s="76"/>
      <c r="K26" s="76"/>
      <c r="L26" s="76"/>
    </row>
    <row r="27" spans="2:12" x14ac:dyDescent="0.25">
      <c r="B27" s="98" t="s">
        <v>184</v>
      </c>
      <c r="C27" s="99">
        <f>'Data Sheet'!B61/'Data Sheet'!B61</f>
        <v>1</v>
      </c>
      <c r="D27" s="99">
        <f>'Data Sheet'!C61/'Data Sheet'!C61</f>
        <v>1</v>
      </c>
      <c r="E27" s="99">
        <f>'Data Sheet'!D61/'Data Sheet'!D61</f>
        <v>1</v>
      </c>
      <c r="F27" s="99">
        <f>'Data Sheet'!E61/'Data Sheet'!E61</f>
        <v>1</v>
      </c>
      <c r="G27" s="99">
        <f>'Data Sheet'!F61/'Data Sheet'!F61</f>
        <v>1</v>
      </c>
      <c r="H27" s="99">
        <f>'Data Sheet'!G61/'Data Sheet'!G61</f>
        <v>1</v>
      </c>
      <c r="I27" s="99">
        <f>'Data Sheet'!H61/'Data Sheet'!H61</f>
        <v>1</v>
      </c>
      <c r="J27" s="99">
        <f>'Data Sheet'!I61/'Data Sheet'!I61</f>
        <v>1</v>
      </c>
      <c r="K27" s="99">
        <f>'Data Sheet'!J61/'Data Sheet'!J61</f>
        <v>1</v>
      </c>
      <c r="L27" s="99">
        <f>'Data Sheet'!K61/'Data Sheet'!K61</f>
        <v>1</v>
      </c>
    </row>
    <row r="28" spans="2:12" x14ac:dyDescent="0.25">
      <c r="B28" s="74" t="str">
        <f>'Data Sheet'!A57</f>
        <v>Equity Share Capital</v>
      </c>
      <c r="C28" s="75">
        <f>'Data Sheet'!B57/'Data Sheet'!B$61</f>
        <v>1.5724278731326192E-2</v>
      </c>
      <c r="D28" s="75">
        <f>'Data Sheet'!C57/'Data Sheet'!C$61</f>
        <v>1.4993558348747325E-2</v>
      </c>
      <c r="E28" s="75">
        <f>'Data Sheet'!D57/'Data Sheet'!D$61</f>
        <v>1.4601500709795174E-2</v>
      </c>
      <c r="F28" s="75">
        <f>'Data Sheet'!E57/'Data Sheet'!E$61</f>
        <v>1.3752705972239909E-2</v>
      </c>
      <c r="G28" s="75">
        <f>'Data Sheet'!F57/'Data Sheet'!F$61</f>
        <v>1.2092710782667115E-2</v>
      </c>
      <c r="H28" s="75">
        <f>'Data Sheet'!G57/'Data Sheet'!G$61</f>
        <v>1.1594825272424714E-2</v>
      </c>
      <c r="I28" s="75">
        <f>'Data Sheet'!H57/'Data Sheet'!H$61</f>
        <v>1.0718007244578972E-2</v>
      </c>
      <c r="J28" s="75">
        <f>'Data Sheet'!I57/'Data Sheet'!I$61</f>
        <v>3.4186790805935409E-3</v>
      </c>
      <c r="K28" s="75">
        <f>'Data Sheet'!J57/'Data Sheet'!J$61</f>
        <v>3.3330496695316712E-3</v>
      </c>
      <c r="L28" s="75">
        <f>'Data Sheet'!K57/'Data Sheet'!K$61</f>
        <v>3.2157860886462223E-3</v>
      </c>
    </row>
    <row r="29" spans="2:12" x14ac:dyDescent="0.25">
      <c r="B29" s="74" t="str">
        <f>'Data Sheet'!A58</f>
        <v>Reserves</v>
      </c>
      <c r="C29" s="79">
        <f>'Data Sheet'!B58/'Data Sheet'!B$61</f>
        <v>0.24146041592596715</v>
      </c>
      <c r="D29" s="79">
        <f>'Data Sheet'!C58/'Data Sheet'!C$61</f>
        <v>0.26412017577842106</v>
      </c>
      <c r="E29" s="79">
        <f>'Data Sheet'!D58/'Data Sheet'!D$61</f>
        <v>0.42973027783411072</v>
      </c>
      <c r="F29" s="79">
        <f>'Data Sheet'!E58/'Data Sheet'!E$61</f>
        <v>0.41563733604991721</v>
      </c>
      <c r="G29" s="79">
        <f>'Data Sheet'!F58/'Data Sheet'!F$61</f>
        <v>0.3955324151830702</v>
      </c>
      <c r="H29" s="79">
        <f>'Data Sheet'!G58/'Data Sheet'!G$61</f>
        <v>0.41070374147834021</v>
      </c>
      <c r="I29" s="79">
        <f>'Data Sheet'!H58/'Data Sheet'!H$61</f>
        <v>0.39760829653153379</v>
      </c>
      <c r="J29" s="79">
        <f>'Data Sheet'!I58/'Data Sheet'!I$61</f>
        <v>0.69012219959266807</v>
      </c>
      <c r="K29" s="79">
        <f>'Data Sheet'!J58/'Data Sheet'!J$61</f>
        <v>0.69250843899809944</v>
      </c>
      <c r="L29" s="79">
        <f>'Data Sheet'!K58/'Data Sheet'!K$61</f>
        <v>0.68515401562735201</v>
      </c>
    </row>
    <row r="30" spans="2:12" x14ac:dyDescent="0.25">
      <c r="B30" s="74" t="str">
        <f>'Data Sheet'!A59</f>
        <v>Borrowings</v>
      </c>
      <c r="C30" s="79">
        <f>'Data Sheet'!B59/'Data Sheet'!B$61</f>
        <v>3.3139715382339108E-3</v>
      </c>
      <c r="D30" s="79">
        <f>'Data Sheet'!C59/'Data Sheet'!C$61</f>
        <v>2.9827721346433319E-3</v>
      </c>
      <c r="E30" s="79">
        <f>'Data Sheet'!D59/'Data Sheet'!D$61</f>
        <v>1.1965118637193267E-2</v>
      </c>
      <c r="F30" s="79">
        <f>'Data Sheet'!E59/'Data Sheet'!E$61</f>
        <v>1.7636572010696547E-2</v>
      </c>
      <c r="G30" s="79">
        <f>'Data Sheet'!F59/'Data Sheet'!F$61</f>
        <v>0</v>
      </c>
      <c r="H30" s="79">
        <f>'Data Sheet'!G59/'Data Sheet'!G$61</f>
        <v>5.3142949165279939E-3</v>
      </c>
      <c r="I30" s="79">
        <f>'Data Sheet'!H59/'Data Sheet'!H$61</f>
        <v>0</v>
      </c>
      <c r="J30" s="79">
        <f>'Data Sheet'!I59/'Data Sheet'!I$61</f>
        <v>1.4678498690718651E-2</v>
      </c>
      <c r="K30" s="79">
        <f>'Data Sheet'!J59/'Data Sheet'!J$61</f>
        <v>1.4793067256687375E-2</v>
      </c>
      <c r="L30" s="79">
        <f>'Data Sheet'!K59/'Data Sheet'!K$61</f>
        <v>1.668103507259466E-2</v>
      </c>
    </row>
    <row r="31" spans="2:12" x14ac:dyDescent="0.25">
      <c r="B31" s="74" t="str">
        <f>'Data Sheet'!A60</f>
        <v>Other Liabilities</v>
      </c>
      <c r="C31" s="75">
        <f>'Data Sheet'!B60/'Data Sheet'!B$61</f>
        <v>0.7395013338044728</v>
      </c>
      <c r="D31" s="75">
        <f>'Data Sheet'!C60/'Data Sheet'!C$61</f>
        <v>0.71790349373818829</v>
      </c>
      <c r="E31" s="75">
        <f>'Data Sheet'!D60/'Data Sheet'!D$61</f>
        <v>0.54370310281890089</v>
      </c>
      <c r="F31" s="75">
        <f>'Data Sheet'!E60/'Data Sheet'!E$61</f>
        <v>0.55297338596714629</v>
      </c>
      <c r="G31" s="75">
        <f>'Data Sheet'!F60/'Data Sheet'!F$61</f>
        <v>0.5923748740342627</v>
      </c>
      <c r="H31" s="75">
        <f>'Data Sheet'!G60/'Data Sheet'!G$61</f>
        <v>0.57238713833270705</v>
      </c>
      <c r="I31" s="75">
        <f>'Data Sheet'!H60/'Data Sheet'!H$61</f>
        <v>0.59167369622388721</v>
      </c>
      <c r="J31" s="75">
        <f>'Data Sheet'!I60/'Data Sheet'!I$61</f>
        <v>0.29178062263601978</v>
      </c>
      <c r="K31" s="75">
        <f>'Data Sheet'!J60/'Data Sheet'!J$61</f>
        <v>0.28936544407568149</v>
      </c>
      <c r="L31" s="75">
        <f>'Data Sheet'!K60/'Data Sheet'!K$61</f>
        <v>0.29494916321140713</v>
      </c>
    </row>
    <row r="32" spans="2:12" x14ac:dyDescent="0.25">
      <c r="B32" s="74"/>
    </row>
    <row r="33" spans="2:12" x14ac:dyDescent="0.25">
      <c r="B33" s="98" t="s">
        <v>88</v>
      </c>
      <c r="C33" s="100">
        <f>'Data Sheet'!B66/'Data Sheet'!B66</f>
        <v>1</v>
      </c>
      <c r="D33" s="100">
        <f>'Data Sheet'!C66/'Data Sheet'!C66</f>
        <v>1</v>
      </c>
      <c r="E33" s="100">
        <f>'Data Sheet'!D66/'Data Sheet'!D66</f>
        <v>1</v>
      </c>
      <c r="F33" s="100">
        <f>'Data Sheet'!E66/'Data Sheet'!E66</f>
        <v>1</v>
      </c>
      <c r="G33" s="100">
        <f>'Data Sheet'!F66/'Data Sheet'!F66</f>
        <v>1</v>
      </c>
      <c r="H33" s="100">
        <f>'Data Sheet'!G66/'Data Sheet'!G66</f>
        <v>1</v>
      </c>
      <c r="I33" s="100">
        <f>'Data Sheet'!H66/'Data Sheet'!H66</f>
        <v>1</v>
      </c>
      <c r="J33" s="100">
        <f>'Data Sheet'!I66/'Data Sheet'!I66</f>
        <v>1</v>
      </c>
      <c r="K33" s="100">
        <f>'Data Sheet'!J66/'Data Sheet'!J66</f>
        <v>1</v>
      </c>
      <c r="L33" s="100">
        <f>'Data Sheet'!K66/'Data Sheet'!K66</f>
        <v>1</v>
      </c>
    </row>
    <row r="34" spans="2:12" x14ac:dyDescent="0.25">
      <c r="B34" s="74" t="str">
        <f>'Data Sheet'!A62</f>
        <v>Net Block</v>
      </c>
      <c r="C34" s="75">
        <f>'Data Sheet'!B62/'Data Sheet'!B$66</f>
        <v>0.1996700569802434</v>
      </c>
      <c r="D34" s="75">
        <f>'Data Sheet'!C62/'Data Sheet'!C$66</f>
        <v>0.19550255621631474</v>
      </c>
      <c r="E34" s="75">
        <f>'Data Sheet'!D62/'Data Sheet'!D$66</f>
        <v>0.22023930237274386</v>
      </c>
      <c r="F34" s="75">
        <f>'Data Sheet'!E62/'Data Sheet'!E$66</f>
        <v>0.2813574430154081</v>
      </c>
      <c r="G34" s="75">
        <f>'Data Sheet'!F62/'Data Sheet'!F$66</f>
        <v>0.25349904825887359</v>
      </c>
      <c r="H34" s="75">
        <f>'Data Sheet'!G62/'Data Sheet'!G$66</f>
        <v>0.25310000536797467</v>
      </c>
      <c r="I34" s="75">
        <f>'Data Sheet'!H62/'Data Sheet'!H$66</f>
        <v>0.27187019302337123</v>
      </c>
      <c r="J34" s="75">
        <f>'Data Sheet'!I62/'Data Sheet'!I$66</f>
        <v>0.74837067209775965</v>
      </c>
      <c r="K34" s="75">
        <f>'Data Sheet'!J62/'Data Sheet'!J$66</f>
        <v>0.73005134314810083</v>
      </c>
      <c r="L34" s="75">
        <f>'Data Sheet'!K62/'Data Sheet'!K$66</f>
        <v>0.720856083309386</v>
      </c>
    </row>
    <row r="35" spans="2:12" x14ac:dyDescent="0.25">
      <c r="B35" s="74" t="str">
        <f>'Data Sheet'!A63</f>
        <v>Capital Work in Progress</v>
      </c>
      <c r="C35" s="79">
        <f>'Data Sheet'!B63/'Data Sheet'!B$66</f>
        <v>2.7090517664457112E-2</v>
      </c>
      <c r="D35" s="79">
        <f>'Data Sheet'!C63/'Data Sheet'!C$66</f>
        <v>3.5780791196941268E-2</v>
      </c>
      <c r="E35" s="79">
        <f>'Data Sheet'!D63/'Data Sheet'!D$66</f>
        <v>2.7580612451835327E-2</v>
      </c>
      <c r="F35" s="79">
        <f>'Data Sheet'!E63/'Data Sheet'!E$66</f>
        <v>1.458041512797657E-2</v>
      </c>
      <c r="G35" s="79">
        <f>'Data Sheet'!F63/'Data Sheet'!F$66</f>
        <v>2.5808979957451572E-2</v>
      </c>
      <c r="H35" s="79">
        <f>'Data Sheet'!G63/'Data Sheet'!G$66</f>
        <v>2.1793977132427936E-2</v>
      </c>
      <c r="I35" s="79">
        <f>'Data Sheet'!H63/'Data Sheet'!H$66</f>
        <v>2.9623381134322432E-2</v>
      </c>
      <c r="J35" s="79">
        <f>'Data Sheet'!I63/'Data Sheet'!I$66</f>
        <v>1.0837940064009311E-2</v>
      </c>
      <c r="K35" s="79">
        <f>'Data Sheet'!J63/'Data Sheet'!J$66</f>
        <v>1.8622528579128019E-2</v>
      </c>
      <c r="L35" s="79">
        <f>'Data Sheet'!K63/'Data Sheet'!K$66</f>
        <v>1.5490510009989463E-2</v>
      </c>
    </row>
    <row r="36" spans="2:12" x14ac:dyDescent="0.25">
      <c r="B36" s="74" t="str">
        <f>'Data Sheet'!A64</f>
        <v>Investments</v>
      </c>
      <c r="C36" s="79">
        <f>'Data Sheet'!B64/'Data Sheet'!B$66</f>
        <v>0.20635180301718278</v>
      </c>
      <c r="D36" s="79">
        <f>'Data Sheet'!C64/'Data Sheet'!C$66</f>
        <v>0.20964508199504764</v>
      </c>
      <c r="E36" s="79">
        <f>'Data Sheet'!D64/'Data Sheet'!D$66</f>
        <v>0.17521800851754207</v>
      </c>
      <c r="F36" s="79">
        <f>'Data Sheet'!E64/'Data Sheet'!E$66</f>
        <v>0.24156373360499173</v>
      </c>
      <c r="G36" s="79">
        <f>'Data Sheet'!F64/'Data Sheet'!F$66</f>
        <v>0.16084425036390101</v>
      </c>
      <c r="H36" s="79">
        <f>'Data Sheet'!G64/'Data Sheet'!G$66</f>
        <v>0.14579419185141446</v>
      </c>
      <c r="I36" s="79">
        <f>'Data Sheet'!H64/'Data Sheet'!H$66</f>
        <v>6.2273606907160224E-2</v>
      </c>
      <c r="J36" s="79">
        <f>'Data Sheet'!I64/'Data Sheet'!I$66</f>
        <v>3.9409368635437883E-2</v>
      </c>
      <c r="K36" s="79">
        <f>'Data Sheet'!J64/'Data Sheet'!J$66</f>
        <v>4.9939012282642609E-2</v>
      </c>
      <c r="L36" s="79">
        <f>'Data Sheet'!K64/'Data Sheet'!K$66</f>
        <v>3.9437853223312398E-2</v>
      </c>
    </row>
    <row r="37" spans="2:12" x14ac:dyDescent="0.25">
      <c r="B37" s="74" t="str">
        <f>'Data Sheet'!A65</f>
        <v>Other Assets</v>
      </c>
      <c r="C37" s="79">
        <f>('Data Sheet'!B65-'Data Sheet'!B67-'Data Sheet'!B68-'Data Sheet'!B69)/'Data Sheet'!B$66</f>
        <v>9.6281124830866052E-2</v>
      </c>
      <c r="D37" s="79">
        <f>('Data Sheet'!C65-'Data Sheet'!C67-'Data Sheet'!C68-'Data Sheet'!C69)/'Data Sheet'!C$66</f>
        <v>0.10524112704987625</v>
      </c>
      <c r="E37" s="79">
        <f>('Data Sheet'!D65-'Data Sheet'!D67-'Data Sheet'!D68-'Data Sheet'!D69)/'Data Sheet'!D$66</f>
        <v>0.10383289393632124</v>
      </c>
      <c r="F37" s="79">
        <f>('Data Sheet'!E65-'Data Sheet'!E67-'Data Sheet'!E68-'Data Sheet'!E69)/'Data Sheet'!E$66</f>
        <v>0.1152425824525659</v>
      </c>
      <c r="G37" s="79">
        <f>('Data Sheet'!F65-'Data Sheet'!F67-'Data Sheet'!F68-'Data Sheet'!F69)/'Data Sheet'!F$66</f>
        <v>0.15071100660620312</v>
      </c>
      <c r="H37" s="79">
        <f>('Data Sheet'!G65-'Data Sheet'!G67-'Data Sheet'!G68-'Data Sheet'!G69)/'Data Sheet'!G$66</f>
        <v>0.14198292984057115</v>
      </c>
      <c r="I37" s="79">
        <f>('Data Sheet'!H65-'Data Sheet'!H67-'Data Sheet'!H68-'Data Sheet'!H69)/'Data Sheet'!H$66</f>
        <v>0.18821019203096312</v>
      </c>
      <c r="J37" s="79">
        <f>('Data Sheet'!I65-'Data Sheet'!I67-'Data Sheet'!I68-'Data Sheet'!I69)/'Data Sheet'!I$66</f>
        <v>5.8699447192318885E-2</v>
      </c>
      <c r="K37" s="79">
        <f>('Data Sheet'!J65-'Data Sheet'!J67-'Data Sheet'!J68-'Data Sheet'!J69)/'Data Sheet'!J$66</f>
        <v>5.7030607324199359E-2</v>
      </c>
      <c r="L37" s="79">
        <f>('Data Sheet'!K65-'Data Sheet'!K67-'Data Sheet'!K68-'Data Sheet'!K69)/'Data Sheet'!K$66</f>
        <v>5.9895726425551132E-2</v>
      </c>
    </row>
    <row r="38" spans="2:12" x14ac:dyDescent="0.25">
      <c r="B38" s="74" t="str">
        <f>'Data Sheet'!A67</f>
        <v>Receivables</v>
      </c>
      <c r="C38" s="79">
        <f>'Data Sheet'!B67/'Data Sheet'!B$66</f>
        <v>7.3928903023072021E-2</v>
      </c>
      <c r="D38" s="79">
        <f>'Data Sheet'!C67/'Data Sheet'!C$66</f>
        <v>7.0014754465322154E-2</v>
      </c>
      <c r="E38" s="79">
        <f>'Data Sheet'!D67/'Data Sheet'!D$66</f>
        <v>8.5445818968431009E-2</v>
      </c>
      <c r="F38" s="79">
        <f>'Data Sheet'!E67/'Data Sheet'!E$66</f>
        <v>6.9081879536482871E-2</v>
      </c>
      <c r="G38" s="79">
        <f>'Data Sheet'!F67/'Data Sheet'!F$66</f>
        <v>7.3340051505990364E-2</v>
      </c>
      <c r="H38" s="79">
        <f>'Data Sheet'!G67/'Data Sheet'!G$66</f>
        <v>9.748241988297815E-2</v>
      </c>
      <c r="I38" s="79">
        <f>'Data Sheet'!H67/'Data Sheet'!H$66</f>
        <v>5.7013844092690912E-2</v>
      </c>
      <c r="J38" s="79">
        <f>'Data Sheet'!I67/'Data Sheet'!I$66</f>
        <v>2.5574629036950829E-2</v>
      </c>
      <c r="K38" s="79">
        <f>'Data Sheet'!J67/'Data Sheet'!J$66</f>
        <v>3.1713613025841775E-2</v>
      </c>
      <c r="L38" s="79">
        <f>'Data Sheet'!K67/'Data Sheet'!K$66</f>
        <v>4.2133639859326465E-2</v>
      </c>
    </row>
    <row r="39" spans="2:12" x14ac:dyDescent="0.25">
      <c r="B39" s="74" t="str">
        <f>'Data Sheet'!A68</f>
        <v>Inventory</v>
      </c>
      <c r="C39" s="79">
        <f>'Data Sheet'!B68/'Data Sheet'!B$66</f>
        <v>0.21374534767982004</v>
      </c>
      <c r="D39" s="79">
        <f>'Data Sheet'!C68/'Data Sheet'!C$66</f>
        <v>0.19742777484782942</v>
      </c>
      <c r="E39" s="79">
        <f>'Data Sheet'!D68/'Data Sheet'!D$66</f>
        <v>0.18427634692084094</v>
      </c>
      <c r="F39" s="79">
        <f>'Data Sheet'!E68/'Data Sheet'!E$66</f>
        <v>0.16178530497898891</v>
      </c>
      <c r="G39" s="79">
        <f>'Data Sheet'!F68/'Data Sheet'!F$66</f>
        <v>0.14068973239278917</v>
      </c>
      <c r="H39" s="79">
        <f>'Data Sheet'!G68/'Data Sheet'!G$66</f>
        <v>0.13817166782972784</v>
      </c>
      <c r="I39" s="79">
        <f>'Data Sheet'!H68/'Data Sheet'!H$66</f>
        <v>0.13729965761921303</v>
      </c>
      <c r="J39" s="79">
        <f>'Data Sheet'!I68/'Data Sheet'!I$66</f>
        <v>5.2065755018911843E-2</v>
      </c>
      <c r="K39" s="79">
        <f>'Data Sheet'!J68/'Data Sheet'!J$66</f>
        <v>5.8094346580432873E-2</v>
      </c>
      <c r="L39" s="79">
        <f>'Data Sheet'!K68/'Data Sheet'!K$66</f>
        <v>5.8171517714191878E-2</v>
      </c>
    </row>
    <row r="40" spans="2:12" x14ac:dyDescent="0.25">
      <c r="B40" s="74" t="str">
        <f>'Data Sheet'!A69</f>
        <v>Cash &amp; Bank</v>
      </c>
      <c r="C40" s="75">
        <f>'Data Sheet'!B69/'Data Sheet'!B$66</f>
        <v>0.18293224680435866</v>
      </c>
      <c r="D40" s="75">
        <f>'Data Sheet'!C69/'Data Sheet'!C$66</f>
        <v>0.18638791422866854</v>
      </c>
      <c r="E40" s="75">
        <f>'Data Sheet'!D69/'Data Sheet'!D$66</f>
        <v>0.20340701683228554</v>
      </c>
      <c r="F40" s="75">
        <f>'Data Sheet'!E69/'Data Sheet'!E$66</f>
        <v>0.11638864128358589</v>
      </c>
      <c r="G40" s="75">
        <f>'Data Sheet'!F69/'Data Sheet'!F$66</f>
        <v>0.19510693091479117</v>
      </c>
      <c r="H40" s="75">
        <f>'Data Sheet'!G69/'Data Sheet'!G$66</f>
        <v>0.20167480809490579</v>
      </c>
      <c r="I40" s="75">
        <f>'Data Sheet'!H69/'Data Sheet'!H$66</f>
        <v>0.25370912519227906</v>
      </c>
      <c r="J40" s="75">
        <f>'Data Sheet'!I69/'Data Sheet'!I$66</f>
        <v>6.5042187954611586E-2</v>
      </c>
      <c r="K40" s="75">
        <f>'Data Sheet'!J69/'Data Sheet'!J$66</f>
        <v>5.4548549059654498E-2</v>
      </c>
      <c r="L40" s="75">
        <f>'Data Sheet'!K69/'Data Sheet'!K$66</f>
        <v>6.4014669458242676E-2</v>
      </c>
    </row>
    <row r="41" spans="2:12" x14ac:dyDescent="0.25">
      <c r="B41" s="74"/>
    </row>
    <row r="42" spans="2:12" x14ac:dyDescent="0.25">
      <c r="B42" s="74"/>
    </row>
    <row r="43" spans="2:12" x14ac:dyDescent="0.25">
      <c r="B43" s="74"/>
    </row>
    <row r="44" spans="2:12" x14ac:dyDescent="0.25">
      <c r="B44" s="74"/>
    </row>
    <row r="45" spans="2:12" x14ac:dyDescent="0.25">
      <c r="B45" s="74"/>
    </row>
    <row r="46" spans="2:12" x14ac:dyDescent="0.25">
      <c r="B46" s="74"/>
    </row>
    <row r="47" spans="2:12" x14ac:dyDescent="0.25">
      <c r="B47" s="74"/>
    </row>
    <row r="48" spans="2:12" x14ac:dyDescent="0.25">
      <c r="B48" s="74"/>
    </row>
    <row r="49" spans="2:2" x14ac:dyDescent="0.25">
      <c r="B49" s="74"/>
    </row>
    <row r="50" spans="2:2" x14ac:dyDescent="0.25">
      <c r="B50" s="74"/>
    </row>
  </sheetData>
  <mergeCells count="2">
    <mergeCell ref="B2:L2"/>
    <mergeCell ref="B23:L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AF7B-0CCD-4D99-88E8-7CCE2FA6C538}">
  <sheetPr>
    <tabColor theme="5"/>
  </sheetPr>
  <dimension ref="B1:AG19"/>
  <sheetViews>
    <sheetView showGridLines="0" topLeftCell="D1" zoomScale="80" zoomScaleNormal="80" workbookViewId="0">
      <selection activeCell="J2" sqref="J2:R19"/>
    </sheetView>
  </sheetViews>
  <sheetFormatPr defaultRowHeight="15" x14ac:dyDescent="0.25"/>
  <cols>
    <col min="1" max="1" width="1.85546875" customWidth="1"/>
    <col min="2" max="2" width="12.28515625" customWidth="1"/>
    <col min="3" max="3" width="8.7109375" customWidth="1"/>
    <col min="4" max="4" width="12.85546875" customWidth="1"/>
    <col min="5" max="5" width="14" customWidth="1"/>
    <col min="6" max="6" width="11.85546875" customWidth="1"/>
    <col min="7" max="7" width="18.140625" customWidth="1"/>
    <col min="8" max="8" width="14.5703125" customWidth="1"/>
    <col min="10" max="10" width="19.28515625" bestFit="1" customWidth="1"/>
    <col min="11" max="11" width="13" bestFit="1" customWidth="1"/>
    <col min="12" max="12" width="14.5703125" bestFit="1" customWidth="1"/>
    <col min="13" max="14" width="13" bestFit="1" customWidth="1"/>
    <col min="15" max="15" width="13.85546875" bestFit="1" customWidth="1"/>
    <col min="16" max="16" width="13" bestFit="1" customWidth="1"/>
    <col min="17" max="17" width="13.7109375" bestFit="1" customWidth="1"/>
    <col min="18" max="18" width="13.140625" bestFit="1" customWidth="1"/>
    <col min="19" max="23" width="13.140625" customWidth="1"/>
    <col min="25" max="25" width="13" bestFit="1" customWidth="1"/>
    <col min="26" max="26" width="10.7109375" customWidth="1"/>
    <col min="27" max="27" width="15.85546875" customWidth="1"/>
    <col min="28" max="28" width="14.28515625" bestFit="1" customWidth="1"/>
    <col min="30" max="33" width="12.7109375" customWidth="1"/>
  </cols>
  <sheetData>
    <row r="1" spans="2:33" x14ac:dyDescent="0.25">
      <c r="F1" s="55"/>
    </row>
    <row r="2" spans="2:33" ht="15" customHeight="1" x14ac:dyDescent="0.25">
      <c r="B2" s="311" t="str">
        <f>'Data Sheet'!B1&amp;" - Sales Forecasting"</f>
        <v>HINDUSTAN UNILEVER LTD - Sales Forecasting</v>
      </c>
      <c r="C2" s="311"/>
      <c r="D2" s="311"/>
      <c r="E2" s="311"/>
      <c r="F2" s="56"/>
      <c r="J2" t="s">
        <v>159</v>
      </c>
      <c r="T2" s="311" t="s">
        <v>371</v>
      </c>
      <c r="U2" s="311"/>
      <c r="V2" s="311"/>
      <c r="W2" s="311"/>
      <c r="Y2" s="311" t="str">
        <f>'Data Sheet'!B1&amp;" - "&amp;'Historical FS&gt;'!B17&amp;" Forecasting"</f>
        <v>HINDUSTAN UNILEVER LTD - EBITDA Forecasting</v>
      </c>
      <c r="Z2" s="311"/>
      <c r="AA2" s="311"/>
      <c r="AB2" s="311"/>
      <c r="AD2" s="311" t="str">
        <f>'Data Sheet'!B1&amp;" - "&amp;'Historical FS&gt;'!B37&amp;" Forecasting"</f>
        <v>HINDUSTAN UNILEVER LTD - Earning Per Share (EPS) Forecasting</v>
      </c>
      <c r="AE2" s="311"/>
      <c r="AF2" s="311"/>
      <c r="AG2" s="311"/>
    </row>
    <row r="3" spans="2:33" ht="15.75" thickBot="1" x14ac:dyDescent="0.3">
      <c r="B3" s="48" t="s">
        <v>154</v>
      </c>
      <c r="C3" s="49" t="s">
        <v>155</v>
      </c>
      <c r="D3" s="49" t="s">
        <v>1</v>
      </c>
      <c r="E3" s="49" t="s">
        <v>10</v>
      </c>
      <c r="F3" s="57"/>
      <c r="T3" s="48" t="s">
        <v>154</v>
      </c>
      <c r="U3" s="49" t="s">
        <v>155</v>
      </c>
      <c r="V3" s="49" t="s">
        <v>1</v>
      </c>
      <c r="W3" s="49" t="s">
        <v>10</v>
      </c>
      <c r="Y3" s="66" t="s">
        <v>154</v>
      </c>
      <c r="Z3" s="67" t="s">
        <v>155</v>
      </c>
      <c r="AA3" s="67" t="s">
        <v>1</v>
      </c>
      <c r="AB3" s="67" t="s">
        <v>10</v>
      </c>
      <c r="AD3" s="66" t="s">
        <v>154</v>
      </c>
      <c r="AE3" s="67" t="s">
        <v>155</v>
      </c>
      <c r="AF3" s="67" t="s">
        <v>1</v>
      </c>
      <c r="AG3" s="67" t="s">
        <v>10</v>
      </c>
    </row>
    <row r="4" spans="2:33" x14ac:dyDescent="0.25">
      <c r="B4" s="47">
        <v>1</v>
      </c>
      <c r="C4" s="54">
        <f>'Data Sheet'!B16</f>
        <v>41729</v>
      </c>
      <c r="D4" s="62">
        <f>'Historical FS&gt;'!C5</f>
        <v>29233.74</v>
      </c>
      <c r="E4" s="50" t="s">
        <v>61</v>
      </c>
      <c r="F4" s="58"/>
      <c r="G4" s="46"/>
      <c r="J4" s="265" t="s">
        <v>160</v>
      </c>
      <c r="K4" s="265"/>
      <c r="T4" s="47">
        <v>1</v>
      </c>
      <c r="U4" s="54">
        <v>41729</v>
      </c>
      <c r="V4" s="62">
        <v>29233.74</v>
      </c>
      <c r="W4" s="50" t="s">
        <v>61</v>
      </c>
      <c r="Y4" s="64">
        <v>1</v>
      </c>
      <c r="Z4" s="54">
        <v>41729</v>
      </c>
      <c r="AA4" s="13">
        <f>'Historical FS&gt;'!C17</f>
        <v>4759.010000000002</v>
      </c>
      <c r="AB4" s="26" t="s">
        <v>61</v>
      </c>
      <c r="AD4" s="64">
        <v>1</v>
      </c>
      <c r="AE4" s="54">
        <v>41729</v>
      </c>
      <c r="AF4" s="13">
        <f>'Historical FS&gt;'!C37</f>
        <v>14.626855319739223</v>
      </c>
      <c r="AG4" s="26" t="s">
        <v>61</v>
      </c>
    </row>
    <row r="5" spans="2:33" x14ac:dyDescent="0.25">
      <c r="B5" s="47">
        <f>B4+1</f>
        <v>2</v>
      </c>
      <c r="C5" s="54">
        <f>C4+365</f>
        <v>42094</v>
      </c>
      <c r="D5" s="62">
        <f>'Historical FS&gt;'!D5</f>
        <v>31972.19</v>
      </c>
      <c r="E5" s="20">
        <f>D5/D4-1</f>
        <v>9.3674295522912843E-2</v>
      </c>
      <c r="F5" s="59"/>
      <c r="G5" s="52" t="s">
        <v>156</v>
      </c>
      <c r="H5" s="51">
        <f>AVERAGE(E5:E13)</f>
        <v>8.5879242651553042E-2</v>
      </c>
      <c r="J5" t="s">
        <v>161</v>
      </c>
      <c r="K5">
        <v>0.94141319682686564</v>
      </c>
      <c r="T5" s="47">
        <v>2</v>
      </c>
      <c r="U5" s="54">
        <v>42094</v>
      </c>
      <c r="V5" s="62">
        <v>31972.19</v>
      </c>
      <c r="W5" s="20">
        <v>9.3674295522912843E-2</v>
      </c>
      <c r="Y5" s="64">
        <f>Y4+1</f>
        <v>2</v>
      </c>
      <c r="Z5" s="65">
        <f>Z4+365</f>
        <v>42094</v>
      </c>
      <c r="AA5" s="13">
        <f>'Historical FS&gt;'!D17</f>
        <v>5412.42</v>
      </c>
      <c r="AB5" s="20">
        <f>AA5/AA4-1</f>
        <v>0.13729956440520152</v>
      </c>
      <c r="AD5" s="64">
        <f>AD4+1</f>
        <v>2</v>
      </c>
      <c r="AE5" s="65">
        <f>AE4+365</f>
        <v>42094</v>
      </c>
      <c r="AF5" s="13">
        <f>'Historical FS&gt;'!D37</f>
        <v>14.459579385255374</v>
      </c>
      <c r="AG5" s="20">
        <f>AF5/AF4-1</f>
        <v>-1.1436219941145298E-2</v>
      </c>
    </row>
    <row r="6" spans="2:33" x14ac:dyDescent="0.25">
      <c r="B6" s="47">
        <f t="shared" ref="B6:B13" si="0">B5+1</f>
        <v>3</v>
      </c>
      <c r="C6" s="54">
        <f t="shared" ref="C6:C13" si="1">C5+365</f>
        <v>42459</v>
      </c>
      <c r="D6" s="62">
        <f>'Historical FS&gt;'!E5</f>
        <v>32186</v>
      </c>
      <c r="E6" s="20">
        <f t="shared" ref="E6:E13" si="2">D6/D5-1</f>
        <v>6.6873742461808217E-3</v>
      </c>
      <c r="F6" s="59"/>
      <c r="G6" s="312" t="s">
        <v>157</v>
      </c>
      <c r="H6" s="51">
        <f>_xlfn.RRI(B13,D4,D13)</f>
        <v>7.5584385606589199E-2</v>
      </c>
      <c r="J6" t="s">
        <v>162</v>
      </c>
      <c r="K6">
        <v>0.88625880715977889</v>
      </c>
      <c r="T6" s="47">
        <v>3</v>
      </c>
      <c r="U6" s="54">
        <v>42459</v>
      </c>
      <c r="V6" s="62">
        <v>32186</v>
      </c>
      <c r="W6" s="20">
        <v>6.6873742461808217E-3</v>
      </c>
      <c r="Y6" s="64">
        <f t="shared" ref="Y6:Y17" si="3">Y5+1</f>
        <v>3</v>
      </c>
      <c r="Z6" s="65">
        <f t="shared" ref="Z6:Z17" si="4">Z5+365</f>
        <v>42459</v>
      </c>
      <c r="AA6" s="13">
        <f>'Historical FS&gt;'!E17</f>
        <v>5910</v>
      </c>
      <c r="AB6" s="20">
        <f t="shared" ref="AB6:AB17" si="5">AA6/AA5-1</f>
        <v>9.1932998547784583E-2</v>
      </c>
      <c r="AD6" s="64">
        <f t="shared" ref="AD6:AD17" si="6">AD5+1</f>
        <v>3</v>
      </c>
      <c r="AE6" s="65">
        <f t="shared" ref="AE6:AE17" si="7">AE5+365</f>
        <v>42459</v>
      </c>
      <c r="AF6" s="13">
        <f>'Historical FS&gt;'!E37</f>
        <v>16.937011876704101</v>
      </c>
      <c r="AG6" s="20">
        <f t="shared" ref="AG6:AG17" si="8">AF6/AF5-1</f>
        <v>0.17133503163826447</v>
      </c>
    </row>
    <row r="7" spans="2:33" x14ac:dyDescent="0.25">
      <c r="B7" s="47">
        <f t="shared" si="0"/>
        <v>4</v>
      </c>
      <c r="C7" s="54">
        <f t="shared" si="1"/>
        <v>42824</v>
      </c>
      <c r="D7" s="62">
        <f>'Historical FS&gt;'!F5</f>
        <v>33162</v>
      </c>
      <c r="E7" s="20">
        <f t="shared" si="2"/>
        <v>3.03237432424035E-2</v>
      </c>
      <c r="F7" s="59"/>
      <c r="G7" s="313"/>
      <c r="H7" s="51">
        <f>(D13/D4)^(1/B13)-1</f>
        <v>7.5584385606589199E-2</v>
      </c>
      <c r="J7" t="s">
        <v>163</v>
      </c>
      <c r="K7">
        <v>0.87204115805475124</v>
      </c>
      <c r="T7" s="47">
        <v>4</v>
      </c>
      <c r="U7" s="54">
        <v>42824</v>
      </c>
      <c r="V7" s="62">
        <v>33162</v>
      </c>
      <c r="W7" s="20">
        <v>3.03237432424035E-2</v>
      </c>
      <c r="Y7" s="64">
        <f t="shared" si="3"/>
        <v>4</v>
      </c>
      <c r="Z7" s="65">
        <f t="shared" si="4"/>
        <v>42824</v>
      </c>
      <c r="AA7" s="13">
        <f>'Historical FS&gt;'!F17</f>
        <v>6328</v>
      </c>
      <c r="AB7" s="20">
        <f t="shared" si="5"/>
        <v>7.0727580372250465E-2</v>
      </c>
      <c r="AD7" s="64">
        <f t="shared" si="6"/>
        <v>4</v>
      </c>
      <c r="AE7" s="65">
        <f t="shared" si="7"/>
        <v>42824</v>
      </c>
      <c r="AF7" s="13">
        <f>'Historical FS&gt;'!F37</f>
        <v>17.945756133622879</v>
      </c>
      <c r="AG7" s="20">
        <f t="shared" si="8"/>
        <v>5.9558572920778818E-2</v>
      </c>
    </row>
    <row r="8" spans="2:33" x14ac:dyDescent="0.25">
      <c r="B8" s="47">
        <f t="shared" si="0"/>
        <v>5</v>
      </c>
      <c r="C8" s="54">
        <f t="shared" si="1"/>
        <v>43189</v>
      </c>
      <c r="D8" s="62">
        <f>'Historical FS&gt;'!G5</f>
        <v>35545</v>
      </c>
      <c r="E8" s="20">
        <f t="shared" si="2"/>
        <v>7.1859357095470644E-2</v>
      </c>
      <c r="F8" s="59"/>
      <c r="G8" s="312" t="s">
        <v>158</v>
      </c>
      <c r="H8" s="51">
        <f>_xlfn.STDEV.S(E5:E13)</f>
        <v>6.1625643929330176E-2</v>
      </c>
      <c r="J8" t="s">
        <v>164</v>
      </c>
      <c r="K8">
        <v>3648.4073222226962</v>
      </c>
      <c r="T8" s="47">
        <v>5</v>
      </c>
      <c r="U8" s="54">
        <v>43189</v>
      </c>
      <c r="V8" s="62">
        <v>35545</v>
      </c>
      <c r="W8" s="20">
        <v>7.1859357095470644E-2</v>
      </c>
      <c r="Y8" s="64">
        <f t="shared" si="3"/>
        <v>5</v>
      </c>
      <c r="Z8" s="65">
        <f t="shared" si="4"/>
        <v>43189</v>
      </c>
      <c r="AA8" s="13">
        <f>'Historical FS&gt;'!G17</f>
        <v>7499</v>
      </c>
      <c r="AB8" s="20">
        <f t="shared" si="5"/>
        <v>0.1850505689001265</v>
      </c>
      <c r="AD8" s="64">
        <f t="shared" si="6"/>
        <v>5</v>
      </c>
      <c r="AE8" s="65">
        <f t="shared" si="7"/>
        <v>43189</v>
      </c>
      <c r="AF8" s="13">
        <f>'Historical FS&gt;'!G37</f>
        <v>22.51790251790252</v>
      </c>
      <c r="AG8" s="20">
        <f t="shared" si="8"/>
        <v>0.25477591193348159</v>
      </c>
    </row>
    <row r="9" spans="2:33" ht="15.75" thickBot="1" x14ac:dyDescent="0.3">
      <c r="B9" s="47">
        <f t="shared" si="0"/>
        <v>6</v>
      </c>
      <c r="C9" s="54">
        <f t="shared" si="1"/>
        <v>43554</v>
      </c>
      <c r="D9" s="62">
        <f>'Historical FS&gt;'!H5</f>
        <v>39310</v>
      </c>
      <c r="E9" s="20">
        <f t="shared" si="2"/>
        <v>0.1059220706147137</v>
      </c>
      <c r="F9" s="59"/>
      <c r="G9" s="313"/>
      <c r="H9" s="51">
        <f>_xlfn.STDEV.P(E5:E13)</f>
        <v>5.8101214289889284E-2</v>
      </c>
      <c r="J9" s="263" t="s">
        <v>165</v>
      </c>
      <c r="K9" s="263">
        <v>10</v>
      </c>
      <c r="T9" s="47">
        <v>6</v>
      </c>
      <c r="U9" s="54">
        <v>43554</v>
      </c>
      <c r="V9" s="62">
        <v>39310</v>
      </c>
      <c r="W9" s="20">
        <v>0.1059220706147137</v>
      </c>
      <c r="Y9" s="64">
        <f t="shared" si="3"/>
        <v>6</v>
      </c>
      <c r="Z9" s="65">
        <f t="shared" si="4"/>
        <v>43554</v>
      </c>
      <c r="AA9" s="13">
        <f>'Historical FS&gt;'!H17</f>
        <v>8880</v>
      </c>
      <c r="AB9" s="20">
        <f t="shared" si="5"/>
        <v>0.1841578877183625</v>
      </c>
      <c r="AD9" s="64">
        <f t="shared" si="6"/>
        <v>6</v>
      </c>
      <c r="AE9" s="65">
        <f t="shared" si="7"/>
        <v>43554</v>
      </c>
      <c r="AF9" s="13">
        <f>'Historical FS&gt;'!H37</f>
        <v>26.507137247655564</v>
      </c>
      <c r="AG9" s="20">
        <f t="shared" si="8"/>
        <v>0.17715836217789205</v>
      </c>
    </row>
    <row r="10" spans="2:33" x14ac:dyDescent="0.25">
      <c r="B10" s="47">
        <f t="shared" si="0"/>
        <v>7</v>
      </c>
      <c r="C10" s="54">
        <f t="shared" si="1"/>
        <v>43919</v>
      </c>
      <c r="D10" s="62">
        <f>'Historical FS&gt;'!I5</f>
        <v>39783</v>
      </c>
      <c r="E10" s="20">
        <f t="shared" si="2"/>
        <v>1.2032561689137689E-2</v>
      </c>
      <c r="F10" s="59"/>
      <c r="T10" s="47">
        <v>7</v>
      </c>
      <c r="U10" s="54">
        <v>43919</v>
      </c>
      <c r="V10" s="62">
        <v>39783</v>
      </c>
      <c r="W10" s="20">
        <v>1.2032561689137689E-2</v>
      </c>
      <c r="Y10" s="64">
        <f t="shared" si="3"/>
        <v>7</v>
      </c>
      <c r="Z10" s="65">
        <f t="shared" si="4"/>
        <v>43919</v>
      </c>
      <c r="AA10" s="13">
        <f>'Historical FS&gt;'!I17</f>
        <v>9853</v>
      </c>
      <c r="AB10" s="20">
        <f t="shared" si="5"/>
        <v>0.10957207207207209</v>
      </c>
      <c r="AD10" s="64">
        <f t="shared" si="6"/>
        <v>7</v>
      </c>
      <c r="AE10" s="65">
        <f t="shared" si="7"/>
        <v>43919</v>
      </c>
      <c r="AF10" s="13">
        <f>'Historical FS&gt;'!I37</f>
        <v>29.212860310421288</v>
      </c>
      <c r="AG10" s="20">
        <f t="shared" si="8"/>
        <v>0.10207526514410881</v>
      </c>
    </row>
    <row r="11" spans="2:33" ht="15.75" thickBot="1" x14ac:dyDescent="0.3">
      <c r="B11" s="47">
        <f t="shared" si="0"/>
        <v>8</v>
      </c>
      <c r="C11" s="54">
        <f t="shared" si="1"/>
        <v>44284</v>
      </c>
      <c r="D11" s="62">
        <f>'Historical FS&gt;'!J5</f>
        <v>47028</v>
      </c>
      <c r="E11" s="20">
        <f t="shared" si="2"/>
        <v>0.18211296282331646</v>
      </c>
      <c r="F11" s="59"/>
      <c r="G11" s="53"/>
      <c r="J11" t="s">
        <v>166</v>
      </c>
      <c r="T11" s="47">
        <v>8</v>
      </c>
      <c r="U11" s="54">
        <v>44284</v>
      </c>
      <c r="V11" s="62">
        <v>47028</v>
      </c>
      <c r="W11" s="20">
        <v>0.18211296282331646</v>
      </c>
      <c r="Y11" s="64">
        <f t="shared" si="3"/>
        <v>8</v>
      </c>
      <c r="Z11" s="65">
        <f t="shared" si="4"/>
        <v>44284</v>
      </c>
      <c r="AA11" s="13">
        <f>'Historical FS&gt;'!J17</f>
        <v>11626</v>
      </c>
      <c r="AB11" s="20">
        <f t="shared" si="5"/>
        <v>0.1799451943570487</v>
      </c>
      <c r="AD11" s="64">
        <f t="shared" si="6"/>
        <v>8</v>
      </c>
      <c r="AE11" s="65">
        <f t="shared" si="7"/>
        <v>44284</v>
      </c>
      <c r="AF11" s="13">
        <f>'Historical FS&gt;'!J37</f>
        <v>33.320565202587673</v>
      </c>
      <c r="AG11" s="20">
        <f t="shared" si="8"/>
        <v>0.14061289611894034</v>
      </c>
    </row>
    <row r="12" spans="2:33" x14ac:dyDescent="0.25">
      <c r="B12" s="47">
        <f t="shared" si="0"/>
        <v>9</v>
      </c>
      <c r="C12" s="54">
        <f>C11+365</f>
        <v>44649</v>
      </c>
      <c r="D12" s="62">
        <f>'Historical FS&gt;'!K5</f>
        <v>52446</v>
      </c>
      <c r="E12" s="20">
        <f t="shared" si="2"/>
        <v>0.11520796121459553</v>
      </c>
      <c r="F12" s="59"/>
      <c r="J12" s="264"/>
      <c r="K12" s="264" t="s">
        <v>170</v>
      </c>
      <c r="L12" s="264" t="s">
        <v>171</v>
      </c>
      <c r="M12" s="264" t="s">
        <v>172</v>
      </c>
      <c r="N12" s="264" t="s">
        <v>173</v>
      </c>
      <c r="O12" s="264" t="s">
        <v>174</v>
      </c>
      <c r="T12" s="47">
        <v>9</v>
      </c>
      <c r="U12" s="54">
        <v>44649</v>
      </c>
      <c r="V12" s="62">
        <v>52446</v>
      </c>
      <c r="W12" s="20">
        <v>0.11520796121459553</v>
      </c>
      <c r="Y12" s="64">
        <f t="shared" si="3"/>
        <v>9</v>
      </c>
      <c r="Z12" s="65">
        <f t="shared" si="4"/>
        <v>44649</v>
      </c>
      <c r="AA12" s="13">
        <f>'Historical FS&gt;'!K17</f>
        <v>12857</v>
      </c>
      <c r="AB12" s="20">
        <f t="shared" si="5"/>
        <v>0.10588336487183891</v>
      </c>
      <c r="AD12" s="64">
        <f t="shared" si="6"/>
        <v>9</v>
      </c>
      <c r="AE12" s="65">
        <f t="shared" si="7"/>
        <v>44649</v>
      </c>
      <c r="AF12" s="13">
        <f>'Historical FS&gt;'!K37</f>
        <v>36.912665985699689</v>
      </c>
      <c r="AG12" s="20">
        <f t="shared" si="8"/>
        <v>0.10780431728190054</v>
      </c>
    </row>
    <row r="13" spans="2:33" x14ac:dyDescent="0.25">
      <c r="B13" s="47">
        <f t="shared" si="0"/>
        <v>10</v>
      </c>
      <c r="C13" s="54">
        <f t="shared" si="1"/>
        <v>45014</v>
      </c>
      <c r="D13" s="62">
        <f>'Historical FS&gt;'!L5</f>
        <v>60580</v>
      </c>
      <c r="E13" s="20">
        <f t="shared" si="2"/>
        <v>0.15509285741524614</v>
      </c>
      <c r="F13" s="59"/>
      <c r="J13" t="s">
        <v>167</v>
      </c>
      <c r="K13">
        <v>1</v>
      </c>
      <c r="L13">
        <v>829734999.71642447</v>
      </c>
      <c r="M13">
        <v>829734999.71642447</v>
      </c>
      <c r="N13">
        <v>62.33511606685947</v>
      </c>
      <c r="O13">
        <v>4.8007867279578194E-5</v>
      </c>
      <c r="T13" s="47">
        <v>10</v>
      </c>
      <c r="U13" s="54">
        <v>45014</v>
      </c>
      <c r="V13" s="62">
        <v>60580</v>
      </c>
      <c r="W13" s="20">
        <v>0.15509285741524614</v>
      </c>
      <c r="Y13" s="64">
        <f t="shared" si="3"/>
        <v>10</v>
      </c>
      <c r="Z13" s="65">
        <f t="shared" si="4"/>
        <v>45014</v>
      </c>
      <c r="AA13" s="13">
        <f>'Historical FS&gt;'!L17</f>
        <v>14148</v>
      </c>
      <c r="AB13" s="20">
        <f t="shared" si="5"/>
        <v>0.10041222680252004</v>
      </c>
      <c r="AD13" s="64">
        <f t="shared" si="6"/>
        <v>10</v>
      </c>
      <c r="AE13" s="65">
        <f t="shared" si="7"/>
        <v>45014</v>
      </c>
      <c r="AF13" s="13">
        <f>'Historical FS&gt;'!L37</f>
        <v>41.266598569969354</v>
      </c>
      <c r="AG13" s="20">
        <f t="shared" si="8"/>
        <v>0.11795226565202355</v>
      </c>
    </row>
    <row r="14" spans="2:33" x14ac:dyDescent="0.25">
      <c r="B14" s="184">
        <v>11</v>
      </c>
      <c r="C14" s="60">
        <v>45379</v>
      </c>
      <c r="D14" s="63">
        <f>FORECAST(B14,$D$4:$D$13,$B$4:$B$13)</f>
        <v>57566.960000000006</v>
      </c>
      <c r="E14" s="61">
        <f>D14/D13-1</f>
        <v>-4.9736546715087426E-2</v>
      </c>
      <c r="F14" s="180"/>
      <c r="G14" s="181"/>
      <c r="H14" s="182"/>
      <c r="I14" s="183"/>
      <c r="J14" t="s">
        <v>168</v>
      </c>
      <c r="K14">
        <v>8</v>
      </c>
      <c r="L14">
        <v>106487007.91078548</v>
      </c>
      <c r="M14">
        <v>13310875.988848185</v>
      </c>
      <c r="T14" s="184">
        <v>11</v>
      </c>
      <c r="U14" s="60">
        <v>45379</v>
      </c>
      <c r="V14" s="63">
        <v>57566.960000000006</v>
      </c>
      <c r="W14" s="61">
        <v>-4.9736546715087426E-2</v>
      </c>
      <c r="Y14" s="68">
        <f t="shared" si="3"/>
        <v>11</v>
      </c>
      <c r="Z14" s="69">
        <f t="shared" si="4"/>
        <v>45379</v>
      </c>
      <c r="AA14" s="70">
        <f>FORECAST(Y14,$AA$4:$AA$13,$Y$4:$Y$13)</f>
        <v>14632.208666666666</v>
      </c>
      <c r="AB14" s="71">
        <f t="shared" si="5"/>
        <v>3.4224531146922921E-2</v>
      </c>
      <c r="AD14" s="68">
        <f t="shared" si="6"/>
        <v>11</v>
      </c>
      <c r="AE14" s="69">
        <f t="shared" si="7"/>
        <v>45379</v>
      </c>
      <c r="AF14" s="70">
        <f>FORECAST(AD14,$AF$4:$AF$13,$AD$4:$AD$13)</f>
        <v>42.59194689978068</v>
      </c>
      <c r="AG14" s="71">
        <f t="shared" si="8"/>
        <v>3.211673304171514E-2</v>
      </c>
    </row>
    <row r="15" spans="2:33" ht="15.75" thickBot="1" x14ac:dyDescent="0.3">
      <c r="B15" s="184">
        <v>12</v>
      </c>
      <c r="C15" s="60">
        <v>45744</v>
      </c>
      <c r="D15" s="63">
        <f t="shared" ref="D15:D18" si="9">FORECAST(B15,$D$4:$D$13,$B$4:$B$13)</f>
        <v>60738.299454545457</v>
      </c>
      <c r="E15" s="61">
        <f>D15/D14-1</f>
        <v>5.5089576634678172E-2</v>
      </c>
      <c r="F15" s="180"/>
      <c r="G15" s="181"/>
      <c r="H15" s="182"/>
      <c r="I15" s="183"/>
      <c r="J15" s="263" t="s">
        <v>13</v>
      </c>
      <c r="K15" s="263">
        <v>9</v>
      </c>
      <c r="L15" s="263">
        <v>936222007.6272099</v>
      </c>
      <c r="M15" s="263"/>
      <c r="N15" s="263"/>
      <c r="O15" s="263"/>
      <c r="T15" s="184">
        <v>12</v>
      </c>
      <c r="U15" s="60">
        <v>45744</v>
      </c>
      <c r="V15" s="63">
        <v>60738.299454545457</v>
      </c>
      <c r="W15" s="61">
        <v>5.5089576634678172E-2</v>
      </c>
      <c r="Y15" s="68">
        <f t="shared" si="3"/>
        <v>12</v>
      </c>
      <c r="Z15" s="69">
        <f t="shared" si="4"/>
        <v>45744</v>
      </c>
      <c r="AA15" s="70">
        <f>FORECAST(Y15,$AA$4:$AA$13,$Y$4:$Y$13)</f>
        <v>15705.838787878787</v>
      </c>
      <c r="AB15" s="71">
        <f t="shared" si="5"/>
        <v>7.3374440296080312E-2</v>
      </c>
      <c r="AD15" s="68">
        <f t="shared" si="6"/>
        <v>12</v>
      </c>
      <c r="AE15" s="69">
        <f t="shared" si="7"/>
        <v>45744</v>
      </c>
      <c r="AF15" s="70">
        <f>FORECAST(AD15,$AF$4:$AF$13,$AD$4:$AD$13)</f>
        <v>45.72308392611248</v>
      </c>
      <c r="AG15" s="71">
        <f t="shared" si="8"/>
        <v>7.351476638763188E-2</v>
      </c>
    </row>
    <row r="16" spans="2:33" ht="15.75" thickBot="1" x14ac:dyDescent="0.3">
      <c r="B16" s="184">
        <v>13</v>
      </c>
      <c r="C16" s="60">
        <v>46109</v>
      </c>
      <c r="D16" s="63">
        <f t="shared" si="9"/>
        <v>63909.638909090907</v>
      </c>
      <c r="E16" s="61">
        <f t="shared" ref="E16:E18" si="10">D16/D15-1</f>
        <v>5.2213174932873807E-2</v>
      </c>
      <c r="F16" s="180"/>
      <c r="G16" s="181"/>
      <c r="H16" s="182"/>
      <c r="I16" s="183"/>
      <c r="T16" s="184">
        <v>13</v>
      </c>
      <c r="U16" s="60">
        <v>46109</v>
      </c>
      <c r="V16" s="63">
        <v>63909.638909090907</v>
      </c>
      <c r="W16" s="61">
        <v>5.2213174932873807E-2</v>
      </c>
      <c r="Y16" s="68">
        <f t="shared" si="3"/>
        <v>13</v>
      </c>
      <c r="Z16" s="69">
        <f t="shared" si="4"/>
        <v>46109</v>
      </c>
      <c r="AA16" s="70">
        <f>FORECAST(Y16,$AA$4:$AA$13,$Y$4:$Y$13)</f>
        <v>16779.468909090909</v>
      </c>
      <c r="AB16" s="71">
        <f t="shared" si="5"/>
        <v>6.8358661750731242E-2</v>
      </c>
      <c r="AD16" s="68">
        <f t="shared" si="6"/>
        <v>13</v>
      </c>
      <c r="AE16" s="69">
        <f t="shared" si="7"/>
        <v>46109</v>
      </c>
      <c r="AF16" s="70">
        <f>FORECAST(AD16,$AF$4:$AF$13,$AD$4:$AD$13)</f>
        <v>48.85422095244428</v>
      </c>
      <c r="AG16" s="71">
        <f t="shared" si="8"/>
        <v>6.8480442644499817E-2</v>
      </c>
    </row>
    <row r="17" spans="2:33" x14ac:dyDescent="0.25">
      <c r="B17" s="184">
        <v>14</v>
      </c>
      <c r="C17" s="60">
        <v>46474</v>
      </c>
      <c r="D17" s="63">
        <f t="shared" si="9"/>
        <v>67080.978363636372</v>
      </c>
      <c r="E17" s="61">
        <f t="shared" si="10"/>
        <v>4.9622240223522018E-2</v>
      </c>
      <c r="F17" s="180"/>
      <c r="G17" s="181"/>
      <c r="H17" s="182"/>
      <c r="I17" s="183"/>
      <c r="J17" s="264"/>
      <c r="K17" s="264" t="s">
        <v>175</v>
      </c>
      <c r="L17" s="264" t="s">
        <v>164</v>
      </c>
      <c r="M17" s="264" t="s">
        <v>176</v>
      </c>
      <c r="N17" s="264" t="s">
        <v>177</v>
      </c>
      <c r="O17" s="264" t="s">
        <v>178</v>
      </c>
      <c r="P17" s="264" t="s">
        <v>179</v>
      </c>
      <c r="Q17" s="264" t="s">
        <v>180</v>
      </c>
      <c r="R17" s="264" t="s">
        <v>181</v>
      </c>
      <c r="S17" s="286"/>
      <c r="T17" s="184">
        <v>14</v>
      </c>
      <c r="U17" s="60">
        <v>46474</v>
      </c>
      <c r="V17" s="63">
        <v>67080.978363636372</v>
      </c>
      <c r="W17" s="61">
        <v>4.9622240223522018E-2</v>
      </c>
      <c r="Y17" s="68">
        <f t="shared" si="3"/>
        <v>14</v>
      </c>
      <c r="Z17" s="69">
        <f t="shared" si="4"/>
        <v>46474</v>
      </c>
      <c r="AA17" s="70">
        <f>FORECAST(Y17,$AA$4:$AA$13,$Y$4:$Y$13)</f>
        <v>17853.099030303027</v>
      </c>
      <c r="AB17" s="71">
        <f t="shared" si="5"/>
        <v>6.3984749876704328E-2</v>
      </c>
      <c r="AD17" s="68">
        <f t="shared" si="6"/>
        <v>14</v>
      </c>
      <c r="AE17" s="69">
        <f t="shared" si="7"/>
        <v>46474</v>
      </c>
      <c r="AF17" s="70">
        <f>FORECAST(AD17,$AF$4:$AF$13,$AD$4:$AD$13)</f>
        <v>51.985357978776079</v>
      </c>
      <c r="AG17" s="71">
        <f t="shared" si="8"/>
        <v>6.4091432946596694E-2</v>
      </c>
    </row>
    <row r="18" spans="2:33" x14ac:dyDescent="0.25">
      <c r="B18" s="184">
        <v>15</v>
      </c>
      <c r="C18" s="60">
        <v>46839</v>
      </c>
      <c r="D18" s="63">
        <f t="shared" si="9"/>
        <v>70252.317818181822</v>
      </c>
      <c r="E18" s="61">
        <f t="shared" si="10"/>
        <v>4.7276285049900002E-2</v>
      </c>
      <c r="F18" s="180"/>
      <c r="G18" s="181"/>
      <c r="H18" s="182"/>
      <c r="I18" s="183"/>
      <c r="J18" t="s">
        <v>169</v>
      </c>
      <c r="K18">
        <v>22682.225999999995</v>
      </c>
      <c r="L18">
        <v>2492.3366803321642</v>
      </c>
      <c r="M18">
        <v>9.1007872969140902</v>
      </c>
      <c r="N18">
        <v>1.7073203002426545E-5</v>
      </c>
      <c r="O18">
        <v>16934.887308833</v>
      </c>
      <c r="P18">
        <v>28429.56469116699</v>
      </c>
      <c r="Q18">
        <v>16934.887308833</v>
      </c>
      <c r="R18">
        <v>28429.56469116699</v>
      </c>
      <c r="T18" s="184">
        <v>15</v>
      </c>
      <c r="U18" s="60">
        <v>46839</v>
      </c>
      <c r="V18" s="63">
        <v>70252.317818181822</v>
      </c>
      <c r="W18" s="61">
        <v>4.7276285049900002E-2</v>
      </c>
      <c r="Y18" s="68">
        <f>Y17+1</f>
        <v>15</v>
      </c>
      <c r="Z18" s="69">
        <f>Z17+365</f>
        <v>46839</v>
      </c>
      <c r="AA18" s="70">
        <f>FORECAST(Y18,$AA$4:$AA$13,$Y$4:$Y$13)</f>
        <v>18926.729151515148</v>
      </c>
      <c r="AB18" s="71">
        <f>AA18/AA17-1</f>
        <v>6.0136905048798095E-2</v>
      </c>
      <c r="AD18" s="68">
        <f>AD17+1</f>
        <v>15</v>
      </c>
      <c r="AE18" s="69">
        <f>AE17+365</f>
        <v>46839</v>
      </c>
      <c r="AF18" s="70">
        <f>FORECAST(AD18,$AF$4:$AF$13,$AD$4:$AD$13)</f>
        <v>55.116495005107893</v>
      </c>
      <c r="AG18" s="71">
        <f>AF18/AF17-1</f>
        <v>6.0231133305077122E-2</v>
      </c>
    </row>
    <row r="19" spans="2:33" ht="15.75" thickBot="1" x14ac:dyDescent="0.3">
      <c r="J19" s="263" t="s">
        <v>154</v>
      </c>
      <c r="K19" s="263">
        <v>3171.3394545454553</v>
      </c>
      <c r="L19" s="263">
        <v>401.67642621888831</v>
      </c>
      <c r="M19" s="263">
        <v>7.895259088013483</v>
      </c>
      <c r="N19" s="263">
        <v>4.8007867279578194E-5</v>
      </c>
      <c r="O19" s="263">
        <v>2245.0719546706673</v>
      </c>
      <c r="P19" s="263">
        <v>4097.6069544202437</v>
      </c>
      <c r="Q19" s="263">
        <v>2245.0719546706673</v>
      </c>
      <c r="R19" s="263">
        <v>4097.6069544202437</v>
      </c>
    </row>
  </sheetData>
  <mergeCells count="6">
    <mergeCell ref="T2:W2"/>
    <mergeCell ref="AD2:AG2"/>
    <mergeCell ref="B2:E2"/>
    <mergeCell ref="G8:G9"/>
    <mergeCell ref="G6:G7"/>
    <mergeCell ref="Y2:AB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CA91-B941-48F0-9202-172DA7CC9957}">
  <sheetPr>
    <tabColor theme="5"/>
  </sheetPr>
  <dimension ref="A2:O39"/>
  <sheetViews>
    <sheetView showGridLines="0" topLeftCell="A39" workbookViewId="0">
      <selection activeCell="B2" sqref="B2:O39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0.140625" bestFit="1" customWidth="1"/>
    <col min="4" max="4" width="9.42578125" bestFit="1" customWidth="1"/>
    <col min="7" max="7" width="10.28515625" bestFit="1" customWidth="1"/>
    <col min="11" max="11" width="10.28515625" bestFit="1" customWidth="1"/>
    <col min="13" max="13" width="21.85546875" customWidth="1"/>
  </cols>
  <sheetData>
    <row r="2" spans="1:15" x14ac:dyDescent="0.25">
      <c r="B2" s="314" t="str">
        <f>"Ratio Analysis - "&amp;'Data Sheet'!B1</f>
        <v>Ratio Analysis - HINDUSTAN UNILEVER LTD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12"/>
      <c r="O2" s="12"/>
    </row>
    <row r="3" spans="1:15" x14ac:dyDescent="0.25">
      <c r="B3" s="10" t="s">
        <v>57</v>
      </c>
      <c r="C3" s="11">
        <f>'Data Sheet'!B16</f>
        <v>41729</v>
      </c>
      <c r="D3" s="11">
        <f>'Data Sheet'!C16</f>
        <v>42094</v>
      </c>
      <c r="E3" s="11">
        <f>'Data Sheet'!D16</f>
        <v>42460</v>
      </c>
      <c r="F3" s="11">
        <f>'Data Sheet'!E16</f>
        <v>42825</v>
      </c>
      <c r="G3" s="11">
        <f>'Data Sheet'!F16</f>
        <v>43190</v>
      </c>
      <c r="H3" s="11">
        <f>'Data Sheet'!G16</f>
        <v>43555</v>
      </c>
      <c r="I3" s="11">
        <f>'Data Sheet'!H16</f>
        <v>43921</v>
      </c>
      <c r="J3" s="11">
        <f>'Data Sheet'!I16</f>
        <v>44286</v>
      </c>
      <c r="K3" s="11">
        <f>'Data Sheet'!J16</f>
        <v>44651</v>
      </c>
      <c r="L3" s="11">
        <f>'Data Sheet'!K16</f>
        <v>45016</v>
      </c>
      <c r="M3" s="12" t="s">
        <v>150</v>
      </c>
      <c r="N3" s="12" t="s">
        <v>151</v>
      </c>
      <c r="O3" s="12" t="s">
        <v>152</v>
      </c>
    </row>
    <row r="4" spans="1:15" x14ac:dyDescent="0.25">
      <c r="A4" t="s">
        <v>59</v>
      </c>
      <c r="B4" s="17" t="s">
        <v>60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B5" s="40" t="s">
        <v>125</v>
      </c>
      <c r="C5" s="178" t="s">
        <v>61</v>
      </c>
      <c r="D5" s="41">
        <f>IFERROR('Historical FS&gt;'!D17/'Historical FS&gt;'!C17-1,0)</f>
        <v>0.13729956440520152</v>
      </c>
      <c r="E5" s="41">
        <f>IFERROR('Historical FS&gt;'!E17/'Historical FS&gt;'!D17-1,0)</f>
        <v>9.1932998547784583E-2</v>
      </c>
      <c r="F5" s="41">
        <f>IFERROR('Historical FS&gt;'!F17/'Historical FS&gt;'!E17-1,0)</f>
        <v>7.0727580372250465E-2</v>
      </c>
      <c r="G5" s="41">
        <f>IFERROR('Historical FS&gt;'!G17/'Historical FS&gt;'!F17-1,0)</f>
        <v>0.1850505689001265</v>
      </c>
      <c r="H5" s="41">
        <f>IFERROR('Historical FS&gt;'!H17/'Historical FS&gt;'!G17-1,0)</f>
        <v>0.1841578877183625</v>
      </c>
      <c r="I5" s="41">
        <f>IFERROR('Historical FS&gt;'!I17/'Historical FS&gt;'!H17-1,0)</f>
        <v>0.10957207207207209</v>
      </c>
      <c r="J5" s="41">
        <f>IFERROR('Historical FS&gt;'!J17/'Historical FS&gt;'!I17-1,0)</f>
        <v>0.1799451943570487</v>
      </c>
      <c r="K5" s="41">
        <f>IFERROR('Historical FS&gt;'!K17/'Historical FS&gt;'!J17-1,0)</f>
        <v>0.10588336487183891</v>
      </c>
      <c r="L5" s="41">
        <f>IFERROR('Historical FS&gt;'!L17/'Historical FS&gt;'!K17-1,0)</f>
        <v>0.10041222680252004</v>
      </c>
      <c r="M5" s="40"/>
      <c r="N5" s="42">
        <f t="shared" ref="N5:N7" si="0">IFERROR(AVERAGE(D5:L5),0)</f>
        <v>0.12944238422746726</v>
      </c>
      <c r="O5" s="42">
        <f t="shared" ref="O5:O7" si="1">MEDIAN(C5:L5)</f>
        <v>0.10957207207207209</v>
      </c>
    </row>
    <row r="6" spans="1:15" x14ac:dyDescent="0.25">
      <c r="B6" t="s">
        <v>153</v>
      </c>
      <c r="C6" s="26" t="s">
        <v>61</v>
      </c>
      <c r="D6" s="27">
        <f>IFERROR('Historical FS&gt;'!D26/'Historical FS&gt;'!C26-1,0)</f>
        <v>0.14686204861637053</v>
      </c>
      <c r="E6" s="27">
        <f>IFERROR('Historical FS&gt;'!E26/'Historical FS&gt;'!D26-1,0)</f>
        <v>9.2200231451817993E-2</v>
      </c>
      <c r="F6" s="27">
        <f>IFERROR('Historical FS&gt;'!F26/'Historical FS&gt;'!E26-1,0)</f>
        <v>5.794223826714795E-2</v>
      </c>
      <c r="G6" s="27">
        <f>IFERROR('Historical FS&gt;'!G26/'Historical FS&gt;'!F26-1,0)</f>
        <v>0.18631632827162603</v>
      </c>
      <c r="H6" s="27">
        <f>IFERROR('Historical FS&gt;'!H26/'Historical FS&gt;'!G26-1,0)</f>
        <v>0.19114051488566086</v>
      </c>
      <c r="I6" s="27">
        <f>IFERROR('Historical FS&gt;'!I26/'Historical FS&gt;'!H26-1,0)</f>
        <v>5.4455445544554504E-2</v>
      </c>
      <c r="J6" s="27">
        <f>IFERROR('Historical FS&gt;'!J26/'Historical FS&gt;'!I26-1,0)</f>
        <v>0.19489293484484138</v>
      </c>
      <c r="K6" s="27">
        <f>IFERROR('Historical FS&gt;'!K26/'Historical FS&gt;'!J26-1,0)</f>
        <v>0.11739338763775753</v>
      </c>
      <c r="L6" s="27">
        <f>IFERROR('Historical FS&gt;'!L26/'Historical FS&gt;'!K26-1,0)</f>
        <v>0.10608919382504278</v>
      </c>
      <c r="N6" s="4">
        <f t="shared" si="0"/>
        <v>0.12747692481609108</v>
      </c>
      <c r="O6" s="4">
        <f t="shared" si="1"/>
        <v>0.11739338763775753</v>
      </c>
    </row>
    <row r="7" spans="1:15" x14ac:dyDescent="0.25">
      <c r="B7" t="s">
        <v>126</v>
      </c>
      <c r="C7" s="26" t="s">
        <v>61</v>
      </c>
      <c r="D7" s="27">
        <f>IFERROR('Historical FS&gt;'!D32/'Historical FS&gt;'!C32-1,0)</f>
        <v>-1.1070542304835618E-2</v>
      </c>
      <c r="E7" s="27">
        <f>IFERROR('Historical FS&gt;'!E32/'Historical FS&gt;'!D32-1,0)</f>
        <v>0.17155159462077219</v>
      </c>
      <c r="F7" s="27">
        <f>IFERROR('Historical FS&gt;'!F32/'Historical FS&gt;'!E32-1,0)</f>
        <v>5.9754433833560716E-2</v>
      </c>
      <c r="G7" s="27">
        <f>IFERROR('Historical FS&gt;'!G32/'Historical FS&gt;'!F32-1,0)</f>
        <v>0.2548918640576725</v>
      </c>
      <c r="H7" s="27">
        <f>IFERROR('Historical FS&gt;'!H32/'Historical FS&gt;'!G32-1,0)</f>
        <v>0.17726713171932706</v>
      </c>
      <c r="I7" s="27">
        <f>IFERROR('Historical FS&gt;'!I32/'Historical FS&gt;'!H32-1,0)</f>
        <v>0.10212617636807253</v>
      </c>
      <c r="J7" s="27">
        <f>IFERROR('Historical FS&gt;'!J32/'Historical FS&gt;'!I32-1,0)</f>
        <v>0.23798228969006963</v>
      </c>
      <c r="K7" s="27">
        <f>IFERROR('Historical FS&gt;'!K32/'Historical FS&gt;'!J32-1,0)</f>
        <v>0.10780431728190054</v>
      </c>
      <c r="L7" s="27">
        <f>IFERROR('Historical FS&gt;'!L32/'Historical FS&gt;'!K32-1,0)</f>
        <v>0.11795226565202355</v>
      </c>
      <c r="N7" s="4">
        <f t="shared" si="0"/>
        <v>0.13536217010206256</v>
      </c>
      <c r="O7" s="4">
        <f t="shared" si="1"/>
        <v>0.11795226565202355</v>
      </c>
    </row>
    <row r="8" spans="1:15" x14ac:dyDescent="0.25">
      <c r="B8" s="30" t="s">
        <v>127</v>
      </c>
      <c r="C8" s="179" t="s">
        <v>61</v>
      </c>
      <c r="D8" s="33">
        <f>IFERROR('Historical FS&gt;'!D40/'Historical FS&gt;'!C40-1,0)</f>
        <v>0.15384615384615374</v>
      </c>
      <c r="E8" s="33">
        <f>IFERROR('Historical FS&gt;'!E40/'Historical FS&gt;'!D40-1,0)</f>
        <v>6.4744211839733889E-2</v>
      </c>
      <c r="F8" s="33">
        <f>IFERROR('Historical FS&gt;'!F40/'Historical FS&gt;'!E40-1,0)</f>
        <v>6.2303631659196945E-2</v>
      </c>
      <c r="G8" s="33">
        <f>IFERROR('Historical FS&gt;'!G40/'Historical FS&gt;'!F40-1,0)</f>
        <v>0.17636188224423521</v>
      </c>
      <c r="H8" s="33">
        <f>IFERROR('Historical FS&gt;'!H40/'Historical FS&gt;'!G40-1,0)</f>
        <v>9.989836928904694E-2</v>
      </c>
      <c r="I8" s="33">
        <f>IFERROR('Historical FS&gt;'!I40/'Historical FS&gt;'!H40-1,0)</f>
        <v>0.13631114358664265</v>
      </c>
      <c r="J8" s="33">
        <f>IFERROR('Historical FS&gt;'!J40/'Historical FS&gt;'!I40-1,0)</f>
        <v>0.62387640449438186</v>
      </c>
      <c r="K8" s="33">
        <f>IFERROR('Historical FS&gt;'!K40/'Historical FS&gt;'!J40-1,0)</f>
        <v>-0.16049382716049365</v>
      </c>
      <c r="L8" s="33">
        <f>IFERROR('Historical FS&gt;'!L40/'Historical FS&gt;'!K40-1,0)</f>
        <v>0.14705882352941169</v>
      </c>
      <c r="M8" s="30"/>
      <c r="N8" s="32">
        <f t="shared" ref="N8" si="2">IFERROR(AVERAGE(D8:L8),0)</f>
        <v>0.14487853259203437</v>
      </c>
      <c r="O8" s="32">
        <f t="shared" ref="O8" si="3">MEDIAN(C8:L8)</f>
        <v>0.13631114358664265</v>
      </c>
    </row>
    <row r="10" spans="1:15" x14ac:dyDescent="0.25">
      <c r="B10" s="34" t="s">
        <v>71</v>
      </c>
      <c r="C10" s="35">
        <f>IFERROR('Historical FS&gt;'!C12,0)</f>
        <v>0.40656583796667828</v>
      </c>
      <c r="D10" s="35">
        <f>IFERROR('Historical FS&gt;'!D12,0)</f>
        <v>0.41192892948528081</v>
      </c>
      <c r="E10" s="35">
        <f>IFERROR('Historical FS&gt;'!E12,0)</f>
        <v>0.43385322811160132</v>
      </c>
      <c r="F10" s="35">
        <f>IFERROR('Historical FS&gt;'!F12,0)</f>
        <v>0.43685543694590195</v>
      </c>
      <c r="G10" s="35">
        <f>IFERROR('Historical FS&gt;'!G12,0)</f>
        <v>0.45663243775495849</v>
      </c>
      <c r="H10" s="35">
        <f>IFERROR('Historical FS&gt;'!H12,0)</f>
        <v>0.46372424319511574</v>
      </c>
      <c r="I10" s="35">
        <f>IFERROR('Historical FS&gt;'!I12,0)</f>
        <v>0.48183897644722617</v>
      </c>
      <c r="J10" s="35">
        <f>IFERROR('Historical FS&gt;'!J12,0)</f>
        <v>0.46200136089138388</v>
      </c>
      <c r="K10" s="35">
        <f>IFERROR('Historical FS&gt;'!K12,0)</f>
        <v>0.44579186210578498</v>
      </c>
      <c r="L10" s="35">
        <f>IFERROR('Historical FS&gt;'!L12,0)</f>
        <v>0.41596236381644108</v>
      </c>
      <c r="M10" s="34"/>
      <c r="N10" s="36">
        <f t="shared" ref="N10" si="4">IFERROR(AVERAGE(D10:L10),0)</f>
        <v>0.4453987598615215</v>
      </c>
      <c r="O10" s="36">
        <f t="shared" ref="O10" si="5">MEDIAN(C10:L10)</f>
        <v>0.44132364952584346</v>
      </c>
    </row>
    <row r="11" spans="1:15" x14ac:dyDescent="0.25">
      <c r="B11" t="s">
        <v>128</v>
      </c>
      <c r="C11" s="27">
        <f>IFERROR('Historical FS&gt;'!C18,0)</f>
        <v>0.1627916920654012</v>
      </c>
      <c r="D11" s="27">
        <f>IFERROR('Historical FS&gt;'!D18,0)</f>
        <v>0.16928524445776158</v>
      </c>
      <c r="E11" s="27">
        <f>IFERROR('Historical FS&gt;'!E18,0)</f>
        <v>0.18362020754365252</v>
      </c>
      <c r="F11" s="27">
        <f>IFERROR('Historical FS&gt;'!F18,0)</f>
        <v>0.1908208190097099</v>
      </c>
      <c r="G11" s="27">
        <f>IFERROR('Historical FS&gt;'!G18,0)</f>
        <v>0.21097200731467156</v>
      </c>
      <c r="H11" s="27">
        <f>IFERROR('Historical FS&gt;'!H18,0)</f>
        <v>0.2258967183922666</v>
      </c>
      <c r="I11" s="27">
        <f>IFERROR('Historical FS&gt;'!I18,0)</f>
        <v>0.24766860216675465</v>
      </c>
      <c r="J11" s="27">
        <f>IFERROR('Historical FS&gt;'!J18,0)</f>
        <v>0.24721442544866887</v>
      </c>
      <c r="K11" s="27">
        <f>IFERROR('Historical FS&gt;'!K18,0)</f>
        <v>0.24514738969606834</v>
      </c>
      <c r="L11" s="27">
        <f>IFERROR('Historical FS&gt;'!L18,0)</f>
        <v>0.23354242324199406</v>
      </c>
      <c r="N11" s="4">
        <f>IFERROR(AVERAGE(D11:L11),0)</f>
        <v>0.21712975969683868</v>
      </c>
      <c r="O11" s="4">
        <f>MEDIAN(C11:L11)</f>
        <v>0.21843436285346907</v>
      </c>
    </row>
    <row r="12" spans="1:15" x14ac:dyDescent="0.25">
      <c r="B12" t="s">
        <v>129</v>
      </c>
      <c r="C12" s="27">
        <f>IFERROR(('Historical FS&gt;'!C17-'Historical FS&gt;'!C23)/('Historical FS&gt;'!C5),0)</f>
        <v>0.15268214056771395</v>
      </c>
      <c r="D12" s="27">
        <f>IFERROR(('Historical FS&gt;'!D17-'Historical FS&gt;'!D23)/('Historical FS&gt;'!D5),0)</f>
        <v>0.15920179380893207</v>
      </c>
      <c r="E12" s="27">
        <f>IFERROR(('Historical FS&gt;'!E17-'Historical FS&gt;'!E23)/('Historical FS&gt;'!E5),0)</f>
        <v>0.17265270614552911</v>
      </c>
      <c r="F12" s="27">
        <f>IFERROR(('Historical FS&gt;'!F17-'Historical FS&gt;'!F23)/('Historical FS&gt;'!F5),0)</f>
        <v>0.17779386044267534</v>
      </c>
      <c r="G12" s="27">
        <f>IFERROR(('Historical FS&gt;'!G17-'Historical FS&gt;'!G23)/('Historical FS&gt;'!G5),0)</f>
        <v>0.19634266422844282</v>
      </c>
      <c r="H12" s="27">
        <f>IFERROR(('Historical FS&gt;'!H17-'Historical FS&gt;'!H23)/('Historical FS&gt;'!H5),0)</f>
        <v>0.21152378529636226</v>
      </c>
      <c r="I12" s="27">
        <f>IFERROR(('Historical FS&gt;'!I17-'Historical FS&gt;'!I23)/('Historical FS&gt;'!I5),0)</f>
        <v>0.22248196465827111</v>
      </c>
      <c r="J12" s="27">
        <f>IFERROR(('Historical FS&gt;'!J17-'Historical FS&gt;'!J23)/('Historical FS&gt;'!J5),0)</f>
        <v>0.22437696691332823</v>
      </c>
      <c r="K12" s="27">
        <f>IFERROR(('Historical FS&gt;'!K17-'Historical FS&gt;'!K23)/('Historical FS&gt;'!K5),0)</f>
        <v>0.22434504061320215</v>
      </c>
      <c r="L12" s="27">
        <f>IFERROR(('Historical FS&gt;'!L17-'Historical FS&gt;'!L23)/('Historical FS&gt;'!L5),0)</f>
        <v>0.21477385275668537</v>
      </c>
      <c r="N12" s="4">
        <f t="shared" ref="N12" si="6">IFERROR(AVERAGE(D12:L12),0)</f>
        <v>0.20038807054038094</v>
      </c>
      <c r="O12" s="4">
        <f t="shared" ref="O12" si="7">MEDIAN(C12:L12)</f>
        <v>0.20393322476240255</v>
      </c>
    </row>
    <row r="13" spans="1:15" x14ac:dyDescent="0.25">
      <c r="B13" t="s">
        <v>130</v>
      </c>
      <c r="C13" s="27">
        <f>IFERROR('Historical FS&gt;'!C27,0)</f>
        <v>0.15129059778187812</v>
      </c>
      <c r="D13" s="27">
        <f>IFERROR('Historical FS&gt;'!D27,0)</f>
        <v>0.15864818769061487</v>
      </c>
      <c r="E13" s="27">
        <f>IFERROR('Historical FS&gt;'!E27,0)</f>
        <v>0.17212452619151183</v>
      </c>
      <c r="F13" s="27">
        <f>IFERROR('Historical FS&gt;'!F27,0)</f>
        <v>0.17673843555877208</v>
      </c>
      <c r="G13" s="27">
        <f>IFERROR('Historical FS&gt;'!G27,0)</f>
        <v>0.19561119707413138</v>
      </c>
      <c r="H13" s="27">
        <f>IFERROR('Historical FS&gt;'!H27,0)</f>
        <v>0.21068430424828288</v>
      </c>
      <c r="I13" s="27">
        <f>IFERROR('Historical FS&gt;'!I27,0)</f>
        <v>0.2195158736143579</v>
      </c>
      <c r="J13" s="27">
        <f>IFERROR('Historical FS&gt;'!J27,0)</f>
        <v>0.22188908735221571</v>
      </c>
      <c r="K13" s="27">
        <f>IFERROR('Historical FS&gt;'!K27,0)</f>
        <v>0.22232391412119132</v>
      </c>
      <c r="L13" s="27">
        <f>IFERROR('Historical FS&gt;'!L27,0)</f>
        <v>0.21289204357873887</v>
      </c>
      <c r="N13" s="4">
        <f>IFERROR(AVERAGE(D13:L13),0)</f>
        <v>0.19893639660331297</v>
      </c>
      <c r="O13" s="4">
        <f>MEDIAN(C13:L13)</f>
        <v>0.20314775066120713</v>
      </c>
    </row>
    <row r="14" spans="1:15" x14ac:dyDescent="0.25">
      <c r="B14" s="30" t="s">
        <v>131</v>
      </c>
      <c r="C14" s="33">
        <f>IFERROR('Historical FS&gt;'!C33,0)</f>
        <v>0.10820887098263861</v>
      </c>
      <c r="D14" s="33">
        <f>IFERROR('Historical FS&gt;'!D33,0)</f>
        <v>9.7845346221200363E-2</v>
      </c>
      <c r="E14" s="33">
        <f>IFERROR('Historical FS&gt;'!E33,0)</f>
        <v>0.11386938420431243</v>
      </c>
      <c r="F14" s="33">
        <f>IFERROR('Historical FS&gt;'!F33,0)</f>
        <v>0.11712200711657922</v>
      </c>
      <c r="G14" s="33">
        <f>IFERROR('Historical FS&gt;'!G33,0)</f>
        <v>0.1371219580813054</v>
      </c>
      <c r="H14" s="33">
        <f>IFERROR('Historical FS&gt;'!H33,0)</f>
        <v>0.14596794708725516</v>
      </c>
      <c r="I14" s="33">
        <f>IFERROR('Historical FS&gt;'!I33,0)</f>
        <v>0.15896237086192594</v>
      </c>
      <c r="J14" s="33">
        <f>IFERROR('Historical FS&gt;'!J33,0)</f>
        <v>0.16647529131581185</v>
      </c>
      <c r="K14" s="33">
        <f>IFERROR('Historical FS&gt;'!K33,0)</f>
        <v>0.16537009495481067</v>
      </c>
      <c r="L14" s="33">
        <f>IFERROR('Historical FS&gt;'!L33,0)</f>
        <v>0.16005282271376692</v>
      </c>
      <c r="M14" s="30"/>
      <c r="N14" s="32">
        <f>IFERROR(AVERAGE(D14:L14),0)</f>
        <v>0.14030969139521868</v>
      </c>
      <c r="O14" s="32">
        <f>MEDIAN(C14:L14)</f>
        <v>0.14154495258428029</v>
      </c>
    </row>
    <row r="16" spans="1:15" x14ac:dyDescent="0.25">
      <c r="B16" s="34" t="s">
        <v>132</v>
      </c>
      <c r="C16" s="36">
        <f>IFERROR('Historical FS&gt;'!C15,0)</f>
        <v>0.24377414590127708</v>
      </c>
      <c r="D16" s="36">
        <f>IFERROR('Historical FS&gt;'!D15,0)</f>
        <v>0.24264368502751926</v>
      </c>
      <c r="E16" s="36">
        <f>IFERROR('Historical FS&gt;'!E15,0)</f>
        <v>0.25023302056794877</v>
      </c>
      <c r="F16" s="36">
        <f>IFERROR('Historical FS&gt;'!F15,0)</f>
        <v>0.24603461793619202</v>
      </c>
      <c r="G16" s="36">
        <f>IFERROR('Historical FS&gt;'!G15,0)</f>
        <v>0.24566043044028696</v>
      </c>
      <c r="H16" s="36">
        <f>IFERROR('Historical FS&gt;'!H15,0)</f>
        <v>0.23782752480284916</v>
      </c>
      <c r="I16" s="36">
        <f>IFERROR('Historical FS&gt;'!I15,0)</f>
        <v>0.23417037428047155</v>
      </c>
      <c r="J16" s="36">
        <f>IFERROR('Historical FS&gt;'!J15,0)</f>
        <v>0.21478693544271499</v>
      </c>
      <c r="K16" s="36">
        <f>IFERROR('Historical FS&gt;'!K15,0)</f>
        <v>0.20064447240971667</v>
      </c>
      <c r="L16" s="36">
        <f>IFERROR('Historical FS&gt;'!L15,0)</f>
        <v>0.18241994057444702</v>
      </c>
      <c r="M16" s="34"/>
      <c r="N16" s="36">
        <f t="shared" ref="N16:N18" si="8">IFERROR(AVERAGE(D16:L16),0)</f>
        <v>0.22826900016468293</v>
      </c>
      <c r="O16" s="36">
        <f t="shared" ref="O16:O18" si="9">MEDIAN(C16:L16)</f>
        <v>0.2402356049151842</v>
      </c>
    </row>
    <row r="17" spans="2:15" x14ac:dyDescent="0.25">
      <c r="B17" t="s">
        <v>133</v>
      </c>
      <c r="C17" s="4">
        <f>IFERROR('Historical FS&gt;'!C24,0)</f>
        <v>1.0109551497687261E-2</v>
      </c>
      <c r="D17" s="4">
        <f>IFERROR('Historical FS&gt;'!D24,0)</f>
        <v>1.0083450648829498E-2</v>
      </c>
      <c r="E17" s="4">
        <f>IFERROR('Historical FS&gt;'!E24,0)</f>
        <v>1.0967501398123409E-2</v>
      </c>
      <c r="F17" s="4">
        <f>IFERROR('Historical FS&gt;'!F24,0)</f>
        <v>1.3026958567034558E-2</v>
      </c>
      <c r="G17" s="4">
        <f>IFERROR('Historical FS&gt;'!G24,0)</f>
        <v>1.4629343086228723E-2</v>
      </c>
      <c r="H17" s="4">
        <f>IFERROR('Historical FS&gt;'!H24,0)</f>
        <v>1.437293309590435E-2</v>
      </c>
      <c r="I17" s="4">
        <f>IFERROR('Historical FS&gt;'!I24,0)</f>
        <v>2.5186637508483524E-2</v>
      </c>
      <c r="J17" s="4">
        <f>IFERROR('Historical FS&gt;'!J24,0)</f>
        <v>2.2837458535340648E-2</v>
      </c>
      <c r="K17" s="4">
        <f>IFERROR('Historical FS&gt;'!K24,0)</f>
        <v>2.0802349082866187E-2</v>
      </c>
      <c r="L17" s="4">
        <f>IFERROR('Historical FS&gt;'!L24,0)</f>
        <v>1.8768570485308684E-2</v>
      </c>
      <c r="N17" s="4">
        <f t="shared" si="8"/>
        <v>1.6741689156457733E-2</v>
      </c>
      <c r="O17" s="4">
        <f t="shared" si="9"/>
        <v>1.4501138091066536E-2</v>
      </c>
    </row>
    <row r="18" spans="2:15" x14ac:dyDescent="0.25">
      <c r="B18" s="30" t="s">
        <v>134</v>
      </c>
      <c r="C18" s="32">
        <f>C12</f>
        <v>0.15268214056771395</v>
      </c>
      <c r="D18" s="32">
        <f t="shared" ref="D18:L18" si="10">D12</f>
        <v>0.15920179380893207</v>
      </c>
      <c r="E18" s="32">
        <f t="shared" si="10"/>
        <v>0.17265270614552911</v>
      </c>
      <c r="F18" s="32">
        <f t="shared" si="10"/>
        <v>0.17779386044267534</v>
      </c>
      <c r="G18" s="32">
        <f t="shared" si="10"/>
        <v>0.19634266422844282</v>
      </c>
      <c r="H18" s="32">
        <f t="shared" si="10"/>
        <v>0.21152378529636226</v>
      </c>
      <c r="I18" s="32">
        <f t="shared" si="10"/>
        <v>0.22248196465827111</v>
      </c>
      <c r="J18" s="32">
        <f t="shared" si="10"/>
        <v>0.22437696691332823</v>
      </c>
      <c r="K18" s="32">
        <f t="shared" si="10"/>
        <v>0.22434504061320215</v>
      </c>
      <c r="L18" s="32">
        <f t="shared" si="10"/>
        <v>0.21477385275668537</v>
      </c>
      <c r="M18" s="30"/>
      <c r="N18" s="32">
        <f t="shared" si="8"/>
        <v>0.20038807054038094</v>
      </c>
      <c r="O18" s="32">
        <f t="shared" si="9"/>
        <v>0.20393322476240255</v>
      </c>
    </row>
    <row r="20" spans="2:15" x14ac:dyDescent="0.25">
      <c r="B20" s="34" t="s">
        <v>135</v>
      </c>
      <c r="C20" s="36">
        <f>IFERROR(('Historical FS&gt;'!C17-'Historical FS&gt;'!C23)/SUM('Historical FS&gt;'!C47:C49),0)</f>
        <v>1.2457806172146917</v>
      </c>
      <c r="D20" s="36">
        <f>IFERROR(('Historical FS&gt;'!D17-'Historical FS&gt;'!D23)/SUM('Historical FS&gt;'!D47:D49),0)</f>
        <v>1.2504618574531017</v>
      </c>
      <c r="E20" s="36">
        <f>IFERROR(('Historical FS&gt;'!E17-'Historical FS&gt;'!E23)/SUM('Historical FS&gt;'!E47:E49),0)</f>
        <v>0.82325925925925925</v>
      </c>
      <c r="F20" s="36">
        <f>IFERROR(('Historical FS&gt;'!F17-'Historical FS&gt;'!F23)/SUM('Historical FS&gt;'!F47:F49),0)</f>
        <v>0.83976641504059246</v>
      </c>
      <c r="G20" s="36">
        <f>IFERROR(('Historical FS&gt;'!G17-'Historical FS&gt;'!G23)/SUM('Historical FS&gt;'!G47:G49),0)</f>
        <v>0.95852218101909081</v>
      </c>
      <c r="H20" s="36">
        <f>IFERROR(('Historical FS&gt;'!H17-'Historical FS&gt;'!H23)/SUM('Historical FS&gt;'!H47:H49),0)</f>
        <v>1.0438111975897564</v>
      </c>
      <c r="I20" s="36">
        <f>IFERROR(('Historical FS&gt;'!I17-'Historical FS&gt;'!I23)/SUM('Historical FS&gt;'!I47:I49),0)</f>
        <v>1.0755863409891846</v>
      </c>
      <c r="J20" s="36">
        <f>IFERROR(('Historical FS&gt;'!J17-'Historical FS&gt;'!J23)/SUM('Historical FS&gt;'!J47:J49),0)</f>
        <v>0.21674917322268553</v>
      </c>
      <c r="K20" s="36">
        <f>IFERROR(('Historical FS&gt;'!K17-'Historical FS&gt;'!K23)/SUM('Historical FS&gt;'!K47:K49),0)</f>
        <v>0.23483155037521955</v>
      </c>
      <c r="L20" s="36">
        <f>IFERROR(('Historical FS&gt;'!L17-'Historical FS&gt;'!L23)/SUM('Historical FS&gt;'!L47:L49),0)</f>
        <v>0.25252799720513169</v>
      </c>
      <c r="M20" s="34"/>
      <c r="N20" s="36">
        <f t="shared" ref="N20:N24" si="11">IFERROR(AVERAGE(D20:L20),0)</f>
        <v>0.74394621912822467</v>
      </c>
      <c r="O20" s="36">
        <f t="shared" ref="O20:O24" si="12">MEDIAN(C20:L20)</f>
        <v>0.89914429802984164</v>
      </c>
    </row>
    <row r="21" spans="2:15" x14ac:dyDescent="0.25">
      <c r="B21" t="s">
        <v>136</v>
      </c>
      <c r="C21" s="4">
        <f>IFERROR('Historical FS&gt;'!C43,0)</f>
        <v>0.11122386078050217</v>
      </c>
      <c r="D21" s="4">
        <f>IFERROR('Historical FS&gt;'!D43,0)</f>
        <v>0</v>
      </c>
      <c r="E21" s="4">
        <f>IFERROR('Historical FS&gt;'!E43,0)</f>
        <v>5.7025920873124192E-2</v>
      </c>
      <c r="F21" s="4">
        <f>IFERROR('Historical FS&gt;'!F43,0)</f>
        <v>5.4582904222451045E-2</v>
      </c>
      <c r="G21" s="4">
        <f>IFERROR('Historical FS&gt;'!G43,0)</f>
        <v>0.11366434140336479</v>
      </c>
      <c r="H21" s="4">
        <f>IFERROR('Historical FS&gt;'!H43,0)</f>
        <v>0.17183687696061345</v>
      </c>
      <c r="I21" s="4">
        <f>IFERROR('Historical FS&gt;'!I43,0)</f>
        <v>0.14611005692599621</v>
      </c>
      <c r="J21" s="4">
        <f>IFERROR('Historical FS&gt;'!J43,0)</f>
        <v>0</v>
      </c>
      <c r="K21" s="4">
        <f>IFERROR('Historical FS&gt;'!K43,0)</f>
        <v>7.8750144125446675E-2</v>
      </c>
      <c r="L21" s="4">
        <f>IFERROR('Historical FS&gt;'!L43,0)</f>
        <v>5.4764851485148425E-2</v>
      </c>
      <c r="N21" s="4">
        <f t="shared" si="11"/>
        <v>7.5192788444016084E-2</v>
      </c>
      <c r="O21" s="4">
        <f t="shared" si="12"/>
        <v>6.7888032499285433E-2</v>
      </c>
    </row>
    <row r="22" spans="2:15" x14ac:dyDescent="0.25">
      <c r="B22" t="s">
        <v>137</v>
      </c>
      <c r="C22" s="4">
        <f>IFERROR('Historical FS&gt;'!C32/SUM('Historical FS&gt;'!C47:C48),0)</f>
        <v>0.89428630392192943</v>
      </c>
      <c r="D22" s="4">
        <f>IFERROR('Historical FS&gt;'!D32/SUM('Historical FS&gt;'!D47:D48),0)</f>
        <v>0.77674625324023949</v>
      </c>
      <c r="E22" s="4">
        <f>IFERROR('Historical FS&gt;'!E32/SUM('Historical FS&gt;'!E47:E48),0)</f>
        <v>0.55758405598661187</v>
      </c>
      <c r="F22" s="4">
        <f>IFERROR('Historical FS&gt;'!F32/SUM('Historical FS&gt;'!F47:F48),0)</f>
        <v>0.57591933570581255</v>
      </c>
      <c r="G22" s="4">
        <f>IFERROR('Historical FS&gt;'!G32/SUM('Historical FS&gt;'!G47:G48),0)</f>
        <v>0.6694135420958659</v>
      </c>
      <c r="H22" s="4">
        <f>IFERROR('Historical FS&gt;'!H32/SUM('Historical FS&gt;'!H47:H48),0)</f>
        <v>0.72937587390364811</v>
      </c>
      <c r="I22" s="4">
        <f>IFERROR('Historical FS&gt;'!I32/SUM('Historical FS&gt;'!I47:I48),0)</f>
        <v>0.76850164053955528</v>
      </c>
      <c r="J22" s="4">
        <f>IFERROR('Historical FS&gt;'!J32/SUM('Historical FS&gt;'!J47:J48),0)</f>
        <v>0.16421949070772329</v>
      </c>
      <c r="K22" s="4">
        <f>IFERROR('Historical FS&gt;'!K32/SUM('Historical FS&gt;'!K47:K48),0)</f>
        <v>0.1767799270296162</v>
      </c>
      <c r="L22" s="4">
        <f>IFERROR('Historical FS&gt;'!L32/SUM('Historical FS&gt;'!L47:L48),0)</f>
        <v>0.19274809160305342</v>
      </c>
      <c r="N22" s="4">
        <f t="shared" si="11"/>
        <v>0.51236535675690287</v>
      </c>
      <c r="O22" s="4">
        <f t="shared" si="12"/>
        <v>0.62266643890083917</v>
      </c>
    </row>
    <row r="23" spans="2:15" x14ac:dyDescent="0.25">
      <c r="B23" t="s">
        <v>138</v>
      </c>
      <c r="C23" s="4">
        <f>IFERROR(C21*C22,0)</f>
        <v>9.9465975365322534E-2</v>
      </c>
      <c r="D23" s="4">
        <f t="shared" ref="D23:L23" si="13">IFERROR(D21*D22,0)</f>
        <v>0</v>
      </c>
      <c r="E23" s="4">
        <f t="shared" si="13"/>
        <v>3.1796744256808181E-2</v>
      </c>
      <c r="F23" s="4">
        <f t="shared" si="13"/>
        <v>3.1435349940687994E-2</v>
      </c>
      <c r="G23" s="4">
        <f t="shared" si="13"/>
        <v>7.6088449388820215E-2</v>
      </c>
      <c r="H23" s="4">
        <f t="shared" si="13"/>
        <v>0.12533367230202108</v>
      </c>
      <c r="I23" s="4">
        <f t="shared" si="13"/>
        <v>0.1122858184469559</v>
      </c>
      <c r="J23" s="4">
        <f t="shared" si="13"/>
        <v>0</v>
      </c>
      <c r="K23" s="4">
        <f t="shared" si="13"/>
        <v>1.3921444732068222E-2</v>
      </c>
      <c r="L23" s="4">
        <f t="shared" si="13"/>
        <v>1.0555820610687005E-2</v>
      </c>
      <c r="N23" s="4">
        <f t="shared" si="11"/>
        <v>4.4601922186449844E-2</v>
      </c>
      <c r="O23" s="4">
        <f t="shared" si="12"/>
        <v>3.1616047098748087E-2</v>
      </c>
    </row>
    <row r="24" spans="2:15" x14ac:dyDescent="0.25">
      <c r="B24" s="30" t="s">
        <v>139</v>
      </c>
      <c r="C24" s="45">
        <f>IFERROR(('Historical FS&gt;'!C17-'Historical FS&gt;'!C23)/'Historical FS&gt;'!C20,0)</f>
        <v>109.72148475909543</v>
      </c>
      <c r="D24" s="45">
        <f>IFERROR(('Historical FS&gt;'!D17-'Historical FS&gt;'!D23)/'Historical FS&gt;'!D20,0)</f>
        <v>287.57231638418079</v>
      </c>
      <c r="E24" s="45">
        <f>IFERROR(('Historical FS&gt;'!E17-'Historical FS&gt;'!E23)/'Historical FS&gt;'!E20,0)</f>
        <v>326.88235294117646</v>
      </c>
      <c r="F24" s="45">
        <f>IFERROR(('Historical FS&gt;'!F17-'Historical FS&gt;'!F23)/'Historical FS&gt;'!F20,0)</f>
        <v>168.45714285714286</v>
      </c>
      <c r="G24" s="45">
        <f>IFERROR(('Historical FS&gt;'!G17-'Historical FS&gt;'!G23)/'Historical FS&gt;'!G20,0)</f>
        <v>268.42307692307691</v>
      </c>
      <c r="H24" s="45">
        <f>IFERROR(('Historical FS&gt;'!H17-'Historical FS&gt;'!H23)/'Historical FS&gt;'!H20,0)</f>
        <v>251.96969696969697</v>
      </c>
      <c r="I24" s="45">
        <f>IFERROR(('Historical FS&gt;'!I17-'Historical FS&gt;'!I23)/'Historical FS&gt;'!I20,0)</f>
        <v>75.008474576271183</v>
      </c>
      <c r="J24" s="45">
        <f>IFERROR(('Historical FS&gt;'!J17-'Historical FS&gt;'!J23)/'Historical FS&gt;'!J20,0)</f>
        <v>90.188034188034194</v>
      </c>
      <c r="K24" s="45">
        <f>IFERROR(('Historical FS&gt;'!K17-'Historical FS&gt;'!K23)/'Historical FS&gt;'!K20,0)</f>
        <v>111</v>
      </c>
      <c r="L24" s="45">
        <f>IFERROR(('Historical FS&gt;'!L17-'Historical FS&gt;'!L23)/'Historical FS&gt;'!L20,0)</f>
        <v>114.13157894736842</v>
      </c>
      <c r="M24" s="30"/>
      <c r="N24" s="31">
        <f t="shared" si="11"/>
        <v>188.18140819854978</v>
      </c>
      <c r="O24" s="31">
        <f t="shared" si="12"/>
        <v>141.29436090225565</v>
      </c>
    </row>
    <row r="26" spans="2:15" x14ac:dyDescent="0.25">
      <c r="B26" s="34" t="s">
        <v>140</v>
      </c>
      <c r="C26" s="37">
        <f>IFERROR('Historical FS&gt;'!C5/'Historical FS&gt;'!C59,0)</f>
        <v>28.750445019226802</v>
      </c>
      <c r="D26" s="37">
        <f>IFERROR('Historical FS&gt;'!D5/'Historical FS&gt;'!D59,0)</f>
        <v>31.646860276359028</v>
      </c>
      <c r="E26" s="37">
        <f>IFERROR('Historical FS&gt;'!E5/'Historical FS&gt;'!E59,0)</f>
        <v>25.463607594936708</v>
      </c>
      <c r="F26" s="37">
        <f>IFERROR('Historical FS&gt;'!F5/'Historical FS&gt;'!F59,0)</f>
        <v>30.56405529953917</v>
      </c>
      <c r="G26" s="37">
        <f>IFERROR('Historical FS&gt;'!G5/'Historical FS&gt;'!G59,0)</f>
        <v>27.133587786259543</v>
      </c>
      <c r="H26" s="37">
        <f>IFERROR('Historical FS&gt;'!H5/'Historical FS&gt;'!H59,0)</f>
        <v>21.646475770925111</v>
      </c>
      <c r="I26" s="37">
        <f>IFERROR('Historical FS&gt;'!I5/'Historical FS&gt;'!I59,0)</f>
        <v>34.624020887728463</v>
      </c>
      <c r="J26" s="37">
        <f>IFERROR('Historical FS&gt;'!J5/'Historical FS&gt;'!J59,0)</f>
        <v>26.750853242320819</v>
      </c>
      <c r="K26" s="37">
        <f>IFERROR('Historical FS&gt;'!K5/'Historical FS&gt;'!K59,0)</f>
        <v>23.455277280858677</v>
      </c>
      <c r="L26" s="37">
        <f>IFERROR('Historical FS&gt;'!L5/'Historical FS&gt;'!L59,0)</f>
        <v>19.67521922702176</v>
      </c>
      <c r="M26" s="34"/>
      <c r="N26" s="37">
        <f t="shared" ref="N26:N27" si="14">IFERROR(AVERAGE(D26:L26),0)</f>
        <v>26.773328596216587</v>
      </c>
      <c r="O26" s="37">
        <f t="shared" ref="O26:O27" si="15">MEDIAN(C26:L26)</f>
        <v>26.942220514290181</v>
      </c>
    </row>
    <row r="27" spans="2:15" x14ac:dyDescent="0.25">
      <c r="B27" t="s">
        <v>141</v>
      </c>
      <c r="C27" s="28">
        <f>IFERROR('Historical FS&gt;'!C5/'Historical FS&gt;'!C50,0)</f>
        <v>2.8742191048685384</v>
      </c>
      <c r="D27" s="28">
        <f>IFERROR('Historical FS&gt;'!D5/'Historical FS&gt;'!D50,0)</f>
        <v>3.0864136630817036</v>
      </c>
      <c r="E27" s="28">
        <f>IFERROR('Historical FS&gt;'!E5/'Historical FS&gt;'!E50,0)</f>
        <v>4.0017406440382945</v>
      </c>
      <c r="F27" s="28">
        <f>IFERROR('Historical FS&gt;'!F5/'Historical FS&gt;'!F50,0)</f>
        <v>3.818307426597582</v>
      </c>
      <c r="G27" s="28">
        <f>IFERROR('Historical FS&gt;'!G5/'Historical FS&gt;'!G50,0)</f>
        <v>3.3593233153766184</v>
      </c>
      <c r="H27" s="28">
        <f>IFERROR('Historical FS&gt;'!H5/'Historical FS&gt;'!H50,0)</f>
        <v>3.6865797617931162</v>
      </c>
      <c r="I27" s="28">
        <f>IFERROR('Historical FS&gt;'!I5/'Historical FS&gt;'!I50,0)</f>
        <v>3.3363804092586382</v>
      </c>
      <c r="J27" s="28">
        <f>IFERROR('Historical FS&gt;'!J5/'Historical FS&gt;'!J50,0)</f>
        <v>2.3447175549683403</v>
      </c>
      <c r="K27" s="28">
        <f>IFERROR('Historical FS&gt;'!K5/'Historical FS&gt;'!K50,0)</f>
        <v>2.5706303303597688</v>
      </c>
      <c r="L27" s="28">
        <f>IFERROR('Historical FS&gt;'!L5/'Historical FS&gt;'!L50,0)</f>
        <v>2.8106151990349817</v>
      </c>
      <c r="N27" s="28">
        <f t="shared" si="14"/>
        <v>3.2238564782787829</v>
      </c>
      <c r="O27" s="28">
        <f t="shared" si="15"/>
        <v>3.2113970361701707</v>
      </c>
    </row>
    <row r="28" spans="2:15" x14ac:dyDescent="0.25">
      <c r="B28" t="s">
        <v>32</v>
      </c>
      <c r="C28" s="28">
        <f>IFERROR('Historical FS&gt;'!C8/'Historical FS&gt;'!C60,0)</f>
        <v>5.9011235343540269</v>
      </c>
      <c r="D28" s="28">
        <f>IFERROR('Historical FS&gt;'!D8/'Historical FS&gt;'!D60,0)</f>
        <v>6.5999670035348332</v>
      </c>
      <c r="E28" s="28">
        <f>IFERROR('Historical FS&gt;'!E8/'Historical FS&gt;'!E60,0)</f>
        <v>6.6845194424064562</v>
      </c>
      <c r="F28" s="28">
        <f>IFERROR('Historical FS&gt;'!F8/'Historical FS&gt;'!F60,0)</f>
        <v>7.3494687131050771</v>
      </c>
      <c r="G28" s="28">
        <f>IFERROR('Historical FS&gt;'!G8/'Historical FS&gt;'!G60,0)</f>
        <v>7.685634699562276</v>
      </c>
      <c r="H28" s="28">
        <f>IFERROR('Historical FS&gt;'!H8/'Historical FS&gt;'!H60,0)</f>
        <v>8.1899766899766906</v>
      </c>
      <c r="I28" s="28">
        <f>IFERROR('Historical FS&gt;'!I8/'Historical FS&gt;'!I60,0)</f>
        <v>7.4499457896638956</v>
      </c>
      <c r="J28" s="28">
        <f>IFERROR('Historical FS&gt;'!J8/'Historical FS&gt;'!J60,0)</f>
        <v>7.0692930986309026</v>
      </c>
      <c r="K28" s="28">
        <f>IFERROR('Historical FS&gt;'!K8/'Historical FS&gt;'!K60,0)</f>
        <v>7.09619140625</v>
      </c>
      <c r="L28" s="28">
        <f>IFERROR('Historical FS&gt;'!L8/'Historical FS&gt;'!L60,0)</f>
        <v>8.3229828275699838</v>
      </c>
      <c r="N28" s="28">
        <f t="shared" ref="N28" si="16">IFERROR(AVERAGE(D28:L28),0)</f>
        <v>7.3831088523000119</v>
      </c>
      <c r="O28" s="28">
        <f t="shared" ref="O28" si="17">MEDIAN(C28:L28)</f>
        <v>7.2228300596775386</v>
      </c>
    </row>
    <row r="29" spans="2:15" x14ac:dyDescent="0.25">
      <c r="B29" t="s">
        <v>142</v>
      </c>
      <c r="C29" s="28">
        <f>IFERROR('Historical FS&gt;'!C5/'Historical FS&gt;'!C53,0)</f>
        <v>10.645005534840365</v>
      </c>
      <c r="D29" s="28">
        <f>IFERROR('Historical FS&gt;'!D5/'Historical FS&gt;'!D53,0)</f>
        <v>11.33359683234019</v>
      </c>
      <c r="E29" s="28">
        <f>IFERROR('Historical FS&gt;'!E5/'Historical FS&gt;'!E53,0)</f>
        <v>9.8790669122160839</v>
      </c>
      <c r="F29" s="28">
        <f>IFERROR('Historical FS&gt;'!F5/'Historical FS&gt;'!F53,0)</f>
        <v>7.5044127630685677</v>
      </c>
      <c r="G29" s="28">
        <f>IFERROR('Historical FS&gt;'!G5/'Historical FS&gt;'!G53,0)</f>
        <v>7.8500441696113077</v>
      </c>
      <c r="H29" s="28">
        <f>IFERROR('Historical FS&gt;'!H5/'Historical FS&gt;'!H53,0)</f>
        <v>8.3372216330858961</v>
      </c>
      <c r="I29" s="28">
        <f>IFERROR('Historical FS&gt;'!I5/'Historical FS&gt;'!I53,0)</f>
        <v>7.2609965322139081</v>
      </c>
      <c r="J29" s="28">
        <f>IFERROR('Historical FS&gt;'!J5/'Historical FS&gt;'!J53,0)</f>
        <v>0.91417685593763975</v>
      </c>
      <c r="K29" s="28">
        <f>IFERROR('Historical FS&gt;'!K5/'Historical FS&gt;'!K53,0)</f>
        <v>1.018903114254075</v>
      </c>
      <c r="L29" s="28">
        <f>IFERROR('Historical FS&gt;'!L5/'Historical FS&gt;'!L53,0)</f>
        <v>1.1500056949770303</v>
      </c>
      <c r="N29" s="28">
        <f t="shared" ref="N29" si="18">IFERROR(AVERAGE(D29:L29),0)</f>
        <v>6.138713834189411</v>
      </c>
      <c r="O29" s="28">
        <f t="shared" ref="O29" si="19">MEDIAN(C29:L29)</f>
        <v>7.6772284663399377</v>
      </c>
    </row>
    <row r="30" spans="2:15" x14ac:dyDescent="0.25">
      <c r="B30" s="30" t="s">
        <v>143</v>
      </c>
      <c r="C30" s="31">
        <f>IFERROR('Historical FS&gt;'!C5/SUM('Historical FS&gt;'!C47+'Historical FS&gt;'!C48),0)</f>
        <v>8.2644453805031546</v>
      </c>
      <c r="D30" s="31">
        <f>IFERROR('Historical FS&gt;'!D5/SUM('Historical FS&gt;'!D47+'Historical FS&gt;'!D48),0)</f>
        <v>7.9385099367346328</v>
      </c>
      <c r="E30" s="31">
        <f>IFERROR('Historical FS&gt;'!E5/SUM('Historical FS&gt;'!E47+'Historical FS&gt;'!E48),0)</f>
        <v>4.8966986155484555</v>
      </c>
      <c r="F30" s="31">
        <f>IFERROR('Historical FS&gt;'!F5/SUM('Historical FS&gt;'!F47+'Historical FS&gt;'!F48),0)</f>
        <v>4.9172597864768681</v>
      </c>
      <c r="G30" s="31">
        <f>IFERROR('Historical FS&gt;'!G5/SUM('Historical FS&gt;'!G47+'Historical FS&gt;'!G48),0)</f>
        <v>4.8818843565444308</v>
      </c>
      <c r="H30" s="31">
        <f>IFERROR('Historical FS&gt;'!H5/SUM('Historical FS&gt;'!H47+'Historical FS&gt;'!H48),0)</f>
        <v>4.9968221685521801</v>
      </c>
      <c r="I30" s="31">
        <f>IFERROR('Historical FS&gt;'!I5/SUM('Historical FS&gt;'!I47+'Historical FS&gt;'!I48),0)</f>
        <v>4.8344877870944218</v>
      </c>
      <c r="J30" s="31">
        <f>IFERROR('Historical FS&gt;'!J5/SUM('Historical FS&gt;'!J47+'Historical FS&gt;'!J48),0)</f>
        <v>0.98644963711876499</v>
      </c>
      <c r="K30" s="31">
        <f>IFERROR('Historical FS&gt;'!K5/SUM('Historical FS&gt;'!K47+'Historical FS&gt;'!K48),0)</f>
        <v>1.0689957399971464</v>
      </c>
      <c r="L30" s="31">
        <f>IFERROR('Historical FS&gt;'!L5/SUM('Historical FS&gt;'!L47+'Historical FS&gt;'!L48),0)</f>
        <v>1.2042779898218829</v>
      </c>
      <c r="M30" s="30"/>
      <c r="N30" s="31">
        <f t="shared" ref="N30" si="20">IFERROR(AVERAGE(D30:L30),0)</f>
        <v>3.9694873353209763</v>
      </c>
      <c r="O30" s="31">
        <f t="shared" ref="O30" si="21">MEDIAN(C30:L30)</f>
        <v>4.8892914860464431</v>
      </c>
    </row>
    <row r="32" spans="2:15" x14ac:dyDescent="0.25">
      <c r="B32" s="34" t="s">
        <v>31</v>
      </c>
      <c r="C32" s="38">
        <f>IFERROR(365/C26,0)</f>
        <v>12.695455661848259</v>
      </c>
      <c r="D32" s="38">
        <f t="shared" ref="D32:L32" si="22">IFERROR(365/D26,0)</f>
        <v>11.533529608075018</v>
      </c>
      <c r="E32" s="38">
        <f t="shared" si="22"/>
        <v>14.334182563847637</v>
      </c>
      <c r="F32" s="38">
        <f t="shared" si="22"/>
        <v>11.942132561365419</v>
      </c>
      <c r="G32" s="38">
        <f t="shared" si="22"/>
        <v>13.4519623013082</v>
      </c>
      <c r="H32" s="38">
        <f t="shared" si="22"/>
        <v>16.861867209361485</v>
      </c>
      <c r="I32" s="38">
        <f t="shared" si="22"/>
        <v>10.541814342809742</v>
      </c>
      <c r="J32" s="38">
        <f t="shared" si="22"/>
        <v>13.644424598111764</v>
      </c>
      <c r="K32" s="38">
        <f t="shared" si="22"/>
        <v>15.561529954619989</v>
      </c>
      <c r="L32" s="38">
        <f t="shared" si="22"/>
        <v>18.551254539451964</v>
      </c>
      <c r="M32" s="34"/>
      <c r="N32" s="39">
        <f t="shared" ref="N32:N35" si="23">IFERROR(AVERAGE(D32:L32),0)</f>
        <v>14.046966408772358</v>
      </c>
      <c r="O32" s="39">
        <f t="shared" ref="O32:O35" si="24">MEDIAN(C32:L32)</f>
        <v>13.548193449709981</v>
      </c>
    </row>
    <row r="33" spans="2:15" x14ac:dyDescent="0.25">
      <c r="B33" t="s">
        <v>144</v>
      </c>
      <c r="C33" s="29">
        <f t="shared" ref="C33:L34" si="25">IFERROR(365/C27,0)</f>
        <v>126.99101449215871</v>
      </c>
      <c r="D33" s="29">
        <f t="shared" si="25"/>
        <v>118.26023334654273</v>
      </c>
      <c r="E33" s="29">
        <f t="shared" si="25"/>
        <v>91.210308829926049</v>
      </c>
      <c r="F33" s="29">
        <f t="shared" si="25"/>
        <v>95.592093359869736</v>
      </c>
      <c r="G33" s="29">
        <f t="shared" si="25"/>
        <v>108.65283443522296</v>
      </c>
      <c r="H33" s="29">
        <f t="shared" si="25"/>
        <v>99.007758839989833</v>
      </c>
      <c r="I33" s="29">
        <f t="shared" si="25"/>
        <v>109.39999497272704</v>
      </c>
      <c r="J33" s="29">
        <f t="shared" si="25"/>
        <v>155.66906949051628</v>
      </c>
      <c r="K33" s="29">
        <f t="shared" si="25"/>
        <v>141.98852152690384</v>
      </c>
      <c r="L33" s="29">
        <f t="shared" si="25"/>
        <v>129.86480686695279</v>
      </c>
      <c r="N33" s="22">
        <f t="shared" si="23"/>
        <v>116.62729129651682</v>
      </c>
      <c r="O33" s="22">
        <f t="shared" si="24"/>
        <v>113.83011415963489</v>
      </c>
    </row>
    <row r="34" spans="2:15" x14ac:dyDescent="0.25">
      <c r="B34" t="s">
        <v>145</v>
      </c>
      <c r="C34" s="29">
        <f t="shared" si="25"/>
        <v>61.852628211409765</v>
      </c>
      <c r="D34" s="29">
        <f t="shared" si="25"/>
        <v>55.303306789944862</v>
      </c>
      <c r="E34" s="29">
        <f t="shared" si="25"/>
        <v>54.603775655800682</v>
      </c>
      <c r="F34" s="29">
        <f t="shared" si="25"/>
        <v>49.663453815261043</v>
      </c>
      <c r="G34" s="29">
        <f t="shared" si="25"/>
        <v>47.491198094646371</v>
      </c>
      <c r="H34" s="29">
        <f t="shared" si="25"/>
        <v>44.566671410274651</v>
      </c>
      <c r="I34" s="29">
        <f t="shared" si="25"/>
        <v>48.993645095566123</v>
      </c>
      <c r="J34" s="29">
        <f t="shared" si="25"/>
        <v>51.631753685625071</v>
      </c>
      <c r="K34" s="29">
        <f t="shared" si="25"/>
        <v>51.436042111057596</v>
      </c>
      <c r="L34" s="29">
        <f t="shared" si="25"/>
        <v>43.854469913230261</v>
      </c>
      <c r="N34" s="22">
        <f t="shared" si="23"/>
        <v>49.727146285711854</v>
      </c>
      <c r="O34" s="22">
        <f t="shared" si="24"/>
        <v>50.549747963159319</v>
      </c>
    </row>
    <row r="35" spans="2:15" x14ac:dyDescent="0.25">
      <c r="B35" s="30" t="s">
        <v>146</v>
      </c>
      <c r="C35" s="43">
        <f>IFERROR(C32+C34-C33,0)</f>
        <v>-52.442930618900689</v>
      </c>
      <c r="D35" s="43">
        <f t="shared" ref="D35:L35" si="26">IFERROR(D32+D34-D33,0)</f>
        <v>-51.42339694852285</v>
      </c>
      <c r="E35" s="43">
        <f t="shared" si="26"/>
        <v>-22.272350610277726</v>
      </c>
      <c r="F35" s="43">
        <f t="shared" si="26"/>
        <v>-33.986506983243274</v>
      </c>
      <c r="G35" s="43">
        <f t="shared" si="26"/>
        <v>-47.709674039268386</v>
      </c>
      <c r="H35" s="43">
        <f t="shared" si="26"/>
        <v>-37.579220220353697</v>
      </c>
      <c r="I35" s="43">
        <f t="shared" si="26"/>
        <v>-49.864535534351177</v>
      </c>
      <c r="J35" s="43">
        <f t="shared" si="26"/>
        <v>-90.392891206779439</v>
      </c>
      <c r="K35" s="43">
        <f t="shared" si="26"/>
        <v>-74.990949461226251</v>
      </c>
      <c r="L35" s="43">
        <f t="shared" si="26"/>
        <v>-67.459082414270569</v>
      </c>
      <c r="M35" s="30"/>
      <c r="N35" s="44">
        <f t="shared" si="23"/>
        <v>-52.8531786020326</v>
      </c>
      <c r="O35" s="44">
        <f t="shared" si="24"/>
        <v>-50.643966241437013</v>
      </c>
    </row>
    <row r="37" spans="2:15" x14ac:dyDescent="0.25">
      <c r="B37" s="34" t="s">
        <v>147</v>
      </c>
      <c r="C37" s="36">
        <f>IFERROR('Historical FS&gt;'!C81/'Historical FS&gt;'!C5,0)</f>
        <v>0.14445637130247446</v>
      </c>
      <c r="D37" s="36">
        <f>IFERROR('Historical FS&gt;'!D81/'Historical FS&gt;'!D5,0)</f>
        <v>9.2236409204374176E-2</v>
      </c>
      <c r="E37" s="36">
        <f>IFERROR('Historical FS&gt;'!E81/'Historical FS&gt;'!E5,0)</f>
        <v>0.12707388305474429</v>
      </c>
      <c r="F37" s="36">
        <f>IFERROR('Historical FS&gt;'!F81/'Historical FS&gt;'!F5,0)</f>
        <v>0.17342138592364756</v>
      </c>
      <c r="G37" s="36">
        <f>IFERROR('Historical FS&gt;'!G81/'Historical FS&gt;'!G5,0)</f>
        <v>0.19397946265297511</v>
      </c>
      <c r="H37" s="36">
        <f>IFERROR('Historical FS&gt;'!H81/'Historical FS&gt;'!H5,0)</f>
        <v>0.1388450775883999</v>
      </c>
      <c r="I37" s="36">
        <f>IFERROR('Historical FS&gt;'!I81/'Historical FS&gt;'!I5,0)</f>
        <v>0.20194555463388886</v>
      </c>
      <c r="J37" s="36">
        <f>IFERROR('Historical FS&gt;'!J81/'Historical FS&gt;'!J5,0)</f>
        <v>0.19269371438292082</v>
      </c>
      <c r="K37" s="36">
        <f>IFERROR('Historical FS&gt;'!K81/'Historical FS&gt;'!K5,0)</f>
        <v>0.15345307554436946</v>
      </c>
      <c r="L37" s="36">
        <f>IFERROR('Historical FS&gt;'!L81/'Historical FS&gt;'!L5,0)</f>
        <v>0.14910861670518322</v>
      </c>
      <c r="M37" s="34"/>
      <c r="N37" s="36">
        <f t="shared" ref="N37:N39" si="27">IFERROR(AVERAGE(D37:L37),0)</f>
        <v>0.15808413107672259</v>
      </c>
      <c r="O37" s="36">
        <f t="shared" ref="O37:O39" si="28">MEDIAN(C37:L37)</f>
        <v>0.15128084612477632</v>
      </c>
    </row>
    <row r="38" spans="2:15" x14ac:dyDescent="0.25">
      <c r="B38" t="s">
        <v>148</v>
      </c>
      <c r="C38" s="4">
        <f>IFERROR('Historical FS&gt;'!C81/'Historical FS&gt;'!C64,0)</f>
        <v>0.30704040820451522</v>
      </c>
      <c r="D38" s="4">
        <f>IFERROR('Historical FS&gt;'!D81/'Historical FS&gt;'!D64,0)</f>
        <v>0.20437256099124504</v>
      </c>
      <c r="E38" s="4">
        <f>IFERROR('Historical FS&gt;'!E81/'Historical FS&gt;'!E64,0)</f>
        <v>0.27648211992158456</v>
      </c>
      <c r="F38" s="4">
        <f>IFERROR('Historical FS&gt;'!F81/'Historical FS&gt;'!F64,0)</f>
        <v>0.36616579651088754</v>
      </c>
      <c r="G38" s="4">
        <f>IFERROR('Historical FS&gt;'!G81/'Historical FS&gt;'!G64,0)</f>
        <v>0.38601500391893406</v>
      </c>
      <c r="H38" s="4">
        <f>IFERROR('Historical FS&gt;'!H81/'Historical FS&gt;'!H64,0)</f>
        <v>0.29298405711525044</v>
      </c>
      <c r="I38" s="4">
        <f>IFERROR('Historical FS&gt;'!I81/'Historical FS&gt;'!I64,0)</f>
        <v>0.39865032501364561</v>
      </c>
      <c r="J38" s="4">
        <f>IFERROR('Historical FS&gt;'!J81/'Historical FS&gt;'!J64,0)</f>
        <v>0.13183008437590923</v>
      </c>
      <c r="K38" s="4">
        <f>IFERROR('Historical FS&gt;'!K81/'Historical FS&gt;'!K64,0)</f>
        <v>0.1141463137888974</v>
      </c>
      <c r="L38" s="4">
        <f>IFERROR('Historical FS&gt;'!L81/'Historical FS&gt;'!L64,0)</f>
        <v>0.12360934356911203</v>
      </c>
      <c r="N38" s="4">
        <f t="shared" si="27"/>
        <v>0.25491728946727399</v>
      </c>
      <c r="O38" s="4">
        <f t="shared" si="28"/>
        <v>0.2847330885184175</v>
      </c>
    </row>
    <row r="39" spans="2:15" x14ac:dyDescent="0.25">
      <c r="B39" s="30" t="s">
        <v>149</v>
      </c>
      <c r="C39" s="32">
        <f>IFERROR('Historical FS&gt;'!C81/'Historical FS&gt;'!C49,0)</f>
        <v>92.650285212812634</v>
      </c>
      <c r="D39" s="32">
        <f>IFERROR('Historical FS&gt;'!D81/'Historical FS&gt;'!D49,0)</f>
        <v>68.517657992565063</v>
      </c>
      <c r="E39" s="32">
        <f>IFERROR('Historical FS&gt;'!E81/'Historical FS&gt;'!E49,0)</f>
        <v>23.10734463276836</v>
      </c>
      <c r="F39" s="32">
        <f>IFERROR('Historical FS&gt;'!F81/'Historical FS&gt;'!F49,0)</f>
        <v>20.76173285198556</v>
      </c>
      <c r="G39" s="32">
        <f>IFERROR('Historical FS&gt;'!G81/'Historical FS&gt;'!G49,0)</f>
        <v>0</v>
      </c>
      <c r="H39" s="32">
        <f>IFERROR('Historical FS&gt;'!H81/'Historical FS&gt;'!H49,0)</f>
        <v>55.131313131313128</v>
      </c>
      <c r="I39" s="32">
        <f>IFERROR('Historical FS&gt;'!I81/'Historical FS&gt;'!I49,0)</f>
        <v>0</v>
      </c>
      <c r="J39" s="32">
        <f>IFERROR('Historical FS&gt;'!J81/'Historical FS&gt;'!J49,0)</f>
        <v>8.9811694747274533</v>
      </c>
      <c r="K39" s="32">
        <f>IFERROR('Historical FS&gt;'!K81/'Historical FS&gt;'!K49,0)</f>
        <v>7.7162032598274211</v>
      </c>
      <c r="L39" s="32">
        <f>IFERROR('Historical FS&gt;'!L81/'Historical FS&gt;'!L49,0)</f>
        <v>7.410172272354389</v>
      </c>
      <c r="M39" s="30"/>
      <c r="N39" s="32">
        <f t="shared" si="27"/>
        <v>21.291732623949045</v>
      </c>
      <c r="O39" s="32">
        <f t="shared" si="28"/>
        <v>14.871451163356507</v>
      </c>
    </row>
  </sheetData>
  <mergeCells count="1">
    <mergeCell ref="B2:M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high="1" low="1" xr2:uid="{BCEE9DB5-7952-41B4-80CB-3A4A777E25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Analysis&gt;'!D32:L32</xm:f>
              <xm:sqref>M32</xm:sqref>
            </x14:sparkline>
            <x14:sparkline>
              <xm:f>'Ratio Analysis&gt;'!D33:L33</xm:f>
              <xm:sqref>M33</xm:sqref>
            </x14:sparkline>
            <x14:sparkline>
              <xm:f>'Ratio Analysis&gt;'!D34:L34</xm:f>
              <xm:sqref>M34</xm:sqref>
            </x14:sparkline>
          </x14:sparklines>
        </x14:sparklineGroup>
        <x14:sparklineGroup displayEmptyCellsAs="span" high="1" low="1" xr2:uid="{9210B861-DCA2-4E11-844F-C43743B37B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Analysis&gt;'!D30:L30</xm:f>
              <xm:sqref>M30</xm:sqref>
            </x14:sparkline>
          </x14:sparklines>
        </x14:sparklineGroup>
        <x14:sparklineGroup displayEmptyCellsAs="span" high="1" low="1" xr2:uid="{98E0B1C2-531F-49FD-807D-30E293FCDE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Analysis&gt;'!D29:L29</xm:f>
              <xm:sqref>M29</xm:sqref>
            </x14:sparkline>
          </x14:sparklines>
        </x14:sparklineGroup>
        <x14:sparklineGroup displayEmptyCellsAs="span" high="1" low="1" xr2:uid="{7F44369C-AEFC-4883-933B-7AB35716FA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Analysis&gt;'!D28:L28</xm:f>
              <xm:sqref>M28</xm:sqref>
            </x14:sparkline>
          </x14:sparklines>
        </x14:sparklineGroup>
        <x14:sparklineGroup displayEmptyCellsAs="span" high="1" low="1" xr2:uid="{4CD4D530-A3E7-4948-90EE-70379D58B8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Analysis&gt;'!D26:L26</xm:f>
              <xm:sqref>M26</xm:sqref>
            </x14:sparkline>
            <x14:sparkline>
              <xm:f>'Ratio Analysis&gt;'!D27:L27</xm:f>
              <xm:sqref>M27</xm:sqref>
            </x14:sparkline>
          </x14:sparklines>
        </x14:sparklineGroup>
        <x14:sparklineGroup displayEmptyCellsAs="span" high="1" low="1" xr2:uid="{3B20145A-8632-4D59-BE66-5415EC5B1D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Analysis&gt;'!D16:L16</xm:f>
              <xm:sqref>M16</xm:sqref>
            </x14:sparkline>
            <x14:sparkline>
              <xm:f>'Ratio Analysis&gt;'!D17:L17</xm:f>
              <xm:sqref>M17</xm:sqref>
            </x14:sparkline>
            <x14:sparkline>
              <xm:f>'Ratio Analysis&gt;'!D18:L18</xm:f>
              <xm:sqref>M18</xm:sqref>
            </x14:sparkline>
          </x14:sparklines>
        </x14:sparklineGroup>
        <x14:sparklineGroup displayEmptyCellsAs="span" high="1" low="1" xr2:uid="{B332DD57-3EEF-4BF2-AADF-1FCABD683B8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Analysis&gt;'!D12:L12</xm:f>
              <xm:sqref>M12</xm:sqref>
            </x14:sparkline>
          </x14:sparklines>
        </x14:sparklineGroup>
        <x14:sparklineGroup displayEmptyCellsAs="span" high="1" low="1" xr2:uid="{95843609-7C59-493B-A7C7-A1121EE78E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Analysis&gt;'!D5:L5</xm:f>
              <xm:sqref>M5</xm:sqref>
            </x14:sparkline>
            <x14:sparkline>
              <xm:f>'Ratio Analysis&gt;'!D6:L6</xm:f>
              <xm:sqref>M6</xm:sqref>
            </x14:sparkline>
            <x14:sparkline>
              <xm:f>'Ratio Analysis&gt;'!D7:L7</xm:f>
              <xm:sqref>M7</xm:sqref>
            </x14:sparkline>
          </x14:sparklines>
        </x14:sparklineGroup>
        <x14:sparklineGroup displayEmptyCellsAs="span" high="1" low="1" xr2:uid="{2E71DEA0-728C-47EC-9644-9A9B804D472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Analysis&gt;'!D10:L10</xm:f>
              <xm:sqref>M10</xm:sqref>
            </x14:sparkline>
          </x14:sparklines>
        </x14:sparklineGroup>
        <x14:sparklineGroup displayEmptyCellsAs="span" high="1" low="1" xr2:uid="{1D81A497-86A0-4FF5-A382-61BF1E6A365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Analysis&gt;'!D11:L11</xm:f>
              <xm:sqref>M11</xm:sqref>
            </x14:sparkline>
            <x14:sparkline>
              <xm:f>'Ratio Analysis&gt;'!D13:L13</xm:f>
              <xm:sqref>M13</xm:sqref>
            </x14:sparkline>
            <x14:sparkline>
              <xm:f>'Ratio Analysis&gt;'!D14:L14</xm:f>
              <xm:sqref>M14</xm:sqref>
            </x14:sparkline>
          </x14:sparklines>
        </x14:sparklineGroup>
        <x14:sparklineGroup displayEmptyCellsAs="span" high="1" low="1" xr2:uid="{C8D90D27-EBD2-4BE8-8615-5960203A15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Analysis&gt;'!D8:L8</xm:f>
              <xm:sqref>M8</xm:sqref>
            </x14:sparkline>
          </x14:sparklines>
        </x14:sparklineGroup>
        <x14:sparklineGroup displayEmptyCellsAs="span" high="1" low="1" xr2:uid="{A47EC8F8-B747-4865-8300-6829BADE107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Analysis&gt;'!D35:L35</xm:f>
              <xm:sqref>M35</xm:sqref>
            </x14:sparkline>
          </x14:sparklines>
        </x14:sparklineGroup>
        <x14:sparklineGroup displayEmptyCellsAs="span" high="1" low="1" xr2:uid="{09D793EB-A0FF-42EF-AF26-1765E2BC5DC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Analysis&gt;'!D37:L37</xm:f>
              <xm:sqref>M37</xm:sqref>
            </x14:sparkline>
            <x14:sparkline>
              <xm:f>'Ratio Analysis&gt;'!D38:L38</xm:f>
              <xm:sqref>M38</xm:sqref>
            </x14:sparkline>
            <x14:sparkline>
              <xm:f>'Ratio Analysis&gt;'!D39:L39</xm:f>
              <xm:sqref>M39</xm:sqref>
            </x14:sparkline>
          </x14:sparklines>
        </x14:sparklineGroup>
        <x14:sparklineGroup displayEmptyCellsAs="span" high="1" low="1" xr2:uid="{B166000F-FBEC-406F-806E-82CAE886362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Analysis&gt;'!D20:L20</xm:f>
              <xm:sqref>M20</xm:sqref>
            </x14:sparkline>
            <x14:sparkline>
              <xm:f>'Ratio Analysis&gt;'!D21:L21</xm:f>
              <xm:sqref>M21</xm:sqref>
            </x14:sparkline>
            <x14:sparkline>
              <xm:f>'Ratio Analysis&gt;'!D22:L22</xm:f>
              <xm:sqref>M22</xm:sqref>
            </x14:sparkline>
            <x14:sparkline>
              <xm:f>'Ratio Analysis&gt;'!D23:L23</xm:f>
              <xm:sqref>M23</xm:sqref>
            </x14:sparkline>
          </x14:sparklines>
        </x14:sparklineGroup>
        <x14:sparklineGroup displayEmptyCellsAs="span" high="1" low="1" xr2:uid="{EA0A2107-D292-4976-986F-2477D5ABA9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Analysis&gt;'!D24:L24</xm:f>
              <xm:sqref>M24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2E39-64F5-4D94-8418-255D1F1EE6AA}">
  <sheetPr>
    <tabColor theme="5"/>
  </sheetPr>
  <dimension ref="A2:Q110"/>
  <sheetViews>
    <sheetView showGridLines="0" zoomScale="80" zoomScaleNormal="8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B2" sqref="B2:M43"/>
    </sheetView>
  </sheetViews>
  <sheetFormatPr defaultRowHeight="15" outlineLevelRow="1" x14ac:dyDescent="0.25"/>
  <cols>
    <col min="1" max="1" width="1.85546875" customWidth="1"/>
    <col min="2" max="2" width="31.28515625" customWidth="1"/>
    <col min="3" max="15" width="12.85546875" customWidth="1"/>
  </cols>
  <sheetData>
    <row r="2" spans="1:15" x14ac:dyDescent="0.25">
      <c r="B2" s="314" t="str">
        <f>"Historical Financial Statement - "&amp;'Data Sheet'!B1</f>
        <v>Historical Financial Statement - HINDUSTAN UNILEVER LTD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5"/>
      <c r="O2" s="315"/>
    </row>
    <row r="3" spans="1:15" x14ac:dyDescent="0.25">
      <c r="B3" s="10" t="s">
        <v>57</v>
      </c>
      <c r="C3" s="11">
        <f>'Data Sheet'!B16</f>
        <v>41729</v>
      </c>
      <c r="D3" s="11">
        <f>'Data Sheet'!C16</f>
        <v>42094</v>
      </c>
      <c r="E3" s="11">
        <f>'Data Sheet'!D16</f>
        <v>42460</v>
      </c>
      <c r="F3" s="11">
        <f>'Data Sheet'!E16</f>
        <v>42825</v>
      </c>
      <c r="G3" s="11">
        <f>'Data Sheet'!F16</f>
        <v>43190</v>
      </c>
      <c r="H3" s="11">
        <f>'Data Sheet'!G16</f>
        <v>43555</v>
      </c>
      <c r="I3" s="11">
        <f>'Data Sheet'!H16</f>
        <v>43921</v>
      </c>
      <c r="J3" s="11">
        <f>'Data Sheet'!I16</f>
        <v>44286</v>
      </c>
      <c r="K3" s="11">
        <f>'Data Sheet'!J16</f>
        <v>44651</v>
      </c>
      <c r="L3" s="11">
        <f>'Data Sheet'!K16</f>
        <v>45016</v>
      </c>
      <c r="M3" s="12" t="s">
        <v>58</v>
      </c>
      <c r="N3" s="315"/>
      <c r="O3" s="315"/>
    </row>
    <row r="4" spans="1:15" x14ac:dyDescent="0.25">
      <c r="A4" t="s">
        <v>59</v>
      </c>
      <c r="B4" s="17" t="s">
        <v>60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5" outlineLevel="1" x14ac:dyDescent="0.25">
      <c r="B5" t="s">
        <v>1</v>
      </c>
      <c r="C5" s="13">
        <f>IFERROR('Data Sheet'!B17,0)</f>
        <v>29233.74</v>
      </c>
      <c r="D5" s="13">
        <f>IFERROR('Data Sheet'!C17,0)</f>
        <v>31972.19</v>
      </c>
      <c r="E5" s="13">
        <f>IFERROR('Data Sheet'!D17,0)</f>
        <v>32186</v>
      </c>
      <c r="F5" s="13">
        <f>IFERROR('Data Sheet'!E17,0)</f>
        <v>33162</v>
      </c>
      <c r="G5" s="13">
        <f>IFERROR('Data Sheet'!F17,0)</f>
        <v>35545</v>
      </c>
      <c r="H5" s="13">
        <f>IFERROR('Data Sheet'!G17,0)</f>
        <v>39310</v>
      </c>
      <c r="I5" s="13">
        <f>IFERROR('Data Sheet'!H17,0)</f>
        <v>39783</v>
      </c>
      <c r="J5" s="13">
        <f>IFERROR('Data Sheet'!I17,0)</f>
        <v>47028</v>
      </c>
      <c r="K5" s="13">
        <f>IFERROR('Data Sheet'!J17,0)</f>
        <v>52446</v>
      </c>
      <c r="L5" s="13">
        <f>IFERROR('Data Sheet'!K17,0)</f>
        <v>60580</v>
      </c>
      <c r="M5" s="13">
        <f>IFERROR(SUM('Data Sheet'!H42:K42),0)</f>
        <v>61452</v>
      </c>
    </row>
    <row r="6" spans="1:15" outlineLevel="1" x14ac:dyDescent="0.25">
      <c r="B6" s="14" t="s">
        <v>10</v>
      </c>
      <c r="C6" s="16" t="s">
        <v>61</v>
      </c>
      <c r="D6" s="15">
        <f>D5/C5-1</f>
        <v>9.3674295522912843E-2</v>
      </c>
      <c r="E6" s="15">
        <f t="shared" ref="E6:L6" si="0">E5/D5-1</f>
        <v>6.6873742461808217E-3</v>
      </c>
      <c r="F6" s="15">
        <f t="shared" si="0"/>
        <v>3.03237432424035E-2</v>
      </c>
      <c r="G6" s="15">
        <f t="shared" si="0"/>
        <v>7.1859357095470644E-2</v>
      </c>
      <c r="H6" s="15">
        <f t="shared" si="0"/>
        <v>0.1059220706147137</v>
      </c>
      <c r="I6" s="15">
        <f t="shared" si="0"/>
        <v>1.2032561689137689E-2</v>
      </c>
      <c r="J6" s="15">
        <f t="shared" si="0"/>
        <v>0.18211296282331646</v>
      </c>
      <c r="K6" s="15">
        <f t="shared" si="0"/>
        <v>0.11520796121459553</v>
      </c>
      <c r="L6" s="15">
        <f t="shared" si="0"/>
        <v>0.15509285741524614</v>
      </c>
      <c r="M6" s="15">
        <f>M5/L5-1</f>
        <v>1.4394189501485632E-2</v>
      </c>
    </row>
    <row r="7" spans="1:15" outlineLevel="1" x14ac:dyDescent="0.25"/>
    <row r="8" spans="1:15" outlineLevel="1" x14ac:dyDescent="0.25">
      <c r="B8" t="s">
        <v>62</v>
      </c>
      <c r="C8" s="13">
        <f>IFERROR(SUM('Data Sheet'!B18,'Data Sheet'!B20:B22)-1*'Data Sheet'!B19,0)</f>
        <v>17348.3</v>
      </c>
      <c r="D8" s="13">
        <f>IFERROR(SUM('Data Sheet'!C18,'Data Sheet'!C20:C22)-1*'Data Sheet'!C19,0)</f>
        <v>18801.919999999998</v>
      </c>
      <c r="E8" s="13">
        <f>IFERROR(SUM('Data Sheet'!D18,'Data Sheet'!D20:D22)-1*'Data Sheet'!D19,0)</f>
        <v>18222</v>
      </c>
      <c r="F8" s="13">
        <f>IFERROR(SUM('Data Sheet'!E18,'Data Sheet'!E20:E22)-1*'Data Sheet'!E19,0)</f>
        <v>18675</v>
      </c>
      <c r="G8" s="13">
        <f>IFERROR(SUM('Data Sheet'!F18,'Data Sheet'!F20:F22)-1*'Data Sheet'!F19,0)</f>
        <v>19314</v>
      </c>
      <c r="H8" s="13">
        <f>IFERROR(SUM('Data Sheet'!G18,'Data Sheet'!G20:G22)-1*'Data Sheet'!G19,0)</f>
        <v>21081</v>
      </c>
      <c r="I8" s="13">
        <f>IFERROR(SUM('Data Sheet'!H18,'Data Sheet'!H20:H22)-1*'Data Sheet'!H19,0)</f>
        <v>20614</v>
      </c>
      <c r="J8" s="13">
        <f>IFERROR(SUM('Data Sheet'!I18,'Data Sheet'!I20:I22)-1*'Data Sheet'!I19,0)</f>
        <v>25301</v>
      </c>
      <c r="K8" s="13">
        <f>IFERROR(SUM('Data Sheet'!J18,'Data Sheet'!J20:J22)-1*'Data Sheet'!J19,0)</f>
        <v>29066</v>
      </c>
      <c r="L8" s="13">
        <f>IFERROR(SUM('Data Sheet'!K18,'Data Sheet'!K20:K22)-1*'Data Sheet'!K19,0)</f>
        <v>35381</v>
      </c>
      <c r="M8" s="13">
        <f>IFERROR(SUM('Data Sheet'!H43:K43),0)</f>
        <v>47042</v>
      </c>
    </row>
    <row r="9" spans="1:15" outlineLevel="1" x14ac:dyDescent="0.25">
      <c r="B9" s="14" t="s">
        <v>63</v>
      </c>
      <c r="C9" s="15">
        <f>C8/C5</f>
        <v>0.59343416203332167</v>
      </c>
      <c r="D9" s="15">
        <f t="shared" ref="D9:M9" si="1">D8/D5</f>
        <v>0.58807107051471919</v>
      </c>
      <c r="E9" s="15">
        <f t="shared" si="1"/>
        <v>0.56614677188839868</v>
      </c>
      <c r="F9" s="15">
        <f t="shared" si="1"/>
        <v>0.5631445630540981</v>
      </c>
      <c r="G9" s="15">
        <f t="shared" si="1"/>
        <v>0.54336756224504146</v>
      </c>
      <c r="H9" s="15">
        <f t="shared" si="1"/>
        <v>0.53627575680488426</v>
      </c>
      <c r="I9" s="15">
        <f t="shared" si="1"/>
        <v>0.51816102355277383</v>
      </c>
      <c r="J9" s="15">
        <f t="shared" si="1"/>
        <v>0.53799863910861612</v>
      </c>
      <c r="K9" s="15">
        <f t="shared" si="1"/>
        <v>0.55420813789421497</v>
      </c>
      <c r="L9" s="15">
        <f t="shared" si="1"/>
        <v>0.58403763618355897</v>
      </c>
      <c r="M9" s="15">
        <f t="shared" si="1"/>
        <v>0.76550803879450624</v>
      </c>
    </row>
    <row r="10" spans="1:15" outlineLevel="1" x14ac:dyDescent="0.25"/>
    <row r="11" spans="1:15" ht="15.75" outlineLevel="1" thickBot="1" x14ac:dyDescent="0.3">
      <c r="B11" s="329" t="s">
        <v>64</v>
      </c>
      <c r="C11" s="261">
        <f>C5-C8</f>
        <v>11885.440000000002</v>
      </c>
      <c r="D11" s="261">
        <f t="shared" ref="D11:M11" si="2">D5-D8</f>
        <v>13170.27</v>
      </c>
      <c r="E11" s="261">
        <f t="shared" si="2"/>
        <v>13964</v>
      </c>
      <c r="F11" s="261">
        <f t="shared" si="2"/>
        <v>14487</v>
      </c>
      <c r="G11" s="261">
        <f t="shared" si="2"/>
        <v>16231</v>
      </c>
      <c r="H11" s="261">
        <f t="shared" si="2"/>
        <v>18229</v>
      </c>
      <c r="I11" s="261">
        <f t="shared" si="2"/>
        <v>19169</v>
      </c>
      <c r="J11" s="261">
        <f t="shared" si="2"/>
        <v>21727</v>
      </c>
      <c r="K11" s="261">
        <f t="shared" si="2"/>
        <v>23380</v>
      </c>
      <c r="L11" s="261">
        <f t="shared" si="2"/>
        <v>25199</v>
      </c>
      <c r="M11" s="261">
        <f t="shared" si="2"/>
        <v>14410</v>
      </c>
    </row>
    <row r="12" spans="1:15" outlineLevel="1" x14ac:dyDescent="0.25">
      <c r="B12" s="14" t="s">
        <v>71</v>
      </c>
      <c r="C12" s="15">
        <f>C11/C5</f>
        <v>0.40656583796667828</v>
      </c>
      <c r="D12" s="15">
        <f t="shared" ref="D12:M12" si="3">D11/D5</f>
        <v>0.41192892948528081</v>
      </c>
      <c r="E12" s="15">
        <f t="shared" si="3"/>
        <v>0.43385322811160132</v>
      </c>
      <c r="F12" s="15">
        <f t="shared" si="3"/>
        <v>0.43685543694590195</v>
      </c>
      <c r="G12" s="15">
        <f t="shared" si="3"/>
        <v>0.45663243775495849</v>
      </c>
      <c r="H12" s="15">
        <f t="shared" si="3"/>
        <v>0.46372424319511574</v>
      </c>
      <c r="I12" s="15">
        <f t="shared" si="3"/>
        <v>0.48183897644722617</v>
      </c>
      <c r="J12" s="15">
        <f t="shared" si="3"/>
        <v>0.46200136089138388</v>
      </c>
      <c r="K12" s="15">
        <f t="shared" si="3"/>
        <v>0.44579186210578498</v>
      </c>
      <c r="L12" s="15">
        <f t="shared" si="3"/>
        <v>0.41596236381644108</v>
      </c>
      <c r="M12" s="15">
        <f t="shared" si="3"/>
        <v>0.23449196120549373</v>
      </c>
    </row>
    <row r="13" spans="1:15" outlineLevel="1" x14ac:dyDescent="0.25"/>
    <row r="14" spans="1:15" outlineLevel="1" x14ac:dyDescent="0.25">
      <c r="B14" t="s">
        <v>65</v>
      </c>
      <c r="C14" s="13">
        <f>IFERROR(SUM('Data Sheet'!B23:B24),0)</f>
        <v>7126.43</v>
      </c>
      <c r="D14" s="13">
        <f>IFERROR(SUM('Data Sheet'!C23:C24),0)</f>
        <v>7757.85</v>
      </c>
      <c r="E14" s="13">
        <f>IFERROR(SUM('Data Sheet'!D23:D24),0)</f>
        <v>8054</v>
      </c>
      <c r="F14" s="13">
        <f>IFERROR(SUM('Data Sheet'!E23:E24),0)</f>
        <v>8159</v>
      </c>
      <c r="G14" s="13">
        <f>IFERROR(SUM('Data Sheet'!F23:F24),0)</f>
        <v>8732</v>
      </c>
      <c r="H14" s="13">
        <f>IFERROR(SUM('Data Sheet'!G23:G24),0)</f>
        <v>9349</v>
      </c>
      <c r="I14" s="13">
        <f>IFERROR(SUM('Data Sheet'!H23:H24),0)</f>
        <v>9316</v>
      </c>
      <c r="J14" s="13">
        <f>IFERROR(SUM('Data Sheet'!I23:I24),0)</f>
        <v>10101</v>
      </c>
      <c r="K14" s="13">
        <f>IFERROR(SUM('Data Sheet'!J23:J24),0)</f>
        <v>10523</v>
      </c>
      <c r="L14" s="13">
        <f>IFERROR(SUM('Data Sheet'!K23:K24),0)</f>
        <v>11051</v>
      </c>
      <c r="M14" s="13">
        <f>IFERROR(SUM('Data Sheet'!L23:L24),0)</f>
        <v>0</v>
      </c>
    </row>
    <row r="15" spans="1:15" outlineLevel="1" x14ac:dyDescent="0.25">
      <c r="B15" s="14" t="s">
        <v>66</v>
      </c>
      <c r="C15" s="15">
        <f>C14/C5</f>
        <v>0.24377414590127708</v>
      </c>
      <c r="D15" s="15">
        <f t="shared" ref="D15:M15" si="4">D14/D5</f>
        <v>0.24264368502751926</v>
      </c>
      <c r="E15" s="15">
        <f t="shared" si="4"/>
        <v>0.25023302056794877</v>
      </c>
      <c r="F15" s="15">
        <f t="shared" si="4"/>
        <v>0.24603461793619202</v>
      </c>
      <c r="G15" s="15">
        <f t="shared" si="4"/>
        <v>0.24566043044028696</v>
      </c>
      <c r="H15" s="15">
        <f t="shared" si="4"/>
        <v>0.23782752480284916</v>
      </c>
      <c r="I15" s="15">
        <f t="shared" si="4"/>
        <v>0.23417037428047155</v>
      </c>
      <c r="J15" s="15">
        <f t="shared" si="4"/>
        <v>0.21478693544271499</v>
      </c>
      <c r="K15" s="15">
        <f t="shared" si="4"/>
        <v>0.20064447240971667</v>
      </c>
      <c r="L15" s="15">
        <f t="shared" si="4"/>
        <v>0.18241994057444702</v>
      </c>
      <c r="M15" s="15">
        <f t="shared" si="4"/>
        <v>0</v>
      </c>
    </row>
    <row r="16" spans="1:15" outlineLevel="1" x14ac:dyDescent="0.25"/>
    <row r="17" spans="2:17" ht="15.75" outlineLevel="1" thickBot="1" x14ac:dyDescent="0.3">
      <c r="B17" s="329" t="s">
        <v>67</v>
      </c>
      <c r="C17" s="261">
        <f>C11-C14</f>
        <v>4759.010000000002</v>
      </c>
      <c r="D17" s="261">
        <f t="shared" ref="D17:M17" si="5">D11-D14</f>
        <v>5412.42</v>
      </c>
      <c r="E17" s="261">
        <f t="shared" si="5"/>
        <v>5910</v>
      </c>
      <c r="F17" s="261">
        <f t="shared" si="5"/>
        <v>6328</v>
      </c>
      <c r="G17" s="261">
        <f t="shared" si="5"/>
        <v>7499</v>
      </c>
      <c r="H17" s="261">
        <f t="shared" si="5"/>
        <v>8880</v>
      </c>
      <c r="I17" s="261">
        <f t="shared" si="5"/>
        <v>9853</v>
      </c>
      <c r="J17" s="261">
        <f t="shared" si="5"/>
        <v>11626</v>
      </c>
      <c r="K17" s="261">
        <f t="shared" si="5"/>
        <v>12857</v>
      </c>
      <c r="L17" s="261">
        <f t="shared" si="5"/>
        <v>14148</v>
      </c>
      <c r="M17" s="261">
        <f t="shared" si="5"/>
        <v>14410</v>
      </c>
    </row>
    <row r="18" spans="2:17" outlineLevel="1" x14ac:dyDescent="0.25">
      <c r="B18" s="14" t="s">
        <v>68</v>
      </c>
      <c r="C18" s="15">
        <f>C17/C5</f>
        <v>0.1627916920654012</v>
      </c>
      <c r="D18" s="15">
        <f t="shared" ref="D18:M18" si="6">D17/D5</f>
        <v>0.16928524445776158</v>
      </c>
      <c r="E18" s="15">
        <f t="shared" si="6"/>
        <v>0.18362020754365252</v>
      </c>
      <c r="F18" s="15">
        <f t="shared" si="6"/>
        <v>0.1908208190097099</v>
      </c>
      <c r="G18" s="15">
        <f t="shared" si="6"/>
        <v>0.21097200731467156</v>
      </c>
      <c r="H18" s="15">
        <f t="shared" si="6"/>
        <v>0.2258967183922666</v>
      </c>
      <c r="I18" s="15">
        <f t="shared" si="6"/>
        <v>0.24766860216675465</v>
      </c>
      <c r="J18" s="15">
        <f t="shared" si="6"/>
        <v>0.24721442544866887</v>
      </c>
      <c r="K18" s="15">
        <f t="shared" si="6"/>
        <v>0.24514738969606834</v>
      </c>
      <c r="L18" s="15">
        <f t="shared" si="6"/>
        <v>0.23354242324199406</v>
      </c>
      <c r="M18" s="15">
        <f t="shared" si="6"/>
        <v>0.23449196120549373</v>
      </c>
    </row>
    <row r="19" spans="2:17" outlineLevel="1" x14ac:dyDescent="0.25"/>
    <row r="20" spans="2:17" outlineLevel="1" x14ac:dyDescent="0.25">
      <c r="B20" t="s">
        <v>6</v>
      </c>
      <c r="C20" s="13">
        <f>IFERROR('Data Sheet'!B27,0)</f>
        <v>40.68</v>
      </c>
      <c r="D20" s="13">
        <f>IFERROR('Data Sheet'!C27,0)</f>
        <v>17.7</v>
      </c>
      <c r="E20" s="13">
        <f>IFERROR('Data Sheet'!D27,0)</f>
        <v>17</v>
      </c>
      <c r="F20" s="13">
        <f>IFERROR('Data Sheet'!E27,0)</f>
        <v>35</v>
      </c>
      <c r="G20" s="13">
        <f>IFERROR('Data Sheet'!F27,0)</f>
        <v>26</v>
      </c>
      <c r="H20" s="13">
        <f>IFERROR('Data Sheet'!G27,0)</f>
        <v>33</v>
      </c>
      <c r="I20" s="13">
        <f>IFERROR('Data Sheet'!H27,0)</f>
        <v>118</v>
      </c>
      <c r="J20" s="13">
        <f>IFERROR('Data Sheet'!I27,0)</f>
        <v>117</v>
      </c>
      <c r="K20" s="13">
        <f>IFERROR('Data Sheet'!J27,0)</f>
        <v>106</v>
      </c>
      <c r="L20" s="13">
        <f>IFERROR('Data Sheet'!K27,0)</f>
        <v>114</v>
      </c>
      <c r="M20" s="13">
        <f>IFERROR(SUM('Data Sheet'!H46:K46),0)</f>
        <v>136</v>
      </c>
    </row>
    <row r="21" spans="2:17" outlineLevel="1" x14ac:dyDescent="0.25">
      <c r="B21" s="14" t="s">
        <v>69</v>
      </c>
      <c r="C21" s="15">
        <f>C20/C5</f>
        <v>1.3915427858358185E-3</v>
      </c>
      <c r="D21" s="15">
        <f t="shared" ref="D21:M21" si="7">D20/D5</f>
        <v>5.536061183172E-4</v>
      </c>
      <c r="E21" s="15">
        <f t="shared" si="7"/>
        <v>5.2817995401727462E-4</v>
      </c>
      <c r="F21" s="15">
        <f t="shared" si="7"/>
        <v>1.0554248839032628E-3</v>
      </c>
      <c r="G21" s="15">
        <f t="shared" si="7"/>
        <v>7.3146715431143621E-4</v>
      </c>
      <c r="H21" s="15">
        <f t="shared" si="7"/>
        <v>8.3948104807936915E-4</v>
      </c>
      <c r="I21" s="15">
        <f t="shared" si="7"/>
        <v>2.9660910439132291E-3</v>
      </c>
      <c r="J21" s="15">
        <f t="shared" si="7"/>
        <v>2.4878795611125285E-3</v>
      </c>
      <c r="K21" s="15">
        <f t="shared" si="7"/>
        <v>2.0211264920108303E-3</v>
      </c>
      <c r="L21" s="15">
        <f t="shared" si="7"/>
        <v>1.881809177946517E-3</v>
      </c>
      <c r="M21" s="15">
        <f t="shared" si="7"/>
        <v>2.2131094187333201E-3</v>
      </c>
    </row>
    <row r="22" spans="2:17" outlineLevel="1" x14ac:dyDescent="0.25"/>
    <row r="23" spans="2:17" outlineLevel="1" x14ac:dyDescent="0.25">
      <c r="B23" t="s">
        <v>5</v>
      </c>
      <c r="C23" s="13">
        <f>IFERROR('Data Sheet'!B26,0)</f>
        <v>295.54000000000002</v>
      </c>
      <c r="D23" s="13">
        <f>IFERROR('Data Sheet'!C26,0)</f>
        <v>322.39</v>
      </c>
      <c r="E23" s="13">
        <f>IFERROR('Data Sheet'!D26,0)</f>
        <v>353</v>
      </c>
      <c r="F23" s="13">
        <f>IFERROR('Data Sheet'!E26,0)</f>
        <v>432</v>
      </c>
      <c r="G23" s="13">
        <f>IFERROR('Data Sheet'!F26,0)</f>
        <v>520</v>
      </c>
      <c r="H23" s="13">
        <f>IFERROR('Data Sheet'!G26,0)</f>
        <v>565</v>
      </c>
      <c r="I23" s="13">
        <f>IFERROR('Data Sheet'!H26,0)</f>
        <v>1002</v>
      </c>
      <c r="J23" s="13">
        <f>IFERROR('Data Sheet'!I26,0)</f>
        <v>1074</v>
      </c>
      <c r="K23" s="13">
        <f>IFERROR('Data Sheet'!J26,0)</f>
        <v>1091</v>
      </c>
      <c r="L23" s="13">
        <f>IFERROR('Data Sheet'!K26,0)</f>
        <v>1137</v>
      </c>
      <c r="M23" s="13">
        <f>IFERROR(SUM('Data Sheet'!H45:K45),0)</f>
        <v>1142</v>
      </c>
    </row>
    <row r="24" spans="2:17" outlineLevel="1" x14ac:dyDescent="0.25">
      <c r="B24" s="14" t="s">
        <v>70</v>
      </c>
      <c r="C24" s="15">
        <f>C23/C5</f>
        <v>1.0109551497687261E-2</v>
      </c>
      <c r="D24" s="15">
        <f t="shared" ref="D24:M24" si="8">D23/D5</f>
        <v>1.0083450648829498E-2</v>
      </c>
      <c r="E24" s="15">
        <f t="shared" si="8"/>
        <v>1.0967501398123409E-2</v>
      </c>
      <c r="F24" s="15">
        <f t="shared" si="8"/>
        <v>1.3026958567034558E-2</v>
      </c>
      <c r="G24" s="15">
        <f t="shared" si="8"/>
        <v>1.4629343086228723E-2</v>
      </c>
      <c r="H24" s="15">
        <f t="shared" si="8"/>
        <v>1.437293309590435E-2</v>
      </c>
      <c r="I24" s="15">
        <f t="shared" si="8"/>
        <v>2.5186637508483524E-2</v>
      </c>
      <c r="J24" s="15">
        <f t="shared" si="8"/>
        <v>2.2837458535340648E-2</v>
      </c>
      <c r="K24" s="15">
        <f t="shared" si="8"/>
        <v>2.0802349082866187E-2</v>
      </c>
      <c r="L24" s="15">
        <f t="shared" si="8"/>
        <v>1.8768570485308684E-2</v>
      </c>
      <c r="M24" s="15">
        <f t="shared" si="8"/>
        <v>1.8583609972010674E-2</v>
      </c>
    </row>
    <row r="25" spans="2:17" outlineLevel="1" x14ac:dyDescent="0.25"/>
    <row r="26" spans="2:17" ht="15.75" outlineLevel="1" thickBot="1" x14ac:dyDescent="0.3">
      <c r="B26" s="329" t="s">
        <v>72</v>
      </c>
      <c r="C26" s="261">
        <f>IFERROR(C17-SUM(C20,C23),0)</f>
        <v>4422.7900000000018</v>
      </c>
      <c r="D26" s="261">
        <f t="shared" ref="D26:M26" si="9">IFERROR(D17-SUM(D20,D23),0)</f>
        <v>5072.33</v>
      </c>
      <c r="E26" s="261">
        <f t="shared" si="9"/>
        <v>5540</v>
      </c>
      <c r="F26" s="261">
        <f t="shared" si="9"/>
        <v>5861</v>
      </c>
      <c r="G26" s="261">
        <f t="shared" si="9"/>
        <v>6953</v>
      </c>
      <c r="H26" s="261">
        <f t="shared" si="9"/>
        <v>8282</v>
      </c>
      <c r="I26" s="261">
        <f t="shared" si="9"/>
        <v>8733</v>
      </c>
      <c r="J26" s="261">
        <f t="shared" si="9"/>
        <v>10435</v>
      </c>
      <c r="K26" s="261">
        <f t="shared" si="9"/>
        <v>11660</v>
      </c>
      <c r="L26" s="261">
        <f t="shared" si="9"/>
        <v>12897</v>
      </c>
      <c r="M26" s="261">
        <f t="shared" si="9"/>
        <v>13132</v>
      </c>
    </row>
    <row r="27" spans="2:17" outlineLevel="1" x14ac:dyDescent="0.25">
      <c r="B27" s="14" t="s">
        <v>73</v>
      </c>
      <c r="C27" s="15">
        <f>C26/C5</f>
        <v>0.15129059778187812</v>
      </c>
      <c r="D27" s="15">
        <f t="shared" ref="D27:M27" si="10">D26/D5</f>
        <v>0.15864818769061487</v>
      </c>
      <c r="E27" s="15">
        <f t="shared" si="10"/>
        <v>0.17212452619151183</v>
      </c>
      <c r="F27" s="15">
        <f t="shared" si="10"/>
        <v>0.17673843555877208</v>
      </c>
      <c r="G27" s="15">
        <f t="shared" si="10"/>
        <v>0.19561119707413138</v>
      </c>
      <c r="H27" s="15">
        <f t="shared" si="10"/>
        <v>0.21068430424828288</v>
      </c>
      <c r="I27" s="15">
        <f t="shared" si="10"/>
        <v>0.2195158736143579</v>
      </c>
      <c r="J27" s="15">
        <f t="shared" si="10"/>
        <v>0.22188908735221571</v>
      </c>
      <c r="K27" s="15">
        <f t="shared" si="10"/>
        <v>0.22232391412119132</v>
      </c>
      <c r="L27" s="15">
        <f t="shared" si="10"/>
        <v>0.21289204357873887</v>
      </c>
      <c r="M27" s="15">
        <f t="shared" si="10"/>
        <v>0.21369524181474972</v>
      </c>
    </row>
    <row r="28" spans="2:17" outlineLevel="1" x14ac:dyDescent="0.25"/>
    <row r="29" spans="2:17" outlineLevel="1" x14ac:dyDescent="0.25">
      <c r="B29" t="s">
        <v>74</v>
      </c>
      <c r="C29" s="13">
        <f>IFERROR('Data Sheet'!B29,0)</f>
        <v>1259.44</v>
      </c>
      <c r="D29" s="13">
        <f>IFERROR('Data Sheet'!C29,0)</f>
        <v>1944</v>
      </c>
      <c r="E29" s="13">
        <f>IFERROR('Data Sheet'!D29,0)</f>
        <v>1875</v>
      </c>
      <c r="F29" s="13">
        <f>IFERROR('Data Sheet'!E29,0)</f>
        <v>1977</v>
      </c>
      <c r="G29" s="13">
        <f>IFERROR('Data Sheet'!F29,0)</f>
        <v>2079</v>
      </c>
      <c r="H29" s="13">
        <f>IFERROR('Data Sheet'!G29,0)</f>
        <v>2544</v>
      </c>
      <c r="I29" s="13">
        <f>IFERROR('Data Sheet'!H29,0)</f>
        <v>2409</v>
      </c>
      <c r="J29" s="13">
        <f>IFERROR('Data Sheet'!I29,0)</f>
        <v>2606</v>
      </c>
      <c r="K29" s="13">
        <f>IFERROR('Data Sheet'!J29,0)</f>
        <v>2987</v>
      </c>
      <c r="L29" s="13">
        <f>IFERROR('Data Sheet'!K29,0)</f>
        <v>3201</v>
      </c>
      <c r="M29" s="13">
        <f>IFERROR(SUM('Data Sheet'!H48:K48),0)</f>
        <v>3295</v>
      </c>
    </row>
    <row r="30" spans="2:17" outlineLevel="1" x14ac:dyDescent="0.25">
      <c r="B30" s="14" t="s">
        <v>75</v>
      </c>
      <c r="C30" s="15">
        <f>C29/C26</f>
        <v>0.2847614288718206</v>
      </c>
      <c r="D30" s="15">
        <f t="shared" ref="D30:M30" si="11">D29/D26</f>
        <v>0.38325582128923003</v>
      </c>
      <c r="E30" s="15">
        <f t="shared" si="11"/>
        <v>0.33844765342960287</v>
      </c>
      <c r="F30" s="15">
        <f t="shared" si="11"/>
        <v>0.33731445145879541</v>
      </c>
      <c r="G30" s="15">
        <f t="shared" si="11"/>
        <v>0.29900762260894576</v>
      </c>
      <c r="H30" s="15">
        <f t="shared" si="11"/>
        <v>0.30717218063269741</v>
      </c>
      <c r="I30" s="15">
        <f t="shared" si="11"/>
        <v>0.27585022329096531</v>
      </c>
      <c r="J30" s="15">
        <f t="shared" si="11"/>
        <v>0.24973646382367035</v>
      </c>
      <c r="K30" s="15">
        <f t="shared" si="11"/>
        <v>0.25617495711835336</v>
      </c>
      <c r="L30" s="15">
        <f t="shared" si="11"/>
        <v>0.24819725517562224</v>
      </c>
      <c r="M30" s="15">
        <f t="shared" si="11"/>
        <v>0.25091379835516298</v>
      </c>
    </row>
    <row r="31" spans="2:17" outlineLevel="1" x14ac:dyDescent="0.25"/>
    <row r="32" spans="2:17" ht="15.75" outlineLevel="1" thickBot="1" x14ac:dyDescent="0.3">
      <c r="B32" s="329" t="s">
        <v>76</v>
      </c>
      <c r="C32" s="261">
        <f>C26-C29</f>
        <v>3163.3500000000017</v>
      </c>
      <c r="D32" s="261">
        <f t="shared" ref="D32:M32" si="12">D26-D29</f>
        <v>3128.33</v>
      </c>
      <c r="E32" s="261">
        <f t="shared" si="12"/>
        <v>3665</v>
      </c>
      <c r="F32" s="261">
        <f t="shared" si="12"/>
        <v>3884</v>
      </c>
      <c r="G32" s="261">
        <f t="shared" si="12"/>
        <v>4874</v>
      </c>
      <c r="H32" s="261">
        <f t="shared" si="12"/>
        <v>5738</v>
      </c>
      <c r="I32" s="261">
        <f t="shared" si="12"/>
        <v>6324</v>
      </c>
      <c r="J32" s="261">
        <f t="shared" si="12"/>
        <v>7829</v>
      </c>
      <c r="K32" s="261">
        <f t="shared" si="12"/>
        <v>8673</v>
      </c>
      <c r="L32" s="261">
        <f t="shared" si="12"/>
        <v>9696</v>
      </c>
      <c r="M32" s="261">
        <f t="shared" si="12"/>
        <v>9837</v>
      </c>
      <c r="N32" s="316"/>
      <c r="O32" s="316"/>
      <c r="P32" s="316"/>
      <c r="Q32" s="316"/>
    </row>
    <row r="33" spans="1:13" outlineLevel="1" x14ac:dyDescent="0.25">
      <c r="B33" s="14" t="s">
        <v>77</v>
      </c>
      <c r="C33" s="15">
        <f>C32/C5</f>
        <v>0.10820887098263861</v>
      </c>
      <c r="D33" s="15">
        <f t="shared" ref="D33:M33" si="13">D32/D5</f>
        <v>9.7845346221200363E-2</v>
      </c>
      <c r="E33" s="15">
        <f t="shared" si="13"/>
        <v>0.11386938420431243</v>
      </c>
      <c r="F33" s="15">
        <f t="shared" si="13"/>
        <v>0.11712200711657922</v>
      </c>
      <c r="G33" s="15">
        <f t="shared" si="13"/>
        <v>0.1371219580813054</v>
      </c>
      <c r="H33" s="15">
        <f t="shared" si="13"/>
        <v>0.14596794708725516</v>
      </c>
      <c r="I33" s="15">
        <f t="shared" si="13"/>
        <v>0.15896237086192594</v>
      </c>
      <c r="J33" s="15">
        <f t="shared" si="13"/>
        <v>0.16647529131581185</v>
      </c>
      <c r="K33" s="15">
        <f t="shared" si="13"/>
        <v>0.16537009495481067</v>
      </c>
      <c r="L33" s="15">
        <f t="shared" si="13"/>
        <v>0.16005282271376692</v>
      </c>
      <c r="M33" s="15">
        <f t="shared" si="13"/>
        <v>0.16007615700058583</v>
      </c>
    </row>
    <row r="34" spans="1:13" outlineLevel="1" x14ac:dyDescent="0.25"/>
    <row r="35" spans="1:13" outlineLevel="1" x14ac:dyDescent="0.25">
      <c r="B35" t="s">
        <v>78</v>
      </c>
      <c r="C35" s="13">
        <f>IFERROR('Data Sheet'!B93,0)</f>
        <v>216.27</v>
      </c>
      <c r="D35" s="13">
        <f>IFERROR('Data Sheet'!C93,0)</f>
        <v>216.35</v>
      </c>
      <c r="E35" s="13">
        <f>IFERROR('Data Sheet'!D93,0)</f>
        <v>216.39</v>
      </c>
      <c r="F35" s="13">
        <f>IFERROR('Data Sheet'!E93,0)</f>
        <v>216.43</v>
      </c>
      <c r="G35" s="13">
        <f>IFERROR('Data Sheet'!F93,0)</f>
        <v>216.45</v>
      </c>
      <c r="H35" s="13">
        <f>IFERROR('Data Sheet'!G93,0)</f>
        <v>216.47</v>
      </c>
      <c r="I35" s="13">
        <f>IFERROR('Data Sheet'!H93,0)</f>
        <v>216.48</v>
      </c>
      <c r="J35" s="13">
        <f>IFERROR('Data Sheet'!I93,0)</f>
        <v>234.96</v>
      </c>
      <c r="K35" s="13">
        <f>IFERROR('Data Sheet'!J93,0)</f>
        <v>234.96</v>
      </c>
      <c r="L35" s="13">
        <f>IFERROR('Data Sheet'!K93,0)</f>
        <v>234.96</v>
      </c>
      <c r="M35" s="13">
        <f>IFERROR(L35,0)</f>
        <v>234.96</v>
      </c>
    </row>
    <row r="36" spans="1:13" outlineLevel="1" x14ac:dyDescent="0.25"/>
    <row r="37" spans="1:13" outlineLevel="1" x14ac:dyDescent="0.25">
      <c r="B37" t="s">
        <v>79</v>
      </c>
      <c r="C37" s="13">
        <f>C32/C35</f>
        <v>14.626855319739223</v>
      </c>
      <c r="D37" s="13">
        <f t="shared" ref="D37:M37" si="14">D32/D35</f>
        <v>14.459579385255374</v>
      </c>
      <c r="E37" s="13">
        <f t="shared" si="14"/>
        <v>16.937011876704101</v>
      </c>
      <c r="F37" s="13">
        <f t="shared" si="14"/>
        <v>17.945756133622879</v>
      </c>
      <c r="G37" s="13">
        <f t="shared" si="14"/>
        <v>22.51790251790252</v>
      </c>
      <c r="H37" s="13">
        <f t="shared" si="14"/>
        <v>26.507137247655564</v>
      </c>
      <c r="I37" s="13">
        <f t="shared" si="14"/>
        <v>29.212860310421288</v>
      </c>
      <c r="J37" s="13">
        <f t="shared" si="14"/>
        <v>33.320565202587673</v>
      </c>
      <c r="K37" s="13">
        <f t="shared" si="14"/>
        <v>36.912665985699689</v>
      </c>
      <c r="L37" s="13">
        <f t="shared" si="14"/>
        <v>41.266598569969354</v>
      </c>
      <c r="M37" s="13">
        <f t="shared" si="14"/>
        <v>41.86670071501532</v>
      </c>
    </row>
    <row r="38" spans="1:13" outlineLevel="1" x14ac:dyDescent="0.25">
      <c r="B38" s="14" t="s">
        <v>81</v>
      </c>
      <c r="C38" s="19" t="s">
        <v>61</v>
      </c>
      <c r="D38" s="15">
        <f>IFERROR(D37/C37-1,0)</f>
        <v>-1.1436219941145298E-2</v>
      </c>
      <c r="E38" s="15">
        <f t="shared" ref="E38:M38" si="15">IFERROR(E37/D37-1,0)</f>
        <v>0.17133503163826447</v>
      </c>
      <c r="F38" s="15">
        <f t="shared" si="15"/>
        <v>5.9558572920778818E-2</v>
      </c>
      <c r="G38" s="15">
        <f t="shared" si="15"/>
        <v>0.25477591193348159</v>
      </c>
      <c r="H38" s="15">
        <f t="shared" si="15"/>
        <v>0.17715836217789205</v>
      </c>
      <c r="I38" s="15">
        <f t="shared" si="15"/>
        <v>0.10207526514410881</v>
      </c>
      <c r="J38" s="15">
        <f t="shared" si="15"/>
        <v>0.14061289611894034</v>
      </c>
      <c r="K38" s="15">
        <f t="shared" si="15"/>
        <v>0.10780431728190054</v>
      </c>
      <c r="L38" s="15">
        <f t="shared" si="15"/>
        <v>0.11795226565202355</v>
      </c>
      <c r="M38" s="15">
        <f t="shared" si="15"/>
        <v>1.4542079207920722E-2</v>
      </c>
    </row>
    <row r="39" spans="1:13" outlineLevel="1" x14ac:dyDescent="0.25"/>
    <row r="40" spans="1:13" outlineLevel="1" x14ac:dyDescent="0.25">
      <c r="B40" t="s">
        <v>80</v>
      </c>
      <c r="C40" s="13">
        <f>IFERROR(('Data Sheet'!B31/'Historical FS&gt;'!C35),0)</f>
        <v>13</v>
      </c>
      <c r="D40" s="13">
        <f>IFERROR(('Data Sheet'!C31/'Historical FS&gt;'!D35),0)</f>
        <v>15</v>
      </c>
      <c r="E40" s="13">
        <f>IFERROR(('Data Sheet'!D31/'Historical FS&gt;'!E35),0)</f>
        <v>15.971163177596008</v>
      </c>
      <c r="F40" s="13">
        <f>IFERROR(('Data Sheet'!E31/'Historical FS&gt;'!F35),0)</f>
        <v>16.966224645381878</v>
      </c>
      <c r="G40" s="13">
        <f>IFERROR(('Data Sheet'!F31/'Historical FS&gt;'!G35),0)</f>
        <v>19.95841995841996</v>
      </c>
      <c r="H40" s="13">
        <f>IFERROR(('Data Sheet'!G31/'Historical FS&gt;'!H35),0)</f>
        <v>21.95223356585208</v>
      </c>
      <c r="I40" s="13">
        <f>IFERROR(('Data Sheet'!H31/'Historical FS&gt;'!I35),0)</f>
        <v>24.944567627494457</v>
      </c>
      <c r="J40" s="13">
        <f>IFERROR(('Data Sheet'!I31/'Historical FS&gt;'!J35),0)</f>
        <v>40.506894790602651</v>
      </c>
      <c r="K40" s="13">
        <f>IFERROR(('Data Sheet'!J31/'Historical FS&gt;'!K35),0)</f>
        <v>34.005788219271366</v>
      </c>
      <c r="L40" s="13">
        <f>IFERROR(('Data Sheet'!K31/'Historical FS&gt;'!L35),0)</f>
        <v>39.006639427987743</v>
      </c>
      <c r="M40" s="13">
        <f>IFERROR(('Data Sheet'!L31/'Historical FS&gt;'!M35),0)</f>
        <v>0</v>
      </c>
    </row>
    <row r="41" spans="1:13" outlineLevel="1" x14ac:dyDescent="0.25">
      <c r="B41" s="14" t="s">
        <v>82</v>
      </c>
      <c r="C41" s="19">
        <f>IFERROR(C40/C37,0)</f>
        <v>0.88877613921949783</v>
      </c>
      <c r="D41" s="19">
        <f t="shared" ref="D41:M41" si="16">IFERROR(D40/D37,0)</f>
        <v>1.0373745736543138</v>
      </c>
      <c r="E41" s="19">
        <f t="shared" si="16"/>
        <v>0.94297407912687581</v>
      </c>
      <c r="F41" s="19">
        <f t="shared" si="16"/>
        <v>0.94541709577754895</v>
      </c>
      <c r="G41" s="19">
        <f t="shared" si="16"/>
        <v>0.88633565859663521</v>
      </c>
      <c r="H41" s="19">
        <f t="shared" si="16"/>
        <v>0.82816312303938655</v>
      </c>
      <c r="I41" s="19">
        <f t="shared" si="16"/>
        <v>0.85388994307400379</v>
      </c>
      <c r="J41" s="19">
        <f t="shared" si="16"/>
        <v>1.2156724996806743</v>
      </c>
      <c r="K41" s="19">
        <f t="shared" si="16"/>
        <v>0.92124985587455333</v>
      </c>
      <c r="L41" s="19">
        <f t="shared" si="16"/>
        <v>0.94523514851485158</v>
      </c>
      <c r="M41" s="19">
        <f t="shared" si="16"/>
        <v>0</v>
      </c>
    </row>
    <row r="42" spans="1:13" outlineLevel="1" x14ac:dyDescent="0.25"/>
    <row r="43" spans="1:13" outlineLevel="1" x14ac:dyDescent="0.25">
      <c r="B43" t="s">
        <v>83</v>
      </c>
      <c r="C43" s="20">
        <f>IFERROR(IF(C37&gt;C40,(1-C41),0),0)</f>
        <v>0.11122386078050217</v>
      </c>
      <c r="D43" s="20">
        <f t="shared" ref="D43:M43" si="17">IFERROR(IF(D37&gt;D40,(1-D41),0),0)</f>
        <v>0</v>
      </c>
      <c r="E43" s="20">
        <f t="shared" si="17"/>
        <v>5.7025920873124192E-2</v>
      </c>
      <c r="F43" s="20">
        <f t="shared" si="17"/>
        <v>5.4582904222451045E-2</v>
      </c>
      <c r="G43" s="20">
        <f t="shared" si="17"/>
        <v>0.11366434140336479</v>
      </c>
      <c r="H43" s="20">
        <f t="shared" si="17"/>
        <v>0.17183687696061345</v>
      </c>
      <c r="I43" s="20">
        <f t="shared" si="17"/>
        <v>0.14611005692599621</v>
      </c>
      <c r="J43" s="20">
        <f t="shared" si="17"/>
        <v>0</v>
      </c>
      <c r="K43" s="20">
        <f t="shared" si="17"/>
        <v>7.8750144125446675E-2</v>
      </c>
      <c r="L43" s="20">
        <f t="shared" si="17"/>
        <v>5.4764851485148425E-2</v>
      </c>
      <c r="M43" s="20">
        <f t="shared" si="17"/>
        <v>1</v>
      </c>
    </row>
    <row r="44" spans="1:13" x14ac:dyDescent="0.25">
      <c r="B44" s="10" t="s">
        <v>57</v>
      </c>
      <c r="C44" s="11">
        <f>'Data Sheet'!B16</f>
        <v>41729</v>
      </c>
      <c r="D44" s="11">
        <f>'Data Sheet'!C16</f>
        <v>42094</v>
      </c>
      <c r="E44" s="11">
        <f>'Data Sheet'!D16</f>
        <v>42460</v>
      </c>
      <c r="F44" s="11">
        <f>'Data Sheet'!E16</f>
        <v>42825</v>
      </c>
      <c r="G44" s="11">
        <f>'Data Sheet'!F16</f>
        <v>43190</v>
      </c>
      <c r="H44" s="11">
        <f>'Data Sheet'!G16</f>
        <v>43555</v>
      </c>
      <c r="I44" s="11">
        <f>'Data Sheet'!H16</f>
        <v>43921</v>
      </c>
      <c r="J44" s="11">
        <f>'Data Sheet'!I16</f>
        <v>44286</v>
      </c>
      <c r="K44" s="11">
        <f>'Data Sheet'!J16</f>
        <v>44651</v>
      </c>
      <c r="L44" s="11">
        <f>'Data Sheet'!K16</f>
        <v>45016</v>
      </c>
    </row>
    <row r="45" spans="1:13" ht="18.75" x14ac:dyDescent="0.3">
      <c r="A45" t="s">
        <v>59</v>
      </c>
      <c r="B45" s="322" t="str">
        <f>"Balance Sheet- "&amp;'Data Sheet'!B1</f>
        <v>Balance Sheet- HINDUSTAN UNILEVER LTD</v>
      </c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18"/>
    </row>
    <row r="46" spans="1:13" outlineLevel="1" x14ac:dyDescent="0.25"/>
    <row r="47" spans="1:13" outlineLevel="1" x14ac:dyDescent="0.25">
      <c r="B47" s="113" t="s">
        <v>11</v>
      </c>
      <c r="C47" s="168">
        <f>IFERROR('Data Sheet'!B57,0)</f>
        <v>216.27</v>
      </c>
      <c r="D47" s="168">
        <f>IFERROR('Data Sheet'!C57,0)</f>
        <v>216.35</v>
      </c>
      <c r="E47" s="168">
        <f>IFERROR('Data Sheet'!D57,0)</f>
        <v>216</v>
      </c>
      <c r="F47" s="168">
        <f>IFERROR('Data Sheet'!E57,0)</f>
        <v>216</v>
      </c>
      <c r="G47" s="168">
        <f>IFERROR('Data Sheet'!F57,0)</f>
        <v>216</v>
      </c>
      <c r="H47" s="168">
        <f>IFERROR('Data Sheet'!G57,0)</f>
        <v>216</v>
      </c>
      <c r="I47" s="168">
        <f>IFERROR('Data Sheet'!H57,0)</f>
        <v>216</v>
      </c>
      <c r="J47" s="168">
        <f>IFERROR('Data Sheet'!I57,0)</f>
        <v>235</v>
      </c>
      <c r="K47" s="168">
        <f>IFERROR('Data Sheet'!J57,0)</f>
        <v>235</v>
      </c>
      <c r="L47" s="168">
        <f>IFERROR('Data Sheet'!K57,0)</f>
        <v>235</v>
      </c>
    </row>
    <row r="48" spans="1:13" outlineLevel="1" x14ac:dyDescent="0.25">
      <c r="B48" s="113" t="s">
        <v>12</v>
      </c>
      <c r="C48" s="168">
        <f>IFERROR('Data Sheet'!B58,0)</f>
        <v>3321.02</v>
      </c>
      <c r="D48" s="168">
        <f>IFERROR('Data Sheet'!C58,0)</f>
        <v>3811.13</v>
      </c>
      <c r="E48" s="168">
        <f>IFERROR('Data Sheet'!D58,0)</f>
        <v>6357</v>
      </c>
      <c r="F48" s="168">
        <f>IFERROR('Data Sheet'!E58,0)</f>
        <v>6528</v>
      </c>
      <c r="G48" s="168">
        <f>IFERROR('Data Sheet'!F58,0)</f>
        <v>7065</v>
      </c>
      <c r="H48" s="168">
        <f>IFERROR('Data Sheet'!G58,0)</f>
        <v>7651</v>
      </c>
      <c r="I48" s="168">
        <f>IFERROR('Data Sheet'!H58,0)</f>
        <v>8013</v>
      </c>
      <c r="J48" s="168">
        <f>IFERROR('Data Sheet'!I58,0)</f>
        <v>47439</v>
      </c>
      <c r="K48" s="168">
        <f>IFERROR('Data Sheet'!J58,0)</f>
        <v>48826</v>
      </c>
      <c r="L48" s="168">
        <f>IFERROR('Data Sheet'!K58,0)</f>
        <v>50069</v>
      </c>
    </row>
    <row r="49" spans="2:12" outlineLevel="1" x14ac:dyDescent="0.25">
      <c r="B49" s="113" t="s">
        <v>38</v>
      </c>
      <c r="C49" s="168">
        <f>IFERROR('Data Sheet'!B59,0)</f>
        <v>45.58</v>
      </c>
      <c r="D49" s="168">
        <f>IFERROR('Data Sheet'!C59,0)</f>
        <v>43.04</v>
      </c>
      <c r="E49" s="168">
        <f>IFERROR('Data Sheet'!D59,0)</f>
        <v>177</v>
      </c>
      <c r="F49" s="168">
        <f>IFERROR('Data Sheet'!E59,0)</f>
        <v>277</v>
      </c>
      <c r="G49" s="168">
        <f>IFERROR('Data Sheet'!F59,0)</f>
        <v>0</v>
      </c>
      <c r="H49" s="168">
        <f>IFERROR('Data Sheet'!G59,0)</f>
        <v>99</v>
      </c>
      <c r="I49" s="168">
        <f>IFERROR('Data Sheet'!H59,0)</f>
        <v>0</v>
      </c>
      <c r="J49" s="168">
        <f>IFERROR('Data Sheet'!I59,0)</f>
        <v>1009</v>
      </c>
      <c r="K49" s="168">
        <f>IFERROR('Data Sheet'!J59,0)</f>
        <v>1043</v>
      </c>
      <c r="L49" s="168">
        <f>IFERROR('Data Sheet'!K59,0)</f>
        <v>1219</v>
      </c>
    </row>
    <row r="50" spans="2:12" outlineLevel="1" x14ac:dyDescent="0.25">
      <c r="B50" s="113" t="s">
        <v>39</v>
      </c>
      <c r="C50" s="168">
        <f>IFERROR('Data Sheet'!B60,0)</f>
        <v>10171.02</v>
      </c>
      <c r="D50" s="168">
        <f>IFERROR('Data Sheet'!C60,0)</f>
        <v>10359.01</v>
      </c>
      <c r="E50" s="168">
        <f>IFERROR('Data Sheet'!D60,0)</f>
        <v>8043</v>
      </c>
      <c r="F50" s="168">
        <f>IFERROR('Data Sheet'!E60,0)</f>
        <v>8685</v>
      </c>
      <c r="G50" s="168">
        <f>IFERROR('Data Sheet'!F60,0)</f>
        <v>10581</v>
      </c>
      <c r="H50" s="168">
        <f>IFERROR('Data Sheet'!G60,0)</f>
        <v>10663</v>
      </c>
      <c r="I50" s="168">
        <f>IFERROR('Data Sheet'!H60,0)</f>
        <v>11924</v>
      </c>
      <c r="J50" s="168">
        <f>IFERROR('Data Sheet'!I60,0)</f>
        <v>20057</v>
      </c>
      <c r="K50" s="168">
        <f>IFERROR('Data Sheet'!J60,0)</f>
        <v>20402</v>
      </c>
      <c r="L50" s="168">
        <f>IFERROR('Data Sheet'!K60,0)</f>
        <v>21554</v>
      </c>
    </row>
    <row r="51" spans="2:12" ht="15.75" outlineLevel="1" thickBot="1" x14ac:dyDescent="0.3">
      <c r="B51" s="325" t="s">
        <v>84</v>
      </c>
      <c r="C51" s="326">
        <f>IFERROR('Data Sheet'!B61,0)</f>
        <v>13753.89</v>
      </c>
      <c r="D51" s="326">
        <f>IFERROR('Data Sheet'!C61,0)</f>
        <v>14429.53</v>
      </c>
      <c r="E51" s="326">
        <f>IFERROR('Data Sheet'!D61,0)</f>
        <v>14793</v>
      </c>
      <c r="F51" s="326">
        <f>IFERROR('Data Sheet'!E61,0)</f>
        <v>15706</v>
      </c>
      <c r="G51" s="326">
        <f>IFERROR('Data Sheet'!F61,0)</f>
        <v>17862</v>
      </c>
      <c r="H51" s="326">
        <f>IFERROR('Data Sheet'!G61,0)</f>
        <v>18629</v>
      </c>
      <c r="I51" s="326">
        <f>IFERROR('Data Sheet'!H61,0)</f>
        <v>20153</v>
      </c>
      <c r="J51" s="326">
        <f>IFERROR('Data Sheet'!I61,0)</f>
        <v>68740</v>
      </c>
      <c r="K51" s="326">
        <f>IFERROR('Data Sheet'!J61,0)</f>
        <v>70506</v>
      </c>
      <c r="L51" s="326">
        <f>IFERROR('Data Sheet'!K61,0)</f>
        <v>73077</v>
      </c>
    </row>
    <row r="52" spans="2:12" outlineLevel="1" x14ac:dyDescent="0.25">
      <c r="B52" s="2"/>
    </row>
    <row r="53" spans="2:12" outlineLevel="1" x14ac:dyDescent="0.25">
      <c r="B53" s="113" t="s">
        <v>85</v>
      </c>
      <c r="C53" s="168">
        <f>IFERROR('Data Sheet'!B62,0)</f>
        <v>2746.24</v>
      </c>
      <c r="D53" s="168">
        <f>IFERROR('Data Sheet'!C62,0)</f>
        <v>2821.01</v>
      </c>
      <c r="E53" s="168">
        <f>IFERROR('Data Sheet'!D62,0)</f>
        <v>3258</v>
      </c>
      <c r="F53" s="168">
        <f>IFERROR('Data Sheet'!E62,0)</f>
        <v>4419</v>
      </c>
      <c r="G53" s="168">
        <f>IFERROR('Data Sheet'!F62,0)</f>
        <v>4528</v>
      </c>
      <c r="H53" s="168">
        <f>IFERROR('Data Sheet'!G62,0)</f>
        <v>4715</v>
      </c>
      <c r="I53" s="168">
        <f>IFERROR('Data Sheet'!H62,0)</f>
        <v>5479</v>
      </c>
      <c r="J53" s="168">
        <f>IFERROR('Data Sheet'!I62,0)</f>
        <v>51443</v>
      </c>
      <c r="K53" s="168">
        <f>IFERROR('Data Sheet'!J62,0)</f>
        <v>51473</v>
      </c>
      <c r="L53" s="168">
        <f>IFERROR('Data Sheet'!K62,0)</f>
        <v>52678</v>
      </c>
    </row>
    <row r="54" spans="2:12" outlineLevel="1" x14ac:dyDescent="0.25">
      <c r="B54" s="113" t="s">
        <v>15</v>
      </c>
      <c r="C54" s="168">
        <f>IFERROR('Data Sheet'!B63,0)</f>
        <v>372.6</v>
      </c>
      <c r="D54" s="168">
        <f>IFERROR('Data Sheet'!C63,0)</f>
        <v>516.29999999999995</v>
      </c>
      <c r="E54" s="168">
        <f>IFERROR('Data Sheet'!D63,0)</f>
        <v>408</v>
      </c>
      <c r="F54" s="168">
        <f>IFERROR('Data Sheet'!E63,0)</f>
        <v>229</v>
      </c>
      <c r="G54" s="168">
        <f>IFERROR('Data Sheet'!F63,0)</f>
        <v>461</v>
      </c>
      <c r="H54" s="168">
        <f>IFERROR('Data Sheet'!G63,0)</f>
        <v>406</v>
      </c>
      <c r="I54" s="168">
        <f>IFERROR('Data Sheet'!H63,0)</f>
        <v>597</v>
      </c>
      <c r="J54" s="168">
        <f>IFERROR('Data Sheet'!I63,0)</f>
        <v>745</v>
      </c>
      <c r="K54" s="168">
        <f>IFERROR('Data Sheet'!J63,0)</f>
        <v>1313</v>
      </c>
      <c r="L54" s="168">
        <f>IFERROR('Data Sheet'!K63,0)</f>
        <v>1132</v>
      </c>
    </row>
    <row r="55" spans="2:12" outlineLevel="1" x14ac:dyDescent="0.25">
      <c r="B55" s="113" t="s">
        <v>16</v>
      </c>
      <c r="C55" s="168">
        <f>IFERROR('Data Sheet'!B64,0)</f>
        <v>2838.14</v>
      </c>
      <c r="D55" s="168">
        <f>IFERROR('Data Sheet'!C64,0)</f>
        <v>3025.08</v>
      </c>
      <c r="E55" s="168">
        <f>IFERROR('Data Sheet'!D64,0)</f>
        <v>2592</v>
      </c>
      <c r="F55" s="168">
        <f>IFERROR('Data Sheet'!E64,0)</f>
        <v>3794</v>
      </c>
      <c r="G55" s="168">
        <f>IFERROR('Data Sheet'!F64,0)</f>
        <v>2873</v>
      </c>
      <c r="H55" s="168">
        <f>IFERROR('Data Sheet'!G64,0)</f>
        <v>2716</v>
      </c>
      <c r="I55" s="168">
        <f>IFERROR('Data Sheet'!H64,0)</f>
        <v>1255</v>
      </c>
      <c r="J55" s="168">
        <f>IFERROR('Data Sheet'!I64,0)</f>
        <v>2709</v>
      </c>
      <c r="K55" s="168">
        <f>IFERROR('Data Sheet'!J64,0)</f>
        <v>3521</v>
      </c>
      <c r="L55" s="168">
        <f>IFERROR('Data Sheet'!K64,0)</f>
        <v>2882</v>
      </c>
    </row>
    <row r="56" spans="2:12" outlineLevel="1" x14ac:dyDescent="0.25">
      <c r="B56" s="113" t="s">
        <v>40</v>
      </c>
      <c r="C56" s="168">
        <f>IFERROR('Data Sheet'!B65-SUM('Data Sheet'!B67:B69),0)</f>
        <v>1324.2399999999998</v>
      </c>
      <c r="D56" s="168">
        <f>IFERROR('Data Sheet'!C65-SUM('Data Sheet'!C67:C69),0)</f>
        <v>1518.5800000000008</v>
      </c>
      <c r="E56" s="168">
        <f>IFERROR('Data Sheet'!D65-SUM('Data Sheet'!D67:D69),0)</f>
        <v>1536</v>
      </c>
      <c r="F56" s="168">
        <f>IFERROR('Data Sheet'!E65-SUM('Data Sheet'!E67:E69),0)</f>
        <v>1810</v>
      </c>
      <c r="G56" s="168">
        <f>IFERROR('Data Sheet'!F65-SUM('Data Sheet'!F67:F69),0)</f>
        <v>2692</v>
      </c>
      <c r="H56" s="168">
        <f>IFERROR('Data Sheet'!G65-SUM('Data Sheet'!G67:G69),0)</f>
        <v>2645</v>
      </c>
      <c r="I56" s="168">
        <f>IFERROR('Data Sheet'!H65-SUM('Data Sheet'!H67:H69),0)</f>
        <v>3793</v>
      </c>
      <c r="J56" s="168">
        <f>IFERROR('Data Sheet'!I65-SUM('Data Sheet'!I67:I69),0)</f>
        <v>4035</v>
      </c>
      <c r="K56" s="168">
        <f>IFERROR('Data Sheet'!J65-SUM('Data Sheet'!J67:J69),0)</f>
        <v>4021</v>
      </c>
      <c r="L56" s="168">
        <f>IFERROR('Data Sheet'!K65-SUM('Data Sheet'!K67:K69),0)</f>
        <v>4377</v>
      </c>
    </row>
    <row r="57" spans="2:12" outlineLevel="1" x14ac:dyDescent="0.25">
      <c r="B57" s="2" t="s">
        <v>86</v>
      </c>
      <c r="C57" s="21">
        <f>SUM(C53:C56)</f>
        <v>7281.2199999999993</v>
      </c>
      <c r="D57" s="21">
        <f t="shared" ref="D57:L57" si="18">SUM(D53:D56)</f>
        <v>7880.9700000000012</v>
      </c>
      <c r="E57" s="21">
        <f t="shared" si="18"/>
        <v>7794</v>
      </c>
      <c r="F57" s="21">
        <f t="shared" si="18"/>
        <v>10252</v>
      </c>
      <c r="G57" s="21">
        <f t="shared" si="18"/>
        <v>10554</v>
      </c>
      <c r="H57" s="21">
        <f t="shared" si="18"/>
        <v>10482</v>
      </c>
      <c r="I57" s="21">
        <f t="shared" si="18"/>
        <v>11124</v>
      </c>
      <c r="J57" s="21">
        <f t="shared" si="18"/>
        <v>58932</v>
      </c>
      <c r="K57" s="21">
        <f t="shared" si="18"/>
        <v>60328</v>
      </c>
      <c r="L57" s="21">
        <f t="shared" si="18"/>
        <v>61069</v>
      </c>
    </row>
    <row r="58" spans="2:12" outlineLevel="1" x14ac:dyDescent="0.25">
      <c r="B58" s="2"/>
    </row>
    <row r="59" spans="2:12" outlineLevel="1" x14ac:dyDescent="0.25">
      <c r="B59" s="113" t="s">
        <v>45</v>
      </c>
      <c r="C59" s="168">
        <f>IFERROR('Data Sheet'!B67,0)</f>
        <v>1016.81</v>
      </c>
      <c r="D59" s="168">
        <f>IFERROR('Data Sheet'!C67,0)</f>
        <v>1010.28</v>
      </c>
      <c r="E59" s="168">
        <f>IFERROR('Data Sheet'!D67,0)</f>
        <v>1264</v>
      </c>
      <c r="F59" s="168">
        <f>IFERROR('Data Sheet'!E67,0)</f>
        <v>1085</v>
      </c>
      <c r="G59" s="168">
        <f>IFERROR('Data Sheet'!F67,0)</f>
        <v>1310</v>
      </c>
      <c r="H59" s="168">
        <f>IFERROR('Data Sheet'!G67,0)</f>
        <v>1816</v>
      </c>
      <c r="I59" s="168">
        <f>IFERROR('Data Sheet'!H67,0)</f>
        <v>1149</v>
      </c>
      <c r="J59" s="168">
        <f>IFERROR('Data Sheet'!I67,0)</f>
        <v>1758</v>
      </c>
      <c r="K59" s="168">
        <f>IFERROR('Data Sheet'!J67,0)</f>
        <v>2236</v>
      </c>
      <c r="L59" s="168">
        <f>IFERROR('Data Sheet'!K67,0)</f>
        <v>3079</v>
      </c>
    </row>
    <row r="60" spans="2:12" outlineLevel="1" x14ac:dyDescent="0.25">
      <c r="B60" s="113" t="s">
        <v>30</v>
      </c>
      <c r="C60" s="168">
        <f>IFERROR('Data Sheet'!B68,0)</f>
        <v>2939.83</v>
      </c>
      <c r="D60" s="168">
        <f>IFERROR('Data Sheet'!C68,0)</f>
        <v>2848.79</v>
      </c>
      <c r="E60" s="168">
        <f>IFERROR('Data Sheet'!D68,0)</f>
        <v>2726</v>
      </c>
      <c r="F60" s="168">
        <f>IFERROR('Data Sheet'!E68,0)</f>
        <v>2541</v>
      </c>
      <c r="G60" s="168">
        <f>IFERROR('Data Sheet'!F68,0)</f>
        <v>2513</v>
      </c>
      <c r="H60" s="168">
        <f>IFERROR('Data Sheet'!G68,0)</f>
        <v>2574</v>
      </c>
      <c r="I60" s="168">
        <f>IFERROR('Data Sheet'!H68,0)</f>
        <v>2767</v>
      </c>
      <c r="J60" s="168">
        <f>IFERROR('Data Sheet'!I68,0)</f>
        <v>3579</v>
      </c>
      <c r="K60" s="168">
        <f>IFERROR('Data Sheet'!J68,0)</f>
        <v>4096</v>
      </c>
      <c r="L60" s="168">
        <f>IFERROR('Data Sheet'!K68,0)</f>
        <v>4251</v>
      </c>
    </row>
    <row r="61" spans="2:12" outlineLevel="1" x14ac:dyDescent="0.25">
      <c r="B61" s="113" t="s">
        <v>54</v>
      </c>
      <c r="C61" s="168">
        <f>IFERROR('Data Sheet'!B69,0)</f>
        <v>2516.0300000000002</v>
      </c>
      <c r="D61" s="168">
        <f>IFERROR('Data Sheet'!C69,0)</f>
        <v>2689.49</v>
      </c>
      <c r="E61" s="168">
        <f>IFERROR('Data Sheet'!D69,0)</f>
        <v>3009</v>
      </c>
      <c r="F61" s="168">
        <f>IFERROR('Data Sheet'!E69,0)</f>
        <v>1828</v>
      </c>
      <c r="G61" s="168">
        <f>IFERROR('Data Sheet'!F69,0)</f>
        <v>3485</v>
      </c>
      <c r="H61" s="168">
        <f>IFERROR('Data Sheet'!G69,0)</f>
        <v>3757</v>
      </c>
      <c r="I61" s="168">
        <f>IFERROR('Data Sheet'!H69,0)</f>
        <v>5113</v>
      </c>
      <c r="J61" s="168">
        <f>IFERROR('Data Sheet'!I69,0)</f>
        <v>4471</v>
      </c>
      <c r="K61" s="168">
        <f>IFERROR('Data Sheet'!J69,0)</f>
        <v>3846</v>
      </c>
      <c r="L61" s="168">
        <f>IFERROR('Data Sheet'!K69,0)</f>
        <v>4678</v>
      </c>
    </row>
    <row r="62" spans="2:12" outlineLevel="1" x14ac:dyDescent="0.25">
      <c r="B62" s="2" t="s">
        <v>87</v>
      </c>
      <c r="C62" s="21">
        <f>SUM(C59:C61)</f>
        <v>6472.67</v>
      </c>
      <c r="D62" s="21">
        <f t="shared" ref="D62:L62" si="19">SUM(D59:D61)</f>
        <v>6548.5599999999995</v>
      </c>
      <c r="E62" s="21">
        <f t="shared" si="19"/>
        <v>6999</v>
      </c>
      <c r="F62" s="21">
        <f t="shared" si="19"/>
        <v>5454</v>
      </c>
      <c r="G62" s="21">
        <f t="shared" si="19"/>
        <v>7308</v>
      </c>
      <c r="H62" s="21">
        <f t="shared" si="19"/>
        <v>8147</v>
      </c>
      <c r="I62" s="21">
        <f t="shared" si="19"/>
        <v>9029</v>
      </c>
      <c r="J62" s="21">
        <f t="shared" si="19"/>
        <v>9808</v>
      </c>
      <c r="K62" s="21">
        <f t="shared" si="19"/>
        <v>10178</v>
      </c>
      <c r="L62" s="21">
        <f t="shared" si="19"/>
        <v>12008</v>
      </c>
    </row>
    <row r="63" spans="2:12" outlineLevel="1" x14ac:dyDescent="0.25"/>
    <row r="64" spans="2:12" ht="15.75" outlineLevel="1" thickBot="1" x14ac:dyDescent="0.3">
      <c r="B64" s="327" t="s">
        <v>88</v>
      </c>
      <c r="C64" s="328">
        <f>IFERROR(SUM(C57+C62),0)</f>
        <v>13753.89</v>
      </c>
      <c r="D64" s="328">
        <f t="shared" ref="D64:L64" si="20">IFERROR(SUM(D57+D62),0)</f>
        <v>14429.53</v>
      </c>
      <c r="E64" s="328">
        <f t="shared" si="20"/>
        <v>14793</v>
      </c>
      <c r="F64" s="328">
        <f t="shared" si="20"/>
        <v>15706</v>
      </c>
      <c r="G64" s="328">
        <f t="shared" si="20"/>
        <v>17862</v>
      </c>
      <c r="H64" s="328">
        <f t="shared" si="20"/>
        <v>18629</v>
      </c>
      <c r="I64" s="328">
        <f t="shared" si="20"/>
        <v>20153</v>
      </c>
      <c r="J64" s="328">
        <f t="shared" si="20"/>
        <v>68740</v>
      </c>
      <c r="K64" s="328">
        <f t="shared" si="20"/>
        <v>70506</v>
      </c>
      <c r="L64" s="328">
        <f t="shared" si="20"/>
        <v>73077</v>
      </c>
    </row>
    <row r="65" spans="1:13" outlineLevel="1" x14ac:dyDescent="0.25"/>
    <row r="66" spans="1:13" outlineLevel="1" x14ac:dyDescent="0.25">
      <c r="B66" s="14" t="s">
        <v>89</v>
      </c>
      <c r="C66" s="14" t="b">
        <f>C64=C51</f>
        <v>1</v>
      </c>
      <c r="D66" s="14" t="b">
        <f t="shared" ref="D66:L66" si="21">D64=D51</f>
        <v>1</v>
      </c>
      <c r="E66" s="14" t="b">
        <f t="shared" si="21"/>
        <v>1</v>
      </c>
      <c r="F66" s="14" t="b">
        <f t="shared" si="21"/>
        <v>1</v>
      </c>
      <c r="G66" s="14" t="b">
        <f t="shared" si="21"/>
        <v>1</v>
      </c>
      <c r="H66" s="14" t="b">
        <f t="shared" si="21"/>
        <v>1</v>
      </c>
      <c r="I66" s="14" t="b">
        <f t="shared" si="21"/>
        <v>1</v>
      </c>
      <c r="J66" s="14" t="b">
        <f t="shared" si="21"/>
        <v>1</v>
      </c>
      <c r="K66" s="14" t="b">
        <f t="shared" si="21"/>
        <v>1</v>
      </c>
      <c r="L66" s="14" t="b">
        <f t="shared" si="21"/>
        <v>1</v>
      </c>
    </row>
    <row r="67" spans="1:13" x14ac:dyDescent="0.25">
      <c r="B67" s="10" t="s">
        <v>57</v>
      </c>
      <c r="C67" s="11">
        <f>'Data Sheet'!B16</f>
        <v>41729</v>
      </c>
      <c r="D67" s="11">
        <f>'Data Sheet'!C16</f>
        <v>42094</v>
      </c>
      <c r="E67" s="11">
        <f>'Data Sheet'!D16</f>
        <v>42460</v>
      </c>
      <c r="F67" s="11">
        <f>'Data Sheet'!E16</f>
        <v>42825</v>
      </c>
      <c r="G67" s="11">
        <f>'Data Sheet'!F16</f>
        <v>43190</v>
      </c>
      <c r="H67" s="11">
        <f>'Data Sheet'!G16</f>
        <v>43555</v>
      </c>
      <c r="I67" s="11">
        <f>'Data Sheet'!H16</f>
        <v>43921</v>
      </c>
      <c r="J67" s="11">
        <f>'Data Sheet'!I16</f>
        <v>44286</v>
      </c>
      <c r="K67" s="11">
        <f>'Data Sheet'!J16</f>
        <v>44651</v>
      </c>
      <c r="L67" s="11">
        <f>'Data Sheet'!K16</f>
        <v>45016</v>
      </c>
    </row>
    <row r="68" spans="1:13" ht="18.75" x14ac:dyDescent="0.3">
      <c r="A68" t="s">
        <v>59</v>
      </c>
      <c r="B68" s="322" t="str">
        <f>"Cash Flow Statements - "&amp;'Data Sheet'!B1</f>
        <v>Cash Flow Statements - HINDUSTAN UNILEVER LTD</v>
      </c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18"/>
    </row>
    <row r="69" spans="1:13" s="23" customFormat="1" outlineLevel="1" x14ac:dyDescent="0.25">
      <c r="B69" s="24" t="s">
        <v>118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3" outlineLevel="1" x14ac:dyDescent="0.25">
      <c r="B70" t="s">
        <v>91</v>
      </c>
      <c r="C70" s="13">
        <f>INDEX('Cash Flow Data'!E$2:E$34,MATCH('Historical FS&gt;'!$B70,'Cash Flow Data'!$B$2:$B$34,0))</f>
        <v>4802</v>
      </c>
      <c r="D70" s="13">
        <f>INDEX('Cash Flow Data'!F$2:F$34,MATCH('Historical FS&gt;'!$B70,'Cash Flow Data'!$B$2:$B$34,0))</f>
        <v>5510</v>
      </c>
      <c r="E70" s="13">
        <f>INDEX('Cash Flow Data'!G$2:G$34,MATCH('Historical FS&gt;'!$B70,'Cash Flow Data'!$B$2:$B$34,0))</f>
        <v>6025</v>
      </c>
      <c r="F70" s="13">
        <f>INDEX('Cash Flow Data'!H$2:H$34,MATCH('Historical FS&gt;'!$B70,'Cash Flow Data'!$B$2:$B$34,0))</f>
        <v>6512</v>
      </c>
      <c r="G70" s="13">
        <f>INDEX('Cash Flow Data'!I$2:I$34,MATCH('Historical FS&gt;'!$B70,'Cash Flow Data'!$B$2:$B$34,0))</f>
        <v>7485</v>
      </c>
      <c r="H70" s="13">
        <f>INDEX('Cash Flow Data'!J$2:J$34,MATCH('Historical FS&gt;'!$B70,'Cash Flow Data'!$B$2:$B$34,0))</f>
        <v>8909</v>
      </c>
      <c r="I70" s="13">
        <f>INDEX('Cash Flow Data'!K$2:K$34,MATCH('Historical FS&gt;'!$B70,'Cash Flow Data'!$B$2:$B$34,0))</f>
        <v>9723</v>
      </c>
      <c r="J70" s="13">
        <f>INDEX('Cash Flow Data'!L$2:L$34,MATCH('Historical FS&gt;'!$B70,'Cash Flow Data'!$B$2:$B$34,0))</f>
        <v>11672</v>
      </c>
      <c r="K70" s="13">
        <f>INDEX('Cash Flow Data'!M$2:M$34,MATCH('Historical FS&gt;'!$B70,'Cash Flow Data'!$B$2:$B$34,0))</f>
        <v>12829</v>
      </c>
      <c r="L70" s="13">
        <f>INDEX('Cash Flow Data'!N$2:N$34,MATCH('Historical FS&gt;'!$B70,'Cash Flow Data'!$B$2:$B$34,0))</f>
        <v>14089</v>
      </c>
    </row>
    <row r="71" spans="1:13" outlineLevel="1" x14ac:dyDescent="0.25">
      <c r="B71" s="113" t="s">
        <v>45</v>
      </c>
      <c r="C71" s="168">
        <f>INDEX('Cash Flow Data'!E$2:E$34,MATCH('Historical FS&gt;'!$B71,'Cash Flow Data'!$B$2:$B$34,0))</f>
        <v>-17</v>
      </c>
      <c r="D71" s="168">
        <f>INDEX('Cash Flow Data'!F$2:F$34,MATCH('Historical FS&gt;'!$B71,'Cash Flow Data'!$B$2:$B$34,0))</f>
        <v>3</v>
      </c>
      <c r="E71" s="168">
        <f>INDEX('Cash Flow Data'!G$2:G$34,MATCH('Historical FS&gt;'!$B71,'Cash Flow Data'!$B$2:$B$34,0))</f>
        <v>-257</v>
      </c>
      <c r="F71" s="168">
        <f>INDEX('Cash Flow Data'!H$2:H$34,MATCH('Historical FS&gt;'!$B71,'Cash Flow Data'!$B$2:$B$34,0))</f>
        <v>173</v>
      </c>
      <c r="G71" s="168">
        <f>INDEX('Cash Flow Data'!I$2:I$34,MATCH('Historical FS&gt;'!$B71,'Cash Flow Data'!$B$2:$B$34,0))</f>
        <v>0</v>
      </c>
      <c r="H71" s="168">
        <f>INDEX('Cash Flow Data'!J$2:J$34,MATCH('Historical FS&gt;'!$B71,'Cash Flow Data'!$B$2:$B$34,0))</f>
        <v>0</v>
      </c>
      <c r="I71" s="168">
        <f>INDEX('Cash Flow Data'!K$2:K$34,MATCH('Historical FS&gt;'!$B71,'Cash Flow Data'!$B$2:$B$34,0))</f>
        <v>0</v>
      </c>
      <c r="J71" s="168">
        <f>INDEX('Cash Flow Data'!L$2:L$34,MATCH('Historical FS&gt;'!$B71,'Cash Flow Data'!$B$2:$B$34,0))</f>
        <v>0</v>
      </c>
      <c r="K71" s="168">
        <f>INDEX('Cash Flow Data'!M$2:M$34,MATCH('Historical FS&gt;'!$B71,'Cash Flow Data'!$B$2:$B$34,0))</f>
        <v>0</v>
      </c>
      <c r="L71" s="168">
        <f>INDEX('Cash Flow Data'!N$2:N$34,MATCH('Historical FS&gt;'!$B71,'Cash Flow Data'!$B$2:$B$34,0))</f>
        <v>0</v>
      </c>
    </row>
    <row r="72" spans="1:13" outlineLevel="1" x14ac:dyDescent="0.25">
      <c r="B72" s="113" t="s">
        <v>30</v>
      </c>
      <c r="C72" s="168">
        <f>INDEX('Cash Flow Data'!E$2:E$34,MATCH('Historical FS&gt;'!$B72,'Cash Flow Data'!$B$2:$B$34,0))</f>
        <v>-201</v>
      </c>
      <c r="D72" s="168">
        <f>INDEX('Cash Flow Data'!F$2:F$34,MATCH('Historical FS&gt;'!$B72,'Cash Flow Data'!$B$2:$B$34,0))</f>
        <v>91</v>
      </c>
      <c r="E72" s="168">
        <f>INDEX('Cash Flow Data'!G$2:G$34,MATCH('Historical FS&gt;'!$B72,'Cash Flow Data'!$B$2:$B$34,0))</f>
        <v>89</v>
      </c>
      <c r="F72" s="168">
        <f>INDEX('Cash Flow Data'!H$2:H$34,MATCH('Historical FS&gt;'!$B72,'Cash Flow Data'!$B$2:$B$34,0))</f>
        <v>37</v>
      </c>
      <c r="G72" s="168">
        <f>INDEX('Cash Flow Data'!I$2:I$34,MATCH('Historical FS&gt;'!$B72,'Cash Flow Data'!$B$2:$B$34,0))</f>
        <v>-146</v>
      </c>
      <c r="H72" s="168">
        <f>INDEX('Cash Flow Data'!J$2:J$34,MATCH('Historical FS&gt;'!$B72,'Cash Flow Data'!$B$2:$B$34,0))</f>
        <v>-195</v>
      </c>
      <c r="I72" s="168">
        <f>INDEX('Cash Flow Data'!K$2:K$34,MATCH('Historical FS&gt;'!$B72,'Cash Flow Data'!$B$2:$B$34,0))</f>
        <v>-331</v>
      </c>
      <c r="J72" s="168">
        <f>INDEX('Cash Flow Data'!L$2:L$34,MATCH('Historical FS&gt;'!$B72,'Cash Flow Data'!$B$2:$B$34,0))</f>
        <v>-543</v>
      </c>
      <c r="K72" s="168">
        <f>INDEX('Cash Flow Data'!M$2:M$34,MATCH('Historical FS&gt;'!$B72,'Cash Flow Data'!$B$2:$B$34,0))</f>
        <v>-758</v>
      </c>
      <c r="L72" s="168">
        <f>INDEX('Cash Flow Data'!N$2:N$34,MATCH('Historical FS&gt;'!$B72,'Cash Flow Data'!$B$2:$B$34,0))</f>
        <v>-339</v>
      </c>
    </row>
    <row r="73" spans="1:13" outlineLevel="1" x14ac:dyDescent="0.25">
      <c r="B73" s="113" t="s">
        <v>92</v>
      </c>
      <c r="C73" s="168">
        <f>INDEX('Cash Flow Data'!E$2:E$34,MATCH('Historical FS&gt;'!$B73,'Cash Flow Data'!$B$2:$B$34,0))</f>
        <v>546</v>
      </c>
      <c r="D73" s="168">
        <f>INDEX('Cash Flow Data'!F$2:F$34,MATCH('Historical FS&gt;'!$B73,'Cash Flow Data'!$B$2:$B$34,0))</f>
        <v>-327</v>
      </c>
      <c r="E73" s="168">
        <f>INDEX('Cash Flow Data'!G$2:G$34,MATCH('Historical FS&gt;'!$B73,'Cash Flow Data'!$B$2:$B$34,0))</f>
        <v>164</v>
      </c>
      <c r="F73" s="168">
        <f>INDEX('Cash Flow Data'!H$2:H$34,MATCH('Historical FS&gt;'!$B73,'Cash Flow Data'!$B$2:$B$34,0))</f>
        <v>501</v>
      </c>
      <c r="G73" s="168">
        <f>INDEX('Cash Flow Data'!I$2:I$34,MATCH('Historical FS&gt;'!$B73,'Cash Flow Data'!$B$2:$B$34,0))</f>
        <v>0</v>
      </c>
      <c r="H73" s="168">
        <f>INDEX('Cash Flow Data'!J$2:J$34,MATCH('Historical FS&gt;'!$B73,'Cash Flow Data'!$B$2:$B$34,0))</f>
        <v>0</v>
      </c>
      <c r="I73" s="168">
        <f>INDEX('Cash Flow Data'!K$2:K$34,MATCH('Historical FS&gt;'!$B73,'Cash Flow Data'!$B$2:$B$34,0))</f>
        <v>0</v>
      </c>
      <c r="J73" s="168">
        <f>INDEX('Cash Flow Data'!L$2:L$34,MATCH('Historical FS&gt;'!$B73,'Cash Flow Data'!$B$2:$B$34,0))</f>
        <v>0</v>
      </c>
      <c r="K73" s="168">
        <f>INDEX('Cash Flow Data'!M$2:M$34,MATCH('Historical FS&gt;'!$B73,'Cash Flow Data'!$B$2:$B$34,0))</f>
        <v>0</v>
      </c>
      <c r="L73" s="168">
        <f>INDEX('Cash Flow Data'!N$2:N$34,MATCH('Historical FS&gt;'!$B73,'Cash Flow Data'!$B$2:$B$34,0))</f>
        <v>0</v>
      </c>
    </row>
    <row r="74" spans="1:13" outlineLevel="1" x14ac:dyDescent="0.25">
      <c r="B74" s="113" t="s">
        <v>93</v>
      </c>
      <c r="C74" s="168">
        <f>INDEX('Cash Flow Data'!E$2:E$34,MATCH('Historical FS&gt;'!$B74,'Cash Flow Data'!$B$2:$B$34,0))</f>
        <v>-4</v>
      </c>
      <c r="D74" s="168">
        <f>INDEX('Cash Flow Data'!F$2:F$34,MATCH('Historical FS&gt;'!$B74,'Cash Flow Data'!$B$2:$B$34,0))</f>
        <v>-148</v>
      </c>
      <c r="E74" s="168">
        <f>INDEX('Cash Flow Data'!G$2:G$34,MATCH('Historical FS&gt;'!$B74,'Cash Flow Data'!$B$2:$B$34,0))</f>
        <v>0</v>
      </c>
      <c r="F74" s="168">
        <f>INDEX('Cash Flow Data'!H$2:H$34,MATCH('Historical FS&gt;'!$B74,'Cash Flow Data'!$B$2:$B$34,0))</f>
        <v>0</v>
      </c>
      <c r="G74" s="168">
        <f>INDEX('Cash Flow Data'!I$2:I$34,MATCH('Historical FS&gt;'!$B74,'Cash Flow Data'!$B$2:$B$34,0))</f>
        <v>0</v>
      </c>
      <c r="H74" s="168">
        <f>INDEX('Cash Flow Data'!J$2:J$34,MATCH('Historical FS&gt;'!$B74,'Cash Flow Data'!$B$2:$B$34,0))</f>
        <v>0</v>
      </c>
      <c r="I74" s="168">
        <f>INDEX('Cash Flow Data'!K$2:K$34,MATCH('Historical FS&gt;'!$B74,'Cash Flow Data'!$B$2:$B$34,0))</f>
        <v>0</v>
      </c>
      <c r="J74" s="168">
        <f>INDEX('Cash Flow Data'!L$2:L$34,MATCH('Historical FS&gt;'!$B74,'Cash Flow Data'!$B$2:$B$34,0))</f>
        <v>0</v>
      </c>
      <c r="K74" s="168">
        <f>INDEX('Cash Flow Data'!M$2:M$34,MATCH('Historical FS&gt;'!$B74,'Cash Flow Data'!$B$2:$B$34,0))</f>
        <v>0</v>
      </c>
      <c r="L74" s="168">
        <f>INDEX('Cash Flow Data'!N$2:N$34,MATCH('Historical FS&gt;'!$B74,'Cash Flow Data'!$B$2:$B$34,0))</f>
        <v>0</v>
      </c>
    </row>
    <row r="75" spans="1:13" outlineLevel="1" x14ac:dyDescent="0.25">
      <c r="B75" s="113" t="s">
        <v>94</v>
      </c>
      <c r="C75" s="168">
        <f>INDEX('Cash Flow Data'!E$2:E$34,MATCH('Historical FS&gt;'!$B75,'Cash Flow Data'!$B$2:$B$34,0))</f>
        <v>81</v>
      </c>
      <c r="D75" s="168">
        <f>INDEX('Cash Flow Data'!F$2:F$34,MATCH('Historical FS&gt;'!$B75,'Cash Flow Data'!$B$2:$B$34,0))</f>
        <v>38</v>
      </c>
      <c r="E75" s="168">
        <f>INDEX('Cash Flow Data'!G$2:G$34,MATCH('Historical FS&gt;'!$B75,'Cash Flow Data'!$B$2:$B$34,0))</f>
        <v>-77</v>
      </c>
      <c r="F75" s="168">
        <f>INDEX('Cash Flow Data'!H$2:H$34,MATCH('Historical FS&gt;'!$B75,'Cash Flow Data'!$B$2:$B$34,0))</f>
        <v>-99</v>
      </c>
      <c r="G75" s="168">
        <f>INDEX('Cash Flow Data'!I$2:I$34,MATCH('Historical FS&gt;'!$B75,'Cash Flow Data'!$B$2:$B$34,0))</f>
        <v>982</v>
      </c>
      <c r="H75" s="168">
        <f>INDEX('Cash Flow Data'!J$2:J$34,MATCH('Historical FS&gt;'!$B75,'Cash Flow Data'!$B$2:$B$34,0))</f>
        <v>-147</v>
      </c>
      <c r="I75" s="168">
        <f>INDEX('Cash Flow Data'!K$2:K$34,MATCH('Historical FS&gt;'!$B75,'Cash Flow Data'!$B$2:$B$34,0))</f>
        <v>742</v>
      </c>
      <c r="J75" s="168">
        <f>INDEX('Cash Flow Data'!L$2:L$34,MATCH('Historical FS&gt;'!$B75,'Cash Flow Data'!$B$2:$B$34,0))</f>
        <v>442</v>
      </c>
      <c r="K75" s="168">
        <f>INDEX('Cash Flow Data'!M$2:M$34,MATCH('Historical FS&gt;'!$B75,'Cash Flow Data'!$B$2:$B$34,0))</f>
        <v>-242</v>
      </c>
      <c r="L75" s="168">
        <f>INDEX('Cash Flow Data'!N$2:N$34,MATCH('Historical FS&gt;'!$B75,'Cash Flow Data'!$B$2:$B$34,0))</f>
        <v>-619</v>
      </c>
    </row>
    <row r="76" spans="1:13" outlineLevel="1" x14ac:dyDescent="0.25">
      <c r="B76" s="113" t="s">
        <v>95</v>
      </c>
      <c r="C76" s="168">
        <f>INDEX('Cash Flow Data'!E$2:E$34,MATCH('Historical FS&gt;'!$B76,'Cash Flow Data'!$B$2:$B$34,0))</f>
        <v>405</v>
      </c>
      <c r="D76" s="168">
        <f>INDEX('Cash Flow Data'!F$2:F$34,MATCH('Historical FS&gt;'!$B76,'Cash Flow Data'!$B$2:$B$34,0))</f>
        <v>-342</v>
      </c>
      <c r="E76" s="168">
        <f>INDEX('Cash Flow Data'!G$2:G$34,MATCH('Historical FS&gt;'!$B76,'Cash Flow Data'!$B$2:$B$34,0))</f>
        <v>-81</v>
      </c>
      <c r="F76" s="168">
        <f>INDEX('Cash Flow Data'!H$2:H$34,MATCH('Historical FS&gt;'!$B76,'Cash Flow Data'!$B$2:$B$34,0))</f>
        <v>566</v>
      </c>
      <c r="G76" s="168">
        <f>INDEX('Cash Flow Data'!I$2:I$34,MATCH('Historical FS&gt;'!$B76,'Cash Flow Data'!$B$2:$B$34,0))</f>
        <v>836</v>
      </c>
      <c r="H76" s="168">
        <f>INDEX('Cash Flow Data'!J$2:J$34,MATCH('Historical FS&gt;'!$B76,'Cash Flow Data'!$B$2:$B$34,0))</f>
        <v>-342</v>
      </c>
      <c r="I76" s="168">
        <f>INDEX('Cash Flow Data'!K$2:K$34,MATCH('Historical FS&gt;'!$B76,'Cash Flow Data'!$B$2:$B$34,0))</f>
        <v>411</v>
      </c>
      <c r="J76" s="168">
        <f>INDEX('Cash Flow Data'!L$2:L$34,MATCH('Historical FS&gt;'!$B76,'Cash Flow Data'!$B$2:$B$34,0))</f>
        <v>-101</v>
      </c>
      <c r="K76" s="168">
        <f>INDEX('Cash Flow Data'!M$2:M$34,MATCH('Historical FS&gt;'!$B76,'Cash Flow Data'!$B$2:$B$34,0))</f>
        <v>-1000</v>
      </c>
      <c r="L76" s="168">
        <f>INDEX('Cash Flow Data'!N$2:N$34,MATCH('Historical FS&gt;'!$B76,'Cash Flow Data'!$B$2:$B$34,0))</f>
        <v>-958</v>
      </c>
    </row>
    <row r="77" spans="1:13" outlineLevel="1" x14ac:dyDescent="0.25">
      <c r="B77" s="113" t="s">
        <v>350</v>
      </c>
      <c r="C77" s="168">
        <f>INDEX('Cash Flow Data'!E$2:E$34,MATCH('Historical FS&gt;'!$B77,'Cash Flow Data'!$B$2:$B$34,0))</f>
        <v>0</v>
      </c>
      <c r="D77" s="168">
        <f>INDEX('Cash Flow Data'!F$2:F$34,MATCH('Historical FS&gt;'!$B77,'Cash Flow Data'!$B$2:$B$34,0))</f>
        <v>0</v>
      </c>
      <c r="E77" s="168">
        <f>INDEX('Cash Flow Data'!G$2:G$34,MATCH('Historical FS&gt;'!$B77,'Cash Flow Data'!$B$2:$B$34,0))</f>
        <v>0</v>
      </c>
      <c r="F77" s="168">
        <f>INDEX('Cash Flow Data'!H$2:H$34,MATCH('Historical FS&gt;'!$B77,'Cash Flow Data'!$B$2:$B$34,0))</f>
        <v>-46</v>
      </c>
      <c r="G77" s="168">
        <f>INDEX('Cash Flow Data'!I$2:I$34,MATCH('Historical FS&gt;'!$B77,'Cash Flow Data'!$B$2:$B$34,0))</f>
        <v>0</v>
      </c>
      <c r="H77" s="168">
        <f>INDEX('Cash Flow Data'!J$2:J$34,MATCH('Historical FS&gt;'!$B77,'Cash Flow Data'!$B$2:$B$34,0))</f>
        <v>0</v>
      </c>
      <c r="I77" s="168">
        <f>INDEX('Cash Flow Data'!K$2:K$34,MATCH('Historical FS&gt;'!$B77,'Cash Flow Data'!$B$2:$B$34,0))</f>
        <v>0</v>
      </c>
      <c r="J77" s="168">
        <f>INDEX('Cash Flow Data'!L$2:L$34,MATCH('Historical FS&gt;'!$B77,'Cash Flow Data'!$B$2:$B$34,0))</f>
        <v>0</v>
      </c>
      <c r="K77" s="168">
        <f>INDEX('Cash Flow Data'!M$2:M$34,MATCH('Historical FS&gt;'!$B77,'Cash Flow Data'!$B$2:$B$34,0))</f>
        <v>0</v>
      </c>
      <c r="L77" s="168">
        <f>INDEX('Cash Flow Data'!N$2:N$34,MATCH('Historical FS&gt;'!$B77,'Cash Flow Data'!$B$2:$B$34,0))</f>
        <v>0</v>
      </c>
    </row>
    <row r="78" spans="1:13" outlineLevel="1" x14ac:dyDescent="0.25">
      <c r="B78" s="113" t="s">
        <v>351</v>
      </c>
      <c r="C78" s="168">
        <f>INDEX('Cash Flow Data'!E$2:E$34,MATCH('Historical FS&gt;'!$B78,'Cash Flow Data'!$B$2:$B$34,0))</f>
        <v>-5</v>
      </c>
      <c r="D78" s="168">
        <f>INDEX('Cash Flow Data'!F$2:F$34,MATCH('Historical FS&gt;'!$B78,'Cash Flow Data'!$B$2:$B$34,0))</f>
        <v>-14</v>
      </c>
      <c r="E78" s="168">
        <f>INDEX('Cash Flow Data'!G$2:G$34,MATCH('Historical FS&gt;'!$B78,'Cash Flow Data'!$B$2:$B$34,0))</f>
        <v>-8</v>
      </c>
      <c r="F78" s="168">
        <f>INDEX('Cash Flow Data'!H$2:H$34,MATCH('Historical FS&gt;'!$B78,'Cash Flow Data'!$B$2:$B$34,0))</f>
        <v>-21</v>
      </c>
      <c r="G78" s="168">
        <f>INDEX('Cash Flow Data'!I$2:I$34,MATCH('Historical FS&gt;'!$B78,'Cash Flow Data'!$B$2:$B$34,0))</f>
        <v>0</v>
      </c>
      <c r="H78" s="168">
        <f>INDEX('Cash Flow Data'!J$2:J$34,MATCH('Historical FS&gt;'!$B78,'Cash Flow Data'!$B$2:$B$34,0))</f>
        <v>0</v>
      </c>
      <c r="I78" s="168">
        <f>INDEX('Cash Flow Data'!K$2:K$34,MATCH('Historical FS&gt;'!$B78,'Cash Flow Data'!$B$2:$B$34,0))</f>
        <v>0</v>
      </c>
      <c r="J78" s="168">
        <f>INDEX('Cash Flow Data'!L$2:L$34,MATCH('Historical FS&gt;'!$B78,'Cash Flow Data'!$B$2:$B$34,0))</f>
        <v>0</v>
      </c>
      <c r="K78" s="168">
        <f>INDEX('Cash Flow Data'!M$2:M$34,MATCH('Historical FS&gt;'!$B78,'Cash Flow Data'!$B$2:$B$34,0))</f>
        <v>0</v>
      </c>
      <c r="L78" s="168">
        <f>INDEX('Cash Flow Data'!N$2:N$34,MATCH('Historical FS&gt;'!$B78,'Cash Flow Data'!$B$2:$B$34,0))</f>
        <v>-1</v>
      </c>
    </row>
    <row r="79" spans="1:13" outlineLevel="1" x14ac:dyDescent="0.25">
      <c r="B79" s="113" t="s">
        <v>352</v>
      </c>
      <c r="C79" s="168">
        <f>INDEX('Cash Flow Data'!E$2:E$34,MATCH('Historical FS&gt;'!$B79,'Cash Flow Data'!$B$2:$B$34,0))</f>
        <v>0</v>
      </c>
      <c r="D79" s="168">
        <f>INDEX('Cash Flow Data'!F$2:F$34,MATCH('Historical FS&gt;'!$B79,'Cash Flow Data'!$B$2:$B$34,0))</f>
        <v>0</v>
      </c>
      <c r="E79" s="168">
        <f>INDEX('Cash Flow Data'!G$2:G$34,MATCH('Historical FS&gt;'!$B79,'Cash Flow Data'!$B$2:$B$34,0))</f>
        <v>0</v>
      </c>
      <c r="F79" s="168">
        <f>INDEX('Cash Flow Data'!H$2:H$34,MATCH('Historical FS&gt;'!$B79,'Cash Flow Data'!$B$2:$B$34,0))</f>
        <v>-13</v>
      </c>
      <c r="G79" s="168">
        <f>INDEX('Cash Flow Data'!I$2:I$34,MATCH('Historical FS&gt;'!$B79,'Cash Flow Data'!$B$2:$B$34,0))</f>
        <v>2</v>
      </c>
      <c r="H79" s="168">
        <f>INDEX('Cash Flow Data'!J$2:J$34,MATCH('Historical FS&gt;'!$B79,'Cash Flow Data'!$B$2:$B$34,0))</f>
        <v>0</v>
      </c>
      <c r="I79" s="168">
        <f>INDEX('Cash Flow Data'!K$2:K$34,MATCH('Historical FS&gt;'!$B79,'Cash Flow Data'!$B$2:$B$34,0))</f>
        <v>-6</v>
      </c>
      <c r="J79" s="168">
        <f>INDEX('Cash Flow Data'!L$2:L$34,MATCH('Historical FS&gt;'!$B79,'Cash Flow Data'!$B$2:$B$34,0))</f>
        <v>-1</v>
      </c>
      <c r="K79" s="168">
        <f>INDEX('Cash Flow Data'!M$2:M$34,MATCH('Historical FS&gt;'!$B79,'Cash Flow Data'!$B$2:$B$34,0))</f>
        <v>3</v>
      </c>
      <c r="L79" s="168">
        <f>INDEX('Cash Flow Data'!N$2:N$34,MATCH('Historical FS&gt;'!$B79,'Cash Flow Data'!$B$2:$B$34,0))</f>
        <v>-1</v>
      </c>
    </row>
    <row r="80" spans="1:13" outlineLevel="1" x14ac:dyDescent="0.25">
      <c r="B80" s="113" t="s">
        <v>96</v>
      </c>
      <c r="C80" s="168">
        <f>INDEX('Cash Flow Data'!E$2:E$34,MATCH('Historical FS&gt;'!$B80,'Cash Flow Data'!$B$2:$B$34,0))</f>
        <v>-1384</v>
      </c>
      <c r="D80" s="168">
        <f>INDEX('Cash Flow Data'!F$2:F$34,MATCH('Historical FS&gt;'!$B80,'Cash Flow Data'!$B$2:$B$34,0))</f>
        <v>-1862</v>
      </c>
      <c r="E80" s="168">
        <f>INDEX('Cash Flow Data'!G$2:G$34,MATCH('Historical FS&gt;'!$B80,'Cash Flow Data'!$B$2:$B$34,0))</f>
        <v>-1765</v>
      </c>
      <c r="F80" s="168">
        <f>INDEX('Cash Flow Data'!H$2:H$34,MATCH('Historical FS&gt;'!$B80,'Cash Flow Data'!$B$2:$B$34,0))</f>
        <v>-1859</v>
      </c>
      <c r="G80" s="168">
        <f>INDEX('Cash Flow Data'!I$2:I$34,MATCH('Historical FS&gt;'!$B80,'Cash Flow Data'!$B$2:$B$34,0))</f>
        <v>-2264</v>
      </c>
      <c r="H80" s="168">
        <f>INDEX('Cash Flow Data'!J$2:J$34,MATCH('Historical FS&gt;'!$B80,'Cash Flow Data'!$B$2:$B$34,0))</f>
        <v>-2767</v>
      </c>
      <c r="I80" s="168">
        <f>INDEX('Cash Flow Data'!K$2:K$34,MATCH('Historical FS&gt;'!$B80,'Cash Flow Data'!$B$2:$B$34,0))</f>
        <v>-2505</v>
      </c>
      <c r="J80" s="168">
        <f>INDEX('Cash Flow Data'!L$2:L$34,MATCH('Historical FS&gt;'!$B80,'Cash Flow Data'!$B$2:$B$34,0))</f>
        <v>-2407</v>
      </c>
      <c r="K80" s="168">
        <f>INDEX('Cash Flow Data'!M$2:M$34,MATCH('Historical FS&gt;'!$B80,'Cash Flow Data'!$B$2:$B$34,0))</f>
        <v>-2784</v>
      </c>
      <c r="L80" s="168">
        <f>INDEX('Cash Flow Data'!N$2:N$34,MATCH('Historical FS&gt;'!$B80,'Cash Flow Data'!$B$2:$B$34,0))</f>
        <v>-3138</v>
      </c>
      <c r="M80" s="23"/>
    </row>
    <row r="81" spans="2:13" outlineLevel="1" x14ac:dyDescent="0.25">
      <c r="B81" s="2" t="s">
        <v>119</v>
      </c>
      <c r="C81" s="21">
        <f t="shared" ref="C81:L81" si="22">SUM(C70:C80)</f>
        <v>4223</v>
      </c>
      <c r="D81" s="21">
        <f t="shared" si="22"/>
        <v>2949</v>
      </c>
      <c r="E81" s="21">
        <f t="shared" si="22"/>
        <v>4090</v>
      </c>
      <c r="F81" s="21">
        <f t="shared" si="22"/>
        <v>5751</v>
      </c>
      <c r="G81" s="21">
        <f t="shared" si="22"/>
        <v>6895</v>
      </c>
      <c r="H81" s="21">
        <f t="shared" si="22"/>
        <v>5458</v>
      </c>
      <c r="I81" s="21">
        <f t="shared" si="22"/>
        <v>8034</v>
      </c>
      <c r="J81" s="21">
        <f t="shared" si="22"/>
        <v>9062</v>
      </c>
      <c r="K81" s="21">
        <f t="shared" si="22"/>
        <v>8048</v>
      </c>
      <c r="L81" s="21">
        <f t="shared" si="22"/>
        <v>9033</v>
      </c>
      <c r="M81" s="23"/>
    </row>
    <row r="82" spans="2:13" outlineLevel="1" x14ac:dyDescent="0.25">
      <c r="M82" s="23"/>
    </row>
    <row r="83" spans="2:13" outlineLevel="1" x14ac:dyDescent="0.25">
      <c r="B83" s="2" t="s">
        <v>120</v>
      </c>
      <c r="M83" s="23"/>
    </row>
    <row r="84" spans="2:13" outlineLevel="1" x14ac:dyDescent="0.25">
      <c r="B84" t="s">
        <v>98</v>
      </c>
      <c r="C84" s="13">
        <f>INDEX('Cash Flow Data'!E$2:E$34,MATCH('Historical FS&gt;'!$B84,'Cash Flow Data'!$B$2:$B$34,0))</f>
        <v>-606</v>
      </c>
      <c r="D84" s="13">
        <f>INDEX('Cash Flow Data'!F$2:F$34,MATCH('Historical FS&gt;'!$B84,'Cash Flow Data'!$B$2:$B$34,0))</f>
        <v>-606</v>
      </c>
      <c r="E84" s="13">
        <f>INDEX('Cash Flow Data'!G$2:G$34,MATCH('Historical FS&gt;'!$B84,'Cash Flow Data'!$B$2:$B$34,0))</f>
        <v>-810</v>
      </c>
      <c r="F84" s="13">
        <f>INDEX('Cash Flow Data'!H$2:H$34,MATCH('Historical FS&gt;'!$B84,'Cash Flow Data'!$B$2:$B$34,0))</f>
        <v>-1113</v>
      </c>
      <c r="G84" s="13">
        <f>INDEX('Cash Flow Data'!I$2:I$34,MATCH('Historical FS&gt;'!$B84,'Cash Flow Data'!$B$2:$B$34,0))</f>
        <v>-895</v>
      </c>
      <c r="H84" s="13">
        <f>INDEX('Cash Flow Data'!J$2:J$34,MATCH('Historical FS&gt;'!$B84,'Cash Flow Data'!$B$2:$B$34,0))</f>
        <v>-767</v>
      </c>
      <c r="I84" s="13">
        <f>INDEX('Cash Flow Data'!K$2:K$34,MATCH('Historical FS&gt;'!$B84,'Cash Flow Data'!$B$2:$B$34,0))</f>
        <v>-862</v>
      </c>
      <c r="J84" s="13">
        <f>INDEX('Cash Flow Data'!L$2:L$34,MATCH('Historical FS&gt;'!$B84,'Cash Flow Data'!$B$2:$B$34,0))</f>
        <v>-4163</v>
      </c>
      <c r="K84" s="13">
        <f>INDEX('Cash Flow Data'!M$2:M$34,MATCH('Historical FS&gt;'!$B84,'Cash Flow Data'!$B$2:$B$34,0))</f>
        <v>-1228</v>
      </c>
      <c r="L84" s="13">
        <f>INDEX('Cash Flow Data'!N$2:N$34,MATCH('Historical FS&gt;'!$B84,'Cash Flow Data'!$B$2:$B$34,0))</f>
        <v>-1192</v>
      </c>
      <c r="M84" s="23"/>
    </row>
    <row r="85" spans="2:13" outlineLevel="1" x14ac:dyDescent="0.25">
      <c r="B85" s="113" t="s">
        <v>99</v>
      </c>
      <c r="C85" s="168">
        <f>INDEX('Cash Flow Data'!E$2:E$34,MATCH('Historical FS&gt;'!$B85,'Cash Flow Data'!$B$2:$B$34,0))</f>
        <v>229</v>
      </c>
      <c r="D85" s="168">
        <f>INDEX('Cash Flow Data'!F$2:F$34,MATCH('Historical FS&gt;'!$B85,'Cash Flow Data'!$B$2:$B$34,0))</f>
        <v>560</v>
      </c>
      <c r="E85" s="168">
        <f>INDEX('Cash Flow Data'!G$2:G$34,MATCH('Historical FS&gt;'!$B85,'Cash Flow Data'!$B$2:$B$34,0))</f>
        <v>99</v>
      </c>
      <c r="F85" s="168">
        <f>INDEX('Cash Flow Data'!H$2:H$34,MATCH('Historical FS&gt;'!$B85,'Cash Flow Data'!$B$2:$B$34,0))</f>
        <v>176</v>
      </c>
      <c r="G85" s="168">
        <f>INDEX('Cash Flow Data'!I$2:I$34,MATCH('Historical FS&gt;'!$B85,'Cash Flow Data'!$B$2:$B$34,0))</f>
        <v>32</v>
      </c>
      <c r="H85" s="168">
        <f>INDEX('Cash Flow Data'!J$2:J$34,MATCH('Historical FS&gt;'!$B85,'Cash Flow Data'!$B$2:$B$34,0))</f>
        <v>13</v>
      </c>
      <c r="I85" s="168">
        <f>INDEX('Cash Flow Data'!K$2:K$34,MATCH('Historical FS&gt;'!$B85,'Cash Flow Data'!$B$2:$B$34,0))</f>
        <v>52</v>
      </c>
      <c r="J85" s="168">
        <f>INDEX('Cash Flow Data'!L$2:L$34,MATCH('Historical FS&gt;'!$B85,'Cash Flow Data'!$B$2:$B$34,0))</f>
        <v>97</v>
      </c>
      <c r="K85" s="168">
        <f>INDEX('Cash Flow Data'!M$2:M$34,MATCH('Historical FS&gt;'!$B85,'Cash Flow Data'!$B$2:$B$34,0))</f>
        <v>175</v>
      </c>
      <c r="L85" s="168">
        <f>INDEX('Cash Flow Data'!N$2:N$34,MATCH('Historical FS&gt;'!$B85,'Cash Flow Data'!$B$2:$B$34,0))</f>
        <v>181</v>
      </c>
      <c r="M85" s="23"/>
    </row>
    <row r="86" spans="2:13" outlineLevel="1" x14ac:dyDescent="0.25">
      <c r="B86" s="113" t="s">
        <v>100</v>
      </c>
      <c r="C86" s="168">
        <f>INDEX('Cash Flow Data'!E$2:E$34,MATCH('Historical FS&gt;'!$B86,'Cash Flow Data'!$B$2:$B$34,0))</f>
        <v>-9538</v>
      </c>
      <c r="D86" s="168">
        <f>INDEX('Cash Flow Data'!F$2:F$34,MATCH('Historical FS&gt;'!$B86,'Cash Flow Data'!$B$2:$B$34,0))</f>
        <v>-19353</v>
      </c>
      <c r="E86" s="168">
        <f>INDEX('Cash Flow Data'!G$2:G$34,MATCH('Historical FS&gt;'!$B86,'Cash Flow Data'!$B$2:$B$34,0))</f>
        <v>-20666</v>
      </c>
      <c r="F86" s="168">
        <f>INDEX('Cash Flow Data'!H$2:H$34,MATCH('Historical FS&gt;'!$B86,'Cash Flow Data'!$B$2:$B$34,0))</f>
        <v>-31214</v>
      </c>
      <c r="G86" s="168">
        <f>INDEX('Cash Flow Data'!I$2:I$34,MATCH('Historical FS&gt;'!$B86,'Cash Flow Data'!$B$2:$B$34,0))</f>
        <v>-51855</v>
      </c>
      <c r="H86" s="168">
        <f>INDEX('Cash Flow Data'!J$2:J$34,MATCH('Historical FS&gt;'!$B86,'Cash Flow Data'!$B$2:$B$34,0))</f>
        <v>-74365</v>
      </c>
      <c r="I86" s="168">
        <f>INDEX('Cash Flow Data'!K$2:K$34,MATCH('Historical FS&gt;'!$B86,'Cash Flow Data'!$B$2:$B$34,0))</f>
        <v>-36090</v>
      </c>
      <c r="J86" s="168">
        <f>INDEX('Cash Flow Data'!L$2:L$34,MATCH('Historical FS&gt;'!$B86,'Cash Flow Data'!$B$2:$B$34,0))</f>
        <v>-39920</v>
      </c>
      <c r="K86" s="168">
        <f>INDEX('Cash Flow Data'!M$2:M$34,MATCH('Historical FS&gt;'!$B86,'Cash Flow Data'!$B$2:$B$34,0))</f>
        <v>-48522</v>
      </c>
      <c r="L86" s="168">
        <f>INDEX('Cash Flow Data'!N$2:N$34,MATCH('Historical FS&gt;'!$B86,'Cash Flow Data'!$B$2:$B$34,0))</f>
        <v>-22649</v>
      </c>
      <c r="M86" s="23"/>
    </row>
    <row r="87" spans="2:13" outlineLevel="1" x14ac:dyDescent="0.25">
      <c r="B87" s="113" t="s">
        <v>101</v>
      </c>
      <c r="C87" s="168">
        <f>INDEX('Cash Flow Data'!E$2:E$34,MATCH('Historical FS&gt;'!$B87,'Cash Flow Data'!$B$2:$B$34,0))</f>
        <v>9213</v>
      </c>
      <c r="D87" s="168">
        <f>INDEX('Cash Flow Data'!F$2:F$34,MATCH('Historical FS&gt;'!$B87,'Cash Flow Data'!$B$2:$B$34,0))</f>
        <v>19461</v>
      </c>
      <c r="E87" s="168">
        <f>INDEX('Cash Flow Data'!G$2:G$34,MATCH('Historical FS&gt;'!$B87,'Cash Flow Data'!$B$2:$B$34,0))</f>
        <v>20937</v>
      </c>
      <c r="F87" s="168">
        <f>INDEX('Cash Flow Data'!H$2:H$34,MATCH('Historical FS&gt;'!$B87,'Cash Flow Data'!$B$2:$B$34,0))</f>
        <v>30083</v>
      </c>
      <c r="G87" s="168">
        <f>INDEX('Cash Flow Data'!I$2:I$34,MATCH('Historical FS&gt;'!$B87,'Cash Flow Data'!$B$2:$B$34,0))</f>
        <v>52897</v>
      </c>
      <c r="H87" s="168">
        <f>INDEX('Cash Flow Data'!J$2:J$34,MATCH('Historical FS&gt;'!$B87,'Cash Flow Data'!$B$2:$B$34,0))</f>
        <v>74691</v>
      </c>
      <c r="I87" s="168">
        <f>INDEX('Cash Flow Data'!K$2:K$34,MATCH('Historical FS&gt;'!$B87,'Cash Flow Data'!$B$2:$B$34,0))</f>
        <v>37690</v>
      </c>
      <c r="J87" s="168">
        <f>INDEX('Cash Flow Data'!L$2:L$34,MATCH('Historical FS&gt;'!$B87,'Cash Flow Data'!$B$2:$B$34,0))</f>
        <v>38486</v>
      </c>
      <c r="K87" s="168">
        <f>INDEX('Cash Flow Data'!M$2:M$34,MATCH('Historical FS&gt;'!$B87,'Cash Flow Data'!$B$2:$B$34,0))</f>
        <v>47786</v>
      </c>
      <c r="L87" s="168">
        <f>INDEX('Cash Flow Data'!N$2:N$34,MATCH('Historical FS&gt;'!$B87,'Cash Flow Data'!$B$2:$B$34,0))</f>
        <v>23462</v>
      </c>
      <c r="M87" s="23"/>
    </row>
    <row r="88" spans="2:13" outlineLevel="1" x14ac:dyDescent="0.25">
      <c r="B88" s="113" t="s">
        <v>102</v>
      </c>
      <c r="C88" s="168">
        <f>INDEX('Cash Flow Data'!E$2:E$34,MATCH('Historical FS&gt;'!$B88,'Cash Flow Data'!$B$2:$B$34,0))</f>
        <v>232</v>
      </c>
      <c r="D88" s="168">
        <f>INDEX('Cash Flow Data'!F$2:F$34,MATCH('Historical FS&gt;'!$B88,'Cash Flow Data'!$B$2:$B$34,0))</f>
        <v>218</v>
      </c>
      <c r="E88" s="168">
        <f>INDEX('Cash Flow Data'!G$2:G$34,MATCH('Historical FS&gt;'!$B88,'Cash Flow Data'!$B$2:$B$34,0))</f>
        <v>315</v>
      </c>
      <c r="F88" s="168">
        <f>INDEX('Cash Flow Data'!H$2:H$34,MATCH('Historical FS&gt;'!$B88,'Cash Flow Data'!$B$2:$B$34,0))</f>
        <v>264</v>
      </c>
      <c r="G88" s="168">
        <f>INDEX('Cash Flow Data'!I$2:I$34,MATCH('Historical FS&gt;'!$B88,'Cash Flow Data'!$B$2:$B$34,0))</f>
        <v>297</v>
      </c>
      <c r="H88" s="168">
        <f>INDEX('Cash Flow Data'!J$2:J$34,MATCH('Historical FS&gt;'!$B88,'Cash Flow Data'!$B$2:$B$34,0))</f>
        <v>289</v>
      </c>
      <c r="I88" s="168">
        <f>INDEX('Cash Flow Data'!K$2:K$34,MATCH('Historical FS&gt;'!$B88,'Cash Flow Data'!$B$2:$B$34,0))</f>
        <v>351</v>
      </c>
      <c r="J88" s="168">
        <f>INDEX('Cash Flow Data'!L$2:L$34,MATCH('Historical FS&gt;'!$B88,'Cash Flow Data'!$B$2:$B$34,0))</f>
        <v>277</v>
      </c>
      <c r="K88" s="168">
        <f>INDEX('Cash Flow Data'!M$2:M$34,MATCH('Historical FS&gt;'!$B88,'Cash Flow Data'!$B$2:$B$34,0))</f>
        <v>161</v>
      </c>
      <c r="L88" s="168">
        <f>INDEX('Cash Flow Data'!N$2:N$34,MATCH('Historical FS&gt;'!$B88,'Cash Flow Data'!$B$2:$B$34,0))</f>
        <v>259</v>
      </c>
      <c r="M88" s="23"/>
    </row>
    <row r="89" spans="2:13" outlineLevel="1" x14ac:dyDescent="0.25">
      <c r="B89" s="113" t="s">
        <v>103</v>
      </c>
      <c r="C89" s="168">
        <f>INDEX('Cash Flow Data'!E$2:E$34,MATCH('Historical FS&gt;'!$B89,'Cash Flow Data'!$B$2:$B$34,0))</f>
        <v>16</v>
      </c>
      <c r="D89" s="168">
        <f>INDEX('Cash Flow Data'!F$2:F$34,MATCH('Historical FS&gt;'!$B89,'Cash Flow Data'!$B$2:$B$34,0))</f>
        <v>24</v>
      </c>
      <c r="E89" s="168">
        <f>INDEX('Cash Flow Data'!G$2:G$34,MATCH('Historical FS&gt;'!$B89,'Cash Flow Data'!$B$2:$B$34,0))</f>
        <v>33</v>
      </c>
      <c r="F89" s="168">
        <f>INDEX('Cash Flow Data'!H$2:H$34,MATCH('Historical FS&gt;'!$B89,'Cash Flow Data'!$B$2:$B$34,0))</f>
        <v>14</v>
      </c>
      <c r="G89" s="168">
        <f>INDEX('Cash Flow Data'!I$2:I$34,MATCH('Historical FS&gt;'!$B89,'Cash Flow Data'!$B$2:$B$34,0))</f>
        <v>0</v>
      </c>
      <c r="H89" s="168">
        <f>INDEX('Cash Flow Data'!J$2:J$34,MATCH('Historical FS&gt;'!$B89,'Cash Flow Data'!$B$2:$B$34,0))</f>
        <v>1</v>
      </c>
      <c r="I89" s="168">
        <f>INDEX('Cash Flow Data'!K$2:K$34,MATCH('Historical FS&gt;'!$B89,'Cash Flow Data'!$B$2:$B$34,0))</f>
        <v>1</v>
      </c>
      <c r="J89" s="168">
        <f>INDEX('Cash Flow Data'!L$2:L$34,MATCH('Historical FS&gt;'!$B89,'Cash Flow Data'!$B$2:$B$34,0))</f>
        <v>1</v>
      </c>
      <c r="K89" s="168">
        <f>INDEX('Cash Flow Data'!M$2:M$34,MATCH('Historical FS&gt;'!$B89,'Cash Flow Data'!$B$2:$B$34,0))</f>
        <v>1</v>
      </c>
      <c r="L89" s="168">
        <f>INDEX('Cash Flow Data'!N$2:N$34,MATCH('Historical FS&gt;'!$B89,'Cash Flow Data'!$B$2:$B$34,0))</f>
        <v>2</v>
      </c>
      <c r="M89" s="23"/>
    </row>
    <row r="90" spans="2:13" outlineLevel="1" x14ac:dyDescent="0.25">
      <c r="B90" s="113" t="s">
        <v>104</v>
      </c>
      <c r="C90" s="168">
        <f>INDEX('Cash Flow Data'!E$2:E$34,MATCH('Historical FS&gt;'!$B90,'Cash Flow Data'!$B$2:$B$34,0))</f>
        <v>-101</v>
      </c>
      <c r="D90" s="168">
        <f>INDEX('Cash Flow Data'!F$2:F$34,MATCH('Historical FS&gt;'!$B90,'Cash Flow Data'!$B$2:$B$34,0))</f>
        <v>0</v>
      </c>
      <c r="E90" s="168">
        <f>INDEX('Cash Flow Data'!G$2:G$34,MATCH('Historical FS&gt;'!$B90,'Cash Flow Data'!$B$2:$B$34,0))</f>
        <v>0</v>
      </c>
      <c r="F90" s="168">
        <f>INDEX('Cash Flow Data'!H$2:H$34,MATCH('Historical FS&gt;'!$B90,'Cash Flow Data'!$B$2:$B$34,0))</f>
        <v>0</v>
      </c>
      <c r="G90" s="168">
        <f>INDEX('Cash Flow Data'!I$2:I$34,MATCH('Historical FS&gt;'!$B90,'Cash Flow Data'!$B$2:$B$34,0))</f>
        <v>0</v>
      </c>
      <c r="H90" s="168">
        <f>INDEX('Cash Flow Data'!J$2:J$34,MATCH('Historical FS&gt;'!$B90,'Cash Flow Data'!$B$2:$B$34,0))</f>
        <v>0</v>
      </c>
      <c r="I90" s="168">
        <f>INDEX('Cash Flow Data'!K$2:K$34,MATCH('Historical FS&gt;'!$B90,'Cash Flow Data'!$B$2:$B$34,0))</f>
        <v>0</v>
      </c>
      <c r="J90" s="168">
        <f>INDEX('Cash Flow Data'!L$2:L$34,MATCH('Historical FS&gt;'!$B90,'Cash Flow Data'!$B$2:$B$34,0))</f>
        <v>0</v>
      </c>
      <c r="K90" s="168">
        <f>INDEX('Cash Flow Data'!M$2:M$34,MATCH('Historical FS&gt;'!$B90,'Cash Flow Data'!$B$2:$B$34,0))</f>
        <v>0</v>
      </c>
      <c r="L90" s="168">
        <f>INDEX('Cash Flow Data'!N$2:N$34,MATCH('Historical FS&gt;'!$B90,'Cash Flow Data'!$B$2:$B$34,0))</f>
        <v>0</v>
      </c>
      <c r="M90" s="23"/>
    </row>
    <row r="91" spans="2:13" outlineLevel="1" x14ac:dyDescent="0.25">
      <c r="B91" s="113" t="s">
        <v>353</v>
      </c>
      <c r="C91" s="168">
        <f>INDEX('Cash Flow Data'!E$2:E$34,MATCH('Historical FS&gt;'!$B91,'Cash Flow Data'!$B$2:$B$34,0))</f>
        <v>-104</v>
      </c>
      <c r="D91" s="168">
        <f>INDEX('Cash Flow Data'!F$2:F$34,MATCH('Historical FS&gt;'!$B91,'Cash Flow Data'!$B$2:$B$34,0))</f>
        <v>0</v>
      </c>
      <c r="E91" s="168">
        <f>INDEX('Cash Flow Data'!G$2:G$34,MATCH('Historical FS&gt;'!$B91,'Cash Flow Data'!$B$2:$B$34,0))</f>
        <v>0</v>
      </c>
      <c r="F91" s="168">
        <f>INDEX('Cash Flow Data'!H$2:H$34,MATCH('Historical FS&gt;'!$B91,'Cash Flow Data'!$B$2:$B$34,0))</f>
        <v>0</v>
      </c>
      <c r="G91" s="168">
        <f>INDEX('Cash Flow Data'!I$2:I$34,MATCH('Historical FS&gt;'!$B91,'Cash Flow Data'!$B$2:$B$34,0))</f>
        <v>0</v>
      </c>
      <c r="H91" s="168">
        <f>INDEX('Cash Flow Data'!J$2:J$34,MATCH('Historical FS&gt;'!$B91,'Cash Flow Data'!$B$2:$B$34,0))</f>
        <v>0</v>
      </c>
      <c r="I91" s="168">
        <f>INDEX('Cash Flow Data'!K$2:K$34,MATCH('Historical FS&gt;'!$B91,'Cash Flow Data'!$B$2:$B$34,0))</f>
        <v>0</v>
      </c>
      <c r="J91" s="168">
        <f>INDEX('Cash Flow Data'!L$2:L$34,MATCH('Historical FS&gt;'!$B91,'Cash Flow Data'!$B$2:$B$34,0))</f>
        <v>0</v>
      </c>
      <c r="K91" s="168">
        <f>INDEX('Cash Flow Data'!M$2:M$34,MATCH('Historical FS&gt;'!$B91,'Cash Flow Data'!$B$2:$B$34,0))</f>
        <v>0</v>
      </c>
      <c r="L91" s="168">
        <f>INDEX('Cash Flow Data'!N$2:N$34,MATCH('Historical FS&gt;'!$B91,'Cash Flow Data'!$B$2:$B$34,0))</f>
        <v>0</v>
      </c>
      <c r="M91" s="23"/>
    </row>
    <row r="92" spans="2:13" outlineLevel="1" x14ac:dyDescent="0.25">
      <c r="B92" s="113" t="s">
        <v>105</v>
      </c>
      <c r="C92" s="168">
        <f>INDEX('Cash Flow Data'!E$2:E$34,MATCH('Historical FS&gt;'!$B92,'Cash Flow Data'!$B$2:$B$34,0))</f>
        <v>0</v>
      </c>
      <c r="D92" s="168">
        <f>INDEX('Cash Flow Data'!F$2:F$34,MATCH('Historical FS&gt;'!$B92,'Cash Flow Data'!$B$2:$B$34,0))</f>
        <v>200</v>
      </c>
      <c r="E92" s="168">
        <f>INDEX('Cash Flow Data'!G$2:G$34,MATCH('Historical FS&gt;'!$B92,'Cash Flow Data'!$B$2:$B$34,0))</f>
        <v>161</v>
      </c>
      <c r="F92" s="168">
        <f>INDEX('Cash Flow Data'!H$2:H$34,MATCH('Historical FS&gt;'!$B92,'Cash Flow Data'!$B$2:$B$34,0))</f>
        <v>20</v>
      </c>
      <c r="G92" s="168">
        <f>INDEX('Cash Flow Data'!I$2:I$34,MATCH('Historical FS&gt;'!$B92,'Cash Flow Data'!$B$2:$B$34,0))</f>
        <v>73</v>
      </c>
      <c r="H92" s="168">
        <f>INDEX('Cash Flow Data'!J$2:J$34,MATCH('Historical FS&gt;'!$B92,'Cash Flow Data'!$B$2:$B$34,0))</f>
        <v>0</v>
      </c>
      <c r="I92" s="168">
        <f>INDEX('Cash Flow Data'!K$2:K$34,MATCH('Historical FS&gt;'!$B92,'Cash Flow Data'!$B$2:$B$34,0))</f>
        <v>0</v>
      </c>
      <c r="J92" s="168">
        <f>INDEX('Cash Flow Data'!L$2:L$34,MATCH('Historical FS&gt;'!$B92,'Cash Flow Data'!$B$2:$B$34,0))</f>
        <v>0</v>
      </c>
      <c r="K92" s="168">
        <f>INDEX('Cash Flow Data'!M$2:M$34,MATCH('Historical FS&gt;'!$B92,'Cash Flow Data'!$B$2:$B$34,0))</f>
        <v>0</v>
      </c>
      <c r="L92" s="168">
        <f>INDEX('Cash Flow Data'!N$2:N$34,MATCH('Historical FS&gt;'!$B92,'Cash Flow Data'!$B$2:$B$34,0))</f>
        <v>0</v>
      </c>
      <c r="M92" s="23"/>
    </row>
    <row r="93" spans="2:13" outlineLevel="1" x14ac:dyDescent="0.25">
      <c r="B93" s="113" t="s">
        <v>106</v>
      </c>
      <c r="C93" s="168">
        <f>INDEX('Cash Flow Data'!E$2:E$34,MATCH('Historical FS&gt;'!$B93,'Cash Flow Data'!$B$2:$B$34,0))</f>
        <v>0</v>
      </c>
      <c r="D93" s="168">
        <f>INDEX('Cash Flow Data'!F$2:F$34,MATCH('Historical FS&gt;'!$B93,'Cash Flow Data'!$B$2:$B$34,0))</f>
        <v>0</v>
      </c>
      <c r="E93" s="168">
        <f>INDEX('Cash Flow Data'!G$2:G$34,MATCH('Historical FS&gt;'!$B93,'Cash Flow Data'!$B$2:$B$34,0))</f>
        <v>0</v>
      </c>
      <c r="F93" s="168">
        <f>INDEX('Cash Flow Data'!H$2:H$34,MATCH('Historical FS&gt;'!$B93,'Cash Flow Data'!$B$2:$B$34,0))</f>
        <v>0</v>
      </c>
      <c r="G93" s="168">
        <f>INDEX('Cash Flow Data'!I$2:I$34,MATCH('Historical FS&gt;'!$B93,'Cash Flow Data'!$B$2:$B$34,0))</f>
        <v>0</v>
      </c>
      <c r="H93" s="168">
        <f>INDEX('Cash Flow Data'!J$2:J$34,MATCH('Historical FS&gt;'!$B93,'Cash Flow Data'!$B$2:$B$34,0))</f>
        <v>0</v>
      </c>
      <c r="I93" s="168">
        <f>INDEX('Cash Flow Data'!K$2:K$34,MATCH('Historical FS&gt;'!$B93,'Cash Flow Data'!$B$2:$B$34,0))</f>
        <v>0</v>
      </c>
      <c r="J93" s="168">
        <f>INDEX('Cash Flow Data'!L$2:L$34,MATCH('Historical FS&gt;'!$B93,'Cash Flow Data'!$B$2:$B$34,0))</f>
        <v>0</v>
      </c>
      <c r="K93" s="168">
        <f>INDEX('Cash Flow Data'!M$2:M$34,MATCH('Historical FS&gt;'!$B93,'Cash Flow Data'!$B$2:$B$34,0))</f>
        <v>0</v>
      </c>
      <c r="L93" s="168">
        <f>INDEX('Cash Flow Data'!N$2:N$34,MATCH('Historical FS&gt;'!$B93,'Cash Flow Data'!$B$2:$B$34,0))</f>
        <v>-334</v>
      </c>
      <c r="M93" s="23"/>
    </row>
    <row r="94" spans="2:13" outlineLevel="1" x14ac:dyDescent="0.25">
      <c r="B94" s="113" t="s">
        <v>107</v>
      </c>
      <c r="C94" s="168" t="s">
        <v>61</v>
      </c>
      <c r="D94" s="168" t="s">
        <v>61</v>
      </c>
      <c r="E94" s="168" t="s">
        <v>61</v>
      </c>
      <c r="F94" s="168" t="s">
        <v>61</v>
      </c>
      <c r="G94" s="168" t="s">
        <v>61</v>
      </c>
      <c r="H94" s="168" t="s">
        <v>61</v>
      </c>
      <c r="I94" s="168" t="s">
        <v>61</v>
      </c>
      <c r="J94" s="168" t="s">
        <v>61</v>
      </c>
      <c r="K94" s="168" t="s">
        <v>61</v>
      </c>
      <c r="L94" s="168" t="s">
        <v>61</v>
      </c>
      <c r="M94" s="23"/>
    </row>
    <row r="95" spans="2:13" outlineLevel="1" x14ac:dyDescent="0.25">
      <c r="B95" s="113" t="s">
        <v>108</v>
      </c>
      <c r="C95" s="168">
        <f>INDEX('Cash Flow Data'!E$2:E$34,MATCH('Historical FS&gt;'!$B95,'Cash Flow Data'!$B$2:$B$34,0))</f>
        <v>183</v>
      </c>
      <c r="D95" s="168">
        <f>INDEX('Cash Flow Data'!F$2:F$34,MATCH('Historical FS&gt;'!$B95,'Cash Flow Data'!$B$2:$B$34,0))</f>
        <v>-367</v>
      </c>
      <c r="E95" s="168">
        <f>INDEX('Cash Flow Data'!G$2:G$34,MATCH('Historical FS&gt;'!$B95,'Cash Flow Data'!$B$2:$B$34,0))</f>
        <v>-351</v>
      </c>
      <c r="F95" s="168">
        <f>INDEX('Cash Flow Data'!H$2:H$34,MATCH('Historical FS&gt;'!$B95,'Cash Flow Data'!$B$2:$B$34,0))</f>
        <v>597</v>
      </c>
      <c r="G95" s="168">
        <f>INDEX('Cash Flow Data'!I$2:I$34,MATCH('Historical FS&gt;'!$B95,'Cash Flow Data'!$B$2:$B$34,0))</f>
        <v>-1612</v>
      </c>
      <c r="H95" s="168">
        <f>INDEX('Cash Flow Data'!J$2:J$34,MATCH('Historical FS&gt;'!$B95,'Cash Flow Data'!$B$2:$B$34,0))</f>
        <v>-300</v>
      </c>
      <c r="I95" s="168">
        <f>INDEX('Cash Flow Data'!K$2:K$34,MATCH('Historical FS&gt;'!$B95,'Cash Flow Data'!$B$2:$B$34,0))</f>
        <v>649</v>
      </c>
      <c r="J95" s="168">
        <f>INDEX('Cash Flow Data'!L$2:L$34,MATCH('Historical FS&gt;'!$B95,'Cash Flow Data'!$B$2:$B$34,0))</f>
        <v>3994</v>
      </c>
      <c r="K95" s="168">
        <f>INDEX('Cash Flow Data'!M$2:M$34,MATCH('Historical FS&gt;'!$B95,'Cash Flow Data'!$B$2:$B$34,0))</f>
        <v>-101</v>
      </c>
      <c r="L95" s="168">
        <f>INDEX('Cash Flow Data'!N$2:N$34,MATCH('Historical FS&gt;'!$B95,'Cash Flow Data'!$B$2:$B$34,0))</f>
        <v>-1213</v>
      </c>
      <c r="M95" s="23"/>
    </row>
    <row r="96" spans="2:13" outlineLevel="1" x14ac:dyDescent="0.25">
      <c r="B96" s="2" t="s">
        <v>121</v>
      </c>
      <c r="C96" s="21">
        <f>SUM(C84:C95)</f>
        <v>-476</v>
      </c>
      <c r="D96" s="21">
        <f t="shared" ref="D96:L96" si="23">SUM(D84:D95)</f>
        <v>137</v>
      </c>
      <c r="E96" s="21">
        <f t="shared" si="23"/>
        <v>-282</v>
      </c>
      <c r="F96" s="21">
        <f t="shared" si="23"/>
        <v>-1173</v>
      </c>
      <c r="G96" s="21">
        <f t="shared" si="23"/>
        <v>-1063</v>
      </c>
      <c r="H96" s="21">
        <f t="shared" si="23"/>
        <v>-438</v>
      </c>
      <c r="I96" s="21">
        <f t="shared" si="23"/>
        <v>1791</v>
      </c>
      <c r="J96" s="21">
        <f t="shared" si="23"/>
        <v>-1228</v>
      </c>
      <c r="K96" s="21">
        <f t="shared" si="23"/>
        <v>-1728</v>
      </c>
      <c r="L96" s="21">
        <f t="shared" si="23"/>
        <v>-1484</v>
      </c>
      <c r="M96" s="23"/>
    </row>
    <row r="97" spans="2:13" outlineLevel="1" x14ac:dyDescent="0.25">
      <c r="M97" s="23"/>
    </row>
    <row r="98" spans="2:13" outlineLevel="1" x14ac:dyDescent="0.25">
      <c r="B98" s="2" t="s">
        <v>122</v>
      </c>
      <c r="M98" s="23"/>
    </row>
    <row r="99" spans="2:13" outlineLevel="1" x14ac:dyDescent="0.25">
      <c r="B99" t="s">
        <v>110</v>
      </c>
      <c r="C99" s="13">
        <f>INDEX('Cash Flow Data'!E$2:E$34,MATCH('Historical FS&gt;'!$B99,'Cash Flow Data'!$B$2:$B$34,0))</f>
        <v>2</v>
      </c>
      <c r="D99" s="13">
        <f>INDEX('Cash Flow Data'!F$2:F$34,MATCH('Historical FS&gt;'!$B99,'Cash Flow Data'!$B$2:$B$34,0))</f>
        <v>2</v>
      </c>
      <c r="E99" s="13">
        <f>INDEX('Cash Flow Data'!G$2:G$34,MATCH('Historical FS&gt;'!$B99,'Cash Flow Data'!$B$2:$B$34,0))</f>
        <v>0</v>
      </c>
      <c r="F99" s="13">
        <f>INDEX('Cash Flow Data'!H$2:H$34,MATCH('Historical FS&gt;'!$B99,'Cash Flow Data'!$B$2:$B$34,0))</f>
        <v>0</v>
      </c>
      <c r="G99" s="13">
        <f>INDEX('Cash Flow Data'!I$2:I$34,MATCH('Historical FS&gt;'!$B99,'Cash Flow Data'!$B$2:$B$34,0))</f>
        <v>0</v>
      </c>
      <c r="H99" s="13">
        <f>INDEX('Cash Flow Data'!J$2:J$34,MATCH('Historical FS&gt;'!$B99,'Cash Flow Data'!$B$2:$B$34,0))</f>
        <v>0</v>
      </c>
      <c r="I99" s="13">
        <f>INDEX('Cash Flow Data'!K$2:K$34,MATCH('Historical FS&gt;'!$B99,'Cash Flow Data'!$B$2:$B$34,0))</f>
        <v>0</v>
      </c>
      <c r="J99" s="13">
        <f>INDEX('Cash Flow Data'!L$2:L$34,MATCH('Historical FS&gt;'!$B99,'Cash Flow Data'!$B$2:$B$34,0))</f>
        <v>0</v>
      </c>
      <c r="K99" s="13">
        <f>INDEX('Cash Flow Data'!M$2:M$34,MATCH('Historical FS&gt;'!$B99,'Cash Flow Data'!$B$2:$B$34,0))</f>
        <v>0</v>
      </c>
      <c r="L99" s="13">
        <f>INDEX('Cash Flow Data'!N$2:N$34,MATCH('Historical FS&gt;'!$B99,'Cash Flow Data'!$B$2:$B$34,0))</f>
        <v>0</v>
      </c>
      <c r="M99" s="23"/>
    </row>
    <row r="100" spans="2:13" outlineLevel="1" x14ac:dyDescent="0.25">
      <c r="B100" s="113" t="s">
        <v>111</v>
      </c>
      <c r="C100" s="158" t="s">
        <v>61</v>
      </c>
      <c r="D100" s="158" t="s">
        <v>61</v>
      </c>
      <c r="E100" s="158" t="s">
        <v>61</v>
      </c>
      <c r="F100" s="158" t="s">
        <v>61</v>
      </c>
      <c r="G100" s="158" t="s">
        <v>61</v>
      </c>
      <c r="H100" s="158" t="s">
        <v>61</v>
      </c>
      <c r="I100" s="158" t="s">
        <v>61</v>
      </c>
      <c r="J100" s="158" t="s">
        <v>61</v>
      </c>
      <c r="K100" s="158" t="s">
        <v>61</v>
      </c>
      <c r="L100" s="158" t="s">
        <v>61</v>
      </c>
      <c r="M100" s="23"/>
    </row>
    <row r="101" spans="2:13" outlineLevel="1" x14ac:dyDescent="0.25">
      <c r="B101" s="113" t="s">
        <v>112</v>
      </c>
      <c r="C101" s="168">
        <f>INDEX('Cash Flow Data'!E$2:E$34,MATCH('Historical FS&gt;'!$B101,'Cash Flow Data'!$B$2:$B$34,0))</f>
        <v>0</v>
      </c>
      <c r="D101" s="168">
        <f>INDEX('Cash Flow Data'!F$2:F$34,MATCH('Historical FS&gt;'!$B101,'Cash Flow Data'!$B$2:$B$34,0))</f>
        <v>0</v>
      </c>
      <c r="E101" s="168">
        <f>INDEX('Cash Flow Data'!G$2:G$34,MATCH('Historical FS&gt;'!$B101,'Cash Flow Data'!$B$2:$B$34,0))</f>
        <v>177</v>
      </c>
      <c r="F101" s="168">
        <f>INDEX('Cash Flow Data'!H$2:H$34,MATCH('Historical FS&gt;'!$B101,'Cash Flow Data'!$B$2:$B$34,0))</f>
        <v>460</v>
      </c>
      <c r="G101" s="168">
        <f>INDEX('Cash Flow Data'!I$2:I$34,MATCH('Historical FS&gt;'!$B101,'Cash Flow Data'!$B$2:$B$34,0))</f>
        <v>0</v>
      </c>
      <c r="H101" s="168">
        <f>INDEX('Cash Flow Data'!J$2:J$34,MATCH('Historical FS&gt;'!$B101,'Cash Flow Data'!$B$2:$B$34,0))</f>
        <v>99</v>
      </c>
      <c r="I101" s="168">
        <f>INDEX('Cash Flow Data'!K$2:K$34,MATCH('Historical FS&gt;'!$B101,'Cash Flow Data'!$B$2:$B$34,0))</f>
        <v>0</v>
      </c>
      <c r="J101" s="168">
        <f>INDEX('Cash Flow Data'!L$2:L$34,MATCH('Historical FS&gt;'!$B101,'Cash Flow Data'!$B$2:$B$34,0))</f>
        <v>188</v>
      </c>
      <c r="K101" s="168">
        <f>INDEX('Cash Flow Data'!M$2:M$34,MATCH('Historical FS&gt;'!$B101,'Cash Flow Data'!$B$2:$B$34,0))</f>
        <v>55</v>
      </c>
      <c r="L101" s="168">
        <f>INDEX('Cash Flow Data'!N$2:N$34,MATCH('Historical FS&gt;'!$B101,'Cash Flow Data'!$B$2:$B$34,0))</f>
        <v>286</v>
      </c>
      <c r="M101" s="23"/>
    </row>
    <row r="102" spans="2:13" outlineLevel="1" x14ac:dyDescent="0.25">
      <c r="B102" s="113" t="s">
        <v>113</v>
      </c>
      <c r="C102" s="168">
        <f>INDEX('Cash Flow Data'!E$2:E$34,MATCH('Historical FS&gt;'!$B102,'Cash Flow Data'!$B$2:$B$34,0))</f>
        <v>-15</v>
      </c>
      <c r="D102" s="168">
        <f>INDEX('Cash Flow Data'!F$2:F$34,MATCH('Historical FS&gt;'!$B102,'Cash Flow Data'!$B$2:$B$34,0))</f>
        <v>-3</v>
      </c>
      <c r="E102" s="168">
        <f>INDEX('Cash Flow Data'!G$2:G$34,MATCH('Historical FS&gt;'!$B102,'Cash Flow Data'!$B$2:$B$34,0))</f>
        <v>0</v>
      </c>
      <c r="F102" s="168">
        <f>INDEX('Cash Flow Data'!H$2:H$34,MATCH('Historical FS&gt;'!$B102,'Cash Flow Data'!$B$2:$B$34,0))</f>
        <v>-360</v>
      </c>
      <c r="G102" s="168">
        <f>INDEX('Cash Flow Data'!I$2:I$34,MATCH('Historical FS&gt;'!$B102,'Cash Flow Data'!$B$2:$B$34,0))</f>
        <v>-277</v>
      </c>
      <c r="H102" s="168">
        <f>INDEX('Cash Flow Data'!J$2:J$34,MATCH('Historical FS&gt;'!$B102,'Cash Flow Data'!$B$2:$B$34,0))</f>
        <v>0</v>
      </c>
      <c r="I102" s="168">
        <f>INDEX('Cash Flow Data'!K$2:K$34,MATCH('Historical FS&gt;'!$B102,'Cash Flow Data'!$B$2:$B$34,0))</f>
        <v>-99</v>
      </c>
      <c r="J102" s="168">
        <f>INDEX('Cash Flow Data'!L$2:L$34,MATCH('Historical FS&gt;'!$B102,'Cash Flow Data'!$B$2:$B$34,0))</f>
        <v>-188</v>
      </c>
      <c r="K102" s="168">
        <f>INDEX('Cash Flow Data'!M$2:M$34,MATCH('Historical FS&gt;'!$B102,'Cash Flow Data'!$B$2:$B$34,0))</f>
        <v>-55</v>
      </c>
      <c r="L102" s="168">
        <f>INDEX('Cash Flow Data'!N$2:N$34,MATCH('Historical FS&gt;'!$B102,'Cash Flow Data'!$B$2:$B$34,0))</f>
        <v>-208</v>
      </c>
      <c r="M102" s="23"/>
    </row>
    <row r="103" spans="2:13" outlineLevel="1" x14ac:dyDescent="0.25">
      <c r="B103" s="113" t="s">
        <v>114</v>
      </c>
      <c r="C103" s="168">
        <f>INDEX('Cash Flow Data'!E$2:E$34,MATCH('Historical FS&gt;'!$B103,'Cash Flow Data'!$B$2:$B$34,0))</f>
        <v>-29</v>
      </c>
      <c r="D103" s="168">
        <f>INDEX('Cash Flow Data'!F$2:F$34,MATCH('Historical FS&gt;'!$B103,'Cash Flow Data'!$B$2:$B$34,0))</f>
        <v>-18</v>
      </c>
      <c r="E103" s="168">
        <f>INDEX('Cash Flow Data'!G$2:G$34,MATCH('Historical FS&gt;'!$B103,'Cash Flow Data'!$B$2:$B$34,0))</f>
        <v>-2</v>
      </c>
      <c r="F103" s="168">
        <f>INDEX('Cash Flow Data'!H$2:H$34,MATCH('Historical FS&gt;'!$B103,'Cash Flow Data'!$B$2:$B$34,0))</f>
        <v>-14</v>
      </c>
      <c r="G103" s="168">
        <f>INDEX('Cash Flow Data'!I$2:I$34,MATCH('Historical FS&gt;'!$B103,'Cash Flow Data'!$B$2:$B$34,0))</f>
        <v>-6</v>
      </c>
      <c r="H103" s="168">
        <f>INDEX('Cash Flow Data'!J$2:J$34,MATCH('Historical FS&gt;'!$B103,'Cash Flow Data'!$B$2:$B$34,0))</f>
        <v>-7</v>
      </c>
      <c r="I103" s="168">
        <f>INDEX('Cash Flow Data'!K$2:K$34,MATCH('Historical FS&gt;'!$B103,'Cash Flow Data'!$B$2:$B$34,0))</f>
        <v>-90</v>
      </c>
      <c r="J103" s="168">
        <f>INDEX('Cash Flow Data'!L$2:L$34,MATCH('Historical FS&gt;'!$B103,'Cash Flow Data'!$B$2:$B$34,0))</f>
        <v>-92</v>
      </c>
      <c r="K103" s="168">
        <f>INDEX('Cash Flow Data'!M$2:M$34,MATCH('Historical FS&gt;'!$B103,'Cash Flow Data'!$B$2:$B$34,0))</f>
        <v>-82</v>
      </c>
      <c r="L103" s="168">
        <f>INDEX('Cash Flow Data'!N$2:N$34,MATCH('Historical FS&gt;'!$B103,'Cash Flow Data'!$B$2:$B$34,0))</f>
        <v>-88</v>
      </c>
      <c r="M103" s="23"/>
    </row>
    <row r="104" spans="2:13" outlineLevel="1" x14ac:dyDescent="0.25">
      <c r="B104" s="113" t="s">
        <v>115</v>
      </c>
      <c r="C104" s="168">
        <f>INDEX('Cash Flow Data'!E$2:E$34,MATCH('Historical FS&gt;'!$B104,'Cash Flow Data'!$B$2:$B$34,0))</f>
        <v>-2481</v>
      </c>
      <c r="D104" s="168">
        <f>INDEX('Cash Flow Data'!F$2:F$34,MATCH('Historical FS&gt;'!$B104,'Cash Flow Data'!$B$2:$B$34,0))</f>
        <v>-2912</v>
      </c>
      <c r="E104" s="168">
        <f>INDEX('Cash Flow Data'!G$2:G$34,MATCH('Historical FS&gt;'!$B104,'Cash Flow Data'!$B$2:$B$34,0))</f>
        <v>-3354</v>
      </c>
      <c r="F104" s="168">
        <f>INDEX('Cash Flow Data'!H$2:H$34,MATCH('Historical FS&gt;'!$B104,'Cash Flow Data'!$B$2:$B$34,0))</f>
        <v>-3572</v>
      </c>
      <c r="G104" s="168">
        <f>INDEX('Cash Flow Data'!I$2:I$34,MATCH('Historical FS&gt;'!$B104,'Cash Flow Data'!$B$2:$B$34,0))</f>
        <v>-3911</v>
      </c>
      <c r="H104" s="168">
        <f>INDEX('Cash Flow Data'!J$2:J$34,MATCH('Historical FS&gt;'!$B104,'Cash Flow Data'!$B$2:$B$34,0))</f>
        <v>-4554</v>
      </c>
      <c r="I104" s="168">
        <f>INDEX('Cash Flow Data'!K$2:K$34,MATCH('Historical FS&gt;'!$B104,'Cash Flow Data'!$B$2:$B$34,0))</f>
        <v>-5196</v>
      </c>
      <c r="J104" s="168">
        <f>INDEX('Cash Flow Data'!L$2:L$34,MATCH('Historical FS&gt;'!$B104,'Cash Flow Data'!$B$2:$B$34,0))</f>
        <v>-8811</v>
      </c>
      <c r="K104" s="168">
        <f>INDEX('Cash Flow Data'!M$2:M$34,MATCH('Historical FS&gt;'!$B104,'Cash Flow Data'!$B$2:$B$34,0))</f>
        <v>-7526</v>
      </c>
      <c r="L104" s="168">
        <f>INDEX('Cash Flow Data'!N$2:N$34,MATCH('Historical FS&gt;'!$B104,'Cash Flow Data'!$B$2:$B$34,0))</f>
        <v>-8474</v>
      </c>
      <c r="M104" s="23"/>
    </row>
    <row r="105" spans="2:13" outlineLevel="1" x14ac:dyDescent="0.25">
      <c r="B105" s="113" t="s">
        <v>116</v>
      </c>
      <c r="C105" s="168">
        <f>INDEX('Cash Flow Data'!E$2:E$34,MATCH('Historical FS&gt;'!$B105,'Cash Flow Data'!$B$2:$B$34,0))</f>
        <v>0</v>
      </c>
      <c r="D105" s="168">
        <f>INDEX('Cash Flow Data'!F$2:F$34,MATCH('Historical FS&gt;'!$B105,'Cash Flow Data'!$B$2:$B$34,0))</f>
        <v>0</v>
      </c>
      <c r="E105" s="168">
        <f>INDEX('Cash Flow Data'!G$2:G$34,MATCH('Historical FS&gt;'!$B105,'Cash Flow Data'!$B$2:$B$34,0))</f>
        <v>0</v>
      </c>
      <c r="F105" s="168">
        <f>INDEX('Cash Flow Data'!H$2:H$34,MATCH('Historical FS&gt;'!$B105,'Cash Flow Data'!$B$2:$B$34,0))</f>
        <v>0</v>
      </c>
      <c r="G105" s="168">
        <f>INDEX('Cash Flow Data'!I$2:I$34,MATCH('Historical FS&gt;'!$B105,'Cash Flow Data'!$B$2:$B$34,0))</f>
        <v>0</v>
      </c>
      <c r="H105" s="168">
        <f>INDEX('Cash Flow Data'!J$2:J$34,MATCH('Historical FS&gt;'!$B105,'Cash Flow Data'!$B$2:$B$34,0))</f>
        <v>0</v>
      </c>
      <c r="I105" s="168">
        <f>INDEX('Cash Flow Data'!K$2:K$34,MATCH('Historical FS&gt;'!$B105,'Cash Flow Data'!$B$2:$B$34,0))</f>
        <v>-373</v>
      </c>
      <c r="J105" s="168">
        <f>INDEX('Cash Flow Data'!L$2:L$34,MATCH('Historical FS&gt;'!$B105,'Cash Flow Data'!$B$2:$B$34,0))</f>
        <v>-406</v>
      </c>
      <c r="K105" s="168">
        <f>INDEX('Cash Flow Data'!M$2:M$34,MATCH('Historical FS&gt;'!$B105,'Cash Flow Data'!$B$2:$B$34,0))</f>
        <v>-407</v>
      </c>
      <c r="L105" s="168">
        <f>INDEX('Cash Flow Data'!N$2:N$34,MATCH('Historical FS&gt;'!$B105,'Cash Flow Data'!$B$2:$B$34,0))</f>
        <v>-467</v>
      </c>
    </row>
    <row r="106" spans="2:13" outlineLevel="1" x14ac:dyDescent="0.25">
      <c r="B106" s="113" t="s">
        <v>117</v>
      </c>
      <c r="C106" s="168">
        <f>INDEX('Cash Flow Data'!E$2:E$34,MATCH('Historical FS&gt;'!$B106,'Cash Flow Data'!$B$2:$B$34,0))</f>
        <v>-437</v>
      </c>
      <c r="D106" s="168">
        <f>INDEX('Cash Flow Data'!F$2:F$34,MATCH('Historical FS&gt;'!$B106,'Cash Flow Data'!$B$2:$B$34,0))</f>
        <v>-533</v>
      </c>
      <c r="E106" s="168">
        <f>INDEX('Cash Flow Data'!G$2:G$34,MATCH('Historical FS&gt;'!$B106,'Cash Flow Data'!$B$2:$B$34,0))</f>
        <v>-685</v>
      </c>
      <c r="F106" s="168">
        <f>INDEX('Cash Flow Data'!H$2:H$34,MATCH('Historical FS&gt;'!$B106,'Cash Flow Data'!$B$2:$B$34,0))</f>
        <v>-728</v>
      </c>
      <c r="G106" s="168">
        <f>INDEX('Cash Flow Data'!I$2:I$34,MATCH('Historical FS&gt;'!$B106,'Cash Flow Data'!$B$2:$B$34,0))</f>
        <v>-781</v>
      </c>
      <c r="H106" s="168">
        <f>INDEX('Cash Flow Data'!J$2:J$34,MATCH('Historical FS&gt;'!$B106,'Cash Flow Data'!$B$2:$B$34,0))</f>
        <v>-928</v>
      </c>
      <c r="I106" s="168">
        <f>INDEX('Cash Flow Data'!K$2:K$34,MATCH('Historical FS&gt;'!$B106,'Cash Flow Data'!$B$2:$B$34,0))</f>
        <v>-1061</v>
      </c>
      <c r="J106" s="168">
        <f>INDEX('Cash Flow Data'!L$2:L$34,MATCH('Historical FS&gt;'!$B106,'Cash Flow Data'!$B$2:$B$34,0))</f>
        <v>0</v>
      </c>
      <c r="K106" s="168">
        <f>INDEX('Cash Flow Data'!M$2:M$34,MATCH('Historical FS&gt;'!$B106,'Cash Flow Data'!$B$2:$B$34,0))</f>
        <v>0</v>
      </c>
      <c r="L106" s="168">
        <f>INDEX('Cash Flow Data'!N$2:N$34,MATCH('Historical FS&gt;'!$B106,'Cash Flow Data'!$B$2:$B$34,0))</f>
        <v>-2</v>
      </c>
    </row>
    <row r="107" spans="2:13" outlineLevel="1" x14ac:dyDescent="0.25">
      <c r="B107" s="2" t="s">
        <v>123</v>
      </c>
      <c r="C107" s="21">
        <f>SUM(C99:C106)</f>
        <v>-2960</v>
      </c>
      <c r="D107" s="21">
        <f t="shared" ref="D107:L107" si="24">SUM(D99:D106)</f>
        <v>-3464</v>
      </c>
      <c r="E107" s="21">
        <f t="shared" si="24"/>
        <v>-3864</v>
      </c>
      <c r="F107" s="21">
        <f t="shared" si="24"/>
        <v>-4214</v>
      </c>
      <c r="G107" s="21">
        <f t="shared" si="24"/>
        <v>-4975</v>
      </c>
      <c r="H107" s="21">
        <f t="shared" si="24"/>
        <v>-5390</v>
      </c>
      <c r="I107" s="21">
        <f t="shared" si="24"/>
        <v>-6819</v>
      </c>
      <c r="J107" s="21">
        <f t="shared" si="24"/>
        <v>-9309</v>
      </c>
      <c r="K107" s="21">
        <f t="shared" si="24"/>
        <v>-8015</v>
      </c>
      <c r="L107" s="21">
        <f t="shared" si="24"/>
        <v>-8953</v>
      </c>
    </row>
    <row r="108" spans="2:13" ht="15.75" outlineLevel="1" thickBot="1" x14ac:dyDescent="0.3"/>
    <row r="109" spans="2:13" ht="16.5" outlineLevel="1" thickBot="1" x14ac:dyDescent="0.3">
      <c r="B109" s="323" t="s">
        <v>124</v>
      </c>
      <c r="C109" s="324">
        <f>IFERROR(SUM(C107+C96+C81),0)</f>
        <v>787</v>
      </c>
      <c r="D109" s="324">
        <f t="shared" ref="D109:L109" si="25">IFERROR(SUM(D107+D96+D81),0)</f>
        <v>-378</v>
      </c>
      <c r="E109" s="324">
        <f t="shared" si="25"/>
        <v>-56</v>
      </c>
      <c r="F109" s="324">
        <f t="shared" si="25"/>
        <v>364</v>
      </c>
      <c r="G109" s="324">
        <f t="shared" si="25"/>
        <v>857</v>
      </c>
      <c r="H109" s="324">
        <f t="shared" si="25"/>
        <v>-370</v>
      </c>
      <c r="I109" s="324">
        <f t="shared" si="25"/>
        <v>3006</v>
      </c>
      <c r="J109" s="324">
        <f t="shared" si="25"/>
        <v>-1475</v>
      </c>
      <c r="K109" s="324">
        <f t="shared" si="25"/>
        <v>-1695</v>
      </c>
      <c r="L109" s="324">
        <f t="shared" si="25"/>
        <v>-1404</v>
      </c>
    </row>
    <row r="110" spans="2:13" ht="15.75" thickTop="1" x14ac:dyDescent="0.25"/>
  </sheetData>
  <mergeCells count="5">
    <mergeCell ref="B2:M2"/>
    <mergeCell ref="N2:O3"/>
    <mergeCell ref="N32:Q32"/>
    <mergeCell ref="B45:L45"/>
    <mergeCell ref="B68:L68"/>
  </mergeCells>
  <pageMargins left="0.7" right="0.7" top="0.75" bottom="0.75" header="0.3" footer="0.3"/>
  <pageSetup paperSize="9" orientation="landscape" r:id="rId1"/>
  <ignoredErrors>
    <ignoredError sqref="M5 M8 C14:M14 M20 M23 M29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K93"/>
  <sheetViews>
    <sheetView zoomScaleNormal="100" zoomScaleSheetLayoutView="98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1" sqref="B1"/>
    </sheetView>
  </sheetViews>
  <sheetFormatPr defaultColWidth="8.85546875" defaultRowHeight="15" x14ac:dyDescent="0.25"/>
  <cols>
    <col min="1" max="1" width="27.7109375" style="3" bestFit="1" customWidth="1"/>
    <col min="2" max="11" width="13.42578125" style="3" bestFit="1" customWidth="1"/>
    <col min="12" max="16384" width="8.85546875" style="3"/>
  </cols>
  <sheetData>
    <row r="1" spans="1:11" s="1" customFormat="1" x14ac:dyDescent="0.25">
      <c r="A1" s="1" t="s">
        <v>0</v>
      </c>
      <c r="B1" s="1" t="s">
        <v>35</v>
      </c>
      <c r="E1" s="317" t="str">
        <f>IF(B2&lt;&gt;B3, "A NEW VERSION OF THE WORKSHEET IS AVAILABLE", "")</f>
        <v/>
      </c>
      <c r="F1" s="317"/>
      <c r="G1" s="317"/>
      <c r="H1" s="317"/>
      <c r="I1" s="317"/>
      <c r="J1" s="317"/>
      <c r="K1" s="317"/>
    </row>
    <row r="2" spans="1:11" x14ac:dyDescent="0.25">
      <c r="A2" s="1" t="s">
        <v>33</v>
      </c>
      <c r="B2" s="3">
        <v>2.1</v>
      </c>
      <c r="E2" s="318" t="s">
        <v>22</v>
      </c>
      <c r="F2" s="318"/>
      <c r="G2" s="318"/>
      <c r="H2" s="318"/>
      <c r="I2" s="318"/>
      <c r="J2" s="318"/>
      <c r="K2" s="318"/>
    </row>
    <row r="3" spans="1:11" x14ac:dyDescent="0.25">
      <c r="A3" s="1" t="s">
        <v>34</v>
      </c>
      <c r="B3" s="3">
        <v>2.1</v>
      </c>
    </row>
    <row r="4" spans="1:11" x14ac:dyDescent="0.25">
      <c r="A4" s="1"/>
    </row>
    <row r="5" spans="1:11" x14ac:dyDescent="0.25">
      <c r="A5" s="1" t="s">
        <v>36</v>
      </c>
    </row>
    <row r="6" spans="1:11" x14ac:dyDescent="0.25">
      <c r="A6" s="3" t="s">
        <v>28</v>
      </c>
      <c r="B6" s="3">
        <f>IF(B9&gt;0, B9/B8, 0)</f>
        <v>234.95911847645539</v>
      </c>
    </row>
    <row r="7" spans="1:11" x14ac:dyDescent="0.25">
      <c r="A7" s="3" t="s">
        <v>17</v>
      </c>
      <c r="B7">
        <v>1</v>
      </c>
    </row>
    <row r="8" spans="1:11" x14ac:dyDescent="0.25">
      <c r="A8" s="3" t="s">
        <v>29</v>
      </c>
      <c r="B8">
        <v>2588.6999999999998</v>
      </c>
    </row>
    <row r="9" spans="1:11" x14ac:dyDescent="0.25">
      <c r="A9" s="3" t="s">
        <v>46</v>
      </c>
      <c r="B9">
        <v>608238.67000000004</v>
      </c>
    </row>
    <row r="15" spans="1:11" x14ac:dyDescent="0.25">
      <c r="A15" s="1" t="s">
        <v>23</v>
      </c>
    </row>
    <row r="16" spans="1:11" s="8" customFormat="1" x14ac:dyDescent="0.25">
      <c r="A16" s="7" t="s">
        <v>24</v>
      </c>
      <c r="B16" s="6">
        <v>41729</v>
      </c>
      <c r="C16" s="6">
        <v>42094</v>
      </c>
      <c r="D16" s="6">
        <v>42460</v>
      </c>
      <c r="E16" s="6">
        <v>42825</v>
      </c>
      <c r="F16" s="6">
        <v>43190</v>
      </c>
      <c r="G16" s="6">
        <v>43555</v>
      </c>
      <c r="H16" s="6">
        <v>43921</v>
      </c>
      <c r="I16" s="6">
        <v>44286</v>
      </c>
      <c r="J16" s="6">
        <v>44651</v>
      </c>
      <c r="K16" s="6">
        <v>45016</v>
      </c>
    </row>
    <row r="17" spans="1:11" s="5" customFormat="1" x14ac:dyDescent="0.25">
      <c r="A17" s="5" t="s">
        <v>1</v>
      </c>
      <c r="B17">
        <v>29233.74</v>
      </c>
      <c r="C17">
        <v>31972.19</v>
      </c>
      <c r="D17">
        <v>32186</v>
      </c>
      <c r="E17">
        <v>33162</v>
      </c>
      <c r="F17">
        <v>35545</v>
      </c>
      <c r="G17">
        <v>39310</v>
      </c>
      <c r="H17">
        <v>39783</v>
      </c>
      <c r="I17">
        <v>47028</v>
      </c>
      <c r="J17">
        <v>52446</v>
      </c>
      <c r="K17">
        <v>60580</v>
      </c>
    </row>
    <row r="18" spans="1:11" s="5" customFormat="1" x14ac:dyDescent="0.25">
      <c r="A18" s="3" t="s">
        <v>47</v>
      </c>
      <c r="B18">
        <v>12644.63</v>
      </c>
      <c r="C18">
        <v>13509.4</v>
      </c>
      <c r="D18">
        <v>13184</v>
      </c>
      <c r="E18">
        <v>13606</v>
      </c>
      <c r="F18">
        <v>14233</v>
      </c>
      <c r="G18">
        <v>15845</v>
      </c>
      <c r="H18">
        <v>15697</v>
      </c>
      <c r="I18">
        <v>20141</v>
      </c>
      <c r="J18">
        <v>22871</v>
      </c>
      <c r="K18">
        <v>28427</v>
      </c>
    </row>
    <row r="19" spans="1:11" s="5" customFormat="1" x14ac:dyDescent="0.25">
      <c r="A19" s="3" t="s">
        <v>48</v>
      </c>
      <c r="B19">
        <v>171.3</v>
      </c>
      <c r="C19">
        <v>-57.04</v>
      </c>
      <c r="D19">
        <v>-83</v>
      </c>
      <c r="E19">
        <v>-144</v>
      </c>
      <c r="F19">
        <v>72</v>
      </c>
      <c r="G19">
        <v>-12</v>
      </c>
      <c r="H19">
        <v>108</v>
      </c>
      <c r="I19">
        <v>405</v>
      </c>
      <c r="J19">
        <v>22</v>
      </c>
      <c r="K19">
        <v>75</v>
      </c>
    </row>
    <row r="20" spans="1:11" s="5" customFormat="1" x14ac:dyDescent="0.25">
      <c r="A20" s="3" t="s">
        <v>49</v>
      </c>
      <c r="B20">
        <v>362.76</v>
      </c>
      <c r="C20">
        <v>346.97</v>
      </c>
      <c r="D20">
        <v>309</v>
      </c>
      <c r="E20">
        <v>295</v>
      </c>
      <c r="F20">
        <v>295</v>
      </c>
      <c r="G20">
        <v>308</v>
      </c>
      <c r="H20">
        <v>299</v>
      </c>
      <c r="I20">
        <v>339</v>
      </c>
      <c r="J20">
        <v>318</v>
      </c>
      <c r="K20">
        <v>384</v>
      </c>
    </row>
    <row r="21" spans="1:11" s="5" customFormat="1" x14ac:dyDescent="0.25">
      <c r="A21" s="3" t="s">
        <v>50</v>
      </c>
      <c r="B21">
        <v>2939.55</v>
      </c>
      <c r="C21">
        <v>3164.64</v>
      </c>
      <c r="D21">
        <v>2966</v>
      </c>
      <c r="E21">
        <v>2887</v>
      </c>
      <c r="F21">
        <v>2998</v>
      </c>
      <c r="G21">
        <v>3041</v>
      </c>
      <c r="H21">
        <v>2906</v>
      </c>
      <c r="I21">
        <v>2868</v>
      </c>
      <c r="J21">
        <v>3354</v>
      </c>
      <c r="K21">
        <v>3791</v>
      </c>
    </row>
    <row r="22" spans="1:11" s="5" customFormat="1" x14ac:dyDescent="0.25">
      <c r="A22" s="3" t="s">
        <v>51</v>
      </c>
      <c r="B22">
        <v>1572.66</v>
      </c>
      <c r="C22">
        <v>1723.87</v>
      </c>
      <c r="D22">
        <v>1680</v>
      </c>
      <c r="E22">
        <v>1743</v>
      </c>
      <c r="F22">
        <v>1860</v>
      </c>
      <c r="G22">
        <v>1875</v>
      </c>
      <c r="H22">
        <v>1820</v>
      </c>
      <c r="I22">
        <v>2358</v>
      </c>
      <c r="J22">
        <v>2545</v>
      </c>
      <c r="K22">
        <v>2854</v>
      </c>
    </row>
    <row r="23" spans="1:11" s="5" customFormat="1" x14ac:dyDescent="0.25">
      <c r="A23" s="3" t="s">
        <v>52</v>
      </c>
      <c r="B23">
        <v>6117.42</v>
      </c>
      <c r="C23">
        <v>6769.04</v>
      </c>
      <c r="D23">
        <v>6741</v>
      </c>
      <c r="E23">
        <v>6689</v>
      </c>
      <c r="F23">
        <v>7252</v>
      </c>
      <c r="G23">
        <v>7796</v>
      </c>
      <c r="H23">
        <v>7620</v>
      </c>
      <c r="I23">
        <v>7898</v>
      </c>
      <c r="J23">
        <v>8164</v>
      </c>
      <c r="K23">
        <v>8785</v>
      </c>
    </row>
    <row r="24" spans="1:11" s="5" customFormat="1" x14ac:dyDescent="0.25">
      <c r="A24" s="3" t="s">
        <v>53</v>
      </c>
      <c r="B24">
        <v>1009.01</v>
      </c>
      <c r="C24">
        <v>988.81</v>
      </c>
      <c r="D24">
        <v>1313</v>
      </c>
      <c r="E24">
        <v>1470</v>
      </c>
      <c r="F24">
        <v>1480</v>
      </c>
      <c r="G24">
        <v>1553</v>
      </c>
      <c r="H24">
        <v>1696</v>
      </c>
      <c r="I24">
        <v>2203</v>
      </c>
      <c r="J24">
        <v>2359</v>
      </c>
      <c r="K24">
        <v>2266</v>
      </c>
    </row>
    <row r="25" spans="1:11" s="5" customFormat="1" x14ac:dyDescent="0.25">
      <c r="A25" s="5" t="s">
        <v>4</v>
      </c>
      <c r="B25">
        <v>792.39</v>
      </c>
      <c r="C25">
        <v>1247.18</v>
      </c>
      <c r="D25">
        <v>486</v>
      </c>
      <c r="E25">
        <v>606</v>
      </c>
      <c r="F25">
        <v>353</v>
      </c>
      <c r="G25">
        <v>322</v>
      </c>
      <c r="H25">
        <v>432</v>
      </c>
      <c r="I25">
        <v>170</v>
      </c>
      <c r="J25">
        <v>219</v>
      </c>
      <c r="K25">
        <v>447</v>
      </c>
    </row>
    <row r="26" spans="1:11" s="5" customFormat="1" x14ac:dyDescent="0.25">
      <c r="A26" s="5" t="s">
        <v>5</v>
      </c>
      <c r="B26">
        <v>295.54000000000002</v>
      </c>
      <c r="C26">
        <v>322.39</v>
      </c>
      <c r="D26">
        <v>353</v>
      </c>
      <c r="E26">
        <v>432</v>
      </c>
      <c r="F26">
        <v>520</v>
      </c>
      <c r="G26">
        <v>565</v>
      </c>
      <c r="H26">
        <v>1002</v>
      </c>
      <c r="I26">
        <v>1074</v>
      </c>
      <c r="J26">
        <v>1091</v>
      </c>
      <c r="K26">
        <v>1137</v>
      </c>
    </row>
    <row r="27" spans="1:11" s="5" customFormat="1" x14ac:dyDescent="0.25">
      <c r="A27" s="5" t="s">
        <v>6</v>
      </c>
      <c r="B27">
        <v>40.68</v>
      </c>
      <c r="C27">
        <v>17.7</v>
      </c>
      <c r="D27">
        <v>17</v>
      </c>
      <c r="E27">
        <v>35</v>
      </c>
      <c r="F27">
        <v>26</v>
      </c>
      <c r="G27">
        <v>33</v>
      </c>
      <c r="H27">
        <v>118</v>
      </c>
      <c r="I27">
        <v>117</v>
      </c>
      <c r="J27">
        <v>106</v>
      </c>
      <c r="K27">
        <v>114</v>
      </c>
    </row>
    <row r="28" spans="1:11" s="5" customFormat="1" x14ac:dyDescent="0.25">
      <c r="A28" s="5" t="s">
        <v>7</v>
      </c>
      <c r="B28">
        <v>5215.18</v>
      </c>
      <c r="C28">
        <v>6319.51</v>
      </c>
      <c r="D28">
        <v>6026</v>
      </c>
      <c r="E28">
        <v>6467</v>
      </c>
      <c r="F28">
        <v>7306</v>
      </c>
      <c r="G28">
        <v>8604</v>
      </c>
      <c r="H28">
        <v>9165</v>
      </c>
      <c r="I28">
        <v>10605</v>
      </c>
      <c r="J28">
        <v>11879</v>
      </c>
      <c r="K28">
        <v>13344</v>
      </c>
    </row>
    <row r="29" spans="1:11" s="5" customFormat="1" x14ac:dyDescent="0.25">
      <c r="A29" s="5" t="s">
        <v>8</v>
      </c>
      <c r="B29">
        <v>1259.44</v>
      </c>
      <c r="C29">
        <v>1944</v>
      </c>
      <c r="D29">
        <v>1875</v>
      </c>
      <c r="E29">
        <v>1977</v>
      </c>
      <c r="F29">
        <v>2079</v>
      </c>
      <c r="G29">
        <v>2544</v>
      </c>
      <c r="H29">
        <v>2409</v>
      </c>
      <c r="I29">
        <v>2606</v>
      </c>
      <c r="J29">
        <v>2987</v>
      </c>
      <c r="K29">
        <v>3201</v>
      </c>
    </row>
    <row r="30" spans="1:11" s="5" customFormat="1" x14ac:dyDescent="0.25">
      <c r="A30" s="5" t="s">
        <v>9</v>
      </c>
      <c r="B30">
        <v>3945.57</v>
      </c>
      <c r="C30">
        <v>4363.08</v>
      </c>
      <c r="D30">
        <v>4151</v>
      </c>
      <c r="E30">
        <v>4476</v>
      </c>
      <c r="F30">
        <v>5214</v>
      </c>
      <c r="G30">
        <v>6054</v>
      </c>
      <c r="H30">
        <v>6748</v>
      </c>
      <c r="I30">
        <v>7995</v>
      </c>
      <c r="J30">
        <v>8879</v>
      </c>
      <c r="K30">
        <v>10120</v>
      </c>
    </row>
    <row r="31" spans="1:11" s="5" customFormat="1" x14ac:dyDescent="0.25">
      <c r="A31" s="5" t="s">
        <v>37</v>
      </c>
      <c r="B31">
        <v>2811.51</v>
      </c>
      <c r="C31">
        <v>3245.25</v>
      </c>
      <c r="D31">
        <v>3456</v>
      </c>
      <c r="E31">
        <v>3672</v>
      </c>
      <c r="F31">
        <v>4320</v>
      </c>
      <c r="G31">
        <v>4752</v>
      </c>
      <c r="H31">
        <v>5400</v>
      </c>
      <c r="I31">
        <v>9517.5</v>
      </c>
      <c r="J31">
        <v>7990</v>
      </c>
      <c r="K31">
        <v>9165</v>
      </c>
    </row>
    <row r="32" spans="1:11" s="5" customFormat="1" x14ac:dyDescent="0.25"/>
    <row r="33" spans="1:11" x14ac:dyDescent="0.25">
      <c r="A33" s="5"/>
    </row>
    <row r="34" spans="1:11" x14ac:dyDescent="0.25">
      <c r="A34" s="5"/>
    </row>
    <row r="35" spans="1:11" x14ac:dyDescent="0.25">
      <c r="A35" s="5"/>
    </row>
    <row r="36" spans="1:11" x14ac:dyDescent="0.25">
      <c r="A36" s="5"/>
    </row>
    <row r="37" spans="1:11" x14ac:dyDescent="0.25">
      <c r="A37" s="5"/>
    </row>
    <row r="38" spans="1:11" x14ac:dyDescent="0.25">
      <c r="A38" s="5"/>
    </row>
    <row r="39" spans="1:11" x14ac:dyDescent="0.25">
      <c r="A39" s="5"/>
    </row>
    <row r="40" spans="1:11" x14ac:dyDescent="0.25">
      <c r="A40" s="1" t="s">
        <v>25</v>
      </c>
    </row>
    <row r="41" spans="1:11" s="8" customFormat="1" x14ac:dyDescent="0.25">
      <c r="A41" s="7" t="s">
        <v>24</v>
      </c>
      <c r="B41" s="6">
        <v>44286</v>
      </c>
      <c r="C41" s="6">
        <v>44377</v>
      </c>
      <c r="D41" s="6">
        <v>44469</v>
      </c>
      <c r="E41" s="6">
        <v>44561</v>
      </c>
      <c r="F41" s="6">
        <v>44651</v>
      </c>
      <c r="G41" s="6">
        <v>44742</v>
      </c>
      <c r="H41" s="6">
        <v>44834</v>
      </c>
      <c r="I41" s="6">
        <v>44926</v>
      </c>
      <c r="J41" s="6">
        <v>45016</v>
      </c>
      <c r="K41" s="6">
        <v>45107</v>
      </c>
    </row>
    <row r="42" spans="1:11" s="5" customFormat="1" x14ac:dyDescent="0.25">
      <c r="A42" s="5" t="s">
        <v>1</v>
      </c>
      <c r="B42">
        <v>12433</v>
      </c>
      <c r="C42">
        <v>12194</v>
      </c>
      <c r="D42">
        <v>13046</v>
      </c>
      <c r="E42">
        <v>13439</v>
      </c>
      <c r="F42">
        <v>13767</v>
      </c>
      <c r="G42">
        <v>14624</v>
      </c>
      <c r="H42">
        <v>15144</v>
      </c>
      <c r="I42">
        <v>15597</v>
      </c>
      <c r="J42">
        <v>15215</v>
      </c>
      <c r="K42">
        <v>15496</v>
      </c>
    </row>
    <row r="43" spans="1:11" s="5" customFormat="1" x14ac:dyDescent="0.25">
      <c r="A43" s="5" t="s">
        <v>2</v>
      </c>
      <c r="B43">
        <v>9391</v>
      </c>
      <c r="C43">
        <v>9273</v>
      </c>
      <c r="D43">
        <v>9820</v>
      </c>
      <c r="E43">
        <v>10030</v>
      </c>
      <c r="F43">
        <v>10466</v>
      </c>
      <c r="G43">
        <v>11222</v>
      </c>
      <c r="H43">
        <v>11665</v>
      </c>
      <c r="I43">
        <v>11903</v>
      </c>
      <c r="J43">
        <v>11642</v>
      </c>
      <c r="K43">
        <v>11832</v>
      </c>
    </row>
    <row r="44" spans="1:11" s="5" customFormat="1" x14ac:dyDescent="0.25">
      <c r="A44" s="5" t="s">
        <v>4</v>
      </c>
      <c r="B44">
        <v>123</v>
      </c>
      <c r="C44">
        <v>39</v>
      </c>
      <c r="D44">
        <v>51</v>
      </c>
      <c r="E44">
        <v>-7</v>
      </c>
      <c r="F44">
        <v>136</v>
      </c>
      <c r="G44">
        <v>121</v>
      </c>
      <c r="H44">
        <v>80</v>
      </c>
      <c r="I44">
        <v>7</v>
      </c>
      <c r="J44">
        <v>239</v>
      </c>
      <c r="K44">
        <v>145</v>
      </c>
    </row>
    <row r="45" spans="1:11" s="5" customFormat="1" x14ac:dyDescent="0.25">
      <c r="A45" s="5" t="s">
        <v>5</v>
      </c>
      <c r="B45">
        <v>266</v>
      </c>
      <c r="C45">
        <v>260</v>
      </c>
      <c r="D45">
        <v>281</v>
      </c>
      <c r="E45">
        <v>272</v>
      </c>
      <c r="F45">
        <v>278</v>
      </c>
      <c r="G45">
        <v>281</v>
      </c>
      <c r="H45">
        <v>272</v>
      </c>
      <c r="I45">
        <v>293</v>
      </c>
      <c r="J45">
        <v>291</v>
      </c>
      <c r="K45">
        <v>286</v>
      </c>
    </row>
    <row r="46" spans="1:11" s="5" customFormat="1" x14ac:dyDescent="0.25">
      <c r="A46" s="5" t="s">
        <v>6</v>
      </c>
      <c r="B46">
        <v>11</v>
      </c>
      <c r="C46">
        <v>13</v>
      </c>
      <c r="D46">
        <v>28</v>
      </c>
      <c r="E46">
        <v>27</v>
      </c>
      <c r="F46">
        <v>38</v>
      </c>
      <c r="G46">
        <v>28</v>
      </c>
      <c r="H46">
        <v>28</v>
      </c>
      <c r="I46">
        <v>29</v>
      </c>
      <c r="J46">
        <v>29</v>
      </c>
      <c r="K46">
        <v>50</v>
      </c>
    </row>
    <row r="47" spans="1:11" s="5" customFormat="1" x14ac:dyDescent="0.25">
      <c r="A47" s="5" t="s">
        <v>7</v>
      </c>
      <c r="B47">
        <v>2888</v>
      </c>
      <c r="C47">
        <v>2687</v>
      </c>
      <c r="D47">
        <v>2968</v>
      </c>
      <c r="E47">
        <v>3103</v>
      </c>
      <c r="F47">
        <v>3121</v>
      </c>
      <c r="G47">
        <v>3214</v>
      </c>
      <c r="H47">
        <v>3259</v>
      </c>
      <c r="I47">
        <v>3379</v>
      </c>
      <c r="J47">
        <v>3492</v>
      </c>
      <c r="K47">
        <v>3473</v>
      </c>
    </row>
    <row r="48" spans="1:11" s="5" customFormat="1" x14ac:dyDescent="0.25">
      <c r="A48" s="5" t="s">
        <v>8</v>
      </c>
      <c r="B48">
        <v>698</v>
      </c>
      <c r="C48">
        <v>587</v>
      </c>
      <c r="D48">
        <v>783</v>
      </c>
      <c r="E48">
        <v>803</v>
      </c>
      <c r="F48">
        <v>814</v>
      </c>
      <c r="G48">
        <v>823</v>
      </c>
      <c r="H48">
        <v>589</v>
      </c>
      <c r="I48">
        <v>898</v>
      </c>
      <c r="J48">
        <v>891</v>
      </c>
      <c r="K48">
        <v>917</v>
      </c>
    </row>
    <row r="49" spans="1:11" s="5" customFormat="1" x14ac:dyDescent="0.25">
      <c r="A49" s="5" t="s">
        <v>9</v>
      </c>
      <c r="B49">
        <v>2186</v>
      </c>
      <c r="C49">
        <v>2097</v>
      </c>
      <c r="D49">
        <v>2181</v>
      </c>
      <c r="E49">
        <v>2297</v>
      </c>
      <c r="F49">
        <v>2304</v>
      </c>
      <c r="G49">
        <v>2381</v>
      </c>
      <c r="H49">
        <v>2665</v>
      </c>
      <c r="I49">
        <v>2474</v>
      </c>
      <c r="J49">
        <v>2600</v>
      </c>
      <c r="K49">
        <v>2554</v>
      </c>
    </row>
    <row r="50" spans="1:11" x14ac:dyDescent="0.25">
      <c r="A50" s="5" t="s">
        <v>3</v>
      </c>
      <c r="B50">
        <v>3042</v>
      </c>
      <c r="C50">
        <v>2921</v>
      </c>
      <c r="D50">
        <v>3226</v>
      </c>
      <c r="E50">
        <v>3409</v>
      </c>
      <c r="F50">
        <v>3301</v>
      </c>
      <c r="G50">
        <v>3402</v>
      </c>
      <c r="H50">
        <v>3479</v>
      </c>
      <c r="I50">
        <v>3694</v>
      </c>
      <c r="J50">
        <v>3573</v>
      </c>
      <c r="K50">
        <v>3664</v>
      </c>
    </row>
    <row r="51" spans="1:11" x14ac:dyDescent="0.25">
      <c r="A51" s="5"/>
    </row>
    <row r="52" spans="1:11" x14ac:dyDescent="0.25">
      <c r="A52" s="5"/>
    </row>
    <row r="53" spans="1:11" x14ac:dyDescent="0.25">
      <c r="A53" s="5"/>
    </row>
    <row r="54" spans="1:11" x14ac:dyDescent="0.25">
      <c r="A54" s="5"/>
    </row>
    <row r="55" spans="1:11" x14ac:dyDescent="0.25">
      <c r="A55" s="1" t="s">
        <v>26</v>
      </c>
    </row>
    <row r="56" spans="1:11" s="8" customFormat="1" x14ac:dyDescent="0.25">
      <c r="A56" s="7" t="s">
        <v>24</v>
      </c>
      <c r="B56" s="6">
        <v>41729</v>
      </c>
      <c r="C56" s="6">
        <v>42094</v>
      </c>
      <c r="D56" s="6">
        <v>42460</v>
      </c>
      <c r="E56" s="6">
        <v>42825</v>
      </c>
      <c r="F56" s="6">
        <v>43190</v>
      </c>
      <c r="G56" s="6">
        <v>43555</v>
      </c>
      <c r="H56" s="6">
        <v>43921</v>
      </c>
      <c r="I56" s="6">
        <v>44286</v>
      </c>
      <c r="J56" s="6">
        <v>44651</v>
      </c>
      <c r="K56" s="6">
        <v>45016</v>
      </c>
    </row>
    <row r="57" spans="1:11" x14ac:dyDescent="0.25">
      <c r="A57" s="5" t="s">
        <v>11</v>
      </c>
      <c r="B57">
        <v>216.27</v>
      </c>
      <c r="C57">
        <v>216.35</v>
      </c>
      <c r="D57">
        <v>216</v>
      </c>
      <c r="E57">
        <v>216</v>
      </c>
      <c r="F57">
        <v>216</v>
      </c>
      <c r="G57">
        <v>216</v>
      </c>
      <c r="H57">
        <v>216</v>
      </c>
      <c r="I57">
        <v>235</v>
      </c>
      <c r="J57">
        <v>235</v>
      </c>
      <c r="K57">
        <v>235</v>
      </c>
    </row>
    <row r="58" spans="1:11" x14ac:dyDescent="0.25">
      <c r="A58" s="5" t="s">
        <v>12</v>
      </c>
      <c r="B58">
        <v>3321.02</v>
      </c>
      <c r="C58">
        <v>3811.13</v>
      </c>
      <c r="D58">
        <v>6357</v>
      </c>
      <c r="E58">
        <v>6528</v>
      </c>
      <c r="F58">
        <v>7065</v>
      </c>
      <c r="G58">
        <v>7651</v>
      </c>
      <c r="H58">
        <v>8013</v>
      </c>
      <c r="I58">
        <v>47439</v>
      </c>
      <c r="J58">
        <v>48826</v>
      </c>
      <c r="K58">
        <v>50069</v>
      </c>
    </row>
    <row r="59" spans="1:11" x14ac:dyDescent="0.25">
      <c r="A59" s="5" t="s">
        <v>38</v>
      </c>
      <c r="B59">
        <v>45.58</v>
      </c>
      <c r="C59">
        <v>43.04</v>
      </c>
      <c r="D59">
        <v>177</v>
      </c>
      <c r="E59">
        <v>277</v>
      </c>
      <c r="F59"/>
      <c r="G59">
        <v>99</v>
      </c>
      <c r="H59"/>
      <c r="I59">
        <v>1009</v>
      </c>
      <c r="J59">
        <v>1043</v>
      </c>
      <c r="K59">
        <v>1219</v>
      </c>
    </row>
    <row r="60" spans="1:11" x14ac:dyDescent="0.25">
      <c r="A60" s="5" t="s">
        <v>39</v>
      </c>
      <c r="B60">
        <v>10171.02</v>
      </c>
      <c r="C60">
        <v>10359.01</v>
      </c>
      <c r="D60">
        <v>8043</v>
      </c>
      <c r="E60">
        <v>8685</v>
      </c>
      <c r="F60">
        <v>10581</v>
      </c>
      <c r="G60">
        <v>10663</v>
      </c>
      <c r="H60">
        <v>11924</v>
      </c>
      <c r="I60">
        <v>20057</v>
      </c>
      <c r="J60">
        <v>20402</v>
      </c>
      <c r="K60">
        <v>21554</v>
      </c>
    </row>
    <row r="61" spans="1:11" s="1" customFormat="1" x14ac:dyDescent="0.25">
      <c r="A61" s="1" t="s">
        <v>13</v>
      </c>
      <c r="B61">
        <v>13753.89</v>
      </c>
      <c r="C61">
        <v>14429.53</v>
      </c>
      <c r="D61">
        <v>14793</v>
      </c>
      <c r="E61">
        <v>15706</v>
      </c>
      <c r="F61">
        <v>17862</v>
      </c>
      <c r="G61">
        <v>18629</v>
      </c>
      <c r="H61">
        <v>20153</v>
      </c>
      <c r="I61">
        <v>68740</v>
      </c>
      <c r="J61">
        <v>70506</v>
      </c>
      <c r="K61">
        <v>73077</v>
      </c>
    </row>
    <row r="62" spans="1:11" x14ac:dyDescent="0.25">
      <c r="A62" s="5" t="s">
        <v>14</v>
      </c>
      <c r="B62">
        <v>2746.24</v>
      </c>
      <c r="C62">
        <v>2821.01</v>
      </c>
      <c r="D62">
        <v>3258</v>
      </c>
      <c r="E62">
        <v>4419</v>
      </c>
      <c r="F62">
        <v>4528</v>
      </c>
      <c r="G62">
        <v>4715</v>
      </c>
      <c r="H62">
        <v>5479</v>
      </c>
      <c r="I62">
        <v>51443</v>
      </c>
      <c r="J62">
        <v>51473</v>
      </c>
      <c r="K62">
        <v>52678</v>
      </c>
    </row>
    <row r="63" spans="1:11" x14ac:dyDescent="0.25">
      <c r="A63" s="5" t="s">
        <v>15</v>
      </c>
      <c r="B63">
        <v>372.6</v>
      </c>
      <c r="C63">
        <v>516.29999999999995</v>
      </c>
      <c r="D63">
        <v>408</v>
      </c>
      <c r="E63">
        <v>229</v>
      </c>
      <c r="F63">
        <v>461</v>
      </c>
      <c r="G63">
        <v>406</v>
      </c>
      <c r="H63">
        <v>597</v>
      </c>
      <c r="I63">
        <v>745</v>
      </c>
      <c r="J63">
        <v>1313</v>
      </c>
      <c r="K63">
        <v>1132</v>
      </c>
    </row>
    <row r="64" spans="1:11" x14ac:dyDescent="0.25">
      <c r="A64" s="5" t="s">
        <v>16</v>
      </c>
      <c r="B64">
        <v>2838.14</v>
      </c>
      <c r="C64">
        <v>3025.08</v>
      </c>
      <c r="D64">
        <v>2592</v>
      </c>
      <c r="E64">
        <v>3794</v>
      </c>
      <c r="F64">
        <v>2873</v>
      </c>
      <c r="G64">
        <v>2716</v>
      </c>
      <c r="H64">
        <v>1255</v>
      </c>
      <c r="I64">
        <v>2709</v>
      </c>
      <c r="J64">
        <v>3521</v>
      </c>
      <c r="K64">
        <v>2882</v>
      </c>
    </row>
    <row r="65" spans="1:11" x14ac:dyDescent="0.25">
      <c r="A65" s="5" t="s">
        <v>40</v>
      </c>
      <c r="B65">
        <v>7796.91</v>
      </c>
      <c r="C65">
        <v>8067.14</v>
      </c>
      <c r="D65">
        <v>8535</v>
      </c>
      <c r="E65">
        <v>7264</v>
      </c>
      <c r="F65">
        <v>10000</v>
      </c>
      <c r="G65">
        <v>10792</v>
      </c>
      <c r="H65">
        <v>12822</v>
      </c>
      <c r="I65">
        <v>13843</v>
      </c>
      <c r="J65">
        <v>14199</v>
      </c>
      <c r="K65">
        <v>16385</v>
      </c>
    </row>
    <row r="66" spans="1:11" s="1" customFormat="1" x14ac:dyDescent="0.25">
      <c r="A66" s="1" t="s">
        <v>13</v>
      </c>
      <c r="B66">
        <v>13753.89</v>
      </c>
      <c r="C66">
        <v>14429.53</v>
      </c>
      <c r="D66">
        <v>14793</v>
      </c>
      <c r="E66">
        <v>15706</v>
      </c>
      <c r="F66">
        <v>17862</v>
      </c>
      <c r="G66">
        <v>18629</v>
      </c>
      <c r="H66">
        <v>20153</v>
      </c>
      <c r="I66">
        <v>68740</v>
      </c>
      <c r="J66">
        <v>70506</v>
      </c>
      <c r="K66">
        <v>73077</v>
      </c>
    </row>
    <row r="67" spans="1:11" s="5" customFormat="1" x14ac:dyDescent="0.25">
      <c r="A67" s="5" t="s">
        <v>45</v>
      </c>
      <c r="B67">
        <v>1016.81</v>
      </c>
      <c r="C67">
        <v>1010.28</v>
      </c>
      <c r="D67">
        <v>1264</v>
      </c>
      <c r="E67">
        <v>1085</v>
      </c>
      <c r="F67">
        <v>1310</v>
      </c>
      <c r="G67">
        <v>1816</v>
      </c>
      <c r="H67">
        <v>1149</v>
      </c>
      <c r="I67">
        <v>1758</v>
      </c>
      <c r="J67">
        <v>2236</v>
      </c>
      <c r="K67">
        <v>3079</v>
      </c>
    </row>
    <row r="68" spans="1:11" x14ac:dyDescent="0.25">
      <c r="A68" s="5" t="s">
        <v>30</v>
      </c>
      <c r="B68">
        <v>2939.83</v>
      </c>
      <c r="C68">
        <v>2848.79</v>
      </c>
      <c r="D68">
        <v>2726</v>
      </c>
      <c r="E68">
        <v>2541</v>
      </c>
      <c r="F68">
        <v>2513</v>
      </c>
      <c r="G68">
        <v>2574</v>
      </c>
      <c r="H68">
        <v>2767</v>
      </c>
      <c r="I68">
        <v>3579</v>
      </c>
      <c r="J68">
        <v>4096</v>
      </c>
      <c r="K68">
        <v>4251</v>
      </c>
    </row>
    <row r="69" spans="1:11" x14ac:dyDescent="0.25">
      <c r="A69" s="3" t="s">
        <v>54</v>
      </c>
      <c r="B69">
        <v>2516.0300000000002</v>
      </c>
      <c r="C69">
        <v>2689.49</v>
      </c>
      <c r="D69">
        <v>3009</v>
      </c>
      <c r="E69">
        <v>1828</v>
      </c>
      <c r="F69">
        <v>3485</v>
      </c>
      <c r="G69">
        <v>3757</v>
      </c>
      <c r="H69">
        <v>5113</v>
      </c>
      <c r="I69">
        <v>4471</v>
      </c>
      <c r="J69">
        <v>3846</v>
      </c>
      <c r="K69">
        <v>4678</v>
      </c>
    </row>
    <row r="70" spans="1:11" x14ac:dyDescent="0.25">
      <c r="A70" s="3" t="s">
        <v>41</v>
      </c>
      <c r="B70">
        <v>2162696292</v>
      </c>
      <c r="C70">
        <v>2163464851</v>
      </c>
      <c r="D70">
        <v>2163936971</v>
      </c>
      <c r="E70">
        <v>2164349639</v>
      </c>
      <c r="F70">
        <v>2164528777</v>
      </c>
      <c r="G70">
        <v>2164704405</v>
      </c>
      <c r="H70">
        <v>2164704405</v>
      </c>
      <c r="I70">
        <v>2349567819</v>
      </c>
      <c r="J70">
        <v>2349591262</v>
      </c>
      <c r="K70">
        <v>2349591262</v>
      </c>
    </row>
    <row r="71" spans="1:11" x14ac:dyDescent="0.25">
      <c r="A71" s="3" t="s">
        <v>42</v>
      </c>
    </row>
    <row r="72" spans="1:11" x14ac:dyDescent="0.25">
      <c r="A72" s="3" t="s">
        <v>55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5"/>
    </row>
    <row r="75" spans="1:11" x14ac:dyDescent="0.25">
      <c r="A75" s="5"/>
    </row>
    <row r="76" spans="1:11" x14ac:dyDescent="0.25">
      <c r="A76" s="5"/>
    </row>
    <row r="77" spans="1:11" x14ac:dyDescent="0.25">
      <c r="A77" s="5"/>
    </row>
    <row r="78" spans="1:11" x14ac:dyDescent="0.25">
      <c r="A78" s="5"/>
    </row>
    <row r="79" spans="1:11" x14ac:dyDescent="0.25">
      <c r="A79" s="5"/>
    </row>
    <row r="80" spans="1:11" x14ac:dyDescent="0.25">
      <c r="A80" s="1" t="s">
        <v>27</v>
      </c>
    </row>
    <row r="81" spans="1:11" s="8" customFormat="1" x14ac:dyDescent="0.25">
      <c r="A81" s="7" t="s">
        <v>24</v>
      </c>
      <c r="B81" s="6">
        <v>41729</v>
      </c>
      <c r="C81" s="6">
        <v>42094</v>
      </c>
      <c r="D81" s="6">
        <v>42460</v>
      </c>
      <c r="E81" s="6">
        <v>42825</v>
      </c>
      <c r="F81" s="6">
        <v>43190</v>
      </c>
      <c r="G81" s="6">
        <v>43555</v>
      </c>
      <c r="H81" s="6">
        <v>43921</v>
      </c>
      <c r="I81" s="6">
        <v>44286</v>
      </c>
      <c r="J81" s="6">
        <v>44651</v>
      </c>
      <c r="K81" s="6">
        <v>45016</v>
      </c>
    </row>
    <row r="82" spans="1:11" s="1" customFormat="1" x14ac:dyDescent="0.25">
      <c r="A82" s="5" t="s">
        <v>18</v>
      </c>
      <c r="B82">
        <v>3818.18</v>
      </c>
      <c r="C82">
        <v>3291.91</v>
      </c>
      <c r="D82">
        <v>4171</v>
      </c>
      <c r="E82">
        <v>5185</v>
      </c>
      <c r="F82">
        <v>6059</v>
      </c>
      <c r="G82">
        <v>5800</v>
      </c>
      <c r="H82">
        <v>7623</v>
      </c>
      <c r="I82">
        <v>9163</v>
      </c>
      <c r="J82">
        <v>9048</v>
      </c>
      <c r="K82">
        <v>9991</v>
      </c>
    </row>
    <row r="83" spans="1:11" s="5" customFormat="1" x14ac:dyDescent="0.25">
      <c r="A83" s="5" t="s">
        <v>19</v>
      </c>
      <c r="B83">
        <v>-475.04</v>
      </c>
      <c r="C83">
        <v>137.97</v>
      </c>
      <c r="D83">
        <v>-282</v>
      </c>
      <c r="E83">
        <v>-1173</v>
      </c>
      <c r="F83">
        <v>-1063</v>
      </c>
      <c r="G83">
        <v>-438</v>
      </c>
      <c r="H83">
        <v>1791</v>
      </c>
      <c r="I83">
        <v>-1228</v>
      </c>
      <c r="J83">
        <v>-1728</v>
      </c>
      <c r="K83">
        <v>-1484</v>
      </c>
    </row>
    <row r="84" spans="1:11" s="5" customFormat="1" x14ac:dyDescent="0.25">
      <c r="A84" s="5" t="s">
        <v>20</v>
      </c>
      <c r="B84">
        <v>-2960.29</v>
      </c>
      <c r="C84">
        <v>-3462.42</v>
      </c>
      <c r="D84">
        <v>-3864</v>
      </c>
      <c r="E84">
        <v>-4214</v>
      </c>
      <c r="F84">
        <v>-4975</v>
      </c>
      <c r="G84">
        <v>-5390</v>
      </c>
      <c r="H84">
        <v>-6819</v>
      </c>
      <c r="I84">
        <v>-9309</v>
      </c>
      <c r="J84">
        <v>-8015</v>
      </c>
      <c r="K84">
        <v>-8953</v>
      </c>
    </row>
    <row r="85" spans="1:11" s="1" customFormat="1" x14ac:dyDescent="0.25">
      <c r="A85" s="5" t="s">
        <v>21</v>
      </c>
      <c r="B85">
        <v>382.85</v>
      </c>
      <c r="C85">
        <v>-32.54</v>
      </c>
      <c r="D85">
        <v>25</v>
      </c>
      <c r="E85">
        <v>-202</v>
      </c>
      <c r="F85">
        <v>21</v>
      </c>
      <c r="G85">
        <v>-28</v>
      </c>
      <c r="H85">
        <v>2595</v>
      </c>
      <c r="I85">
        <v>-1374</v>
      </c>
      <c r="J85">
        <v>-695</v>
      </c>
      <c r="K85">
        <v>-446</v>
      </c>
    </row>
    <row r="86" spans="1:11" x14ac:dyDescent="0.25">
      <c r="A86" s="5"/>
    </row>
    <row r="87" spans="1:11" x14ac:dyDescent="0.25">
      <c r="A87" s="5"/>
    </row>
    <row r="88" spans="1:11" x14ac:dyDescent="0.25">
      <c r="A88" s="5"/>
    </row>
    <row r="89" spans="1:11" x14ac:dyDescent="0.25">
      <c r="A89" s="5"/>
    </row>
    <row r="90" spans="1:11" s="1" customFormat="1" x14ac:dyDescent="0.25">
      <c r="A90" s="1" t="s">
        <v>44</v>
      </c>
      <c r="B90">
        <v>605.54999999999995</v>
      </c>
      <c r="C90">
        <v>873.55</v>
      </c>
      <c r="D90">
        <v>869.5</v>
      </c>
      <c r="E90">
        <v>911.75</v>
      </c>
      <c r="F90">
        <v>1333.35</v>
      </c>
      <c r="G90">
        <v>1706.8</v>
      </c>
      <c r="H90">
        <v>2298.5</v>
      </c>
      <c r="I90">
        <v>2431.5</v>
      </c>
      <c r="J90">
        <v>2048.65</v>
      </c>
      <c r="K90">
        <v>2560.35</v>
      </c>
    </row>
    <row r="92" spans="1:11" s="1" customFormat="1" x14ac:dyDescent="0.25">
      <c r="A92" s="1" t="s">
        <v>43</v>
      </c>
    </row>
    <row r="93" spans="1:11" x14ac:dyDescent="0.25">
      <c r="A93" s="3" t="s">
        <v>56</v>
      </c>
      <c r="B93" s="9">
        <v>216.27</v>
      </c>
      <c r="C93" s="9">
        <v>216.35</v>
      </c>
      <c r="D93" s="9">
        <v>216.39</v>
      </c>
      <c r="E93" s="9">
        <v>216.43</v>
      </c>
      <c r="F93" s="9">
        <v>216.45</v>
      </c>
      <c r="G93" s="9">
        <v>216.47</v>
      </c>
      <c r="H93" s="9">
        <v>216.48</v>
      </c>
      <c r="I93" s="9">
        <v>234.96</v>
      </c>
      <c r="J93" s="9">
        <v>234.96</v>
      </c>
      <c r="K93" s="9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1A8E-843F-4522-97EC-4F2C450923E2}">
  <sheetPr>
    <tabColor rgb="FF0070C0"/>
  </sheetPr>
  <dimension ref="B2:N35"/>
  <sheetViews>
    <sheetView showGridLines="0"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2" max="2" width="28" customWidth="1"/>
    <col min="3" max="14" width="12.7109375" customWidth="1"/>
  </cols>
  <sheetData>
    <row r="2" spans="2:14" x14ac:dyDescent="0.25">
      <c r="B2" s="142"/>
      <c r="C2" s="84">
        <v>40969</v>
      </c>
      <c r="D2" s="84">
        <v>41334</v>
      </c>
      <c r="E2" s="84">
        <v>41699</v>
      </c>
      <c r="F2" s="84">
        <v>42064</v>
      </c>
      <c r="G2" s="84">
        <v>42430</v>
      </c>
      <c r="H2" s="84">
        <v>42795</v>
      </c>
      <c r="I2" s="84">
        <v>43160</v>
      </c>
      <c r="J2" s="84">
        <v>43525</v>
      </c>
      <c r="K2" s="84">
        <v>43891</v>
      </c>
      <c r="L2" s="84">
        <v>44256</v>
      </c>
      <c r="M2" s="84">
        <v>44621</v>
      </c>
      <c r="N2" s="84">
        <v>44986</v>
      </c>
    </row>
    <row r="3" spans="2:14" x14ac:dyDescent="0.25">
      <c r="B3" s="82" t="s">
        <v>90</v>
      </c>
      <c r="C3" s="22">
        <v>2932</v>
      </c>
      <c r="D3" s="22">
        <v>3605</v>
      </c>
      <c r="E3" s="22">
        <v>3818</v>
      </c>
      <c r="F3" s="22">
        <v>3292</v>
      </c>
      <c r="G3" s="22">
        <v>4171</v>
      </c>
      <c r="H3" s="22">
        <v>5185</v>
      </c>
      <c r="I3" s="22">
        <v>6059</v>
      </c>
      <c r="J3" s="22">
        <v>5800</v>
      </c>
      <c r="K3" s="22">
        <v>7623</v>
      </c>
      <c r="L3" s="22">
        <v>9163</v>
      </c>
      <c r="M3" s="22">
        <v>9048</v>
      </c>
      <c r="N3" s="22">
        <v>9991</v>
      </c>
    </row>
    <row r="4" spans="2:14" x14ac:dyDescent="0.25">
      <c r="B4" t="s">
        <v>91</v>
      </c>
      <c r="C4" s="22">
        <v>3541</v>
      </c>
      <c r="D4" s="22">
        <v>4266</v>
      </c>
      <c r="E4" s="22">
        <v>4802</v>
      </c>
      <c r="F4" s="22">
        <v>5510</v>
      </c>
      <c r="G4" s="22">
        <v>6025</v>
      </c>
      <c r="H4" s="22">
        <v>6512</v>
      </c>
      <c r="I4" s="22">
        <v>7485</v>
      </c>
      <c r="J4" s="22">
        <v>8909</v>
      </c>
      <c r="K4" s="22">
        <v>9723</v>
      </c>
      <c r="L4" s="22">
        <v>11672</v>
      </c>
      <c r="M4" s="22">
        <v>12829</v>
      </c>
      <c r="N4" s="22">
        <v>14089</v>
      </c>
    </row>
    <row r="5" spans="2:14" x14ac:dyDescent="0.25">
      <c r="B5" t="s">
        <v>45</v>
      </c>
      <c r="C5" s="22">
        <v>84</v>
      </c>
      <c r="D5" s="22">
        <v>-149</v>
      </c>
      <c r="E5">
        <v>-17</v>
      </c>
      <c r="F5" s="22">
        <v>3</v>
      </c>
      <c r="G5" s="22">
        <v>-257</v>
      </c>
      <c r="H5" s="22">
        <v>173</v>
      </c>
      <c r="I5" s="22">
        <v>0</v>
      </c>
      <c r="J5" s="22">
        <v>0</v>
      </c>
      <c r="K5" s="22">
        <v>0</v>
      </c>
      <c r="L5" s="22">
        <v>0</v>
      </c>
      <c r="M5">
        <v>0</v>
      </c>
      <c r="N5" s="22">
        <v>0</v>
      </c>
    </row>
    <row r="6" spans="2:14" x14ac:dyDescent="0.25">
      <c r="B6" t="s">
        <v>30</v>
      </c>
      <c r="C6" s="22">
        <v>208</v>
      </c>
      <c r="D6" s="22">
        <v>-39</v>
      </c>
      <c r="E6" s="22">
        <v>-201</v>
      </c>
      <c r="F6" s="22">
        <v>91</v>
      </c>
      <c r="G6" s="22">
        <v>89</v>
      </c>
      <c r="H6" s="22">
        <v>37</v>
      </c>
      <c r="I6" s="22">
        <v>-146</v>
      </c>
      <c r="J6" s="22">
        <v>-195</v>
      </c>
      <c r="K6" s="22">
        <v>-331</v>
      </c>
      <c r="L6" s="22">
        <v>-543</v>
      </c>
      <c r="M6">
        <v>-758</v>
      </c>
      <c r="N6" s="22">
        <v>-339</v>
      </c>
    </row>
    <row r="7" spans="2:14" x14ac:dyDescent="0.25">
      <c r="B7" t="s">
        <v>92</v>
      </c>
      <c r="C7" s="22">
        <v>-226</v>
      </c>
      <c r="D7" s="22">
        <v>493</v>
      </c>
      <c r="E7" s="22">
        <v>546</v>
      </c>
      <c r="F7" s="22">
        <v>-327</v>
      </c>
      <c r="G7" s="22">
        <v>164</v>
      </c>
      <c r="H7" s="22">
        <v>501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</row>
    <row r="8" spans="2:14" x14ac:dyDescent="0.25">
      <c r="B8" t="s">
        <v>93</v>
      </c>
      <c r="C8">
        <v>-65</v>
      </c>
      <c r="D8">
        <v>-152</v>
      </c>
      <c r="E8">
        <v>-4</v>
      </c>
      <c r="F8">
        <v>-148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 t="s">
        <v>350</v>
      </c>
      <c r="C9" s="22">
        <v>0</v>
      </c>
      <c r="D9">
        <v>0</v>
      </c>
      <c r="E9" s="22">
        <v>0</v>
      </c>
      <c r="F9">
        <v>0</v>
      </c>
      <c r="G9" s="22">
        <v>0</v>
      </c>
      <c r="H9" s="22">
        <v>-46</v>
      </c>
      <c r="I9">
        <v>0</v>
      </c>
      <c r="J9" s="22">
        <v>0</v>
      </c>
      <c r="K9">
        <v>0</v>
      </c>
      <c r="L9" s="22">
        <v>0</v>
      </c>
      <c r="M9" s="22">
        <v>0</v>
      </c>
      <c r="N9" s="22">
        <v>0</v>
      </c>
    </row>
    <row r="10" spans="2:14" x14ac:dyDescent="0.25">
      <c r="B10" t="s">
        <v>94</v>
      </c>
      <c r="C10" s="22">
        <v>100</v>
      </c>
      <c r="D10">
        <v>276</v>
      </c>
      <c r="E10" s="22">
        <v>81</v>
      </c>
      <c r="F10" s="22">
        <v>38</v>
      </c>
      <c r="G10" s="22">
        <v>-77</v>
      </c>
      <c r="H10" s="22">
        <v>-99</v>
      </c>
      <c r="I10" s="22">
        <v>982</v>
      </c>
      <c r="J10" s="22">
        <v>-147</v>
      </c>
      <c r="K10" s="22">
        <v>742</v>
      </c>
      <c r="L10" s="22">
        <v>442</v>
      </c>
      <c r="M10" s="22">
        <v>-242</v>
      </c>
      <c r="N10" s="22">
        <v>-619</v>
      </c>
    </row>
    <row r="11" spans="2:14" x14ac:dyDescent="0.25">
      <c r="B11" t="s">
        <v>95</v>
      </c>
      <c r="C11" s="22">
        <v>100</v>
      </c>
      <c r="D11" s="22">
        <v>429</v>
      </c>
      <c r="E11" s="22">
        <v>405</v>
      </c>
      <c r="F11" s="22">
        <v>-342</v>
      </c>
      <c r="G11" s="22">
        <v>-81</v>
      </c>
      <c r="H11" s="22">
        <v>566</v>
      </c>
      <c r="I11" s="22">
        <v>836</v>
      </c>
      <c r="J11" s="22">
        <v>-342</v>
      </c>
      <c r="K11" s="22">
        <v>411</v>
      </c>
      <c r="L11" s="22">
        <v>-101</v>
      </c>
      <c r="M11" s="22">
        <v>-1000</v>
      </c>
      <c r="N11" s="22">
        <v>-958</v>
      </c>
    </row>
    <row r="12" spans="2:14" x14ac:dyDescent="0.25">
      <c r="B12" s="23" t="s">
        <v>96</v>
      </c>
      <c r="C12" s="22">
        <v>-695</v>
      </c>
      <c r="D12" s="22">
        <v>-1074</v>
      </c>
      <c r="E12" s="22">
        <v>-1384</v>
      </c>
      <c r="F12" s="22">
        <v>-1862</v>
      </c>
      <c r="G12" s="22">
        <v>-1765</v>
      </c>
      <c r="H12" s="22">
        <v>-1859</v>
      </c>
      <c r="I12" s="22">
        <v>-2264</v>
      </c>
      <c r="J12" s="22">
        <v>-2767</v>
      </c>
      <c r="K12" s="22">
        <v>-2505</v>
      </c>
      <c r="L12" s="22">
        <v>-2407</v>
      </c>
      <c r="M12" s="22">
        <v>-2784</v>
      </c>
      <c r="N12" s="22">
        <v>-3138</v>
      </c>
    </row>
    <row r="13" spans="2:14" x14ac:dyDescent="0.25">
      <c r="B13" t="s">
        <v>351</v>
      </c>
      <c r="C13" s="22">
        <v>0</v>
      </c>
      <c r="D13" s="22">
        <v>0</v>
      </c>
      <c r="E13" s="22">
        <v>-5</v>
      </c>
      <c r="F13" s="22">
        <v>-14</v>
      </c>
      <c r="G13" s="22">
        <v>-8</v>
      </c>
      <c r="H13" s="22">
        <v>-21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-1</v>
      </c>
    </row>
    <row r="14" spans="2:14" x14ac:dyDescent="0.25">
      <c r="B14" t="s">
        <v>352</v>
      </c>
      <c r="C14">
        <v>-15</v>
      </c>
      <c r="D14">
        <v>-17</v>
      </c>
      <c r="E14">
        <v>0</v>
      </c>
      <c r="F14">
        <v>0</v>
      </c>
      <c r="G14">
        <v>0</v>
      </c>
      <c r="H14">
        <v>-13</v>
      </c>
      <c r="I14">
        <v>2</v>
      </c>
      <c r="J14">
        <v>0</v>
      </c>
      <c r="K14">
        <v>-6</v>
      </c>
      <c r="L14">
        <v>-1</v>
      </c>
      <c r="M14">
        <v>3</v>
      </c>
      <c r="N14">
        <v>-1</v>
      </c>
    </row>
    <row r="15" spans="2:14" x14ac:dyDescent="0.25">
      <c r="B15" s="82" t="s">
        <v>97</v>
      </c>
      <c r="C15" s="22">
        <v>-514</v>
      </c>
      <c r="D15" s="22">
        <v>63</v>
      </c>
      <c r="E15" s="22">
        <v>-475</v>
      </c>
      <c r="F15" s="22">
        <v>138</v>
      </c>
      <c r="G15" s="22">
        <v>-282</v>
      </c>
      <c r="H15" s="22">
        <v>-1173</v>
      </c>
      <c r="I15" s="22">
        <v>-1063</v>
      </c>
      <c r="J15" s="22">
        <v>-438</v>
      </c>
      <c r="K15" s="22">
        <v>1791</v>
      </c>
      <c r="L15" s="22">
        <v>-1228</v>
      </c>
      <c r="M15" s="22">
        <v>-1728</v>
      </c>
      <c r="N15" s="22">
        <v>-1484</v>
      </c>
    </row>
    <row r="16" spans="2:14" x14ac:dyDescent="0.25">
      <c r="B16" t="s">
        <v>98</v>
      </c>
      <c r="C16" s="22">
        <v>-281</v>
      </c>
      <c r="D16" s="22">
        <v>-441</v>
      </c>
      <c r="E16" s="22">
        <v>-606</v>
      </c>
      <c r="F16" s="22">
        <v>-606</v>
      </c>
      <c r="G16" s="22">
        <v>-810</v>
      </c>
      <c r="H16" s="22">
        <v>-1113</v>
      </c>
      <c r="I16" s="22">
        <v>-895</v>
      </c>
      <c r="J16" s="22">
        <v>-767</v>
      </c>
      <c r="K16" s="22">
        <v>-862</v>
      </c>
      <c r="L16" s="22">
        <v>-4163</v>
      </c>
      <c r="M16" s="22">
        <v>-1228</v>
      </c>
      <c r="N16" s="22">
        <v>-1192</v>
      </c>
    </row>
    <row r="17" spans="2:14" x14ac:dyDescent="0.25">
      <c r="B17" t="s">
        <v>99</v>
      </c>
      <c r="C17">
        <v>7</v>
      </c>
      <c r="D17">
        <v>1</v>
      </c>
      <c r="E17">
        <v>229</v>
      </c>
      <c r="F17">
        <v>560</v>
      </c>
      <c r="G17">
        <v>99</v>
      </c>
      <c r="H17">
        <v>176</v>
      </c>
      <c r="I17">
        <v>32</v>
      </c>
      <c r="J17">
        <v>13</v>
      </c>
      <c r="K17" s="22">
        <v>52</v>
      </c>
      <c r="L17">
        <v>97</v>
      </c>
      <c r="M17">
        <v>175</v>
      </c>
      <c r="N17">
        <v>181</v>
      </c>
    </row>
    <row r="18" spans="2:14" x14ac:dyDescent="0.25">
      <c r="B18" t="s">
        <v>100</v>
      </c>
      <c r="C18" s="22">
        <v>-13966</v>
      </c>
      <c r="D18" s="22">
        <v>-15854</v>
      </c>
      <c r="E18" s="22">
        <v>-9538</v>
      </c>
      <c r="F18" s="22">
        <v>-19353</v>
      </c>
      <c r="G18" s="22">
        <v>-20666</v>
      </c>
      <c r="H18" s="22">
        <v>-31214</v>
      </c>
      <c r="I18" s="22">
        <v>-51855</v>
      </c>
      <c r="J18" s="22">
        <v>-74365</v>
      </c>
      <c r="K18" s="22">
        <v>-36090</v>
      </c>
      <c r="L18" s="22">
        <v>-39920</v>
      </c>
      <c r="M18" s="22">
        <v>-48522</v>
      </c>
      <c r="N18" s="22">
        <v>-22649</v>
      </c>
    </row>
    <row r="19" spans="2:14" x14ac:dyDescent="0.25">
      <c r="B19" t="s">
        <v>101</v>
      </c>
      <c r="C19" s="22">
        <v>12928</v>
      </c>
      <c r="D19" s="22">
        <v>16122</v>
      </c>
      <c r="E19" s="22">
        <v>9213</v>
      </c>
      <c r="F19" s="22">
        <v>19461</v>
      </c>
      <c r="G19" s="22">
        <v>20937</v>
      </c>
      <c r="H19" s="22">
        <v>30083</v>
      </c>
      <c r="I19" s="22">
        <v>52897</v>
      </c>
      <c r="J19" s="22">
        <v>74691</v>
      </c>
      <c r="K19" s="22">
        <v>37690</v>
      </c>
      <c r="L19" s="22">
        <v>38486</v>
      </c>
      <c r="M19" s="22">
        <v>47786</v>
      </c>
      <c r="N19" s="22">
        <v>23462</v>
      </c>
    </row>
    <row r="20" spans="2:14" x14ac:dyDescent="0.25">
      <c r="B20" t="s">
        <v>102</v>
      </c>
      <c r="C20">
        <v>134</v>
      </c>
      <c r="D20">
        <v>214</v>
      </c>
      <c r="E20">
        <v>232</v>
      </c>
      <c r="F20">
        <v>218</v>
      </c>
      <c r="G20">
        <v>315</v>
      </c>
      <c r="H20">
        <v>264</v>
      </c>
      <c r="I20">
        <v>297</v>
      </c>
      <c r="J20">
        <v>289</v>
      </c>
      <c r="K20">
        <v>351</v>
      </c>
      <c r="L20">
        <v>277</v>
      </c>
      <c r="M20">
        <v>161</v>
      </c>
      <c r="N20">
        <v>259</v>
      </c>
    </row>
    <row r="21" spans="2:14" x14ac:dyDescent="0.25">
      <c r="B21" t="s">
        <v>103</v>
      </c>
      <c r="C21">
        <v>17</v>
      </c>
      <c r="D21">
        <v>38</v>
      </c>
      <c r="E21">
        <v>16</v>
      </c>
      <c r="F21">
        <v>24</v>
      </c>
      <c r="G21">
        <v>33</v>
      </c>
      <c r="H21">
        <v>14</v>
      </c>
      <c r="I21">
        <v>0</v>
      </c>
      <c r="J21">
        <v>1</v>
      </c>
      <c r="K21">
        <v>1</v>
      </c>
      <c r="L21" s="22">
        <v>1</v>
      </c>
      <c r="M21">
        <v>1</v>
      </c>
      <c r="N21" s="22">
        <v>2</v>
      </c>
    </row>
    <row r="22" spans="2:14" x14ac:dyDescent="0.25">
      <c r="B22" s="23" t="s">
        <v>104</v>
      </c>
      <c r="C22">
        <v>0</v>
      </c>
      <c r="D22">
        <v>0</v>
      </c>
      <c r="E22">
        <v>-101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</row>
    <row r="23" spans="2:14" x14ac:dyDescent="0.25">
      <c r="B23" t="s">
        <v>353</v>
      </c>
      <c r="C23" s="22">
        <v>0</v>
      </c>
      <c r="D23" s="22">
        <v>-89</v>
      </c>
      <c r="E23" s="22">
        <v>-104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25">
      <c r="B24" t="s">
        <v>105</v>
      </c>
      <c r="C24">
        <v>0</v>
      </c>
      <c r="D24" s="22">
        <v>0</v>
      </c>
      <c r="E24" s="22">
        <v>0</v>
      </c>
      <c r="F24" s="22">
        <v>200</v>
      </c>
      <c r="G24" s="22">
        <v>161</v>
      </c>
      <c r="H24" s="22">
        <v>20</v>
      </c>
      <c r="I24" s="22">
        <v>73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</row>
    <row r="25" spans="2:14" x14ac:dyDescent="0.25">
      <c r="B25" t="s">
        <v>106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-334</v>
      </c>
    </row>
    <row r="26" spans="2:14" x14ac:dyDescent="0.25">
      <c r="B26" t="s">
        <v>108</v>
      </c>
      <c r="C26">
        <v>645</v>
      </c>
      <c r="D26">
        <v>72</v>
      </c>
      <c r="E26">
        <v>183</v>
      </c>
      <c r="F26">
        <v>-367</v>
      </c>
      <c r="G26" s="22">
        <v>-351</v>
      </c>
      <c r="H26" s="22">
        <v>597</v>
      </c>
      <c r="I26" s="22">
        <v>-1612</v>
      </c>
      <c r="J26" s="22">
        <v>-300</v>
      </c>
      <c r="K26" s="22">
        <v>649</v>
      </c>
      <c r="L26" s="22">
        <v>3994</v>
      </c>
      <c r="M26" s="22">
        <v>-101</v>
      </c>
      <c r="N26" s="22">
        <v>-1213</v>
      </c>
    </row>
    <row r="27" spans="2:14" x14ac:dyDescent="0.25">
      <c r="B27" s="82" t="s">
        <v>109</v>
      </c>
      <c r="C27" s="22">
        <v>-1726</v>
      </c>
      <c r="D27" s="22">
        <v>-4147</v>
      </c>
      <c r="E27" s="22">
        <v>-2960</v>
      </c>
      <c r="F27" s="22">
        <v>-3462</v>
      </c>
      <c r="G27" s="22">
        <v>-3864</v>
      </c>
      <c r="H27" s="22">
        <v>-4214</v>
      </c>
      <c r="I27" s="22">
        <v>-4975</v>
      </c>
      <c r="J27" s="22">
        <v>-5390</v>
      </c>
      <c r="K27" s="22">
        <v>-6819</v>
      </c>
      <c r="L27" s="22">
        <v>-9309</v>
      </c>
      <c r="M27" s="22">
        <v>-8015</v>
      </c>
      <c r="N27" s="22">
        <v>-8953</v>
      </c>
    </row>
    <row r="28" spans="2:14" x14ac:dyDescent="0.25">
      <c r="B28" t="s">
        <v>110</v>
      </c>
      <c r="C28" s="22">
        <v>34</v>
      </c>
      <c r="D28" s="22">
        <v>7</v>
      </c>
      <c r="E28" s="22">
        <v>2</v>
      </c>
      <c r="F28" s="22">
        <v>2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</row>
    <row r="29" spans="2:14" x14ac:dyDescent="0.25">
      <c r="B29" s="23" t="s">
        <v>112</v>
      </c>
      <c r="C29" s="253">
        <v>0</v>
      </c>
      <c r="D29" s="253">
        <v>25</v>
      </c>
      <c r="E29" s="253">
        <v>0</v>
      </c>
      <c r="F29" s="253">
        <v>0</v>
      </c>
      <c r="G29" s="253">
        <v>177</v>
      </c>
      <c r="H29" s="253">
        <v>460</v>
      </c>
      <c r="I29" s="253">
        <v>0</v>
      </c>
      <c r="J29" s="253">
        <v>99</v>
      </c>
      <c r="K29" s="253">
        <v>0</v>
      </c>
      <c r="L29" s="253">
        <v>188</v>
      </c>
      <c r="M29" s="253">
        <v>55</v>
      </c>
      <c r="N29" s="253">
        <v>286</v>
      </c>
    </row>
    <row r="30" spans="2:14" x14ac:dyDescent="0.25">
      <c r="B30" t="s">
        <v>113</v>
      </c>
      <c r="C30" s="22">
        <v>0</v>
      </c>
      <c r="D30" s="22">
        <v>0</v>
      </c>
      <c r="E30" s="22">
        <v>-15</v>
      </c>
      <c r="F30" s="22">
        <v>-3</v>
      </c>
      <c r="G30" s="22">
        <v>0</v>
      </c>
      <c r="H30" s="22">
        <v>-360</v>
      </c>
      <c r="I30" s="22">
        <v>-277</v>
      </c>
      <c r="J30" s="22">
        <v>0</v>
      </c>
      <c r="K30" s="22">
        <v>-99</v>
      </c>
      <c r="L30" s="22">
        <v>-188</v>
      </c>
      <c r="M30" s="22">
        <v>-55</v>
      </c>
      <c r="N30" s="22">
        <v>-208</v>
      </c>
    </row>
    <row r="31" spans="2:14" x14ac:dyDescent="0.25">
      <c r="B31" t="s">
        <v>114</v>
      </c>
      <c r="C31" s="22">
        <v>-2</v>
      </c>
      <c r="D31" s="22">
        <v>-26</v>
      </c>
      <c r="E31">
        <v>-29</v>
      </c>
      <c r="F31">
        <v>-18</v>
      </c>
      <c r="G31">
        <v>-2</v>
      </c>
      <c r="H31">
        <v>-14</v>
      </c>
      <c r="I31">
        <v>-6</v>
      </c>
      <c r="J31">
        <v>-7</v>
      </c>
      <c r="K31">
        <v>-90</v>
      </c>
      <c r="L31">
        <v>-92</v>
      </c>
      <c r="M31">
        <v>-82</v>
      </c>
      <c r="N31">
        <v>-88</v>
      </c>
    </row>
    <row r="32" spans="2:14" x14ac:dyDescent="0.25">
      <c r="B32" t="s">
        <v>115</v>
      </c>
      <c r="C32" s="22">
        <v>-1509</v>
      </c>
      <c r="D32" s="22">
        <v>-3558</v>
      </c>
      <c r="E32" s="22">
        <v>-2481</v>
      </c>
      <c r="F32" s="22">
        <v>-2912</v>
      </c>
      <c r="G32" s="22">
        <v>-3354</v>
      </c>
      <c r="H32" s="22">
        <v>-3572</v>
      </c>
      <c r="I32" s="22">
        <v>-3911</v>
      </c>
      <c r="J32" s="22">
        <v>-4554</v>
      </c>
      <c r="K32" s="22">
        <v>-5196</v>
      </c>
      <c r="L32" s="22">
        <v>-8811</v>
      </c>
      <c r="M32" s="22">
        <v>-7526</v>
      </c>
      <c r="N32" s="22">
        <v>-8474</v>
      </c>
    </row>
    <row r="33" spans="2:14" x14ac:dyDescent="0.25">
      <c r="B33" t="s">
        <v>116</v>
      </c>
      <c r="C33" s="22">
        <v>0</v>
      </c>
      <c r="D33" s="22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-373</v>
      </c>
      <c r="L33">
        <v>-406</v>
      </c>
      <c r="M33" s="22">
        <v>-407</v>
      </c>
      <c r="N33" s="22">
        <v>-467</v>
      </c>
    </row>
    <row r="34" spans="2:14" x14ac:dyDescent="0.25">
      <c r="B34" t="s">
        <v>117</v>
      </c>
      <c r="C34" s="22">
        <v>-248</v>
      </c>
      <c r="D34" s="22">
        <v>-596</v>
      </c>
      <c r="E34" s="22">
        <v>-437</v>
      </c>
      <c r="F34" s="22">
        <v>-533</v>
      </c>
      <c r="G34" s="22">
        <v>-685</v>
      </c>
      <c r="H34" s="22">
        <v>-728</v>
      </c>
      <c r="I34">
        <v>-781</v>
      </c>
      <c r="J34" s="22">
        <v>-928</v>
      </c>
      <c r="K34" s="22">
        <v>-1061</v>
      </c>
      <c r="L34" s="22">
        <v>0</v>
      </c>
      <c r="M34" s="22">
        <v>0</v>
      </c>
      <c r="N34" s="22">
        <v>-2</v>
      </c>
    </row>
    <row r="35" spans="2:14" x14ac:dyDescent="0.25">
      <c r="B35" s="82" t="s">
        <v>21</v>
      </c>
      <c r="C35" s="82">
        <v>692</v>
      </c>
      <c r="D35" s="82">
        <v>-480</v>
      </c>
      <c r="E35" s="82">
        <v>383</v>
      </c>
      <c r="F35" s="82">
        <v>-33</v>
      </c>
      <c r="G35" s="82">
        <v>25</v>
      </c>
      <c r="H35" s="82">
        <v>-202</v>
      </c>
      <c r="I35" s="82">
        <v>21</v>
      </c>
      <c r="J35" s="82">
        <v>-28</v>
      </c>
      <c r="K35" s="177">
        <v>2595</v>
      </c>
      <c r="L35" s="177">
        <v>-1374</v>
      </c>
      <c r="M35" s="82">
        <v>-695</v>
      </c>
      <c r="N35" s="82">
        <v>-446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9747-18EA-4C6C-ABED-E9C390650E38}">
  <sheetPr>
    <tabColor rgb="FF0070C0"/>
  </sheetPr>
  <dimension ref="B2:P12"/>
  <sheetViews>
    <sheetView showGridLines="0" workbookViewId="0">
      <selection activeCell="D5" sqref="D5"/>
    </sheetView>
  </sheetViews>
  <sheetFormatPr defaultRowHeight="15" x14ac:dyDescent="0.25"/>
  <cols>
    <col min="1" max="1" width="1.85546875" customWidth="1"/>
    <col min="2" max="2" width="5.7109375" style="47" bestFit="1" customWidth="1"/>
    <col min="3" max="3" width="21.28515625" style="47" customWidth="1"/>
    <col min="4" max="4" width="10.5703125" customWidth="1"/>
    <col min="5" max="5" width="16.7109375" bestFit="1" customWidth="1"/>
    <col min="6" max="6" width="28.5703125" bestFit="1" customWidth="1"/>
    <col min="7" max="7" width="11.5703125" bestFit="1" customWidth="1"/>
    <col min="8" max="8" width="14.42578125" bestFit="1" customWidth="1"/>
    <col min="9" max="9" width="28.7109375" bestFit="1" customWidth="1"/>
    <col min="10" max="10" width="14.5703125" bestFit="1" customWidth="1"/>
    <col min="11" max="11" width="11.5703125" bestFit="1" customWidth="1"/>
    <col min="12" max="12" width="14.5703125" bestFit="1" customWidth="1"/>
    <col min="13" max="13" width="14.5703125" customWidth="1"/>
    <col min="14" max="14" width="13.42578125" bestFit="1" customWidth="1"/>
    <col min="15" max="15" width="14.28515625" bestFit="1" customWidth="1"/>
    <col min="16" max="16" width="14.42578125" bestFit="1" customWidth="1"/>
  </cols>
  <sheetData>
    <row r="2" spans="2:16" ht="23.25" x14ac:dyDescent="0.25">
      <c r="B2" s="321" t="s">
        <v>298</v>
      </c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</row>
    <row r="4" spans="2:16" s="149" customFormat="1" x14ac:dyDescent="0.25">
      <c r="B4" s="150" t="s">
        <v>266</v>
      </c>
      <c r="C4" s="150" t="s">
        <v>267</v>
      </c>
      <c r="D4" s="151" t="s">
        <v>268</v>
      </c>
      <c r="E4" s="151" t="s">
        <v>269</v>
      </c>
      <c r="F4" s="152" t="s">
        <v>278</v>
      </c>
      <c r="G4" s="151" t="s">
        <v>270</v>
      </c>
      <c r="H4" s="151" t="s">
        <v>272</v>
      </c>
      <c r="I4" s="152" t="s">
        <v>279</v>
      </c>
      <c r="J4" s="151" t="s">
        <v>271</v>
      </c>
      <c r="K4" s="151" t="s">
        <v>273</v>
      </c>
      <c r="L4" s="151" t="s">
        <v>274</v>
      </c>
      <c r="M4" s="152" t="s">
        <v>67</v>
      </c>
      <c r="N4" s="151" t="s">
        <v>275</v>
      </c>
      <c r="O4" s="151" t="s">
        <v>276</v>
      </c>
      <c r="P4" s="151" t="s">
        <v>277</v>
      </c>
    </row>
    <row r="5" spans="2:16" x14ac:dyDescent="0.25">
      <c r="B5" s="187">
        <v>1</v>
      </c>
      <c r="C5" s="187" t="s">
        <v>354</v>
      </c>
      <c r="D5" s="188">
        <v>2591.4499999999998</v>
      </c>
      <c r="E5" s="188">
        <v>234.96</v>
      </c>
      <c r="F5" s="188">
        <f>E5*D5</f>
        <v>608887.09199999995</v>
      </c>
      <c r="G5" s="188">
        <v>1219</v>
      </c>
      <c r="H5" s="188">
        <v>4678</v>
      </c>
      <c r="I5" s="188">
        <f>F5+G5-H5</f>
        <v>605428.09199999995</v>
      </c>
      <c r="J5" s="188">
        <v>605425.80000000005</v>
      </c>
      <c r="K5" s="188">
        <v>61452</v>
      </c>
      <c r="L5" s="188">
        <v>13830</v>
      </c>
      <c r="M5" s="188">
        <f>L5+P5</f>
        <v>14972</v>
      </c>
      <c r="N5" s="188">
        <v>10308</v>
      </c>
      <c r="O5" s="188">
        <v>608884.80000000005</v>
      </c>
      <c r="P5" s="188">
        <v>1142</v>
      </c>
    </row>
    <row r="6" spans="2:16" x14ac:dyDescent="0.25">
      <c r="B6" s="186">
        <v>2</v>
      </c>
      <c r="C6" s="186" t="s">
        <v>355</v>
      </c>
      <c r="D6" s="153">
        <v>22842.3</v>
      </c>
      <c r="E6" s="153">
        <v>9.64</v>
      </c>
      <c r="F6" s="153">
        <f t="shared" ref="F6:F10" si="0">E6*D6</f>
        <v>220199.772</v>
      </c>
      <c r="G6" s="153">
        <v>270.52</v>
      </c>
      <c r="H6" s="153">
        <v>945.55</v>
      </c>
      <c r="I6" s="153">
        <f t="shared" ref="I6:I10" si="1">F6+G6-H6</f>
        <v>219524.742</v>
      </c>
      <c r="J6" s="153">
        <v>219560.65</v>
      </c>
      <c r="K6" s="153">
        <v>17725.73</v>
      </c>
      <c r="L6" s="153">
        <v>3605.23</v>
      </c>
      <c r="M6" s="153">
        <f t="shared" ref="M6:M10" si="2">L6+P6</f>
        <v>4005.31</v>
      </c>
      <c r="N6" s="153">
        <v>2541.5</v>
      </c>
      <c r="O6" s="153">
        <v>220235.68</v>
      </c>
      <c r="P6" s="153">
        <v>400.08</v>
      </c>
    </row>
    <row r="7" spans="2:16" x14ac:dyDescent="0.25">
      <c r="B7" s="186">
        <v>3</v>
      </c>
      <c r="C7" s="186" t="s">
        <v>356</v>
      </c>
      <c r="D7" s="153">
        <v>4983.75</v>
      </c>
      <c r="E7" s="153">
        <v>24.09</v>
      </c>
      <c r="F7" s="153">
        <f t="shared" si="0"/>
        <v>120058.53750000001</v>
      </c>
      <c r="G7" s="153">
        <v>2997.37</v>
      </c>
      <c r="H7" s="153">
        <v>197.98</v>
      </c>
      <c r="I7" s="153">
        <f t="shared" si="1"/>
        <v>122857.92750000001</v>
      </c>
      <c r="J7" s="153">
        <v>122842.12</v>
      </c>
      <c r="K7" s="153">
        <v>16300.55</v>
      </c>
      <c r="L7" s="153">
        <v>2826.27</v>
      </c>
      <c r="M7" s="153">
        <f t="shared" si="2"/>
        <v>3052.18</v>
      </c>
      <c r="N7" s="153">
        <v>2316.3200000000002</v>
      </c>
      <c r="O7" s="153">
        <v>120042.73</v>
      </c>
      <c r="P7" s="153">
        <v>225.91</v>
      </c>
    </row>
    <row r="8" spans="2:16" x14ac:dyDescent="0.25">
      <c r="B8" s="186">
        <v>4</v>
      </c>
      <c r="C8" s="186" t="s">
        <v>357</v>
      </c>
      <c r="D8" s="153">
        <v>1039.2</v>
      </c>
      <c r="E8" s="153">
        <v>102.27</v>
      </c>
      <c r="F8" s="153">
        <f t="shared" si="0"/>
        <v>106278.984</v>
      </c>
      <c r="G8" s="153">
        <v>1129.58</v>
      </c>
      <c r="H8" s="153">
        <v>390.72</v>
      </c>
      <c r="I8" s="153">
        <f t="shared" si="1"/>
        <v>107017.844</v>
      </c>
      <c r="J8" s="153">
        <v>107018.2</v>
      </c>
      <c r="K8" s="153">
        <v>13315.97</v>
      </c>
      <c r="L8" s="153">
        <v>2325.9299999999998</v>
      </c>
      <c r="M8" s="153">
        <f t="shared" si="2"/>
        <v>2562.2199999999998</v>
      </c>
      <c r="N8" s="153">
        <v>1702.46</v>
      </c>
      <c r="O8" s="153">
        <v>106279.34</v>
      </c>
      <c r="P8" s="153">
        <v>236.29</v>
      </c>
    </row>
    <row r="9" spans="2:16" x14ac:dyDescent="0.25">
      <c r="B9" s="186">
        <v>5</v>
      </c>
      <c r="C9" s="186" t="s">
        <v>358</v>
      </c>
      <c r="D9" s="153">
        <v>809.35</v>
      </c>
      <c r="E9" s="153">
        <v>129.91</v>
      </c>
      <c r="F9" s="153">
        <f t="shared" si="0"/>
        <v>105142.65850000001</v>
      </c>
      <c r="G9" s="153">
        <v>3883.81</v>
      </c>
      <c r="H9" s="153">
        <v>285.27</v>
      </c>
      <c r="I9" s="153">
        <f t="shared" si="1"/>
        <v>108741.1985</v>
      </c>
      <c r="J9" s="153">
        <v>108742.52</v>
      </c>
      <c r="K9" s="153">
        <v>14238.66</v>
      </c>
      <c r="L9" s="153">
        <v>2437.5300000000002</v>
      </c>
      <c r="M9" s="153">
        <f t="shared" si="2"/>
        <v>3095.6000000000004</v>
      </c>
      <c r="N9" s="153">
        <v>1717.59</v>
      </c>
      <c r="O9" s="153">
        <v>105143.98</v>
      </c>
      <c r="P9" s="153">
        <v>658.07</v>
      </c>
    </row>
    <row r="10" spans="2:16" x14ac:dyDescent="0.25">
      <c r="B10" s="186">
        <v>6</v>
      </c>
      <c r="C10" s="186" t="s">
        <v>359</v>
      </c>
      <c r="D10" s="153">
        <v>566.1</v>
      </c>
      <c r="E10" s="153">
        <v>177.2</v>
      </c>
      <c r="F10" s="153">
        <f t="shared" si="0"/>
        <v>100312.92</v>
      </c>
      <c r="G10" s="153">
        <v>1173.79</v>
      </c>
      <c r="H10" s="153">
        <v>325.92</v>
      </c>
      <c r="I10" s="153">
        <f t="shared" si="1"/>
        <v>101160.79</v>
      </c>
      <c r="J10" s="153">
        <v>101162.72</v>
      </c>
      <c r="K10" s="153">
        <v>11529.89</v>
      </c>
      <c r="L10" s="153">
        <v>2280.4299999999998</v>
      </c>
      <c r="M10" s="153">
        <f t="shared" si="2"/>
        <v>2591.39</v>
      </c>
      <c r="N10" s="153">
        <v>1701.33</v>
      </c>
      <c r="O10" s="153">
        <v>100314.85</v>
      </c>
      <c r="P10" s="153">
        <v>310.95999999999998</v>
      </c>
    </row>
    <row r="12" spans="2:16" x14ac:dyDescent="0.25">
      <c r="F12" s="320" t="s">
        <v>284</v>
      </c>
      <c r="G12" s="320"/>
      <c r="M12" s="319" t="s">
        <v>280</v>
      </c>
      <c r="N12" s="319"/>
      <c r="O12" s="319"/>
    </row>
  </sheetData>
  <mergeCells count="3">
    <mergeCell ref="M12:O12"/>
    <mergeCell ref="F12:G12"/>
    <mergeCell ref="B2:P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9262-7ED7-41AD-994A-188A43BE9C5F}">
  <sheetPr>
    <tabColor rgb="FF0070C0"/>
  </sheetPr>
  <dimension ref="B2:N76"/>
  <sheetViews>
    <sheetView showGridLines="0" tabSelected="1" topLeftCell="B1" workbookViewId="0">
      <pane ySplit="2" topLeftCell="A17" activePane="bottomLeft" state="frozen"/>
      <selection pane="bottomLeft" activeCell="C29" sqref="C29:N29"/>
    </sheetView>
  </sheetViews>
  <sheetFormatPr defaultRowHeight="15" x14ac:dyDescent="0.25"/>
  <cols>
    <col min="1" max="1" width="1.85546875" customWidth="1"/>
    <col min="2" max="2" width="24.85546875" style="47" bestFit="1" customWidth="1"/>
    <col min="3" max="14" width="11.5703125" bestFit="1" customWidth="1"/>
    <col min="15" max="15" width="24.85546875" bestFit="1" customWidth="1"/>
  </cols>
  <sheetData>
    <row r="2" spans="2:14" x14ac:dyDescent="0.25">
      <c r="B2" s="85" t="s">
        <v>182</v>
      </c>
      <c r="C2" s="84">
        <v>40969</v>
      </c>
      <c r="D2" s="84">
        <v>41334</v>
      </c>
      <c r="E2" s="84">
        <v>41699</v>
      </c>
      <c r="F2" s="84">
        <v>42064</v>
      </c>
      <c r="G2" s="84">
        <v>42430</v>
      </c>
      <c r="H2" s="84">
        <v>42795</v>
      </c>
      <c r="I2" s="84">
        <v>43160</v>
      </c>
      <c r="J2" s="84">
        <v>43525</v>
      </c>
      <c r="K2" s="84">
        <v>43891</v>
      </c>
      <c r="L2" s="84">
        <v>44256</v>
      </c>
      <c r="M2" s="84">
        <v>44621</v>
      </c>
      <c r="N2" s="84">
        <v>44986</v>
      </c>
    </row>
    <row r="3" spans="2:14" s="23" customFormat="1" x14ac:dyDescent="0.25">
      <c r="B3" s="90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spans="2:14" x14ac:dyDescent="0.25">
      <c r="B4" s="254" t="s">
        <v>185</v>
      </c>
      <c r="C4" s="168">
        <v>216</v>
      </c>
      <c r="D4" s="168">
        <v>216</v>
      </c>
      <c r="E4" s="168">
        <v>216</v>
      </c>
      <c r="F4" s="168">
        <v>216</v>
      </c>
      <c r="G4" s="168">
        <v>216</v>
      </c>
      <c r="H4" s="168">
        <v>216</v>
      </c>
      <c r="I4" s="168">
        <v>216</v>
      </c>
      <c r="J4" s="168">
        <v>216</v>
      </c>
      <c r="K4" s="168">
        <v>216</v>
      </c>
      <c r="L4" s="168">
        <v>235</v>
      </c>
      <c r="M4" s="168">
        <v>235</v>
      </c>
      <c r="N4" s="168">
        <v>235</v>
      </c>
    </row>
    <row r="5" spans="2:14" x14ac:dyDescent="0.25">
      <c r="B5" s="254" t="s">
        <v>12</v>
      </c>
      <c r="C5" s="168">
        <v>3465</v>
      </c>
      <c r="D5" s="168">
        <v>2649</v>
      </c>
      <c r="E5" s="168">
        <v>3321</v>
      </c>
      <c r="F5" s="168">
        <v>3811</v>
      </c>
      <c r="G5" s="168">
        <v>6357</v>
      </c>
      <c r="H5" s="168">
        <v>6528</v>
      </c>
      <c r="I5" s="168">
        <v>7065</v>
      </c>
      <c r="J5" s="168">
        <v>7651</v>
      </c>
      <c r="K5" s="168">
        <v>8013</v>
      </c>
      <c r="L5" s="168">
        <v>47439</v>
      </c>
      <c r="M5" s="168">
        <v>48826</v>
      </c>
      <c r="N5" s="168">
        <v>50069</v>
      </c>
    </row>
    <row r="6" spans="2:14" x14ac:dyDescent="0.25">
      <c r="B6" s="254" t="s">
        <v>186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spans="2:14" x14ac:dyDescent="0.25">
      <c r="B7" s="255" t="s">
        <v>187</v>
      </c>
      <c r="C7" s="168">
        <v>0</v>
      </c>
      <c r="D7" s="168">
        <v>8</v>
      </c>
      <c r="E7" s="168">
        <v>8</v>
      </c>
      <c r="F7" s="168">
        <v>7</v>
      </c>
      <c r="G7" s="168">
        <v>0</v>
      </c>
      <c r="H7" s="168">
        <v>0</v>
      </c>
      <c r="I7" s="168">
        <v>0</v>
      </c>
      <c r="J7" s="168">
        <v>0</v>
      </c>
      <c r="K7" s="168">
        <v>0</v>
      </c>
      <c r="L7" s="168">
        <v>0</v>
      </c>
      <c r="M7" s="168">
        <v>0</v>
      </c>
      <c r="N7" s="168">
        <v>0</v>
      </c>
    </row>
    <row r="8" spans="2:14" x14ac:dyDescent="0.25">
      <c r="B8" s="255" t="s">
        <v>188</v>
      </c>
      <c r="C8" s="168">
        <v>0</v>
      </c>
      <c r="D8" s="168">
        <v>16</v>
      </c>
      <c r="E8" s="168">
        <v>37</v>
      </c>
      <c r="F8" s="168">
        <v>36</v>
      </c>
      <c r="G8" s="168">
        <v>177</v>
      </c>
      <c r="H8" s="168">
        <v>277</v>
      </c>
      <c r="I8" s="168">
        <v>0</v>
      </c>
      <c r="J8" s="168">
        <v>99</v>
      </c>
      <c r="K8" s="168">
        <v>0</v>
      </c>
      <c r="L8" s="168">
        <v>0</v>
      </c>
      <c r="M8" s="168">
        <v>0</v>
      </c>
      <c r="N8" s="168">
        <v>98</v>
      </c>
    </row>
    <row r="9" spans="2:14" x14ac:dyDescent="0.25">
      <c r="B9" s="255" t="s">
        <v>189</v>
      </c>
      <c r="C9" s="168">
        <v>0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0</v>
      </c>
      <c r="J9" s="168">
        <v>0</v>
      </c>
      <c r="K9" s="168">
        <v>0</v>
      </c>
      <c r="L9" s="168">
        <v>1009</v>
      </c>
      <c r="M9" s="168">
        <v>1043</v>
      </c>
      <c r="N9" s="168">
        <v>1121</v>
      </c>
    </row>
    <row r="10" spans="2:14" x14ac:dyDescent="0.25">
      <c r="B10" s="255" t="s">
        <v>190</v>
      </c>
      <c r="C10" s="158" t="s">
        <v>61</v>
      </c>
      <c r="D10" s="158" t="s">
        <v>61</v>
      </c>
      <c r="E10" s="158" t="s">
        <v>61</v>
      </c>
      <c r="F10" s="158" t="s">
        <v>61</v>
      </c>
      <c r="G10" s="158" t="s">
        <v>61</v>
      </c>
      <c r="H10" s="158" t="s">
        <v>61</v>
      </c>
      <c r="I10" s="158" t="s">
        <v>61</v>
      </c>
      <c r="J10" s="158" t="s">
        <v>61</v>
      </c>
      <c r="K10" s="158" t="s">
        <v>61</v>
      </c>
      <c r="L10" s="158" t="s">
        <v>61</v>
      </c>
      <c r="M10" s="158" t="s">
        <v>61</v>
      </c>
      <c r="N10" s="158" t="s">
        <v>61</v>
      </c>
    </row>
    <row r="11" spans="2:14" x14ac:dyDescent="0.25">
      <c r="B11" s="254" t="s">
        <v>191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>
        <v>21554</v>
      </c>
    </row>
    <row r="12" spans="2:14" x14ac:dyDescent="0.25">
      <c r="B12" s="255" t="s">
        <v>192</v>
      </c>
      <c r="C12" s="168">
        <v>18</v>
      </c>
      <c r="D12" s="168">
        <v>21</v>
      </c>
      <c r="E12" s="168">
        <v>22</v>
      </c>
      <c r="F12" s="168">
        <v>25</v>
      </c>
      <c r="G12" s="168">
        <v>20</v>
      </c>
      <c r="H12" s="168">
        <v>22</v>
      </c>
      <c r="I12" s="168">
        <v>20</v>
      </c>
      <c r="J12" s="168">
        <v>18</v>
      </c>
      <c r="K12" s="168">
        <v>17</v>
      </c>
      <c r="L12" s="168">
        <v>20</v>
      </c>
      <c r="M12" s="168">
        <v>26</v>
      </c>
      <c r="N12" s="168">
        <v>218</v>
      </c>
    </row>
    <row r="13" spans="2:14" x14ac:dyDescent="0.25">
      <c r="B13" s="255" t="s">
        <v>193</v>
      </c>
      <c r="C13" s="168">
        <v>4844</v>
      </c>
      <c r="D13" s="168">
        <v>5342</v>
      </c>
      <c r="E13" s="168">
        <v>5825</v>
      </c>
      <c r="F13" s="168">
        <v>5506</v>
      </c>
      <c r="G13" s="168">
        <v>5685</v>
      </c>
      <c r="H13" s="168">
        <v>6186</v>
      </c>
      <c r="I13" s="168">
        <v>7170</v>
      </c>
      <c r="J13" s="168">
        <v>7206</v>
      </c>
      <c r="K13" s="168">
        <v>7535</v>
      </c>
      <c r="L13" s="168">
        <v>8802</v>
      </c>
      <c r="M13" s="168">
        <v>9068</v>
      </c>
      <c r="N13" s="168">
        <v>9574</v>
      </c>
    </row>
    <row r="14" spans="2:14" x14ac:dyDescent="0.25">
      <c r="B14" s="255" t="s">
        <v>194</v>
      </c>
      <c r="C14" s="168">
        <v>63</v>
      </c>
      <c r="D14" s="168">
        <v>48</v>
      </c>
      <c r="E14" s="168">
        <v>37</v>
      </c>
      <c r="F14" s="168">
        <v>45</v>
      </c>
      <c r="G14" s="168">
        <v>45</v>
      </c>
      <c r="H14" s="168">
        <v>78</v>
      </c>
      <c r="I14" s="168">
        <v>62</v>
      </c>
      <c r="J14" s="168">
        <v>43</v>
      </c>
      <c r="K14" s="168">
        <v>158</v>
      </c>
      <c r="L14" s="168">
        <v>96</v>
      </c>
      <c r="M14" s="168">
        <v>119</v>
      </c>
      <c r="N14" s="168">
        <v>98</v>
      </c>
    </row>
    <row r="15" spans="2:14" x14ac:dyDescent="0.25">
      <c r="B15" s="256" t="s">
        <v>195</v>
      </c>
      <c r="C15" s="257">
        <v>2801</v>
      </c>
      <c r="D15" s="257">
        <v>3792</v>
      </c>
      <c r="E15" s="257">
        <v>4287</v>
      </c>
      <c r="F15" s="257">
        <v>4783</v>
      </c>
      <c r="G15" s="257">
        <v>2293</v>
      </c>
      <c r="H15" s="257">
        <v>2399</v>
      </c>
      <c r="I15" s="257">
        <v>3329</v>
      </c>
      <c r="J15" s="257">
        <v>3396</v>
      </c>
      <c r="K15" s="257">
        <v>4214</v>
      </c>
      <c r="L15" s="257">
        <v>11139</v>
      </c>
      <c r="M15" s="257">
        <v>11189</v>
      </c>
      <c r="N15" s="257">
        <v>11664</v>
      </c>
    </row>
    <row r="16" spans="2:14" ht="15.75" thickBot="1" x14ac:dyDescent="0.3">
      <c r="B16" s="260" t="s">
        <v>184</v>
      </c>
      <c r="C16" s="261">
        <v>11407</v>
      </c>
      <c r="D16" s="261">
        <v>12092</v>
      </c>
      <c r="E16" s="261">
        <v>13754</v>
      </c>
      <c r="F16" s="261">
        <v>14430</v>
      </c>
      <c r="G16" s="261">
        <v>14793</v>
      </c>
      <c r="H16" s="261">
        <v>15706</v>
      </c>
      <c r="I16" s="261">
        <v>17862</v>
      </c>
      <c r="J16" s="261">
        <v>18629</v>
      </c>
      <c r="K16" s="261">
        <v>20153</v>
      </c>
      <c r="L16" s="261">
        <v>68740</v>
      </c>
      <c r="M16" s="261">
        <v>70506</v>
      </c>
      <c r="N16" s="261">
        <v>73077</v>
      </c>
    </row>
    <row r="17" spans="2:14" x14ac:dyDescent="0.25">
      <c r="B17" s="258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</row>
    <row r="18" spans="2:14" x14ac:dyDescent="0.25">
      <c r="B18" s="254" t="s">
        <v>196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2:14" x14ac:dyDescent="0.25">
      <c r="B19" s="255" t="s">
        <v>197</v>
      </c>
      <c r="C19" s="168">
        <v>130</v>
      </c>
      <c r="D19" s="168">
        <v>133</v>
      </c>
      <c r="E19" s="168">
        <v>133</v>
      </c>
      <c r="F19" s="168">
        <v>102</v>
      </c>
      <c r="G19" s="168">
        <v>88</v>
      </c>
      <c r="H19" s="168">
        <v>89</v>
      </c>
      <c r="I19" s="168">
        <v>87</v>
      </c>
      <c r="J19" s="168">
        <v>86</v>
      </c>
      <c r="K19" s="168">
        <v>59</v>
      </c>
      <c r="L19" s="168">
        <v>477</v>
      </c>
      <c r="M19" s="168">
        <v>477</v>
      </c>
      <c r="N19" s="168">
        <v>476</v>
      </c>
    </row>
    <row r="20" spans="2:14" x14ac:dyDescent="0.25">
      <c r="B20" s="255" t="s">
        <v>198</v>
      </c>
      <c r="C20" s="168">
        <v>1019</v>
      </c>
      <c r="D20" s="168">
        <v>1030</v>
      </c>
      <c r="E20" s="168">
        <v>1133</v>
      </c>
      <c r="F20" s="168">
        <v>1173</v>
      </c>
      <c r="G20" s="168">
        <v>931</v>
      </c>
      <c r="H20" s="168">
        <v>1210</v>
      </c>
      <c r="I20" s="168">
        <v>1343</v>
      </c>
      <c r="J20" s="168">
        <v>1527</v>
      </c>
      <c r="K20" s="168">
        <v>2044</v>
      </c>
      <c r="L20" s="168">
        <v>2602</v>
      </c>
      <c r="M20" s="168">
        <v>2788</v>
      </c>
      <c r="N20" s="168">
        <v>3234</v>
      </c>
    </row>
    <row r="21" spans="2:14" x14ac:dyDescent="0.25">
      <c r="B21" s="255" t="s">
        <v>199</v>
      </c>
      <c r="C21" s="168">
        <v>2420</v>
      </c>
      <c r="D21" s="168">
        <v>2716</v>
      </c>
      <c r="E21" s="168">
        <v>3176</v>
      </c>
      <c r="F21" s="168">
        <v>3481</v>
      </c>
      <c r="G21" s="168">
        <v>2370</v>
      </c>
      <c r="H21" s="168">
        <v>3270</v>
      </c>
      <c r="I21" s="168">
        <v>3691</v>
      </c>
      <c r="J21" s="168">
        <v>4092</v>
      </c>
      <c r="K21" s="168">
        <v>5001</v>
      </c>
      <c r="L21" s="168">
        <v>6097</v>
      </c>
      <c r="M21" s="168">
        <v>6566</v>
      </c>
      <c r="N21" s="168">
        <v>7645</v>
      </c>
    </row>
    <row r="22" spans="2:14" x14ac:dyDescent="0.25">
      <c r="B22" s="113" t="s">
        <v>200</v>
      </c>
      <c r="C22" s="168">
        <v>96</v>
      </c>
      <c r="D22" s="168">
        <v>100</v>
      </c>
      <c r="E22" s="168">
        <v>104</v>
      </c>
      <c r="F22" s="168">
        <v>106</v>
      </c>
      <c r="G22" s="168">
        <v>41</v>
      </c>
      <c r="H22" s="168">
        <v>62</v>
      </c>
      <c r="I22" s="168">
        <v>74</v>
      </c>
      <c r="J22" s="168">
        <v>95</v>
      </c>
      <c r="K22" s="168">
        <v>139</v>
      </c>
      <c r="L22" s="168">
        <v>175</v>
      </c>
      <c r="M22" s="168">
        <v>181</v>
      </c>
      <c r="N22" s="168">
        <v>185</v>
      </c>
    </row>
    <row r="23" spans="2:14" x14ac:dyDescent="0.25">
      <c r="B23" s="255" t="s">
        <v>202</v>
      </c>
      <c r="C23" s="168">
        <v>88</v>
      </c>
      <c r="D23" s="168">
        <v>94</v>
      </c>
      <c r="E23" s="168">
        <v>102</v>
      </c>
      <c r="F23" s="168">
        <v>108</v>
      </c>
      <c r="G23" s="168">
        <v>61</v>
      </c>
      <c r="H23" s="168">
        <v>66</v>
      </c>
      <c r="I23" s="168">
        <v>76</v>
      </c>
      <c r="J23" s="168">
        <v>88</v>
      </c>
      <c r="K23" s="168">
        <v>154</v>
      </c>
      <c r="L23" s="168">
        <v>156</v>
      </c>
      <c r="M23" s="168">
        <v>152</v>
      </c>
      <c r="N23" s="168">
        <v>161</v>
      </c>
    </row>
    <row r="24" spans="2:14" x14ac:dyDescent="0.25">
      <c r="B24" s="255" t="s">
        <v>203</v>
      </c>
      <c r="C24" s="168">
        <v>2</v>
      </c>
      <c r="D24" s="168">
        <v>2</v>
      </c>
      <c r="E24" s="168">
        <v>2</v>
      </c>
      <c r="F24" s="168">
        <v>1</v>
      </c>
      <c r="G24" s="168">
        <v>0</v>
      </c>
      <c r="H24" s="168">
        <v>0</v>
      </c>
      <c r="I24" s="168">
        <v>0</v>
      </c>
      <c r="J24" s="168">
        <v>0</v>
      </c>
      <c r="K24" s="168">
        <v>0</v>
      </c>
      <c r="L24" s="168">
        <v>0</v>
      </c>
      <c r="M24" s="168">
        <v>0</v>
      </c>
      <c r="N24" s="168">
        <v>0</v>
      </c>
    </row>
    <row r="25" spans="2:14" x14ac:dyDescent="0.25">
      <c r="B25" s="255" t="s">
        <v>204</v>
      </c>
      <c r="C25" s="168">
        <v>151</v>
      </c>
      <c r="D25" s="168">
        <v>166</v>
      </c>
      <c r="E25" s="168">
        <v>247</v>
      </c>
      <c r="F25" s="168">
        <v>247</v>
      </c>
      <c r="G25" s="168">
        <v>85</v>
      </c>
      <c r="H25" s="168">
        <v>455</v>
      </c>
      <c r="I25" s="168">
        <v>455</v>
      </c>
      <c r="J25" s="168">
        <v>511</v>
      </c>
      <c r="K25" s="168">
        <v>511</v>
      </c>
      <c r="L25" s="168">
        <v>45262</v>
      </c>
      <c r="M25" s="168">
        <v>45262</v>
      </c>
      <c r="N25" s="168">
        <v>45692</v>
      </c>
    </row>
    <row r="26" spans="2:14" x14ac:dyDescent="0.25">
      <c r="B26" s="256" t="s">
        <v>205</v>
      </c>
      <c r="C26" s="257">
        <v>155</v>
      </c>
      <c r="D26" s="257">
        <v>177</v>
      </c>
      <c r="E26" s="257">
        <v>183</v>
      </c>
      <c r="F26" s="257">
        <v>193</v>
      </c>
      <c r="G26" s="257">
        <v>19</v>
      </c>
      <c r="H26" s="257">
        <v>19</v>
      </c>
      <c r="I26" s="257">
        <v>26</v>
      </c>
      <c r="J26" s="257">
        <v>60</v>
      </c>
      <c r="K26" s="257">
        <v>71</v>
      </c>
      <c r="L26" s="257">
        <v>155</v>
      </c>
      <c r="M26" s="257">
        <v>152</v>
      </c>
      <c r="N26" s="257">
        <v>171</v>
      </c>
    </row>
    <row r="27" spans="2:14" ht="15.75" thickBot="1" x14ac:dyDescent="0.3">
      <c r="B27" s="260" t="s">
        <v>206</v>
      </c>
      <c r="C27" s="261">
        <v>4061</v>
      </c>
      <c r="D27" s="261">
        <v>4418</v>
      </c>
      <c r="E27" s="261">
        <v>5079</v>
      </c>
      <c r="F27" s="261">
        <v>5412</v>
      </c>
      <c r="G27" s="261">
        <v>3595</v>
      </c>
      <c r="H27" s="261">
        <v>5171</v>
      </c>
      <c r="I27" s="261">
        <v>5752</v>
      </c>
      <c r="J27" s="261">
        <v>6459</v>
      </c>
      <c r="K27" s="261">
        <v>7979</v>
      </c>
      <c r="L27" s="261">
        <v>54924</v>
      </c>
      <c r="M27" s="261">
        <v>55578</v>
      </c>
      <c r="N27" s="261">
        <v>57564</v>
      </c>
    </row>
    <row r="28" spans="2:14" x14ac:dyDescent="0.25">
      <c r="B28" s="89" t="s">
        <v>207</v>
      </c>
      <c r="C28" s="88">
        <v>7310</v>
      </c>
      <c r="D28" s="88">
        <v>10131</v>
      </c>
      <c r="E28" s="88">
        <v>12071</v>
      </c>
      <c r="F28" s="88">
        <v>14412</v>
      </c>
      <c r="G28" s="88">
        <v>2813</v>
      </c>
      <c r="H28" s="88">
        <v>5370</v>
      </c>
      <c r="I28" s="88">
        <v>8069</v>
      </c>
      <c r="J28" s="88">
        <v>10928</v>
      </c>
      <c r="K28" s="88">
        <v>14024</v>
      </c>
      <c r="L28" s="88">
        <v>16508</v>
      </c>
      <c r="M28" s="88">
        <v>18783</v>
      </c>
      <c r="N28" s="88">
        <v>20843</v>
      </c>
    </row>
    <row r="29" spans="2:14" ht="15.75" thickBot="1" x14ac:dyDescent="0.3">
      <c r="B29" s="260" t="s">
        <v>14</v>
      </c>
      <c r="C29" s="262">
        <f>C27-C28</f>
        <v>-3249</v>
      </c>
      <c r="D29" s="262">
        <f t="shared" ref="D29:N29" si="0">D27-D28</f>
        <v>-5713</v>
      </c>
      <c r="E29" s="262">
        <f t="shared" si="0"/>
        <v>-6992</v>
      </c>
      <c r="F29" s="262">
        <f t="shared" si="0"/>
        <v>-9000</v>
      </c>
      <c r="G29" s="262">
        <f t="shared" si="0"/>
        <v>782</v>
      </c>
      <c r="H29" s="262">
        <f t="shared" si="0"/>
        <v>-199</v>
      </c>
      <c r="I29" s="262">
        <f t="shared" si="0"/>
        <v>-2317</v>
      </c>
      <c r="J29" s="262">
        <f t="shared" si="0"/>
        <v>-4469</v>
      </c>
      <c r="K29" s="262">
        <f t="shared" si="0"/>
        <v>-6045</v>
      </c>
      <c r="L29" s="262">
        <f t="shared" si="0"/>
        <v>38416</v>
      </c>
      <c r="M29" s="262">
        <f t="shared" si="0"/>
        <v>36795</v>
      </c>
      <c r="N29" s="262">
        <f t="shared" si="0"/>
        <v>36721</v>
      </c>
    </row>
    <row r="30" spans="2:14" x14ac:dyDescent="0.25">
      <c r="B30" s="258"/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</row>
    <row r="31" spans="2:14" x14ac:dyDescent="0.25">
      <c r="B31" s="254" t="s">
        <v>208</v>
      </c>
      <c r="C31" s="168">
        <v>228</v>
      </c>
      <c r="D31" s="168">
        <v>222</v>
      </c>
      <c r="E31" s="168">
        <v>373</v>
      </c>
      <c r="F31" s="168">
        <v>516</v>
      </c>
      <c r="G31" s="168">
        <v>408</v>
      </c>
      <c r="H31" s="168">
        <v>229</v>
      </c>
      <c r="I31" s="168">
        <v>461</v>
      </c>
      <c r="J31" s="168">
        <v>406</v>
      </c>
      <c r="K31" s="168">
        <v>597</v>
      </c>
      <c r="L31" s="168">
        <v>745</v>
      </c>
      <c r="M31" s="168">
        <v>1313</v>
      </c>
      <c r="N31" s="168">
        <v>1132</v>
      </c>
    </row>
    <row r="32" spans="2:14" x14ac:dyDescent="0.25">
      <c r="B32" s="254" t="s">
        <v>16</v>
      </c>
      <c r="C32" s="168">
        <v>2322</v>
      </c>
      <c r="D32" s="168">
        <v>2252</v>
      </c>
      <c r="E32" s="168">
        <v>2838</v>
      </c>
      <c r="F32" s="168">
        <v>3025</v>
      </c>
      <c r="G32" s="168">
        <v>2592</v>
      </c>
      <c r="H32" s="168">
        <v>3794</v>
      </c>
      <c r="I32" s="168">
        <v>2873</v>
      </c>
      <c r="J32" s="168">
        <v>2716</v>
      </c>
      <c r="K32" s="168">
        <v>1255</v>
      </c>
      <c r="L32" s="168">
        <v>2709</v>
      </c>
      <c r="M32" s="168">
        <v>3521</v>
      </c>
      <c r="N32" s="168">
        <v>2882</v>
      </c>
    </row>
    <row r="33" spans="2:14" x14ac:dyDescent="0.25">
      <c r="B33" s="254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 spans="2:14" x14ac:dyDescent="0.25">
      <c r="B34" s="254" t="s">
        <v>209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</row>
    <row r="35" spans="2:14" x14ac:dyDescent="0.25">
      <c r="B35" s="255" t="s">
        <v>210</v>
      </c>
      <c r="C35" s="168">
        <v>2667</v>
      </c>
      <c r="D35" s="168">
        <v>2706</v>
      </c>
      <c r="E35" s="168">
        <v>2940</v>
      </c>
      <c r="F35" s="168">
        <v>2849</v>
      </c>
      <c r="G35" s="168">
        <v>2726</v>
      </c>
      <c r="H35" s="168">
        <v>2541</v>
      </c>
      <c r="I35" s="168">
        <v>2513</v>
      </c>
      <c r="J35" s="168">
        <v>2574</v>
      </c>
      <c r="K35" s="168">
        <v>2767</v>
      </c>
      <c r="L35" s="168">
        <v>3579</v>
      </c>
      <c r="M35" s="168">
        <v>4096</v>
      </c>
      <c r="N35" s="168">
        <v>4251</v>
      </c>
    </row>
    <row r="36" spans="2:14" x14ac:dyDescent="0.25">
      <c r="B36" s="255" t="s">
        <v>211</v>
      </c>
      <c r="C36" s="168">
        <v>857</v>
      </c>
      <c r="D36" s="168">
        <v>997</v>
      </c>
      <c r="E36" s="168">
        <v>1017</v>
      </c>
      <c r="F36" s="168">
        <v>1010</v>
      </c>
      <c r="G36" s="168">
        <v>1264</v>
      </c>
      <c r="H36" s="168">
        <v>1085</v>
      </c>
      <c r="I36" s="168">
        <v>1310</v>
      </c>
      <c r="J36" s="168">
        <v>1816</v>
      </c>
      <c r="K36" s="168">
        <v>1149</v>
      </c>
      <c r="L36" s="168">
        <v>1758</v>
      </c>
      <c r="M36" s="168">
        <v>2236</v>
      </c>
      <c r="N36" s="168">
        <v>3079</v>
      </c>
    </row>
    <row r="37" spans="2:14" x14ac:dyDescent="0.25">
      <c r="B37" s="255" t="s">
        <v>212</v>
      </c>
      <c r="C37" s="168">
        <v>1996</v>
      </c>
      <c r="D37" s="168">
        <v>1901</v>
      </c>
      <c r="E37" s="168">
        <v>2516</v>
      </c>
      <c r="F37" s="168">
        <v>2689</v>
      </c>
      <c r="G37" s="168">
        <v>3009</v>
      </c>
      <c r="H37" s="168">
        <v>1828</v>
      </c>
      <c r="I37" s="168">
        <v>3485</v>
      </c>
      <c r="J37" s="168">
        <v>3757</v>
      </c>
      <c r="K37" s="168">
        <v>5113</v>
      </c>
      <c r="L37" s="168">
        <v>4471</v>
      </c>
      <c r="M37" s="168">
        <v>3846</v>
      </c>
      <c r="N37" s="168">
        <v>4678</v>
      </c>
    </row>
    <row r="38" spans="2:14" x14ac:dyDescent="0.25">
      <c r="B38" s="255" t="s">
        <v>213</v>
      </c>
      <c r="C38" s="168">
        <v>0</v>
      </c>
      <c r="D38" s="168">
        <v>0</v>
      </c>
      <c r="E38" s="168">
        <v>0</v>
      </c>
      <c r="F38" s="168">
        <v>0</v>
      </c>
      <c r="G38" s="168">
        <v>0</v>
      </c>
      <c r="H38" s="168">
        <v>71</v>
      </c>
      <c r="I38" s="168">
        <v>40</v>
      </c>
      <c r="J38" s="168">
        <v>26</v>
      </c>
      <c r="K38" s="168">
        <v>19</v>
      </c>
      <c r="L38" s="168">
        <v>112</v>
      </c>
      <c r="M38" s="168">
        <v>170</v>
      </c>
      <c r="N38" s="168">
        <v>188</v>
      </c>
    </row>
    <row r="39" spans="2:14" x14ac:dyDescent="0.25">
      <c r="B39" s="256" t="s">
        <v>214</v>
      </c>
      <c r="C39" s="257">
        <v>1074</v>
      </c>
      <c r="D39" s="257">
        <v>1582</v>
      </c>
      <c r="E39" s="257">
        <v>1324</v>
      </c>
      <c r="F39" s="257">
        <v>1519</v>
      </c>
      <c r="G39" s="257">
        <v>1536</v>
      </c>
      <c r="H39" s="257">
        <v>1739</v>
      </c>
      <c r="I39" s="257">
        <v>2652</v>
      </c>
      <c r="J39" s="257">
        <v>2619</v>
      </c>
      <c r="K39" s="257">
        <v>3774</v>
      </c>
      <c r="L39" s="257">
        <v>3923</v>
      </c>
      <c r="M39" s="257">
        <v>3851</v>
      </c>
      <c r="N39" s="257">
        <v>4189</v>
      </c>
    </row>
    <row r="40" spans="2:14" ht="15.75" thickBot="1" x14ac:dyDescent="0.3">
      <c r="B40" s="260" t="s">
        <v>88</v>
      </c>
      <c r="C40" s="261">
        <v>11407</v>
      </c>
      <c r="D40" s="261">
        <v>12092</v>
      </c>
      <c r="E40" s="261">
        <v>13754</v>
      </c>
      <c r="F40" s="261">
        <v>14430</v>
      </c>
      <c r="G40" s="261">
        <v>14793</v>
      </c>
      <c r="H40" s="261">
        <v>15706</v>
      </c>
      <c r="I40" s="261">
        <v>17862</v>
      </c>
      <c r="J40" s="261">
        <v>18629</v>
      </c>
      <c r="K40" s="261">
        <v>20153</v>
      </c>
      <c r="L40" s="261">
        <v>68740</v>
      </c>
      <c r="M40" s="261">
        <v>70506</v>
      </c>
      <c r="N40" s="261">
        <v>73077</v>
      </c>
    </row>
    <row r="42" spans="2:14" x14ac:dyDescent="0.25">
      <c r="B42" s="14" t="s">
        <v>89</v>
      </c>
      <c r="C42" s="14" t="b">
        <f>C40=C16</f>
        <v>1</v>
      </c>
      <c r="D42" s="14" t="b">
        <f t="shared" ref="D42:N42" si="1">D40=D16</f>
        <v>1</v>
      </c>
      <c r="E42" s="14" t="b">
        <f t="shared" si="1"/>
        <v>1</v>
      </c>
      <c r="F42" s="14" t="b">
        <f t="shared" si="1"/>
        <v>1</v>
      </c>
      <c r="G42" s="14" t="b">
        <f t="shared" si="1"/>
        <v>1</v>
      </c>
      <c r="H42" s="14" t="b">
        <f t="shared" si="1"/>
        <v>1</v>
      </c>
      <c r="I42" s="14" t="b">
        <f t="shared" si="1"/>
        <v>1</v>
      </c>
      <c r="J42" s="14" t="b">
        <f t="shared" si="1"/>
        <v>1</v>
      </c>
      <c r="K42" s="14" t="b">
        <f t="shared" si="1"/>
        <v>1</v>
      </c>
      <c r="L42" s="14" t="b">
        <f t="shared" si="1"/>
        <v>1</v>
      </c>
      <c r="M42" s="14" t="b">
        <f t="shared" si="1"/>
        <v>1</v>
      </c>
      <c r="N42" s="14" t="b">
        <f t="shared" si="1"/>
        <v>1</v>
      </c>
    </row>
    <row r="44" spans="2:14" x14ac:dyDescent="0.25">
      <c r="B44" s="86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2:14" x14ac:dyDescent="0.25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2:14" x14ac:dyDescent="0.25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2:14" x14ac:dyDescent="0.25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2:14" x14ac:dyDescent="0.25">
      <c r="C48" s="22"/>
      <c r="D48" s="22"/>
      <c r="E48" s="22"/>
      <c r="F48" s="22"/>
      <c r="G48" s="22"/>
      <c r="H48" s="22"/>
      <c r="J48" s="22"/>
      <c r="K48" s="22"/>
      <c r="L48" s="22"/>
      <c r="M48" s="22"/>
      <c r="N48" s="22"/>
    </row>
    <row r="51" spans="3:14" x14ac:dyDescent="0.25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3" spans="3:14" x14ac:dyDescent="0.25"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3:14" x14ac:dyDescent="0.25">
      <c r="I54" s="22"/>
      <c r="L54" s="22"/>
      <c r="M54" s="22"/>
    </row>
    <row r="55" spans="3:14" x14ac:dyDescent="0.2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3:14" x14ac:dyDescent="0.25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3:14" x14ac:dyDescent="0.25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3:14" x14ac:dyDescent="0.25"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3:14" x14ac:dyDescent="0.25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3:14" x14ac:dyDescent="0.25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5" spans="3:14" x14ac:dyDescent="0.25">
      <c r="M65" s="22"/>
    </row>
    <row r="66" spans="3:14" x14ac:dyDescent="0.25"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3:14" x14ac:dyDescent="0.25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3:14" x14ac:dyDescent="0.25"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3:14" x14ac:dyDescent="0.25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3:14" x14ac:dyDescent="0.25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3:14" x14ac:dyDescent="0.25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3:14" x14ac:dyDescent="0.25"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3:14" x14ac:dyDescent="0.25">
      <c r="C73" s="22"/>
      <c r="L73" s="22"/>
      <c r="M73" s="22"/>
    </row>
    <row r="74" spans="3:14" x14ac:dyDescent="0.25">
      <c r="L74" s="22"/>
      <c r="M74" s="22"/>
    </row>
    <row r="75" spans="3:14" x14ac:dyDescent="0.25"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3:14" x14ac:dyDescent="0.25"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Beta Calculation&gt;</vt:lpstr>
      <vt:lpstr>WACC&gt;</vt:lpstr>
      <vt:lpstr>Market Return of Nifty&gt;</vt:lpstr>
      <vt:lpstr>DCF&gt;</vt:lpstr>
      <vt:lpstr>Intrinsic Growth&gt;</vt:lpstr>
      <vt:lpstr>Relative Valuation&gt;</vt:lpstr>
      <vt:lpstr>Common Size Statements&gt;</vt:lpstr>
      <vt:lpstr>Forecasting&gt;</vt:lpstr>
      <vt:lpstr>Ratio Analysis&gt;</vt:lpstr>
      <vt:lpstr>Historical FS&gt;</vt:lpstr>
      <vt:lpstr>Data Sheet</vt:lpstr>
      <vt:lpstr>Cash Flow Data</vt:lpstr>
      <vt:lpstr>Data For Relative Valuation</vt:lpstr>
      <vt:lpstr>RAW FS</vt:lpstr>
      <vt:lpstr>'Relative Valuation&gt;'!Print_Area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NAVJOTH SINGH</cp:lastModifiedBy>
  <cp:lastPrinted>2023-07-23T15:22:13Z</cp:lastPrinted>
  <dcterms:created xsi:type="dcterms:W3CDTF">2012-08-17T09:55:37Z</dcterms:created>
  <dcterms:modified xsi:type="dcterms:W3CDTF">2023-07-25T18:58:23Z</dcterms:modified>
</cp:coreProperties>
</file>