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filterPrivacy="1" hidePivotFieldList="1"/>
  <xr:revisionPtr revIDLastSave="0" documentId="13_ncr:1_{71D9EB4C-28A4-40C8-BAB8-2683D0AA9E28}" xr6:coauthVersionLast="47" xr6:coauthVersionMax="47" xr10:uidLastSave="{00000000-0000-0000-0000-000000000000}"/>
  <bookViews>
    <workbookView xWindow="-120" yWindow="-120" windowWidth="20730" windowHeight="11040" tabRatio="889" activeTab="6" xr2:uid="{00000000-000D-0000-FFFF-FFFF00000000}"/>
  </bookViews>
  <sheets>
    <sheet name="ICICI" sheetId="14" r:id="rId1"/>
    <sheet name="SBI" sheetId="18" r:id="rId2"/>
    <sheet name="HDFC" sheetId="15" r:id="rId3"/>
    <sheet name="Federal" sheetId="16" r:id="rId4"/>
    <sheet name="Axis" sheetId="19" r:id="rId5"/>
    <sheet name="Yes" sheetId="17" r:id="rId6"/>
    <sheet name="Outflow" sheetId="20" r:id="rId7"/>
    <sheet name="Inflow" sheetId="21" r:id="rId8"/>
    <sheet name="CCC" sheetId="22" r:id="rId9"/>
  </sheets>
  <definedNames>
    <definedName name="_xlnm._FilterDatabase" localSheetId="4" hidden="1">Axis!$A$1:$N$83</definedName>
    <definedName name="_xlnm._FilterDatabase" localSheetId="3" hidden="1">Federal!$A$1:$O$189</definedName>
    <definedName name="_xlnm._FilterDatabase" localSheetId="2" hidden="1">HDFC!$A$1:$N$167</definedName>
    <definedName name="_xlnm._FilterDatabase" localSheetId="0" hidden="1">ICICI!$A$1:$N$799</definedName>
    <definedName name="_xlnm._FilterDatabase" localSheetId="7" hidden="1">Inflow!$A$1:$AQ$1</definedName>
    <definedName name="_xlnm._FilterDatabase" localSheetId="6" hidden="1">Outflow!$A$1:$Q$1411</definedName>
    <definedName name="_xlnm._FilterDatabase" localSheetId="1" hidden="1">SBI!$A$1:$Q$703</definedName>
    <definedName name="_xlnm._FilterDatabase" localSheetId="5" hidden="1">Yes!$A$1:$N$86</definedName>
    <definedName name="Cash_Minimum">#REF!</definedName>
    <definedName name="Start_Dat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47" i="20" l="1"/>
  <c r="B1246" i="20"/>
  <c r="B1010" i="20"/>
  <c r="B1009" i="20"/>
  <c r="B977" i="20"/>
  <c r="B976" i="20"/>
  <c r="B975" i="20"/>
  <c r="B945" i="20"/>
  <c r="B944" i="20"/>
  <c r="B932" i="20"/>
  <c r="B931" i="20"/>
  <c r="B930" i="20"/>
  <c r="B896" i="20"/>
  <c r="B894" i="20"/>
  <c r="B883" i="20"/>
  <c r="B859" i="20"/>
  <c r="B853" i="20"/>
  <c r="B825" i="20"/>
  <c r="B823" i="20"/>
  <c r="B812" i="20"/>
  <c r="B397" i="20"/>
  <c r="B200" i="20"/>
  <c r="J492" i="20"/>
  <c r="C492" i="20" a="1"/>
  <c r="C492" i="20" s="1"/>
  <c r="J491" i="20"/>
  <c r="C491" i="20" a="1"/>
  <c r="C491" i="20" s="1"/>
  <c r="J490" i="20"/>
  <c r="C490" i="20" a="1"/>
  <c r="C490" i="20" s="1"/>
  <c r="J489" i="20"/>
  <c r="C489" i="20" a="1"/>
  <c r="C489" i="20" s="1"/>
  <c r="J488" i="20"/>
  <c r="C488" i="20" a="1"/>
  <c r="C488" i="20" s="1"/>
  <c r="J487" i="20"/>
  <c r="C487" i="20" a="1"/>
  <c r="C487" i="20" s="1"/>
  <c r="J486" i="20"/>
  <c r="C486" i="20" a="1"/>
  <c r="C486" i="20" s="1"/>
  <c r="J485" i="20"/>
  <c r="C485" i="20" a="1"/>
  <c r="C485" i="20" s="1"/>
  <c r="J484" i="20"/>
  <c r="C484" i="20" a="1"/>
  <c r="C484" i="20" s="1"/>
  <c r="J483" i="20"/>
  <c r="C483" i="20" a="1"/>
  <c r="C483" i="20" s="1"/>
  <c r="J482" i="20"/>
  <c r="C482" i="20" a="1"/>
  <c r="C482" i="20" s="1"/>
  <c r="J481" i="20"/>
  <c r="C481" i="20" a="1"/>
  <c r="C481" i="20" s="1"/>
  <c r="J480" i="20"/>
  <c r="C480" i="20" a="1"/>
  <c r="C480" i="20" s="1"/>
  <c r="J479" i="20"/>
  <c r="C479" i="20" a="1"/>
  <c r="C479" i="20" s="1"/>
  <c r="J478" i="20"/>
  <c r="C478" i="20" a="1"/>
  <c r="C478" i="20" s="1"/>
  <c r="J477" i="20"/>
  <c r="C477" i="20" a="1"/>
  <c r="C477" i="20" s="1"/>
  <c r="J476" i="20"/>
  <c r="C476" i="20" a="1"/>
  <c r="C476" i="20" s="1"/>
  <c r="J475" i="20"/>
  <c r="C475" i="20" a="1"/>
  <c r="C475" i="20" s="1"/>
  <c r="J474" i="20"/>
  <c r="C474" i="20" a="1"/>
  <c r="C474" i="20" s="1"/>
  <c r="J473" i="20"/>
  <c r="C473" i="20" a="1"/>
  <c r="C473" i="20" s="1"/>
  <c r="J472" i="20"/>
  <c r="C472" i="20" a="1"/>
  <c r="C472" i="20" s="1"/>
  <c r="J471" i="20"/>
  <c r="C471" i="20" a="1"/>
  <c r="C471" i="20" s="1"/>
  <c r="J470" i="20"/>
  <c r="C470" i="20" a="1"/>
  <c r="C470" i="20" s="1"/>
  <c r="J469" i="20"/>
  <c r="C469" i="20" a="1"/>
  <c r="C469" i="20" s="1"/>
  <c r="J468" i="20"/>
  <c r="C468" i="20" a="1"/>
  <c r="C468" i="20" s="1"/>
  <c r="J467" i="20"/>
  <c r="C467" i="20" a="1"/>
  <c r="C467" i="20" s="1"/>
  <c r="J466" i="20"/>
  <c r="C466" i="20" a="1"/>
  <c r="C466" i="20" s="1"/>
  <c r="J465" i="20"/>
  <c r="C465" i="20" a="1"/>
  <c r="C465" i="20" s="1"/>
  <c r="J464" i="20"/>
  <c r="C464" i="20" a="1"/>
  <c r="C464" i="20" s="1"/>
  <c r="J463" i="20"/>
  <c r="C463" i="20" a="1"/>
  <c r="C463" i="20" s="1"/>
  <c r="J462" i="20"/>
  <c r="C462" i="20" a="1"/>
  <c r="C462" i="20" s="1"/>
  <c r="J461" i="20"/>
  <c r="C461" i="20" a="1"/>
  <c r="C461" i="20" s="1"/>
  <c r="J460" i="20"/>
  <c r="C460" i="20" a="1"/>
  <c r="C460" i="20" s="1"/>
  <c r="J459" i="20"/>
  <c r="C459" i="20" a="1"/>
  <c r="C459" i="20" s="1"/>
  <c r="J458" i="20"/>
  <c r="C458" i="20" a="1"/>
  <c r="C458" i="20" s="1"/>
  <c r="J457" i="20"/>
  <c r="C457" i="20" a="1"/>
  <c r="C457" i="20" s="1"/>
  <c r="J456" i="20"/>
  <c r="C456" i="20" a="1"/>
  <c r="C456" i="20" s="1"/>
  <c r="J455" i="20"/>
  <c r="C455" i="20" a="1"/>
  <c r="C455" i="20" s="1"/>
  <c r="J454" i="20"/>
  <c r="C454" i="20" a="1"/>
  <c r="C454" i="20" s="1"/>
  <c r="J453" i="20"/>
  <c r="C453" i="20" a="1"/>
  <c r="C453" i="20" s="1"/>
  <c r="J452" i="20"/>
  <c r="C452" i="20" a="1"/>
  <c r="C452" i="20" s="1"/>
  <c r="J451" i="20"/>
  <c r="C451" i="20" a="1"/>
  <c r="C451" i="20" s="1"/>
  <c r="J450" i="20"/>
  <c r="C450" i="20" a="1"/>
  <c r="C450" i="20" s="1"/>
  <c r="J449" i="20"/>
  <c r="C449" i="20" a="1"/>
  <c r="C449" i="20" s="1"/>
  <c r="J448" i="20"/>
  <c r="C448" i="20" a="1"/>
  <c r="C448" i="20" s="1"/>
  <c r="J447" i="20"/>
  <c r="C447" i="20" a="1"/>
  <c r="C447" i="20" s="1"/>
  <c r="J446" i="20"/>
  <c r="C446" i="20" a="1"/>
  <c r="C446" i="20" s="1"/>
  <c r="J445" i="20"/>
  <c r="C445" i="20" a="1"/>
  <c r="C445" i="20" s="1"/>
  <c r="J444" i="20"/>
  <c r="C444" i="20" a="1"/>
  <c r="C444" i="20" s="1"/>
  <c r="J443" i="20"/>
  <c r="C443" i="20" a="1"/>
  <c r="C443" i="20" s="1"/>
  <c r="J442" i="20"/>
  <c r="C442" i="20" a="1"/>
  <c r="C442" i="20" s="1"/>
  <c r="J441" i="20"/>
  <c r="C441" i="20" a="1"/>
  <c r="C441" i="20" s="1"/>
  <c r="J440" i="20"/>
  <c r="C440" i="20" a="1"/>
  <c r="C440" i="20" s="1"/>
  <c r="J439" i="20"/>
  <c r="C439" i="20" a="1"/>
  <c r="C439" i="20" s="1"/>
  <c r="J438" i="20"/>
  <c r="C438" i="20" a="1"/>
  <c r="C438" i="20" s="1"/>
  <c r="J437" i="20"/>
  <c r="C437" i="20" a="1"/>
  <c r="C437" i="20" s="1"/>
  <c r="J436" i="20"/>
  <c r="C436" i="20" a="1"/>
  <c r="C436" i="20" s="1"/>
  <c r="J435" i="20"/>
  <c r="C435" i="20" a="1"/>
  <c r="C435" i="20" s="1"/>
  <c r="J434" i="20"/>
  <c r="C434" i="20" a="1"/>
  <c r="C434" i="20" s="1"/>
  <c r="I433" i="20"/>
  <c r="J433" i="20" s="1"/>
  <c r="C433" i="20" a="1"/>
  <c r="C433" i="20" s="1"/>
  <c r="I432" i="20"/>
  <c r="J432" i="20" s="1"/>
  <c r="C432" i="20" a="1"/>
  <c r="C432" i="20" s="1"/>
  <c r="I431" i="20"/>
  <c r="J431" i="20" s="1"/>
  <c r="C431" i="20" a="1"/>
  <c r="C431" i="20" s="1"/>
  <c r="I430" i="20"/>
  <c r="J430" i="20" s="1"/>
  <c r="C430" i="20" a="1"/>
  <c r="C430" i="20" s="1"/>
  <c r="I429" i="20"/>
  <c r="J429" i="20" s="1"/>
  <c r="C429" i="20" a="1"/>
  <c r="C429" i="20" s="1"/>
  <c r="I428" i="20"/>
  <c r="J428" i="20" s="1"/>
  <c r="C428" i="20" a="1"/>
  <c r="C428" i="20" s="1"/>
  <c r="I427" i="20"/>
  <c r="J427" i="20" s="1"/>
  <c r="C427" i="20" a="1"/>
  <c r="C427" i="20" s="1"/>
  <c r="I426" i="20"/>
  <c r="J426" i="20" s="1"/>
  <c r="C426" i="20" a="1"/>
  <c r="C426" i="20" s="1"/>
  <c r="I425" i="20"/>
  <c r="J425" i="20" s="1"/>
  <c r="C425" i="20" a="1"/>
  <c r="C425" i="20" s="1"/>
  <c r="I424" i="20"/>
  <c r="J424" i="20" s="1"/>
  <c r="C424" i="20" a="1"/>
  <c r="C424" i="20" s="1"/>
  <c r="I423" i="20"/>
  <c r="J423" i="20" s="1"/>
  <c r="C423" i="20" a="1"/>
  <c r="C423" i="20" s="1"/>
  <c r="I422" i="20"/>
  <c r="J422" i="20" s="1"/>
  <c r="C422" i="20" a="1"/>
  <c r="C422" i="20" s="1"/>
  <c r="I421" i="20"/>
  <c r="J421" i="20" s="1"/>
  <c r="C421" i="20" a="1"/>
  <c r="C421" i="20" s="1"/>
  <c r="I420" i="20"/>
  <c r="J420" i="20" s="1"/>
  <c r="C420" i="20" a="1"/>
  <c r="C420" i="20" s="1"/>
  <c r="I419" i="20"/>
  <c r="J419" i="20" s="1"/>
  <c r="C419" i="20" a="1"/>
  <c r="C419" i="20" s="1"/>
  <c r="I418" i="20"/>
  <c r="J418" i="20" s="1"/>
  <c r="C418" i="20" a="1"/>
  <c r="C418" i="20" s="1"/>
  <c r="I417" i="20"/>
  <c r="J417" i="20" s="1"/>
  <c r="C417" i="20" a="1"/>
  <c r="C417" i="20" s="1"/>
  <c r="I416" i="20"/>
  <c r="J416" i="20" s="1"/>
  <c r="C416" i="20" a="1"/>
  <c r="C416" i="20" s="1"/>
  <c r="I415" i="20"/>
  <c r="J415" i="20" s="1"/>
  <c r="C415" i="20" a="1"/>
  <c r="C415" i="20" s="1"/>
  <c r="I414" i="20"/>
  <c r="J414" i="20" s="1"/>
  <c r="C414" i="20" a="1"/>
  <c r="C414" i="20" s="1"/>
  <c r="I413" i="20"/>
  <c r="J413" i="20" s="1"/>
  <c r="C413" i="20" a="1"/>
  <c r="C413" i="20" s="1"/>
  <c r="I412" i="20"/>
  <c r="J412" i="20" s="1"/>
  <c r="C412" i="20" a="1"/>
  <c r="C412" i="20" s="1"/>
  <c r="I411" i="20"/>
  <c r="J411" i="20" s="1"/>
  <c r="C411" i="20" a="1"/>
  <c r="C411" i="20" s="1"/>
  <c r="I410" i="20"/>
  <c r="J410" i="20" s="1"/>
  <c r="C410" i="20" a="1"/>
  <c r="C410" i="20" s="1"/>
  <c r="I409" i="20"/>
  <c r="J409" i="20" s="1"/>
  <c r="C409" i="20" a="1"/>
  <c r="C409" i="20" s="1"/>
  <c r="I408" i="20"/>
  <c r="J408" i="20" s="1"/>
  <c r="C408" i="20" a="1"/>
  <c r="C408" i="20" s="1"/>
  <c r="I407" i="20"/>
  <c r="J407" i="20" s="1"/>
  <c r="C407" i="20" a="1"/>
  <c r="C407" i="20" s="1"/>
  <c r="I406" i="20"/>
  <c r="J406" i="20" s="1"/>
  <c r="C406" i="20" a="1"/>
  <c r="C406" i="20" s="1"/>
  <c r="I405" i="20"/>
  <c r="J405" i="20" s="1"/>
  <c r="C405" i="20" a="1"/>
  <c r="C405" i="20" s="1"/>
  <c r="I404" i="20"/>
  <c r="J404" i="20" s="1"/>
  <c r="C404" i="20" a="1"/>
  <c r="C404" i="20" s="1"/>
  <c r="I403" i="20"/>
  <c r="J403" i="20" s="1"/>
  <c r="C403" i="20" a="1"/>
  <c r="C403" i="20" s="1"/>
  <c r="I402" i="20"/>
  <c r="J402" i="20" s="1"/>
  <c r="C402" i="20" a="1"/>
  <c r="C402" i="20" s="1"/>
  <c r="I401" i="20"/>
  <c r="J401" i="20" s="1"/>
  <c r="C401" i="20" a="1"/>
  <c r="C401" i="20" s="1"/>
  <c r="I400" i="20"/>
  <c r="J400" i="20" s="1"/>
  <c r="C400" i="20" a="1"/>
  <c r="C400" i="20" s="1"/>
  <c r="I399" i="20"/>
  <c r="J399" i="20" s="1"/>
  <c r="C399" i="20" a="1"/>
  <c r="C399" i="20" s="1"/>
  <c r="I398" i="20"/>
  <c r="J398" i="20" s="1"/>
  <c r="C398" i="20" a="1"/>
  <c r="C398" i="20" s="1"/>
  <c r="J397" i="20"/>
  <c r="C397" i="20" a="1"/>
  <c r="C397" i="20" s="1"/>
  <c r="J396" i="20"/>
  <c r="C396" i="20" a="1"/>
  <c r="C396" i="20" s="1"/>
  <c r="J395" i="20"/>
  <c r="C395" i="20" a="1"/>
  <c r="C395" i="20" s="1"/>
  <c r="J394" i="20"/>
  <c r="C394" i="20" a="1"/>
  <c r="C394" i="20" s="1"/>
  <c r="J393" i="20"/>
  <c r="C393" i="20" a="1"/>
  <c r="C393" i="20" s="1"/>
  <c r="J392" i="20"/>
  <c r="C392" i="20" a="1"/>
  <c r="C392" i="20" s="1"/>
  <c r="J391" i="20"/>
  <c r="C391" i="20" a="1"/>
  <c r="C391" i="20" s="1"/>
  <c r="J390" i="20"/>
  <c r="C390" i="20" a="1"/>
  <c r="C390" i="20" s="1"/>
  <c r="J389" i="20"/>
  <c r="C389" i="20" a="1"/>
  <c r="C389" i="20" s="1"/>
  <c r="J388" i="20"/>
  <c r="C388" i="20" a="1"/>
  <c r="C388" i="20" s="1"/>
  <c r="J387" i="20"/>
  <c r="C387" i="20" a="1"/>
  <c r="C387" i="20" s="1"/>
  <c r="J386" i="20"/>
  <c r="C386" i="20" a="1"/>
  <c r="C386" i="20" s="1"/>
  <c r="J385" i="20"/>
  <c r="C385" i="20" a="1"/>
  <c r="C385" i="20" s="1"/>
  <c r="J384" i="20"/>
  <c r="C384" i="20" a="1"/>
  <c r="C384" i="20" s="1"/>
  <c r="J383" i="20"/>
  <c r="C383" i="20" a="1"/>
  <c r="C383" i="20" s="1"/>
  <c r="J382" i="20"/>
  <c r="C382" i="20" a="1"/>
  <c r="C382" i="20" s="1"/>
  <c r="J381" i="20"/>
  <c r="C381" i="20" a="1"/>
  <c r="C381" i="20" s="1"/>
  <c r="J380" i="20"/>
  <c r="C380" i="20" a="1"/>
  <c r="C380" i="20" s="1"/>
  <c r="J379" i="20"/>
  <c r="C379" i="20" a="1"/>
  <c r="C379" i="20" s="1"/>
  <c r="J378" i="20"/>
  <c r="C378" i="20" a="1"/>
  <c r="C378" i="20" s="1"/>
  <c r="J377" i="20"/>
  <c r="C377" i="20" a="1"/>
  <c r="C377" i="20" s="1"/>
  <c r="J376" i="20"/>
  <c r="C376" i="20" a="1"/>
  <c r="C376" i="20" s="1"/>
  <c r="J375" i="20"/>
  <c r="C375" i="20" a="1"/>
  <c r="C375" i="20" s="1"/>
  <c r="J374" i="20"/>
  <c r="C374" i="20" a="1"/>
  <c r="C374" i="20" s="1"/>
  <c r="J373" i="20"/>
  <c r="C373" i="20" a="1"/>
  <c r="C373" i="20" s="1"/>
  <c r="J372" i="20"/>
  <c r="C372" i="20" a="1"/>
  <c r="C372" i="20" s="1"/>
  <c r="J371" i="20"/>
  <c r="C371" i="20" a="1"/>
  <c r="C371" i="20" s="1"/>
  <c r="J370" i="20"/>
  <c r="C370" i="20" a="1"/>
  <c r="C370" i="20" s="1"/>
  <c r="J369" i="20"/>
  <c r="C369" i="20" a="1"/>
  <c r="C369" i="20" s="1"/>
  <c r="J368" i="20"/>
  <c r="C368" i="20" a="1"/>
  <c r="C368" i="20" s="1"/>
  <c r="J367" i="20"/>
  <c r="C367" i="20" a="1"/>
  <c r="C367" i="20" s="1"/>
  <c r="J366" i="20"/>
  <c r="C366" i="20" a="1"/>
  <c r="C366" i="20" s="1"/>
  <c r="J365" i="20"/>
  <c r="C365" i="20" a="1"/>
  <c r="C365" i="20" s="1"/>
  <c r="J364" i="20"/>
  <c r="C364" i="20" a="1"/>
  <c r="C364" i="20" s="1"/>
  <c r="J363" i="20"/>
  <c r="C363" i="20" a="1"/>
  <c r="C363" i="20" s="1"/>
  <c r="J362" i="20"/>
  <c r="C362" i="20" a="1"/>
  <c r="C362" i="20" s="1"/>
  <c r="J361" i="20"/>
  <c r="C361" i="20" a="1"/>
  <c r="C361" i="20" s="1"/>
  <c r="J360" i="20"/>
  <c r="C360" i="20" a="1"/>
  <c r="C360" i="20" s="1"/>
  <c r="J359" i="20"/>
  <c r="C359" i="20" a="1"/>
  <c r="C359" i="20" s="1"/>
  <c r="J358" i="20"/>
  <c r="C358" i="20" a="1"/>
  <c r="C358" i="20" s="1"/>
  <c r="J357" i="20"/>
  <c r="C357" i="20" a="1"/>
  <c r="C357" i="20" s="1"/>
  <c r="J356" i="20"/>
  <c r="C356" i="20" a="1"/>
  <c r="C356" i="20" s="1"/>
  <c r="J355" i="20"/>
  <c r="C355" i="20" a="1"/>
  <c r="C355" i="20" s="1"/>
  <c r="J354" i="20"/>
  <c r="C354" i="20" a="1"/>
  <c r="C354" i="20" s="1"/>
  <c r="J353" i="20"/>
  <c r="C353" i="20" a="1"/>
  <c r="C353" i="20" s="1"/>
  <c r="J352" i="20"/>
  <c r="C352" i="20" a="1"/>
  <c r="C352" i="20" s="1"/>
  <c r="J351" i="20"/>
  <c r="C351" i="20" a="1"/>
  <c r="C351" i="20" s="1"/>
  <c r="J350" i="20"/>
  <c r="C350" i="20" a="1"/>
  <c r="C350" i="20" s="1"/>
  <c r="J349" i="20"/>
  <c r="C349" i="20" a="1"/>
  <c r="C349" i="20" s="1"/>
  <c r="J348" i="20"/>
  <c r="C348" i="20" a="1"/>
  <c r="C348" i="20" s="1"/>
  <c r="J347" i="20"/>
  <c r="C347" i="20" a="1"/>
  <c r="C347" i="20" s="1"/>
  <c r="J346" i="20"/>
  <c r="C346" i="20" a="1"/>
  <c r="C346" i="20" s="1"/>
  <c r="J345" i="20"/>
  <c r="C345" i="20" a="1"/>
  <c r="C345" i="20" s="1"/>
  <c r="J344" i="20"/>
  <c r="C344" i="20" a="1"/>
  <c r="C344" i="20" s="1"/>
  <c r="J343" i="20"/>
  <c r="C343" i="20" a="1"/>
  <c r="C343" i="20" s="1"/>
  <c r="J342" i="20"/>
  <c r="C342" i="20" a="1"/>
  <c r="C342" i="20" s="1"/>
  <c r="J341" i="20"/>
  <c r="C341" i="20" a="1"/>
  <c r="C341" i="20" s="1"/>
  <c r="J340" i="20"/>
  <c r="C340" i="20" a="1"/>
  <c r="C340" i="20" s="1"/>
  <c r="J339" i="20"/>
  <c r="C339" i="20" a="1"/>
  <c r="C339" i="20" s="1"/>
  <c r="J338" i="20"/>
  <c r="C338" i="20" a="1"/>
  <c r="C338" i="20" s="1"/>
  <c r="J337" i="20"/>
  <c r="C337" i="20" a="1"/>
  <c r="C337" i="20" s="1"/>
  <c r="J336" i="20"/>
  <c r="C336" i="20" a="1"/>
  <c r="C336" i="20" s="1"/>
  <c r="J335" i="20"/>
  <c r="C335" i="20" a="1"/>
  <c r="C335" i="20" s="1"/>
  <c r="J334" i="20"/>
  <c r="C334" i="20" a="1"/>
  <c r="C334" i="20" s="1"/>
  <c r="J333" i="20"/>
  <c r="C333" i="20" a="1"/>
  <c r="C333" i="20" s="1"/>
  <c r="J332" i="20"/>
  <c r="C332" i="20" a="1"/>
  <c r="C332" i="20" s="1"/>
  <c r="J331" i="20"/>
  <c r="C331" i="20" a="1"/>
  <c r="C331" i="20" s="1"/>
  <c r="J330" i="20"/>
  <c r="C330" i="20" a="1"/>
  <c r="C330" i="20" s="1"/>
  <c r="J329" i="20"/>
  <c r="C329" i="20" a="1"/>
  <c r="C329" i="20" s="1"/>
  <c r="J328" i="20"/>
  <c r="C328" i="20" a="1"/>
  <c r="C328" i="20" s="1"/>
  <c r="J327" i="20"/>
  <c r="C327" i="20" a="1"/>
  <c r="C327" i="20" s="1"/>
  <c r="J326" i="20"/>
  <c r="C326" i="20" a="1"/>
  <c r="C326" i="20" s="1"/>
  <c r="J325" i="20"/>
  <c r="C325" i="20" a="1"/>
  <c r="C325" i="20" s="1"/>
  <c r="J324" i="20"/>
  <c r="C324" i="20" a="1"/>
  <c r="C324" i="20" s="1"/>
  <c r="J323" i="20"/>
  <c r="C323" i="20" a="1"/>
  <c r="C323" i="20" s="1"/>
  <c r="J322" i="20"/>
  <c r="C322" i="20" a="1"/>
  <c r="C322" i="20" s="1"/>
  <c r="J321" i="20"/>
  <c r="C321" i="20" a="1"/>
  <c r="C321" i="20" s="1"/>
  <c r="J320" i="20"/>
  <c r="C320" i="20" a="1"/>
  <c r="C320" i="20" s="1"/>
  <c r="J319" i="20"/>
  <c r="C319" i="20" a="1"/>
  <c r="C319" i="20" s="1"/>
  <c r="J318" i="20"/>
  <c r="C318" i="20" a="1"/>
  <c r="C318" i="20" s="1"/>
  <c r="J317" i="20"/>
  <c r="C317" i="20" a="1"/>
  <c r="C317" i="20" s="1"/>
  <c r="J316" i="20"/>
  <c r="C316" i="20" a="1"/>
  <c r="C316" i="20" s="1"/>
  <c r="J315" i="20"/>
  <c r="C315" i="20" a="1"/>
  <c r="C315" i="20" s="1"/>
  <c r="J314" i="20"/>
  <c r="C314" i="20" a="1"/>
  <c r="C314" i="20" s="1"/>
  <c r="J313" i="20"/>
  <c r="C313" i="20" a="1"/>
  <c r="C313" i="20" s="1"/>
  <c r="J312" i="20"/>
  <c r="C312" i="20" a="1"/>
  <c r="C312" i="20" s="1"/>
  <c r="J311" i="20"/>
  <c r="C311" i="20" a="1"/>
  <c r="C311" i="20" s="1"/>
  <c r="J310" i="20"/>
  <c r="C310" i="20" a="1"/>
  <c r="C310" i="20" s="1"/>
  <c r="J309" i="20"/>
  <c r="C309" i="20" a="1"/>
  <c r="C309" i="20" s="1"/>
  <c r="J308" i="20"/>
  <c r="C308" i="20" a="1"/>
  <c r="C308" i="20" s="1"/>
  <c r="J307" i="20"/>
  <c r="C307" i="20" a="1"/>
  <c r="C307" i="20" s="1"/>
  <c r="J306" i="20"/>
  <c r="C306" i="20" a="1"/>
  <c r="C306" i="20" s="1"/>
  <c r="J305" i="20"/>
  <c r="C305" i="20" a="1"/>
  <c r="C305" i="20" s="1"/>
  <c r="J304" i="20"/>
  <c r="C304" i="20" a="1"/>
  <c r="C304" i="20" s="1"/>
  <c r="J303" i="20"/>
  <c r="C303" i="20" a="1"/>
  <c r="C303" i="20" s="1"/>
  <c r="J302" i="20"/>
  <c r="C302" i="20" a="1"/>
  <c r="C302" i="20" s="1"/>
  <c r="J301" i="20"/>
  <c r="C301" i="20" a="1"/>
  <c r="C301" i="20" s="1"/>
  <c r="J300" i="20"/>
  <c r="C300" i="20" a="1"/>
  <c r="C300" i="20" s="1"/>
  <c r="J299" i="20"/>
  <c r="C299" i="20" a="1"/>
  <c r="C299" i="20" s="1"/>
  <c r="J298" i="20"/>
  <c r="C298" i="20" a="1"/>
  <c r="C298" i="20" s="1"/>
  <c r="J297" i="20"/>
  <c r="C297" i="20" a="1"/>
  <c r="C297" i="20" s="1"/>
  <c r="J296" i="20"/>
  <c r="C296" i="20" a="1"/>
  <c r="C296" i="20" s="1"/>
  <c r="J295" i="20"/>
  <c r="C295" i="20" a="1"/>
  <c r="C295" i="20" s="1"/>
  <c r="J294" i="20"/>
  <c r="C294" i="20" a="1"/>
  <c r="C294" i="20" s="1"/>
  <c r="J293" i="20"/>
  <c r="C293" i="20" a="1"/>
  <c r="C293" i="20" s="1"/>
  <c r="J292" i="20"/>
  <c r="C292" i="20" a="1"/>
  <c r="C292" i="20" s="1"/>
  <c r="J291" i="20"/>
  <c r="C291" i="20" a="1"/>
  <c r="C291" i="20" s="1"/>
  <c r="J290" i="20"/>
  <c r="C290" i="20" a="1"/>
  <c r="C290" i="20" s="1"/>
  <c r="J289" i="20"/>
  <c r="C289" i="20" a="1"/>
  <c r="C289" i="20" s="1"/>
  <c r="J288" i="20"/>
  <c r="C288" i="20" a="1"/>
  <c r="C288" i="20" s="1"/>
  <c r="J287" i="20"/>
  <c r="C287" i="20" a="1"/>
  <c r="C287" i="20" s="1"/>
  <c r="J286" i="20"/>
  <c r="C286" i="20" a="1"/>
  <c r="C286" i="20" s="1"/>
  <c r="J285" i="20"/>
  <c r="C285" i="20" a="1"/>
  <c r="C285" i="20" s="1"/>
  <c r="J284" i="20"/>
  <c r="C284" i="20" a="1"/>
  <c r="C284" i="20" s="1"/>
  <c r="J283" i="20"/>
  <c r="C283" i="20" a="1"/>
  <c r="C283" i="20" s="1"/>
  <c r="J282" i="20"/>
  <c r="C282" i="20" a="1"/>
  <c r="C282" i="20" s="1"/>
  <c r="J281" i="20"/>
  <c r="C281" i="20" a="1"/>
  <c r="C281" i="20" s="1"/>
  <c r="J280" i="20"/>
  <c r="C280" i="20" a="1"/>
  <c r="C280" i="20" s="1"/>
  <c r="J279" i="20"/>
  <c r="C279" i="20" a="1"/>
  <c r="C279" i="20" s="1"/>
  <c r="J278" i="20"/>
  <c r="C278" i="20" a="1"/>
  <c r="C278" i="20" s="1"/>
  <c r="J277" i="20"/>
  <c r="C277" i="20" a="1"/>
  <c r="C277" i="20" s="1"/>
  <c r="J276" i="20"/>
  <c r="C276" i="20" a="1"/>
  <c r="C276" i="20" s="1"/>
  <c r="J275" i="20"/>
  <c r="C275" i="20" a="1"/>
  <c r="C275" i="20" s="1"/>
  <c r="J274" i="20"/>
  <c r="C274" i="20" a="1"/>
  <c r="C274" i="20" s="1"/>
  <c r="J273" i="20"/>
  <c r="C273" i="20" a="1"/>
  <c r="C273" i="20" s="1"/>
  <c r="J272" i="20"/>
  <c r="C272" i="20" a="1"/>
  <c r="C272" i="20" s="1"/>
  <c r="J271" i="20"/>
  <c r="C271" i="20" a="1"/>
  <c r="C271" i="20" s="1"/>
  <c r="J270" i="20"/>
  <c r="C270" i="20" a="1"/>
  <c r="C270" i="20" s="1"/>
  <c r="J269" i="20"/>
  <c r="C269" i="20" a="1"/>
  <c r="C269" i="20" s="1"/>
  <c r="J268" i="20"/>
  <c r="C268" i="20" a="1"/>
  <c r="C268" i="20" s="1"/>
  <c r="J267" i="20"/>
  <c r="C267" i="20" a="1"/>
  <c r="C267" i="20" s="1"/>
  <c r="J266" i="20"/>
  <c r="C266" i="20" a="1"/>
  <c r="C266" i="20" s="1"/>
  <c r="J265" i="20"/>
  <c r="C265" i="20" a="1"/>
  <c r="C265" i="20" s="1"/>
  <c r="J264" i="20"/>
  <c r="C264" i="20" a="1"/>
  <c r="C264" i="20" s="1"/>
  <c r="J263" i="20"/>
  <c r="C263" i="20" a="1"/>
  <c r="C263" i="20" s="1"/>
  <c r="J262" i="20"/>
  <c r="C262" i="20" a="1"/>
  <c r="C262" i="20" s="1"/>
  <c r="J261" i="20"/>
  <c r="C261" i="20" a="1"/>
  <c r="C261" i="20" s="1"/>
  <c r="J260" i="20"/>
  <c r="C260" i="20" a="1"/>
  <c r="C260" i="20" s="1"/>
  <c r="J259" i="20"/>
  <c r="C259" i="20" a="1"/>
  <c r="C259" i="20" s="1"/>
  <c r="J258" i="20"/>
  <c r="C258" i="20" a="1"/>
  <c r="C258" i="20" s="1"/>
  <c r="J257" i="20"/>
  <c r="C257" i="20" a="1"/>
  <c r="C257" i="20" s="1"/>
  <c r="J256" i="20"/>
  <c r="C256" i="20" a="1"/>
  <c r="C256" i="20" s="1"/>
  <c r="J255" i="20"/>
  <c r="C255" i="20" a="1"/>
  <c r="C255" i="20" s="1"/>
  <c r="J254" i="20"/>
  <c r="C254" i="20" a="1"/>
  <c r="C254" i="20" s="1"/>
  <c r="J253" i="20"/>
  <c r="C253" i="20" a="1"/>
  <c r="C253" i="20" s="1"/>
  <c r="J252" i="20"/>
  <c r="C252" i="20" a="1"/>
  <c r="C252" i="20" s="1"/>
  <c r="J251" i="20"/>
  <c r="C251" i="20" a="1"/>
  <c r="C251" i="20" s="1"/>
  <c r="J250" i="20"/>
  <c r="C250" i="20" a="1"/>
  <c r="C250" i="20" s="1"/>
  <c r="J249" i="20"/>
  <c r="C249" i="20" a="1"/>
  <c r="C249" i="20" s="1"/>
  <c r="J248" i="20"/>
  <c r="C248" i="20" a="1"/>
  <c r="C248" i="20" s="1"/>
  <c r="J247" i="20"/>
  <c r="C247" i="20" a="1"/>
  <c r="C247" i="20" s="1"/>
  <c r="J246" i="20"/>
  <c r="C246" i="20" a="1"/>
  <c r="C246" i="20" s="1"/>
  <c r="J245" i="20"/>
  <c r="C245" i="20" a="1"/>
  <c r="C245" i="20" s="1"/>
  <c r="J244" i="20"/>
  <c r="C244" i="20" a="1"/>
  <c r="C244" i="20" s="1"/>
  <c r="J243" i="20"/>
  <c r="C243" i="20" a="1"/>
  <c r="C243" i="20" s="1"/>
  <c r="J242" i="20"/>
  <c r="C242" i="20" a="1"/>
  <c r="C242" i="20" s="1"/>
  <c r="J241" i="20"/>
  <c r="C241" i="20" a="1"/>
  <c r="C241" i="20" s="1"/>
  <c r="J240" i="20"/>
  <c r="C240" i="20" a="1"/>
  <c r="C240" i="20" s="1"/>
  <c r="J239" i="20"/>
  <c r="C239" i="20" a="1"/>
  <c r="C239" i="20" s="1"/>
  <c r="J238" i="20"/>
  <c r="C238" i="20" a="1"/>
  <c r="C238" i="20" s="1"/>
  <c r="J237" i="20"/>
  <c r="C237" i="20" a="1"/>
  <c r="C237" i="20" s="1"/>
  <c r="J236" i="20"/>
  <c r="C236" i="20" a="1"/>
  <c r="C236" i="20" s="1"/>
  <c r="J235" i="20"/>
  <c r="C235" i="20" a="1"/>
  <c r="C235" i="20" s="1"/>
  <c r="J234" i="20"/>
  <c r="C234" i="20" a="1"/>
  <c r="C234" i="20" s="1"/>
  <c r="J233" i="20"/>
  <c r="C233" i="20" a="1"/>
  <c r="C233" i="20" s="1"/>
  <c r="J232" i="20"/>
  <c r="C232" i="20" a="1"/>
  <c r="C232" i="20" s="1"/>
  <c r="J231" i="20"/>
  <c r="C231" i="20" a="1"/>
  <c r="C231" i="20" s="1"/>
  <c r="J230" i="20"/>
  <c r="C230" i="20" a="1"/>
  <c r="C230" i="20" s="1"/>
  <c r="J229" i="20"/>
  <c r="C229" i="20" a="1"/>
  <c r="C229" i="20" s="1"/>
  <c r="J228" i="20"/>
  <c r="C228" i="20" a="1"/>
  <c r="C228" i="20" s="1"/>
  <c r="J227" i="20"/>
  <c r="C227" i="20" a="1"/>
  <c r="C227" i="20" s="1"/>
  <c r="J226" i="20"/>
  <c r="C226" i="20" a="1"/>
  <c r="C226" i="20" s="1"/>
  <c r="J225" i="20"/>
  <c r="C225" i="20" a="1"/>
  <c r="C225" i="20" s="1"/>
  <c r="J224" i="20"/>
  <c r="C224" i="20" a="1"/>
  <c r="C224" i="20" s="1"/>
  <c r="J223" i="20"/>
  <c r="C223" i="20" a="1"/>
  <c r="C223" i="20" s="1"/>
  <c r="J222" i="20"/>
  <c r="C222" i="20" a="1"/>
  <c r="C222" i="20" s="1"/>
  <c r="J221" i="20"/>
  <c r="C221" i="20" a="1"/>
  <c r="C221" i="20" s="1"/>
  <c r="J220" i="20"/>
  <c r="C220" i="20" a="1"/>
  <c r="C220" i="20" s="1"/>
  <c r="J219" i="20"/>
  <c r="C219" i="20" a="1"/>
  <c r="C219" i="20" s="1"/>
  <c r="J218" i="20"/>
  <c r="C218" i="20" a="1"/>
  <c r="C218" i="20" s="1"/>
  <c r="J217" i="20"/>
  <c r="C217" i="20" a="1"/>
  <c r="C217" i="20" s="1"/>
  <c r="J216" i="20"/>
  <c r="C216" i="20" a="1"/>
  <c r="C216" i="20" s="1"/>
  <c r="J215" i="20"/>
  <c r="C215" i="20" a="1"/>
  <c r="C215" i="20" s="1"/>
  <c r="J214" i="20"/>
  <c r="C214" i="20" a="1"/>
  <c r="C214" i="20" s="1"/>
  <c r="J213" i="20"/>
  <c r="C213" i="20" a="1"/>
  <c r="C213" i="20" s="1"/>
  <c r="J212" i="20"/>
  <c r="C212" i="20" a="1"/>
  <c r="C212" i="20" s="1"/>
  <c r="J211" i="20"/>
  <c r="C211" i="20" a="1"/>
  <c r="C211" i="20" s="1"/>
  <c r="J210" i="20"/>
  <c r="C210" i="20" a="1"/>
  <c r="C210" i="20" s="1"/>
  <c r="J209" i="20"/>
  <c r="C209" i="20" a="1"/>
  <c r="C209" i="20" s="1"/>
  <c r="J208" i="20"/>
  <c r="C208" i="20" a="1"/>
  <c r="C208" i="20" s="1"/>
  <c r="J207" i="20"/>
  <c r="C207" i="20" a="1"/>
  <c r="C207" i="20" s="1"/>
  <c r="J206" i="20"/>
  <c r="C206" i="20" a="1"/>
  <c r="C206" i="20" s="1"/>
  <c r="J205" i="20"/>
  <c r="C205" i="20" a="1"/>
  <c r="C205" i="20" s="1"/>
  <c r="J204" i="20"/>
  <c r="C204" i="20" a="1"/>
  <c r="C204" i="20" s="1"/>
  <c r="J203" i="20"/>
  <c r="C203" i="20" a="1"/>
  <c r="C203" i="20" s="1"/>
  <c r="J202" i="20"/>
  <c r="C202" i="20" a="1"/>
  <c r="C202" i="20" s="1"/>
  <c r="J201" i="20"/>
  <c r="C201" i="20" a="1"/>
  <c r="C201" i="20" s="1"/>
  <c r="J200" i="20"/>
  <c r="C200" i="20" a="1"/>
  <c r="C200" i="20" s="1"/>
  <c r="N199" i="20"/>
  <c r="J199" i="20"/>
  <c r="C199" i="20" a="1"/>
  <c r="C199" i="20" s="1"/>
  <c r="N198" i="20"/>
  <c r="J198" i="20"/>
  <c r="C198" i="20" a="1"/>
  <c r="C198" i="20" s="1"/>
  <c r="N197" i="20"/>
  <c r="J197" i="20"/>
  <c r="C197" i="20" a="1"/>
  <c r="C197" i="20" s="1"/>
  <c r="N196" i="20"/>
  <c r="J196" i="20"/>
  <c r="C196" i="20" a="1"/>
  <c r="C196" i="20" s="1"/>
  <c r="N195" i="20"/>
  <c r="J195" i="20"/>
  <c r="C195" i="20" a="1"/>
  <c r="C195" i="20" s="1"/>
  <c r="N194" i="20"/>
  <c r="J194" i="20"/>
  <c r="C194" i="20" a="1"/>
  <c r="C194" i="20" s="1"/>
  <c r="N193" i="20"/>
  <c r="J193" i="20"/>
  <c r="C193" i="20" a="1"/>
  <c r="C193" i="20" s="1"/>
  <c r="N192" i="20"/>
  <c r="J192" i="20"/>
  <c r="C192" i="20" a="1"/>
  <c r="C192" i="20" s="1"/>
  <c r="N191" i="20"/>
  <c r="J191" i="20"/>
  <c r="C191" i="20" a="1"/>
  <c r="C191" i="20" s="1"/>
  <c r="N190" i="20"/>
  <c r="J190" i="20"/>
  <c r="C190" i="20" a="1"/>
  <c r="C190" i="20" s="1"/>
  <c r="N189" i="20"/>
  <c r="J189" i="20"/>
  <c r="C189" i="20" a="1"/>
  <c r="C189" i="20" s="1"/>
  <c r="N188" i="20"/>
  <c r="J188" i="20"/>
  <c r="C188" i="20" a="1"/>
  <c r="C188" i="20" s="1"/>
  <c r="N187" i="20"/>
  <c r="J187" i="20"/>
  <c r="C187" i="20" a="1"/>
  <c r="C187" i="20" s="1"/>
  <c r="N186" i="20"/>
  <c r="J186" i="20"/>
  <c r="C186" i="20" a="1"/>
  <c r="C186" i="20" s="1"/>
  <c r="N185" i="20"/>
  <c r="J185" i="20"/>
  <c r="C185" i="20" a="1"/>
  <c r="C185" i="20" s="1"/>
  <c r="N184" i="20"/>
  <c r="J184" i="20"/>
  <c r="C184" i="20" a="1"/>
  <c r="C184" i="20" s="1"/>
  <c r="N183" i="20"/>
  <c r="J183" i="20"/>
  <c r="C183" i="20" a="1"/>
  <c r="C183" i="20" s="1"/>
  <c r="N182" i="20"/>
  <c r="J182" i="20"/>
  <c r="C182" i="20" a="1"/>
  <c r="C182" i="20" s="1"/>
  <c r="N181" i="20"/>
  <c r="J181" i="20"/>
  <c r="C181" i="20" a="1"/>
  <c r="C181" i="20" s="1"/>
  <c r="N180" i="20"/>
  <c r="J180" i="20"/>
  <c r="C180" i="20" a="1"/>
  <c r="C180" i="20" s="1"/>
  <c r="N179" i="20"/>
  <c r="J179" i="20"/>
  <c r="C179" i="20" a="1"/>
  <c r="C179" i="20" s="1"/>
  <c r="N178" i="20"/>
  <c r="J178" i="20"/>
  <c r="C178" i="20" a="1"/>
  <c r="C178" i="20" s="1"/>
  <c r="N177" i="20"/>
  <c r="J177" i="20"/>
  <c r="C177" i="20" a="1"/>
  <c r="C177" i="20" s="1"/>
  <c r="N176" i="20"/>
  <c r="J176" i="20"/>
  <c r="C176" i="20" a="1"/>
  <c r="C176" i="20" s="1"/>
  <c r="N175" i="20"/>
  <c r="J175" i="20"/>
  <c r="C175" i="20" a="1"/>
  <c r="C175" i="20" s="1"/>
  <c r="N174" i="20"/>
  <c r="J174" i="20"/>
  <c r="C174" i="20" a="1"/>
  <c r="C174" i="20" s="1"/>
  <c r="N173" i="20"/>
  <c r="J173" i="20"/>
  <c r="C173" i="20" a="1"/>
  <c r="C173" i="20" s="1"/>
  <c r="N172" i="20"/>
  <c r="J172" i="20"/>
  <c r="C172" i="20" a="1"/>
  <c r="C172" i="20" s="1"/>
  <c r="N171" i="20"/>
  <c r="J171" i="20"/>
  <c r="C171" i="20" a="1"/>
  <c r="C171" i="20" s="1"/>
  <c r="N170" i="20"/>
  <c r="J170" i="20"/>
  <c r="C170" i="20" a="1"/>
  <c r="C170" i="20" s="1"/>
  <c r="N169" i="20"/>
  <c r="J169" i="20"/>
  <c r="C169" i="20" a="1"/>
  <c r="C169" i="20" s="1"/>
  <c r="N168" i="20"/>
  <c r="J168" i="20"/>
  <c r="C168" i="20" a="1"/>
  <c r="C168" i="20" s="1"/>
  <c r="N167" i="20"/>
  <c r="J167" i="20"/>
  <c r="C167" i="20" a="1"/>
  <c r="C167" i="20" s="1"/>
  <c r="N166" i="20"/>
  <c r="J166" i="20"/>
  <c r="C166" i="20" a="1"/>
  <c r="C166" i="20" s="1"/>
  <c r="N165" i="20"/>
  <c r="J165" i="20"/>
  <c r="C165" i="20" a="1"/>
  <c r="C165" i="20" s="1"/>
  <c r="N164" i="20"/>
  <c r="J164" i="20"/>
  <c r="C164" i="20" a="1"/>
  <c r="C164" i="20" s="1"/>
  <c r="N163" i="20"/>
  <c r="J163" i="20"/>
  <c r="C163" i="20" a="1"/>
  <c r="C163" i="20" s="1"/>
  <c r="N162" i="20"/>
  <c r="J162" i="20"/>
  <c r="C162" i="20" a="1"/>
  <c r="C162" i="20" s="1"/>
  <c r="N161" i="20"/>
  <c r="J161" i="20"/>
  <c r="C161" i="20" a="1"/>
  <c r="C161" i="20" s="1"/>
  <c r="N160" i="20"/>
  <c r="J160" i="20"/>
  <c r="C160" i="20" a="1"/>
  <c r="C160" i="20" s="1"/>
  <c r="N159" i="20"/>
  <c r="J159" i="20"/>
  <c r="C159" i="20" a="1"/>
  <c r="C159" i="20" s="1"/>
  <c r="N158" i="20"/>
  <c r="J158" i="20"/>
  <c r="C158" i="20" a="1"/>
  <c r="C158" i="20" s="1"/>
  <c r="N157" i="20"/>
  <c r="J157" i="20"/>
  <c r="C157" i="20" a="1"/>
  <c r="C157" i="20" s="1"/>
  <c r="N156" i="20"/>
  <c r="J156" i="20"/>
  <c r="C156" i="20" a="1"/>
  <c r="C156" i="20" s="1"/>
  <c r="N155" i="20"/>
  <c r="J155" i="20"/>
  <c r="C155" i="20" a="1"/>
  <c r="C155" i="20" s="1"/>
  <c r="N154" i="20"/>
  <c r="J154" i="20"/>
  <c r="C154" i="20" a="1"/>
  <c r="C154" i="20" s="1"/>
  <c r="N153" i="20"/>
  <c r="J153" i="20"/>
  <c r="C153" i="20" a="1"/>
  <c r="C153" i="20" s="1"/>
  <c r="N152" i="20"/>
  <c r="J152" i="20"/>
  <c r="C152" i="20" a="1"/>
  <c r="C152" i="20" s="1"/>
  <c r="N151" i="20"/>
  <c r="J151" i="20"/>
  <c r="C151" i="20" a="1"/>
  <c r="C151" i="20" s="1"/>
  <c r="N150" i="20"/>
  <c r="J150" i="20"/>
  <c r="C150" i="20" a="1"/>
  <c r="C150" i="20" s="1"/>
  <c r="N149" i="20"/>
  <c r="J149" i="20"/>
  <c r="C149" i="20" a="1"/>
  <c r="C149" i="20" s="1"/>
  <c r="N148" i="20"/>
  <c r="J148" i="20"/>
  <c r="C148" i="20" a="1"/>
  <c r="C148" i="20" s="1"/>
  <c r="N147" i="20"/>
  <c r="J147" i="20"/>
  <c r="C147" i="20" a="1"/>
  <c r="C147" i="20" s="1"/>
  <c r="N146" i="20"/>
  <c r="J146" i="20"/>
  <c r="C146" i="20" a="1"/>
  <c r="C146" i="20" s="1"/>
  <c r="N145" i="20"/>
  <c r="J145" i="20"/>
  <c r="C145" i="20" a="1"/>
  <c r="C145" i="20" s="1"/>
  <c r="N144" i="20"/>
  <c r="J144" i="20"/>
  <c r="C144" i="20" a="1"/>
  <c r="C144" i="20" s="1"/>
  <c r="N143" i="20"/>
  <c r="J143" i="20"/>
  <c r="C143" i="20" a="1"/>
  <c r="C143" i="20" s="1"/>
  <c r="N142" i="20"/>
  <c r="J142" i="20"/>
  <c r="C142" i="20" a="1"/>
  <c r="C142" i="20" s="1"/>
  <c r="N141" i="20"/>
  <c r="J141" i="20"/>
  <c r="C141" i="20" a="1"/>
  <c r="C141" i="20" s="1"/>
  <c r="N140" i="20"/>
  <c r="J140" i="20"/>
  <c r="C140" i="20" a="1"/>
  <c r="C140" i="20" s="1"/>
  <c r="N139" i="20"/>
  <c r="J139" i="20"/>
  <c r="C139" i="20" a="1"/>
  <c r="C139" i="20" s="1"/>
  <c r="N138" i="20"/>
  <c r="J138" i="20"/>
  <c r="C138" i="20" a="1"/>
  <c r="C138" i="20" s="1"/>
  <c r="N137" i="20"/>
  <c r="J137" i="20"/>
  <c r="C137" i="20" a="1"/>
  <c r="C137" i="20" s="1"/>
  <c r="N136" i="20"/>
  <c r="J136" i="20"/>
  <c r="C136" i="20" a="1"/>
  <c r="C136" i="20" s="1"/>
  <c r="N135" i="20"/>
  <c r="J135" i="20"/>
  <c r="C135" i="20" a="1"/>
  <c r="C135" i="20" s="1"/>
  <c r="N134" i="20"/>
  <c r="J134" i="20"/>
  <c r="C134" i="20" a="1"/>
  <c r="C134" i="20" s="1"/>
  <c r="N133" i="20"/>
  <c r="J133" i="20"/>
  <c r="C133" i="20" a="1"/>
  <c r="C133" i="20" s="1"/>
  <c r="N132" i="20"/>
  <c r="J132" i="20"/>
  <c r="C132" i="20" a="1"/>
  <c r="C132" i="20" s="1"/>
  <c r="N131" i="20"/>
  <c r="J131" i="20"/>
  <c r="C131" i="20" a="1"/>
  <c r="C131" i="20" s="1"/>
  <c r="N130" i="20"/>
  <c r="J130" i="20"/>
  <c r="C130" i="20" a="1"/>
  <c r="C130" i="20" s="1"/>
  <c r="N129" i="20"/>
  <c r="J129" i="20"/>
  <c r="C129" i="20" a="1"/>
  <c r="C129" i="20" s="1"/>
  <c r="N128" i="20"/>
  <c r="J128" i="20"/>
  <c r="C128" i="20" a="1"/>
  <c r="C128" i="20" s="1"/>
  <c r="N127" i="20"/>
  <c r="J127" i="20"/>
  <c r="C127" i="20" a="1"/>
  <c r="C127" i="20" s="1"/>
  <c r="N126" i="20"/>
  <c r="J126" i="20"/>
  <c r="C126" i="20" a="1"/>
  <c r="C126" i="20" s="1"/>
  <c r="N125" i="20"/>
  <c r="J125" i="20"/>
  <c r="C125" i="20" a="1"/>
  <c r="C125" i="20" s="1"/>
  <c r="N124" i="20"/>
  <c r="J124" i="20"/>
  <c r="C124" i="20" a="1"/>
  <c r="C124" i="20" s="1"/>
  <c r="N123" i="20"/>
  <c r="J123" i="20"/>
  <c r="C123" i="20" a="1"/>
  <c r="C123" i="20" s="1"/>
  <c r="N122" i="20"/>
  <c r="J122" i="20"/>
  <c r="C122" i="20" a="1"/>
  <c r="C122" i="20" s="1"/>
  <c r="N121" i="20"/>
  <c r="J121" i="20"/>
  <c r="C121" i="20" a="1"/>
  <c r="C121" i="20" s="1"/>
  <c r="N120" i="20"/>
  <c r="J120" i="20"/>
  <c r="C120" i="20" a="1"/>
  <c r="C120" i="20" s="1"/>
  <c r="N119" i="20"/>
  <c r="J119" i="20"/>
  <c r="C119" i="20" a="1"/>
  <c r="C119" i="20" s="1"/>
  <c r="N118" i="20"/>
  <c r="J118" i="20"/>
  <c r="C118" i="20" a="1"/>
  <c r="C118" i="20" s="1"/>
  <c r="N117" i="20"/>
  <c r="J117" i="20"/>
  <c r="C117" i="20" a="1"/>
  <c r="C117" i="20" s="1"/>
  <c r="N116" i="20"/>
  <c r="J116" i="20"/>
  <c r="C116" i="20" a="1"/>
  <c r="C116" i="20" s="1"/>
  <c r="N115" i="20"/>
  <c r="J115" i="20"/>
  <c r="C115" i="20" a="1"/>
  <c r="C115" i="20" s="1"/>
  <c r="N114" i="20"/>
  <c r="J114" i="20"/>
  <c r="C114" i="20" a="1"/>
  <c r="C114" i="20" s="1"/>
  <c r="N113" i="20"/>
  <c r="J113" i="20"/>
  <c r="C113" i="20" a="1"/>
  <c r="C113" i="20" s="1"/>
  <c r="N112" i="20"/>
  <c r="J112" i="20"/>
  <c r="C112" i="20" a="1"/>
  <c r="C112" i="20" s="1"/>
  <c r="N111" i="20"/>
  <c r="J111" i="20"/>
  <c r="C111" i="20" a="1"/>
  <c r="C111" i="20" s="1"/>
  <c r="N110" i="20"/>
  <c r="J110" i="20"/>
  <c r="C110" i="20" a="1"/>
  <c r="C110" i="20" s="1"/>
  <c r="N109" i="20"/>
  <c r="J109" i="20"/>
  <c r="C109" i="20" a="1"/>
  <c r="C109" i="20" s="1"/>
  <c r="N108" i="20"/>
  <c r="J108" i="20"/>
  <c r="C108" i="20" a="1"/>
  <c r="C108" i="20" s="1"/>
  <c r="N107" i="20"/>
  <c r="J107" i="20"/>
  <c r="C107" i="20" a="1"/>
  <c r="C107" i="20" s="1"/>
  <c r="N106" i="20"/>
  <c r="J106" i="20"/>
  <c r="C106" i="20" a="1"/>
  <c r="C106" i="20" s="1"/>
  <c r="N105" i="20"/>
  <c r="J105" i="20"/>
  <c r="C105" i="20" a="1"/>
  <c r="C105" i="20" s="1"/>
  <c r="N104" i="20"/>
  <c r="J104" i="20"/>
  <c r="C104" i="20" a="1"/>
  <c r="C104" i="20" s="1"/>
  <c r="N103" i="20"/>
  <c r="J103" i="20"/>
  <c r="C103" i="20" a="1"/>
  <c r="C103" i="20" s="1"/>
  <c r="N102" i="20"/>
  <c r="J102" i="20"/>
  <c r="C102" i="20" a="1"/>
  <c r="C102" i="20" s="1"/>
  <c r="N101" i="20"/>
  <c r="J101" i="20"/>
  <c r="C101" i="20" a="1"/>
  <c r="C101" i="20" s="1"/>
  <c r="N100" i="20"/>
  <c r="J100" i="20"/>
  <c r="C100" i="20" a="1"/>
  <c r="C100" i="20" s="1"/>
  <c r="N99" i="20"/>
  <c r="J99" i="20"/>
  <c r="C99" i="20" a="1"/>
  <c r="C99" i="20" s="1"/>
  <c r="N98" i="20"/>
  <c r="J98" i="20"/>
  <c r="C98" i="20" a="1"/>
  <c r="C98" i="20" s="1"/>
  <c r="N97" i="20"/>
  <c r="J97" i="20"/>
  <c r="C97" i="20" a="1"/>
  <c r="C97" i="20" s="1"/>
  <c r="N96" i="20"/>
  <c r="J96" i="20"/>
  <c r="C96" i="20" a="1"/>
  <c r="C96" i="20" s="1"/>
  <c r="N95" i="20"/>
  <c r="J95" i="20"/>
  <c r="C95" i="20" a="1"/>
  <c r="C95" i="20" s="1"/>
  <c r="N94" i="20"/>
  <c r="J94" i="20"/>
  <c r="C94" i="20" a="1"/>
  <c r="C94" i="20" s="1"/>
  <c r="N93" i="20"/>
  <c r="J93" i="20"/>
  <c r="C93" i="20" a="1"/>
  <c r="C93" i="20" s="1"/>
  <c r="N92" i="20"/>
  <c r="J92" i="20"/>
  <c r="C92" i="20" a="1"/>
  <c r="C92" i="20" s="1"/>
  <c r="N91" i="20"/>
  <c r="J91" i="20"/>
  <c r="C91" i="20" a="1"/>
  <c r="C91" i="20" s="1"/>
  <c r="N90" i="20"/>
  <c r="J90" i="20"/>
  <c r="C90" i="20" a="1"/>
  <c r="C90" i="20" s="1"/>
  <c r="N89" i="20"/>
  <c r="J89" i="20"/>
  <c r="C89" i="20" a="1"/>
  <c r="C89" i="20" s="1"/>
  <c r="N88" i="20"/>
  <c r="J88" i="20"/>
  <c r="C88" i="20" a="1"/>
  <c r="C88" i="20" s="1"/>
  <c r="N87" i="20"/>
  <c r="J87" i="20"/>
  <c r="C87" i="20" a="1"/>
  <c r="C87" i="20" s="1"/>
  <c r="N86" i="20"/>
  <c r="J86" i="20"/>
  <c r="C86" i="20" a="1"/>
  <c r="C86" i="20" s="1"/>
  <c r="N85" i="20"/>
  <c r="J85" i="20"/>
  <c r="C85" i="20" a="1"/>
  <c r="C85" i="20" s="1"/>
  <c r="N84" i="20"/>
  <c r="J84" i="20"/>
  <c r="C84" i="20" a="1"/>
  <c r="C84" i="20" s="1"/>
  <c r="N83" i="20"/>
  <c r="J83" i="20"/>
  <c r="C83" i="20" a="1"/>
  <c r="C83" i="20" s="1"/>
  <c r="N82" i="20"/>
  <c r="J82" i="20"/>
  <c r="C82" i="20" a="1"/>
  <c r="C82" i="20" s="1"/>
  <c r="N81" i="20"/>
  <c r="J81" i="20"/>
  <c r="C81" i="20" a="1"/>
  <c r="C81" i="20" s="1"/>
  <c r="N80" i="20"/>
  <c r="J80" i="20"/>
  <c r="C80" i="20" a="1"/>
  <c r="C80" i="20" s="1"/>
  <c r="N79" i="20"/>
  <c r="J79" i="20"/>
  <c r="C79" i="20" a="1"/>
  <c r="C79" i="20" s="1"/>
  <c r="N78" i="20"/>
  <c r="J78" i="20"/>
  <c r="C78" i="20" a="1"/>
  <c r="C78" i="20" s="1"/>
  <c r="N77" i="20"/>
  <c r="J77" i="20"/>
  <c r="C77" i="20" a="1"/>
  <c r="C77" i="20" s="1"/>
  <c r="N76" i="20"/>
  <c r="J76" i="20"/>
  <c r="C76" i="20" a="1"/>
  <c r="C76" i="20" s="1"/>
  <c r="N75" i="20"/>
  <c r="J75" i="20"/>
  <c r="C75" i="20" a="1"/>
  <c r="C75" i="20" s="1"/>
  <c r="N74" i="20"/>
  <c r="J74" i="20"/>
  <c r="C74" i="20" a="1"/>
  <c r="C74" i="20" s="1"/>
  <c r="N73" i="20"/>
  <c r="J73" i="20"/>
  <c r="C73" i="20" a="1"/>
  <c r="C73" i="20" s="1"/>
  <c r="N72" i="20"/>
  <c r="J72" i="20"/>
  <c r="C72" i="20" a="1"/>
  <c r="C72" i="20" s="1"/>
  <c r="N71" i="20"/>
  <c r="J71" i="20"/>
  <c r="C71" i="20" a="1"/>
  <c r="C71" i="20" s="1"/>
  <c r="N70" i="20"/>
  <c r="J70" i="20"/>
  <c r="C70" i="20" a="1"/>
  <c r="C70" i="20" s="1"/>
  <c r="N69" i="20"/>
  <c r="J69" i="20"/>
  <c r="C69" i="20" a="1"/>
  <c r="C69" i="20" s="1"/>
  <c r="N68" i="20"/>
  <c r="J68" i="20"/>
  <c r="C68" i="20" a="1"/>
  <c r="C68" i="20" s="1"/>
  <c r="N67" i="20"/>
  <c r="J67" i="20"/>
  <c r="C67" i="20" a="1"/>
  <c r="C67" i="20" s="1"/>
  <c r="N66" i="20"/>
  <c r="J66" i="20"/>
  <c r="C66" i="20" a="1"/>
  <c r="C66" i="20" s="1"/>
  <c r="N65" i="20"/>
  <c r="J65" i="20"/>
  <c r="C65" i="20" a="1"/>
  <c r="C65" i="20" s="1"/>
  <c r="N64" i="20"/>
  <c r="J64" i="20"/>
  <c r="C64" i="20" a="1"/>
  <c r="C64" i="20" s="1"/>
  <c r="N63" i="20"/>
  <c r="J63" i="20"/>
  <c r="C63" i="20" a="1"/>
  <c r="C63" i="20" s="1"/>
  <c r="N62" i="20"/>
  <c r="J62" i="20"/>
  <c r="C62" i="20" a="1"/>
  <c r="C62" i="20" s="1"/>
  <c r="N61" i="20"/>
  <c r="J61" i="20"/>
  <c r="C61" i="20" a="1"/>
  <c r="C61" i="20" s="1"/>
  <c r="N60" i="20"/>
  <c r="J60" i="20"/>
  <c r="C60" i="20" a="1"/>
  <c r="C60" i="20" s="1"/>
  <c r="N59" i="20"/>
  <c r="J59" i="20"/>
  <c r="C59" i="20" a="1"/>
  <c r="C59" i="20" s="1"/>
  <c r="N58" i="20"/>
  <c r="J58" i="20"/>
  <c r="C58" i="20" a="1"/>
  <c r="C58" i="20" s="1"/>
  <c r="N57" i="20"/>
  <c r="J57" i="20"/>
  <c r="C57" i="20" a="1"/>
  <c r="C57" i="20" s="1"/>
  <c r="N56" i="20"/>
  <c r="J56" i="20"/>
  <c r="C56" i="20" a="1"/>
  <c r="C56" i="20" s="1"/>
  <c r="N55" i="20"/>
  <c r="J55" i="20"/>
  <c r="C55" i="20" a="1"/>
  <c r="C55" i="20" s="1"/>
  <c r="N54" i="20"/>
  <c r="J54" i="20"/>
  <c r="C54" i="20" a="1"/>
  <c r="C54" i="20" s="1"/>
  <c r="N53" i="20"/>
  <c r="J53" i="20"/>
  <c r="C53" i="20" a="1"/>
  <c r="C53" i="20" s="1"/>
  <c r="N52" i="20"/>
  <c r="J52" i="20"/>
  <c r="C52" i="20" a="1"/>
  <c r="C52" i="20" s="1"/>
  <c r="N51" i="20"/>
  <c r="J51" i="20"/>
  <c r="C51" i="20" a="1"/>
  <c r="C51" i="20" s="1"/>
  <c r="N50" i="20"/>
  <c r="J50" i="20"/>
  <c r="C50" i="20" a="1"/>
  <c r="C50" i="20" s="1"/>
  <c r="N49" i="20"/>
  <c r="J49" i="20"/>
  <c r="C49" i="20" a="1"/>
  <c r="C49" i="20" s="1"/>
  <c r="N48" i="20"/>
  <c r="J48" i="20"/>
  <c r="C48" i="20" a="1"/>
  <c r="C48" i="20" s="1"/>
  <c r="N47" i="20"/>
  <c r="J47" i="20"/>
  <c r="C47" i="20" a="1"/>
  <c r="C47" i="20" s="1"/>
  <c r="N46" i="20"/>
  <c r="J46" i="20"/>
  <c r="C46" i="20" a="1"/>
  <c r="C46" i="20" s="1"/>
  <c r="N45" i="20"/>
  <c r="J45" i="20"/>
  <c r="C45" i="20" a="1"/>
  <c r="C45" i="20" s="1"/>
  <c r="N44" i="20"/>
  <c r="J44" i="20"/>
  <c r="C44" i="20" a="1"/>
  <c r="C44" i="20" s="1"/>
  <c r="N43" i="20"/>
  <c r="J43" i="20"/>
  <c r="C43" i="20" a="1"/>
  <c r="C43" i="20" s="1"/>
  <c r="N42" i="20"/>
  <c r="J42" i="20"/>
  <c r="C42" i="20" a="1"/>
  <c r="C42" i="20" s="1"/>
  <c r="N41" i="20"/>
  <c r="J41" i="20"/>
  <c r="C41" i="20" a="1"/>
  <c r="C41" i="20" s="1"/>
  <c r="N40" i="20"/>
  <c r="J40" i="20"/>
  <c r="C40" i="20" a="1"/>
  <c r="C40" i="20" s="1"/>
  <c r="N39" i="20"/>
  <c r="J39" i="20"/>
  <c r="C39" i="20" a="1"/>
  <c r="C39" i="20" s="1"/>
  <c r="N38" i="20"/>
  <c r="J38" i="20"/>
  <c r="C38" i="20" a="1"/>
  <c r="C38" i="20" s="1"/>
  <c r="N37" i="20"/>
  <c r="J37" i="20"/>
  <c r="C37" i="20" a="1"/>
  <c r="C37" i="20" s="1"/>
  <c r="N36" i="20"/>
  <c r="J36" i="20"/>
  <c r="C36" i="20" a="1"/>
  <c r="C36" i="20" s="1"/>
  <c r="N35" i="20"/>
  <c r="J35" i="20"/>
  <c r="C35" i="20" a="1"/>
  <c r="C35" i="20" s="1"/>
  <c r="N34" i="20"/>
  <c r="J34" i="20"/>
  <c r="C34" i="20" a="1"/>
  <c r="C34" i="20" s="1"/>
  <c r="N33" i="20"/>
  <c r="J33" i="20"/>
  <c r="C33" i="20" a="1"/>
  <c r="C33" i="20" s="1"/>
  <c r="N32" i="20"/>
  <c r="J32" i="20"/>
  <c r="C32" i="20" a="1"/>
  <c r="C32" i="20" s="1"/>
  <c r="N31" i="20"/>
  <c r="J31" i="20"/>
  <c r="C31" i="20" a="1"/>
  <c r="C31" i="20" s="1"/>
  <c r="N30" i="20"/>
  <c r="J30" i="20"/>
  <c r="C30" i="20" a="1"/>
  <c r="C30" i="20" s="1"/>
  <c r="N29" i="20"/>
  <c r="J29" i="20"/>
  <c r="C29" i="20" a="1"/>
  <c r="C29" i="20" s="1"/>
  <c r="N28" i="20"/>
  <c r="J28" i="20"/>
  <c r="C28" i="20" a="1"/>
  <c r="C28" i="20" s="1"/>
  <c r="I27" i="20"/>
  <c r="J27" i="20" s="1"/>
  <c r="C27" i="20" a="1"/>
  <c r="C27" i="20" s="1"/>
  <c r="I26" i="20"/>
  <c r="C26" i="20" a="1"/>
  <c r="C26" i="20" s="1"/>
  <c r="I25" i="20"/>
  <c r="J25" i="20" s="1"/>
  <c r="C25" i="20" a="1"/>
  <c r="C25" i="20" s="1"/>
  <c r="I24" i="20"/>
  <c r="C24" i="20" a="1"/>
  <c r="C24" i="20" s="1"/>
  <c r="I23" i="20"/>
  <c r="C23" i="20" a="1"/>
  <c r="C23" i="20" s="1"/>
  <c r="I22" i="20"/>
  <c r="C22" i="20" a="1"/>
  <c r="C22" i="20" s="1"/>
  <c r="I21" i="20"/>
  <c r="C21" i="20" a="1"/>
  <c r="C21" i="20" s="1"/>
  <c r="I20" i="20"/>
  <c r="C20" i="20" a="1"/>
  <c r="C20" i="20" s="1"/>
  <c r="I19" i="20"/>
  <c r="C19" i="20" a="1"/>
  <c r="C19" i="20" s="1"/>
  <c r="I18" i="20"/>
  <c r="C18" i="20" a="1"/>
  <c r="C18" i="20" s="1"/>
  <c r="I17" i="20"/>
  <c r="J17" i="20" s="1"/>
  <c r="C17" i="20" a="1"/>
  <c r="C17" i="20" s="1"/>
  <c r="I16" i="20"/>
  <c r="C16" i="20" a="1"/>
  <c r="C16" i="20" s="1"/>
  <c r="I15" i="20"/>
  <c r="C15" i="20" a="1"/>
  <c r="C15" i="20" s="1"/>
  <c r="I14" i="20"/>
  <c r="C14" i="20" a="1"/>
  <c r="C14" i="20" s="1"/>
  <c r="I13" i="20"/>
  <c r="C13" i="20" a="1"/>
  <c r="C13" i="20" s="1"/>
  <c r="I12" i="20"/>
  <c r="C12" i="20" a="1"/>
  <c r="C12" i="20" s="1"/>
  <c r="I11" i="20"/>
  <c r="C11" i="20" a="1"/>
  <c r="C11" i="20" s="1"/>
  <c r="I10" i="20"/>
  <c r="J10" i="20" s="1"/>
  <c r="C10" i="20" a="1"/>
  <c r="C10" i="20" s="1"/>
  <c r="I9" i="20"/>
  <c r="J9" i="20" s="1"/>
  <c r="C9" i="20" a="1"/>
  <c r="C9" i="20" s="1"/>
  <c r="I8" i="20"/>
  <c r="J8" i="20" s="1"/>
  <c r="C8" i="20" a="1"/>
  <c r="C8" i="20" s="1"/>
  <c r="I7" i="20"/>
  <c r="J7" i="20" s="1"/>
  <c r="C7" i="20" a="1"/>
  <c r="C7" i="20" s="1"/>
  <c r="I6" i="20"/>
  <c r="J6" i="20" s="1"/>
  <c r="C6" i="20" a="1"/>
  <c r="C6" i="20" s="1"/>
  <c r="I5" i="20"/>
  <c r="J5" i="20" s="1"/>
  <c r="C5" i="20" a="1"/>
  <c r="C5" i="20" s="1"/>
  <c r="I4" i="20"/>
  <c r="J4" i="20" s="1"/>
  <c r="C4" i="20" a="1"/>
  <c r="C4" i="20" s="1"/>
  <c r="I3" i="20"/>
  <c r="J3" i="20" s="1"/>
  <c r="C3" i="20" a="1"/>
  <c r="C3" i="20" s="1"/>
  <c r="I2" i="20"/>
  <c r="C2" i="20" a="1"/>
  <c r="C2" i="20" s="1"/>
  <c r="AB7" i="22"/>
  <c r="AB6" i="22"/>
  <c r="E703" i="22"/>
  <c r="D703" i="22"/>
  <c r="C703" i="22"/>
  <c r="B703" i="22"/>
  <c r="E702" i="22"/>
  <c r="D702" i="22"/>
  <c r="C702" i="22"/>
  <c r="B702" i="22"/>
  <c r="E701" i="22"/>
  <c r="D701" i="22"/>
  <c r="C701" i="22"/>
  <c r="B701" i="22"/>
  <c r="E700" i="22"/>
  <c r="D700" i="22"/>
  <c r="C700" i="22"/>
  <c r="B700" i="22"/>
  <c r="E699" i="22"/>
  <c r="D699" i="22"/>
  <c r="C699" i="22"/>
  <c r="B699" i="22"/>
  <c r="E698" i="22"/>
  <c r="D698" i="22"/>
  <c r="C698" i="22"/>
  <c r="B698" i="22"/>
  <c r="E697" i="22"/>
  <c r="D697" i="22"/>
  <c r="C697" i="22"/>
  <c r="B697" i="22"/>
  <c r="E696" i="22"/>
  <c r="D696" i="22"/>
  <c r="C696" i="22"/>
  <c r="B696" i="22"/>
  <c r="E695" i="22"/>
  <c r="D695" i="22"/>
  <c r="C695" i="22"/>
  <c r="B695" i="22"/>
  <c r="E694" i="22"/>
  <c r="D694" i="22"/>
  <c r="C694" i="22"/>
  <c r="B694" i="22"/>
  <c r="E693" i="22"/>
  <c r="D693" i="22"/>
  <c r="C693" i="22"/>
  <c r="B693" i="22"/>
  <c r="E692" i="22"/>
  <c r="D692" i="22"/>
  <c r="C692" i="22"/>
  <c r="B692" i="22"/>
  <c r="E691" i="22"/>
  <c r="D691" i="22"/>
  <c r="C691" i="22"/>
  <c r="B691" i="22"/>
  <c r="E690" i="22"/>
  <c r="D690" i="22"/>
  <c r="C690" i="22"/>
  <c r="B690" i="22"/>
  <c r="E689" i="22"/>
  <c r="D689" i="22"/>
  <c r="C689" i="22"/>
  <c r="B689" i="22"/>
  <c r="E688" i="22"/>
  <c r="D688" i="22"/>
  <c r="C688" i="22"/>
  <c r="B688" i="22"/>
  <c r="E687" i="22"/>
  <c r="D687" i="22"/>
  <c r="C687" i="22"/>
  <c r="B687" i="22"/>
  <c r="E686" i="22"/>
  <c r="D686" i="22"/>
  <c r="C686" i="22"/>
  <c r="B686" i="22"/>
  <c r="E685" i="22"/>
  <c r="D685" i="22"/>
  <c r="C685" i="22"/>
  <c r="B685" i="22"/>
  <c r="E684" i="22"/>
  <c r="D684" i="22"/>
  <c r="C684" i="22"/>
  <c r="B684" i="22"/>
  <c r="E683" i="22"/>
  <c r="D683" i="22"/>
  <c r="C683" i="22"/>
  <c r="B683" i="22"/>
  <c r="E682" i="22"/>
  <c r="D682" i="22"/>
  <c r="C682" i="22"/>
  <c r="B682" i="22"/>
  <c r="E681" i="22"/>
  <c r="D681" i="22"/>
  <c r="C681" i="22"/>
  <c r="B681" i="22"/>
  <c r="E680" i="22"/>
  <c r="D680" i="22"/>
  <c r="C680" i="22"/>
  <c r="B680" i="22"/>
  <c r="E679" i="22"/>
  <c r="D679" i="22"/>
  <c r="C679" i="22"/>
  <c r="B679" i="22"/>
  <c r="E678" i="22"/>
  <c r="D678" i="22"/>
  <c r="C678" i="22"/>
  <c r="B678" i="22"/>
  <c r="E677" i="22"/>
  <c r="D677" i="22"/>
  <c r="C677" i="22"/>
  <c r="B677" i="22"/>
  <c r="E676" i="22"/>
  <c r="D676" i="22"/>
  <c r="C676" i="22"/>
  <c r="B676" i="22"/>
  <c r="E675" i="22"/>
  <c r="D675" i="22"/>
  <c r="C675" i="22"/>
  <c r="B675" i="22"/>
  <c r="E674" i="22"/>
  <c r="D674" i="22"/>
  <c r="C674" i="22"/>
  <c r="B674" i="22"/>
  <c r="E673" i="22"/>
  <c r="D673" i="22"/>
  <c r="C673" i="22"/>
  <c r="B673" i="22"/>
  <c r="E672" i="22"/>
  <c r="D672" i="22"/>
  <c r="C672" i="22"/>
  <c r="B672" i="22"/>
  <c r="E671" i="22"/>
  <c r="D671" i="22"/>
  <c r="C671" i="22"/>
  <c r="B671" i="22"/>
  <c r="E670" i="22"/>
  <c r="D670" i="22"/>
  <c r="C670" i="22"/>
  <c r="B670" i="22"/>
  <c r="E669" i="22"/>
  <c r="D669" i="22"/>
  <c r="C669" i="22"/>
  <c r="B669" i="22"/>
  <c r="E668" i="22"/>
  <c r="D668" i="22"/>
  <c r="C668" i="22"/>
  <c r="B668" i="22"/>
  <c r="E667" i="22"/>
  <c r="D667" i="22"/>
  <c r="C667" i="22"/>
  <c r="B667" i="22"/>
  <c r="E666" i="22"/>
  <c r="D666" i="22"/>
  <c r="C666" i="22"/>
  <c r="B666" i="22"/>
  <c r="E665" i="22"/>
  <c r="D665" i="22"/>
  <c r="C665" i="22"/>
  <c r="B665" i="22"/>
  <c r="E664" i="22"/>
  <c r="D664" i="22"/>
  <c r="C664" i="22"/>
  <c r="B664" i="22"/>
  <c r="E663" i="22"/>
  <c r="D663" i="22"/>
  <c r="C663" i="22"/>
  <c r="B663" i="22"/>
  <c r="E662" i="22"/>
  <c r="D662" i="22"/>
  <c r="C662" i="22"/>
  <c r="B662" i="22"/>
  <c r="E661" i="22"/>
  <c r="D661" i="22"/>
  <c r="C661" i="22"/>
  <c r="B661" i="22"/>
  <c r="E660" i="22"/>
  <c r="D660" i="22"/>
  <c r="C660" i="22"/>
  <c r="B660" i="22"/>
  <c r="E659" i="22"/>
  <c r="D659" i="22"/>
  <c r="C659" i="22"/>
  <c r="B659" i="22"/>
  <c r="E658" i="22"/>
  <c r="D658" i="22"/>
  <c r="C658" i="22"/>
  <c r="B658" i="22"/>
  <c r="E657" i="22"/>
  <c r="D657" i="22"/>
  <c r="C657" i="22"/>
  <c r="B657" i="22"/>
  <c r="E656" i="22"/>
  <c r="D656" i="22"/>
  <c r="C656" i="22"/>
  <c r="B656" i="22"/>
  <c r="E655" i="22"/>
  <c r="D655" i="22"/>
  <c r="C655" i="22"/>
  <c r="B655" i="22"/>
  <c r="E654" i="22"/>
  <c r="D654" i="22"/>
  <c r="C654" i="22"/>
  <c r="B654" i="22"/>
  <c r="E653" i="22"/>
  <c r="D653" i="22"/>
  <c r="C653" i="22"/>
  <c r="B653" i="22"/>
  <c r="E652" i="22"/>
  <c r="D652" i="22"/>
  <c r="C652" i="22"/>
  <c r="B652" i="22"/>
  <c r="E651" i="22"/>
  <c r="D651" i="22"/>
  <c r="C651" i="22"/>
  <c r="B651" i="22"/>
  <c r="E650" i="22"/>
  <c r="D650" i="22"/>
  <c r="C650" i="22"/>
  <c r="B650" i="22"/>
  <c r="E649" i="22"/>
  <c r="D649" i="22"/>
  <c r="C649" i="22"/>
  <c r="B649" i="22"/>
  <c r="E648" i="22"/>
  <c r="D648" i="22"/>
  <c r="C648" i="22"/>
  <c r="B648" i="22"/>
  <c r="E647" i="22"/>
  <c r="D647" i="22"/>
  <c r="C647" i="22"/>
  <c r="B647" i="22"/>
  <c r="E646" i="22"/>
  <c r="D646" i="22"/>
  <c r="C646" i="22"/>
  <c r="B646" i="22"/>
  <c r="E645" i="22"/>
  <c r="D645" i="22"/>
  <c r="C645" i="22"/>
  <c r="B645" i="22"/>
  <c r="E644" i="22"/>
  <c r="D644" i="22"/>
  <c r="C644" i="22"/>
  <c r="B644" i="22"/>
  <c r="E643" i="22"/>
  <c r="D643" i="22"/>
  <c r="C643" i="22"/>
  <c r="B643" i="22"/>
  <c r="E642" i="22"/>
  <c r="D642" i="22"/>
  <c r="C642" i="22"/>
  <c r="B642" i="22"/>
  <c r="E641" i="22"/>
  <c r="D641" i="22"/>
  <c r="C641" i="22"/>
  <c r="B641" i="22"/>
  <c r="E640" i="22"/>
  <c r="D640" i="22"/>
  <c r="C640" i="22"/>
  <c r="B640" i="22"/>
  <c r="E639" i="22"/>
  <c r="D639" i="22"/>
  <c r="C639" i="22"/>
  <c r="B639" i="22"/>
  <c r="E638" i="22"/>
  <c r="D638" i="22"/>
  <c r="C638" i="22"/>
  <c r="B638" i="22"/>
  <c r="E637" i="22"/>
  <c r="D637" i="22"/>
  <c r="C637" i="22"/>
  <c r="B637" i="22"/>
  <c r="E636" i="22"/>
  <c r="D636" i="22"/>
  <c r="C636" i="22"/>
  <c r="B636" i="22"/>
  <c r="E635" i="22"/>
  <c r="D635" i="22"/>
  <c r="C635" i="22"/>
  <c r="B635" i="22"/>
  <c r="E634" i="22"/>
  <c r="D634" i="22"/>
  <c r="C634" i="22"/>
  <c r="B634" i="22"/>
  <c r="E633" i="22"/>
  <c r="D633" i="22"/>
  <c r="C633" i="22"/>
  <c r="B633" i="22"/>
  <c r="E632" i="22"/>
  <c r="D632" i="22"/>
  <c r="C632" i="22"/>
  <c r="B632" i="22"/>
  <c r="E631" i="22"/>
  <c r="D631" i="22"/>
  <c r="C631" i="22"/>
  <c r="B631" i="22"/>
  <c r="E630" i="22"/>
  <c r="D630" i="22"/>
  <c r="C630" i="22"/>
  <c r="B630" i="22"/>
  <c r="E629" i="22"/>
  <c r="D629" i="22"/>
  <c r="C629" i="22"/>
  <c r="B629" i="22"/>
  <c r="E628" i="22"/>
  <c r="D628" i="22"/>
  <c r="C628" i="22"/>
  <c r="B628" i="22"/>
  <c r="E627" i="22"/>
  <c r="D627" i="22"/>
  <c r="C627" i="22"/>
  <c r="B627" i="22"/>
  <c r="E626" i="22"/>
  <c r="D626" i="22"/>
  <c r="C626" i="22"/>
  <c r="B626" i="22"/>
  <c r="E625" i="22"/>
  <c r="D625" i="22"/>
  <c r="C625" i="22"/>
  <c r="B625" i="22"/>
  <c r="E624" i="22"/>
  <c r="D624" i="22"/>
  <c r="C624" i="22"/>
  <c r="B624" i="22"/>
  <c r="E623" i="22"/>
  <c r="D623" i="22"/>
  <c r="C623" i="22"/>
  <c r="B623" i="22"/>
  <c r="E622" i="22"/>
  <c r="D622" i="22"/>
  <c r="C622" i="22"/>
  <c r="B622" i="22"/>
  <c r="E621" i="22"/>
  <c r="D621" i="22"/>
  <c r="C621" i="22"/>
  <c r="B621" i="22"/>
  <c r="E620" i="22"/>
  <c r="D620" i="22"/>
  <c r="C620" i="22"/>
  <c r="B620" i="22"/>
  <c r="E619" i="22"/>
  <c r="D619" i="22"/>
  <c r="C619" i="22"/>
  <c r="B619" i="22"/>
  <c r="E618" i="22"/>
  <c r="D618" i="22"/>
  <c r="C618" i="22"/>
  <c r="B618" i="22"/>
  <c r="E617" i="22"/>
  <c r="D617" i="22"/>
  <c r="C617" i="22"/>
  <c r="B617" i="22"/>
  <c r="E616" i="22"/>
  <c r="D616" i="22"/>
  <c r="C616" i="22"/>
  <c r="B616" i="22"/>
  <c r="E615" i="22"/>
  <c r="D615" i="22"/>
  <c r="C615" i="22"/>
  <c r="B615" i="22"/>
  <c r="E614" i="22"/>
  <c r="D614" i="22"/>
  <c r="C614" i="22"/>
  <c r="B614" i="22"/>
  <c r="E613" i="22"/>
  <c r="D613" i="22"/>
  <c r="C613" i="22"/>
  <c r="B613" i="22"/>
  <c r="E612" i="22"/>
  <c r="D612" i="22"/>
  <c r="C612" i="22"/>
  <c r="B612" i="22"/>
  <c r="E611" i="22"/>
  <c r="D611" i="22"/>
  <c r="C611" i="22"/>
  <c r="B611" i="22"/>
  <c r="E610" i="22"/>
  <c r="D610" i="22"/>
  <c r="C610" i="22"/>
  <c r="B610" i="22"/>
  <c r="E609" i="22"/>
  <c r="D609" i="22"/>
  <c r="C609" i="22"/>
  <c r="B609" i="22"/>
  <c r="E608" i="22"/>
  <c r="D608" i="22"/>
  <c r="C608" i="22"/>
  <c r="B608" i="22"/>
  <c r="E607" i="22"/>
  <c r="D607" i="22"/>
  <c r="C607" i="22"/>
  <c r="B607" i="22"/>
  <c r="E606" i="22"/>
  <c r="D606" i="22"/>
  <c r="C606" i="22"/>
  <c r="B606" i="22"/>
  <c r="E605" i="22"/>
  <c r="D605" i="22"/>
  <c r="C605" i="22"/>
  <c r="B605" i="22"/>
  <c r="E604" i="22"/>
  <c r="D604" i="22"/>
  <c r="C604" i="22"/>
  <c r="B604" i="22"/>
  <c r="E603" i="22"/>
  <c r="D603" i="22"/>
  <c r="C603" i="22"/>
  <c r="B603" i="22"/>
  <c r="E602" i="22"/>
  <c r="D602" i="22"/>
  <c r="C602" i="22"/>
  <c r="B602" i="22"/>
  <c r="E601" i="22"/>
  <c r="D601" i="22"/>
  <c r="C601" i="22"/>
  <c r="B601" i="22"/>
  <c r="E600" i="22"/>
  <c r="D600" i="22"/>
  <c r="C600" i="22"/>
  <c r="B600" i="22"/>
  <c r="E599" i="22"/>
  <c r="D599" i="22"/>
  <c r="C599" i="22"/>
  <c r="B599" i="22"/>
  <c r="E598" i="22"/>
  <c r="D598" i="22"/>
  <c r="C598" i="22"/>
  <c r="B598" i="22"/>
  <c r="E597" i="22"/>
  <c r="D597" i="22"/>
  <c r="C597" i="22"/>
  <c r="B597" i="22"/>
  <c r="E596" i="22"/>
  <c r="D596" i="22"/>
  <c r="C596" i="22"/>
  <c r="B596" i="22"/>
  <c r="E595" i="22"/>
  <c r="D595" i="22"/>
  <c r="C595" i="22"/>
  <c r="B595" i="22"/>
  <c r="E594" i="22"/>
  <c r="D594" i="22"/>
  <c r="C594" i="22"/>
  <c r="B594" i="22"/>
  <c r="E593" i="22"/>
  <c r="D593" i="22"/>
  <c r="C593" i="22"/>
  <c r="B593" i="22"/>
  <c r="E592" i="22"/>
  <c r="D592" i="22"/>
  <c r="C592" i="22"/>
  <c r="B592" i="22"/>
  <c r="E591" i="22"/>
  <c r="D591" i="22"/>
  <c r="C591" i="22"/>
  <c r="B591" i="22"/>
  <c r="E590" i="22"/>
  <c r="D590" i="22"/>
  <c r="C590" i="22"/>
  <c r="B590" i="22"/>
  <c r="E589" i="22"/>
  <c r="D589" i="22"/>
  <c r="C589" i="22"/>
  <c r="B589" i="22"/>
  <c r="E588" i="22"/>
  <c r="D588" i="22"/>
  <c r="C588" i="22"/>
  <c r="B588" i="22"/>
  <c r="E587" i="22"/>
  <c r="D587" i="22"/>
  <c r="C587" i="22"/>
  <c r="B587" i="22"/>
  <c r="E586" i="22"/>
  <c r="D586" i="22"/>
  <c r="C586" i="22"/>
  <c r="B586" i="22"/>
  <c r="E585" i="22"/>
  <c r="D585" i="22"/>
  <c r="C585" i="22"/>
  <c r="B585" i="22"/>
  <c r="E584" i="22"/>
  <c r="D584" i="22"/>
  <c r="C584" i="22"/>
  <c r="B584" i="22"/>
  <c r="E583" i="22"/>
  <c r="D583" i="22"/>
  <c r="C583" i="22"/>
  <c r="B583" i="22"/>
  <c r="E582" i="22"/>
  <c r="D582" i="22"/>
  <c r="C582" i="22"/>
  <c r="B582" i="22"/>
  <c r="E581" i="22"/>
  <c r="D581" i="22"/>
  <c r="C581" i="22"/>
  <c r="B581" i="22"/>
  <c r="E580" i="22"/>
  <c r="D580" i="22"/>
  <c r="C580" i="22"/>
  <c r="B580" i="22"/>
  <c r="E579" i="22"/>
  <c r="D579" i="22"/>
  <c r="C579" i="22"/>
  <c r="B579" i="22"/>
  <c r="E578" i="22"/>
  <c r="D578" i="22"/>
  <c r="C578" i="22"/>
  <c r="B578" i="22"/>
  <c r="E577" i="22"/>
  <c r="D577" i="22"/>
  <c r="C577" i="22"/>
  <c r="B577" i="22"/>
  <c r="E576" i="22"/>
  <c r="D576" i="22"/>
  <c r="C576" i="22"/>
  <c r="B576" i="22"/>
  <c r="E575" i="22"/>
  <c r="D575" i="22"/>
  <c r="C575" i="22"/>
  <c r="B575" i="22"/>
  <c r="E574" i="22"/>
  <c r="D574" i="22"/>
  <c r="C574" i="22"/>
  <c r="B574" i="22"/>
  <c r="E573" i="22"/>
  <c r="D573" i="22"/>
  <c r="C573" i="22"/>
  <c r="B573" i="22"/>
  <c r="E572" i="22"/>
  <c r="D572" i="22"/>
  <c r="C572" i="22"/>
  <c r="B572" i="22"/>
  <c r="E571" i="22"/>
  <c r="D571" i="22"/>
  <c r="C571" i="22"/>
  <c r="B571" i="22"/>
  <c r="E570" i="22"/>
  <c r="D570" i="22"/>
  <c r="C570" i="22"/>
  <c r="B570" i="22"/>
  <c r="E569" i="22"/>
  <c r="D569" i="22"/>
  <c r="C569" i="22"/>
  <c r="B569" i="22"/>
  <c r="E568" i="22"/>
  <c r="D568" i="22"/>
  <c r="C568" i="22"/>
  <c r="B568" i="22"/>
  <c r="E567" i="22"/>
  <c r="D567" i="22"/>
  <c r="C567" i="22"/>
  <c r="B567" i="22"/>
  <c r="E566" i="22"/>
  <c r="D566" i="22"/>
  <c r="C566" i="22"/>
  <c r="B566" i="22"/>
  <c r="E565" i="22"/>
  <c r="D565" i="22"/>
  <c r="C565" i="22"/>
  <c r="B565" i="22"/>
  <c r="E564" i="22"/>
  <c r="D564" i="22"/>
  <c r="C564" i="22"/>
  <c r="B564" i="22"/>
  <c r="E563" i="22"/>
  <c r="D563" i="22"/>
  <c r="C563" i="22"/>
  <c r="B563" i="22"/>
  <c r="E562" i="22"/>
  <c r="D562" i="22"/>
  <c r="C562" i="22"/>
  <c r="B562" i="22"/>
  <c r="E561" i="22"/>
  <c r="D561" i="22"/>
  <c r="C561" i="22"/>
  <c r="B561" i="22"/>
  <c r="E560" i="22"/>
  <c r="D560" i="22"/>
  <c r="C560" i="22"/>
  <c r="B560" i="22"/>
  <c r="E559" i="22"/>
  <c r="D559" i="22"/>
  <c r="C559" i="22"/>
  <c r="B559" i="22"/>
  <c r="E558" i="22"/>
  <c r="D558" i="22"/>
  <c r="C558" i="22"/>
  <c r="B558" i="22"/>
  <c r="E557" i="22"/>
  <c r="D557" i="22"/>
  <c r="C557" i="22"/>
  <c r="B557" i="22"/>
  <c r="E556" i="22"/>
  <c r="D556" i="22"/>
  <c r="C556" i="22"/>
  <c r="B556" i="22"/>
  <c r="E555" i="22"/>
  <c r="D555" i="22"/>
  <c r="C555" i="22"/>
  <c r="B555" i="22"/>
  <c r="E554" i="22"/>
  <c r="D554" i="22"/>
  <c r="C554" i="22"/>
  <c r="B554" i="22"/>
  <c r="E553" i="22"/>
  <c r="D553" i="22"/>
  <c r="C553" i="22"/>
  <c r="B553" i="22"/>
  <c r="E552" i="22"/>
  <c r="D552" i="22"/>
  <c r="C552" i="22"/>
  <c r="B552" i="22"/>
  <c r="E551" i="22"/>
  <c r="D551" i="22"/>
  <c r="C551" i="22"/>
  <c r="B551" i="22"/>
  <c r="E550" i="22"/>
  <c r="D550" i="22"/>
  <c r="C550" i="22"/>
  <c r="B550" i="22"/>
  <c r="E549" i="22"/>
  <c r="D549" i="22"/>
  <c r="C549" i="22"/>
  <c r="B549" i="22"/>
  <c r="E548" i="22"/>
  <c r="D548" i="22"/>
  <c r="C548" i="22"/>
  <c r="B548" i="22"/>
  <c r="E547" i="22"/>
  <c r="D547" i="22"/>
  <c r="C547" i="22"/>
  <c r="B547" i="22"/>
  <c r="E546" i="22"/>
  <c r="D546" i="22"/>
  <c r="C546" i="22"/>
  <c r="B546" i="22"/>
  <c r="E545" i="22"/>
  <c r="D545" i="22"/>
  <c r="C545" i="22"/>
  <c r="B545" i="22"/>
  <c r="E544" i="22"/>
  <c r="D544" i="22"/>
  <c r="C544" i="22"/>
  <c r="B544" i="22"/>
  <c r="E543" i="22"/>
  <c r="D543" i="22"/>
  <c r="C543" i="22"/>
  <c r="B543" i="22"/>
  <c r="E542" i="22"/>
  <c r="D542" i="22"/>
  <c r="C542" i="22"/>
  <c r="B542" i="22"/>
  <c r="E541" i="22"/>
  <c r="D541" i="22"/>
  <c r="C541" i="22"/>
  <c r="B541" i="22"/>
  <c r="E540" i="22"/>
  <c r="D540" i="22"/>
  <c r="C540" i="22"/>
  <c r="B540" i="22"/>
  <c r="E539" i="22"/>
  <c r="D539" i="22"/>
  <c r="C539" i="22"/>
  <c r="B539" i="22"/>
  <c r="E538" i="22"/>
  <c r="D538" i="22"/>
  <c r="C538" i="22"/>
  <c r="B538" i="22"/>
  <c r="E537" i="22"/>
  <c r="D537" i="22"/>
  <c r="C537" i="22"/>
  <c r="B537" i="22"/>
  <c r="E536" i="22"/>
  <c r="D536" i="22"/>
  <c r="C536" i="22"/>
  <c r="B536" i="22"/>
  <c r="E535" i="22"/>
  <c r="D535" i="22"/>
  <c r="C535" i="22"/>
  <c r="B535" i="22"/>
  <c r="E534" i="22"/>
  <c r="D534" i="22"/>
  <c r="C534" i="22"/>
  <c r="B534" i="22"/>
  <c r="E533" i="22"/>
  <c r="D533" i="22"/>
  <c r="C533" i="22"/>
  <c r="B533" i="22"/>
  <c r="E532" i="22"/>
  <c r="D532" i="22"/>
  <c r="C532" i="22"/>
  <c r="B532" i="22"/>
  <c r="E531" i="22"/>
  <c r="D531" i="22"/>
  <c r="C531" i="22"/>
  <c r="B531" i="22"/>
  <c r="E530" i="22"/>
  <c r="D530" i="22"/>
  <c r="C530" i="22"/>
  <c r="B530" i="22"/>
  <c r="E529" i="22"/>
  <c r="D529" i="22"/>
  <c r="C529" i="22"/>
  <c r="B529" i="22"/>
  <c r="E528" i="22"/>
  <c r="D528" i="22"/>
  <c r="C528" i="22"/>
  <c r="B528" i="22"/>
  <c r="E527" i="22"/>
  <c r="D527" i="22"/>
  <c r="C527" i="22"/>
  <c r="B527" i="22"/>
  <c r="E526" i="22"/>
  <c r="D526" i="22"/>
  <c r="C526" i="22"/>
  <c r="B526" i="22"/>
  <c r="E525" i="22"/>
  <c r="D525" i="22"/>
  <c r="C525" i="22"/>
  <c r="B525" i="22"/>
  <c r="E524" i="22"/>
  <c r="D524" i="22"/>
  <c r="C524" i="22"/>
  <c r="B524" i="22"/>
  <c r="E523" i="22"/>
  <c r="D523" i="22"/>
  <c r="C523" i="22"/>
  <c r="B523" i="22"/>
  <c r="E522" i="22"/>
  <c r="D522" i="22"/>
  <c r="C522" i="22"/>
  <c r="B522" i="22"/>
  <c r="E521" i="22"/>
  <c r="D521" i="22"/>
  <c r="C521" i="22"/>
  <c r="B521" i="22"/>
  <c r="E520" i="22"/>
  <c r="D520" i="22"/>
  <c r="C520" i="22"/>
  <c r="B520" i="22"/>
  <c r="E519" i="22"/>
  <c r="D519" i="22"/>
  <c r="C519" i="22"/>
  <c r="B519" i="22"/>
  <c r="E518" i="22"/>
  <c r="D518" i="22"/>
  <c r="C518" i="22"/>
  <c r="B518" i="22"/>
  <c r="E517" i="22"/>
  <c r="D517" i="22"/>
  <c r="C517" i="22"/>
  <c r="B517" i="22"/>
  <c r="E516" i="22"/>
  <c r="D516" i="22"/>
  <c r="C516" i="22"/>
  <c r="B516" i="22"/>
  <c r="E515" i="22"/>
  <c r="D515" i="22"/>
  <c r="C515" i="22"/>
  <c r="B515" i="22"/>
  <c r="E514" i="22"/>
  <c r="D514" i="22"/>
  <c r="C514" i="22"/>
  <c r="B514" i="22"/>
  <c r="E513" i="22"/>
  <c r="D513" i="22"/>
  <c r="C513" i="22"/>
  <c r="B513" i="22"/>
  <c r="E512" i="22"/>
  <c r="D512" i="22"/>
  <c r="C512" i="22"/>
  <c r="B512" i="22"/>
  <c r="E511" i="22"/>
  <c r="D511" i="22"/>
  <c r="C511" i="22"/>
  <c r="B511" i="22"/>
  <c r="E510" i="22"/>
  <c r="D510" i="22"/>
  <c r="C510" i="22"/>
  <c r="B510" i="22"/>
  <c r="E509" i="22"/>
  <c r="D509" i="22"/>
  <c r="C509" i="22"/>
  <c r="B509" i="22"/>
  <c r="E508" i="22"/>
  <c r="D508" i="22"/>
  <c r="C508" i="22"/>
  <c r="B508" i="22"/>
  <c r="E507" i="22"/>
  <c r="D507" i="22"/>
  <c r="C507" i="22"/>
  <c r="B507" i="22"/>
  <c r="E506" i="22"/>
  <c r="D506" i="22"/>
  <c r="C506" i="22"/>
  <c r="B506" i="22"/>
  <c r="E505" i="22"/>
  <c r="D505" i="22"/>
  <c r="C505" i="22"/>
  <c r="B505" i="22"/>
  <c r="E504" i="22"/>
  <c r="D504" i="22"/>
  <c r="C504" i="22"/>
  <c r="B504" i="22"/>
  <c r="E503" i="22"/>
  <c r="D503" i="22"/>
  <c r="C503" i="22"/>
  <c r="B503" i="22"/>
  <c r="E502" i="22"/>
  <c r="D502" i="22"/>
  <c r="C502" i="22"/>
  <c r="B502" i="22"/>
  <c r="E501" i="22"/>
  <c r="D501" i="22"/>
  <c r="C501" i="22"/>
  <c r="B501" i="22"/>
  <c r="E500" i="22"/>
  <c r="D500" i="22"/>
  <c r="C500" i="22"/>
  <c r="B500" i="22"/>
  <c r="E499" i="22"/>
  <c r="D499" i="22"/>
  <c r="C499" i="22"/>
  <c r="B499" i="22"/>
  <c r="E498" i="22"/>
  <c r="D498" i="22"/>
  <c r="C498" i="22"/>
  <c r="B498" i="22"/>
  <c r="E497" i="22"/>
  <c r="D497" i="22"/>
  <c r="C497" i="22"/>
  <c r="B497" i="22"/>
  <c r="E496" i="22"/>
  <c r="D496" i="22"/>
  <c r="C496" i="22"/>
  <c r="B496" i="22"/>
  <c r="E495" i="22"/>
  <c r="D495" i="22"/>
  <c r="C495" i="22"/>
  <c r="B495" i="22"/>
  <c r="E494" i="22"/>
  <c r="D494" i="22"/>
  <c r="C494" i="22"/>
  <c r="B494" i="22"/>
  <c r="E493" i="22"/>
  <c r="D493" i="22"/>
  <c r="C493" i="22"/>
  <c r="B493" i="22"/>
  <c r="E492" i="22"/>
  <c r="D492" i="22"/>
  <c r="C492" i="22"/>
  <c r="B492" i="22"/>
  <c r="E491" i="22"/>
  <c r="D491" i="22"/>
  <c r="C491" i="22"/>
  <c r="B491" i="22"/>
  <c r="E490" i="22"/>
  <c r="D490" i="22"/>
  <c r="C490" i="22"/>
  <c r="B490" i="22"/>
  <c r="E489" i="22"/>
  <c r="D489" i="22"/>
  <c r="C489" i="22"/>
  <c r="B489" i="22"/>
  <c r="E488" i="22"/>
  <c r="D488" i="22"/>
  <c r="C488" i="22"/>
  <c r="B488" i="22"/>
  <c r="E487" i="22"/>
  <c r="D487" i="22"/>
  <c r="C487" i="22"/>
  <c r="B487" i="22"/>
  <c r="E486" i="22"/>
  <c r="D486" i="22"/>
  <c r="C486" i="22"/>
  <c r="B486" i="22"/>
  <c r="E485" i="22"/>
  <c r="D485" i="22"/>
  <c r="C485" i="22"/>
  <c r="B485" i="22"/>
  <c r="E484" i="22"/>
  <c r="D484" i="22"/>
  <c r="C484" i="22"/>
  <c r="B484" i="22"/>
  <c r="E483" i="22"/>
  <c r="D483" i="22"/>
  <c r="C483" i="22"/>
  <c r="B483" i="22"/>
  <c r="E482" i="22"/>
  <c r="D482" i="22"/>
  <c r="C482" i="22"/>
  <c r="B482" i="22"/>
  <c r="E481" i="22"/>
  <c r="D481" i="22"/>
  <c r="C481" i="22"/>
  <c r="B481" i="22"/>
  <c r="E480" i="22"/>
  <c r="D480" i="22"/>
  <c r="C480" i="22"/>
  <c r="B480" i="22"/>
  <c r="E479" i="22"/>
  <c r="D479" i="22"/>
  <c r="C479" i="22"/>
  <c r="B479" i="22"/>
  <c r="E478" i="22"/>
  <c r="D478" i="22"/>
  <c r="C478" i="22"/>
  <c r="B478" i="22"/>
  <c r="E477" i="22"/>
  <c r="D477" i="22"/>
  <c r="C477" i="22"/>
  <c r="B477" i="22"/>
  <c r="E476" i="22"/>
  <c r="D476" i="22"/>
  <c r="C476" i="22"/>
  <c r="B476" i="22"/>
  <c r="E475" i="22"/>
  <c r="D475" i="22"/>
  <c r="C475" i="22"/>
  <c r="B475" i="22"/>
  <c r="E474" i="22"/>
  <c r="D474" i="22"/>
  <c r="C474" i="22"/>
  <c r="B474" i="22"/>
  <c r="E473" i="22"/>
  <c r="D473" i="22"/>
  <c r="C473" i="22"/>
  <c r="B473" i="22"/>
  <c r="E472" i="22"/>
  <c r="D472" i="22"/>
  <c r="C472" i="22"/>
  <c r="B472" i="22"/>
  <c r="E471" i="22"/>
  <c r="D471" i="22"/>
  <c r="C471" i="22"/>
  <c r="B471" i="22"/>
  <c r="E470" i="22"/>
  <c r="D470" i="22"/>
  <c r="C470" i="22"/>
  <c r="B470" i="22"/>
  <c r="E469" i="22"/>
  <c r="D469" i="22"/>
  <c r="C469" i="22"/>
  <c r="B469" i="22"/>
  <c r="E468" i="22"/>
  <c r="D468" i="22"/>
  <c r="C468" i="22"/>
  <c r="B468" i="22"/>
  <c r="E467" i="22"/>
  <c r="D467" i="22"/>
  <c r="C467" i="22"/>
  <c r="B467" i="22"/>
  <c r="E466" i="22"/>
  <c r="D466" i="22"/>
  <c r="C466" i="22"/>
  <c r="B466" i="22"/>
  <c r="E465" i="22"/>
  <c r="D465" i="22"/>
  <c r="C465" i="22"/>
  <c r="B465" i="22"/>
  <c r="E464" i="22"/>
  <c r="D464" i="22"/>
  <c r="C464" i="22"/>
  <c r="B464" i="22"/>
  <c r="E463" i="22"/>
  <c r="D463" i="22"/>
  <c r="C463" i="22"/>
  <c r="B463" i="22"/>
  <c r="E462" i="22"/>
  <c r="D462" i="22"/>
  <c r="C462" i="22"/>
  <c r="B462" i="22"/>
  <c r="E461" i="22"/>
  <c r="D461" i="22"/>
  <c r="C461" i="22"/>
  <c r="B461" i="22"/>
  <c r="E460" i="22"/>
  <c r="D460" i="22"/>
  <c r="C460" i="22"/>
  <c r="B460" i="22"/>
  <c r="E459" i="22"/>
  <c r="D459" i="22"/>
  <c r="C459" i="22"/>
  <c r="B459" i="22"/>
  <c r="E458" i="22"/>
  <c r="D458" i="22"/>
  <c r="C458" i="22"/>
  <c r="B458" i="22"/>
  <c r="E457" i="22"/>
  <c r="D457" i="22"/>
  <c r="C457" i="22"/>
  <c r="B457" i="22"/>
  <c r="E456" i="22"/>
  <c r="D456" i="22"/>
  <c r="C456" i="22"/>
  <c r="B456" i="22"/>
  <c r="E455" i="22"/>
  <c r="D455" i="22"/>
  <c r="C455" i="22"/>
  <c r="B455" i="22"/>
  <c r="E454" i="22"/>
  <c r="D454" i="22"/>
  <c r="C454" i="22"/>
  <c r="B454" i="22"/>
  <c r="E453" i="22"/>
  <c r="D453" i="22"/>
  <c r="C453" i="22"/>
  <c r="B453" i="22"/>
  <c r="E452" i="22"/>
  <c r="D452" i="22"/>
  <c r="C452" i="22"/>
  <c r="B452" i="22"/>
  <c r="E451" i="22"/>
  <c r="D451" i="22"/>
  <c r="C451" i="22"/>
  <c r="B451" i="22"/>
  <c r="E450" i="22"/>
  <c r="D450" i="22"/>
  <c r="C450" i="22"/>
  <c r="B450" i="22"/>
  <c r="E449" i="22"/>
  <c r="D449" i="22"/>
  <c r="C449" i="22"/>
  <c r="B449" i="22"/>
  <c r="E448" i="22"/>
  <c r="D448" i="22"/>
  <c r="C448" i="22"/>
  <c r="B448" i="22"/>
  <c r="E447" i="22"/>
  <c r="D447" i="22"/>
  <c r="C447" i="22"/>
  <c r="B447" i="22"/>
  <c r="E446" i="22"/>
  <c r="D446" i="22"/>
  <c r="C446" i="22"/>
  <c r="B446" i="22"/>
  <c r="E445" i="22"/>
  <c r="D445" i="22"/>
  <c r="C445" i="22"/>
  <c r="B445" i="22"/>
  <c r="E444" i="22"/>
  <c r="D444" i="22"/>
  <c r="C444" i="22"/>
  <c r="B444" i="22"/>
  <c r="E443" i="22"/>
  <c r="D443" i="22"/>
  <c r="C443" i="22"/>
  <c r="B443" i="22"/>
  <c r="E442" i="22"/>
  <c r="D442" i="22"/>
  <c r="C442" i="22"/>
  <c r="B442" i="22"/>
  <c r="E441" i="22"/>
  <c r="D441" i="22"/>
  <c r="C441" i="22"/>
  <c r="B441" i="22"/>
  <c r="E440" i="22"/>
  <c r="D440" i="22"/>
  <c r="C440" i="22"/>
  <c r="B440" i="22"/>
  <c r="E439" i="22"/>
  <c r="D439" i="22"/>
  <c r="C439" i="22"/>
  <c r="B439" i="22"/>
  <c r="E438" i="22"/>
  <c r="D438" i="22"/>
  <c r="C438" i="22"/>
  <c r="B438" i="22"/>
  <c r="E437" i="22"/>
  <c r="D437" i="22"/>
  <c r="C437" i="22"/>
  <c r="B437" i="22"/>
  <c r="E436" i="22"/>
  <c r="D436" i="22"/>
  <c r="C436" i="22"/>
  <c r="B436" i="22"/>
  <c r="E435" i="22"/>
  <c r="D435" i="22"/>
  <c r="C435" i="22"/>
  <c r="B435" i="22"/>
  <c r="E434" i="22"/>
  <c r="D434" i="22"/>
  <c r="C434" i="22"/>
  <c r="B434" i="22"/>
  <c r="E433" i="22"/>
  <c r="D433" i="22"/>
  <c r="C433" i="22"/>
  <c r="B433" i="22"/>
  <c r="E432" i="22"/>
  <c r="D432" i="22"/>
  <c r="C432" i="22"/>
  <c r="B432" i="22"/>
  <c r="E431" i="22"/>
  <c r="D431" i="22"/>
  <c r="C431" i="22"/>
  <c r="B431" i="22"/>
  <c r="E430" i="22"/>
  <c r="D430" i="22"/>
  <c r="C430" i="22"/>
  <c r="B430" i="22"/>
  <c r="E429" i="22"/>
  <c r="D429" i="22"/>
  <c r="C429" i="22"/>
  <c r="B429" i="22"/>
  <c r="E428" i="22"/>
  <c r="D428" i="22"/>
  <c r="C428" i="22"/>
  <c r="B428" i="22"/>
  <c r="E427" i="22"/>
  <c r="D427" i="22"/>
  <c r="C427" i="22"/>
  <c r="B427" i="22"/>
  <c r="E426" i="22"/>
  <c r="D426" i="22"/>
  <c r="C426" i="22"/>
  <c r="B426" i="22"/>
  <c r="E425" i="22"/>
  <c r="D425" i="22"/>
  <c r="C425" i="22"/>
  <c r="B425" i="22"/>
  <c r="E424" i="22"/>
  <c r="D424" i="22"/>
  <c r="C424" i="22"/>
  <c r="B424" i="22"/>
  <c r="E423" i="22"/>
  <c r="D423" i="22"/>
  <c r="C423" i="22"/>
  <c r="B423" i="22"/>
  <c r="E422" i="22"/>
  <c r="D422" i="22"/>
  <c r="C422" i="22"/>
  <c r="B422" i="22"/>
  <c r="E421" i="22"/>
  <c r="D421" i="22"/>
  <c r="C421" i="22"/>
  <c r="B421" i="22"/>
  <c r="E420" i="22"/>
  <c r="D420" i="22"/>
  <c r="C420" i="22"/>
  <c r="B420" i="22"/>
  <c r="E419" i="22"/>
  <c r="D419" i="22"/>
  <c r="C419" i="22"/>
  <c r="B419" i="22"/>
  <c r="E418" i="22"/>
  <c r="D418" i="22"/>
  <c r="C418" i="22"/>
  <c r="B418" i="22"/>
  <c r="E417" i="22"/>
  <c r="D417" i="22"/>
  <c r="C417" i="22"/>
  <c r="B417" i="22"/>
  <c r="E416" i="22"/>
  <c r="D416" i="22"/>
  <c r="C416" i="22"/>
  <c r="B416" i="22"/>
  <c r="E415" i="22"/>
  <c r="D415" i="22"/>
  <c r="C415" i="22"/>
  <c r="B415" i="22"/>
  <c r="E414" i="22"/>
  <c r="D414" i="22"/>
  <c r="C414" i="22"/>
  <c r="B414" i="22"/>
  <c r="E413" i="22"/>
  <c r="D413" i="22"/>
  <c r="C413" i="22"/>
  <c r="B413" i="22"/>
  <c r="E412" i="22"/>
  <c r="D412" i="22"/>
  <c r="C412" i="22"/>
  <c r="B412" i="22"/>
  <c r="E411" i="22"/>
  <c r="D411" i="22"/>
  <c r="C411" i="22"/>
  <c r="B411" i="22"/>
  <c r="E410" i="22"/>
  <c r="D410" i="22"/>
  <c r="C410" i="22"/>
  <c r="B410" i="22"/>
  <c r="E409" i="22"/>
  <c r="D409" i="22"/>
  <c r="C409" i="22"/>
  <c r="B409" i="22"/>
  <c r="E408" i="22"/>
  <c r="D408" i="22"/>
  <c r="C408" i="22"/>
  <c r="B408" i="22"/>
  <c r="E407" i="22"/>
  <c r="D407" i="22"/>
  <c r="C407" i="22"/>
  <c r="B407" i="22"/>
  <c r="E406" i="22"/>
  <c r="D406" i="22"/>
  <c r="C406" i="22"/>
  <c r="B406" i="22"/>
  <c r="E405" i="22"/>
  <c r="D405" i="22"/>
  <c r="C405" i="22"/>
  <c r="B405" i="22"/>
  <c r="E404" i="22"/>
  <c r="D404" i="22"/>
  <c r="C404" i="22"/>
  <c r="B404" i="22"/>
  <c r="E403" i="22"/>
  <c r="D403" i="22"/>
  <c r="C403" i="22"/>
  <c r="B403" i="22"/>
  <c r="E402" i="22"/>
  <c r="D402" i="22"/>
  <c r="C402" i="22"/>
  <c r="B402" i="22"/>
  <c r="E401" i="22"/>
  <c r="D401" i="22"/>
  <c r="C401" i="22"/>
  <c r="B401" i="22"/>
  <c r="E400" i="22"/>
  <c r="D400" i="22"/>
  <c r="C400" i="22"/>
  <c r="B400" i="22"/>
  <c r="E399" i="22"/>
  <c r="D399" i="22"/>
  <c r="C399" i="22"/>
  <c r="B399" i="22"/>
  <c r="E398" i="22"/>
  <c r="D398" i="22"/>
  <c r="C398" i="22"/>
  <c r="B398" i="22"/>
  <c r="E397" i="22"/>
  <c r="D397" i="22"/>
  <c r="C397" i="22"/>
  <c r="B397" i="22"/>
  <c r="E396" i="22"/>
  <c r="D396" i="22"/>
  <c r="C396" i="22"/>
  <c r="B396" i="22"/>
  <c r="E395" i="22"/>
  <c r="D395" i="22"/>
  <c r="C395" i="22"/>
  <c r="B395" i="22"/>
  <c r="E394" i="22"/>
  <c r="D394" i="22"/>
  <c r="C394" i="22"/>
  <c r="B394" i="22"/>
  <c r="E393" i="22"/>
  <c r="D393" i="22"/>
  <c r="C393" i="22"/>
  <c r="B393" i="22"/>
  <c r="E392" i="22"/>
  <c r="D392" i="22"/>
  <c r="C392" i="22"/>
  <c r="B392" i="22"/>
  <c r="E391" i="22"/>
  <c r="D391" i="22"/>
  <c r="C391" i="22"/>
  <c r="B391" i="22"/>
  <c r="E390" i="22"/>
  <c r="D390" i="22"/>
  <c r="C390" i="22"/>
  <c r="B390" i="22"/>
  <c r="E389" i="22"/>
  <c r="D389" i="22"/>
  <c r="C389" i="22"/>
  <c r="B389" i="22"/>
  <c r="E388" i="22"/>
  <c r="D388" i="22"/>
  <c r="C388" i="22"/>
  <c r="B388" i="22"/>
  <c r="E387" i="22"/>
  <c r="D387" i="22"/>
  <c r="C387" i="22"/>
  <c r="B387" i="22"/>
  <c r="E386" i="22"/>
  <c r="D386" i="22"/>
  <c r="C386" i="22"/>
  <c r="B386" i="22"/>
  <c r="E385" i="22"/>
  <c r="D385" i="22"/>
  <c r="C385" i="22"/>
  <c r="B385" i="22"/>
  <c r="E384" i="22"/>
  <c r="D384" i="22"/>
  <c r="C384" i="22"/>
  <c r="B384" i="22"/>
  <c r="E383" i="22"/>
  <c r="D383" i="22"/>
  <c r="C383" i="22"/>
  <c r="B383" i="22"/>
  <c r="E382" i="22"/>
  <c r="D382" i="22"/>
  <c r="C382" i="22"/>
  <c r="B382" i="22"/>
  <c r="E381" i="22"/>
  <c r="D381" i="22"/>
  <c r="C381" i="22"/>
  <c r="B381" i="22"/>
  <c r="E380" i="22"/>
  <c r="D380" i="22"/>
  <c r="C380" i="22"/>
  <c r="B380" i="22"/>
  <c r="E379" i="22"/>
  <c r="D379" i="22"/>
  <c r="C379" i="22"/>
  <c r="B379" i="22"/>
  <c r="E378" i="22"/>
  <c r="D378" i="22"/>
  <c r="C378" i="22"/>
  <c r="B378" i="22"/>
  <c r="E377" i="22"/>
  <c r="D377" i="22"/>
  <c r="C377" i="22"/>
  <c r="B377" i="22"/>
  <c r="E376" i="22"/>
  <c r="D376" i="22"/>
  <c r="C376" i="22"/>
  <c r="B376" i="22"/>
  <c r="E375" i="22"/>
  <c r="D375" i="22"/>
  <c r="C375" i="22"/>
  <c r="B375" i="22"/>
  <c r="E374" i="22"/>
  <c r="D374" i="22"/>
  <c r="C374" i="22"/>
  <c r="B374" i="22"/>
  <c r="E373" i="22"/>
  <c r="D373" i="22"/>
  <c r="C373" i="22"/>
  <c r="B373" i="22"/>
  <c r="E372" i="22"/>
  <c r="D372" i="22"/>
  <c r="C372" i="22"/>
  <c r="B372" i="22"/>
  <c r="E371" i="22"/>
  <c r="D371" i="22"/>
  <c r="C371" i="22"/>
  <c r="B371" i="22"/>
  <c r="E370" i="22"/>
  <c r="D370" i="22"/>
  <c r="C370" i="22"/>
  <c r="B370" i="22"/>
  <c r="E369" i="22"/>
  <c r="D369" i="22"/>
  <c r="C369" i="22"/>
  <c r="B369" i="22"/>
  <c r="E368" i="22"/>
  <c r="D368" i="22"/>
  <c r="C368" i="22"/>
  <c r="B368" i="22"/>
  <c r="E367" i="22"/>
  <c r="D367" i="22"/>
  <c r="C367" i="22"/>
  <c r="B367" i="22"/>
  <c r="E366" i="22"/>
  <c r="D366" i="22"/>
  <c r="C366" i="22"/>
  <c r="B366" i="22"/>
  <c r="E365" i="22"/>
  <c r="D365" i="22"/>
  <c r="C365" i="22"/>
  <c r="B365" i="22"/>
  <c r="E364" i="22"/>
  <c r="D364" i="22"/>
  <c r="C364" i="22"/>
  <c r="B364" i="22"/>
  <c r="E363" i="22"/>
  <c r="D363" i="22"/>
  <c r="C363" i="22"/>
  <c r="B363" i="22"/>
  <c r="E362" i="22"/>
  <c r="D362" i="22"/>
  <c r="C362" i="22"/>
  <c r="B362" i="22"/>
  <c r="E361" i="22"/>
  <c r="D361" i="22"/>
  <c r="C361" i="22"/>
  <c r="B361" i="22"/>
  <c r="E360" i="22"/>
  <c r="D360" i="22"/>
  <c r="C360" i="22"/>
  <c r="B360" i="22"/>
  <c r="E359" i="22"/>
  <c r="D359" i="22"/>
  <c r="C359" i="22"/>
  <c r="B359" i="22"/>
  <c r="E358" i="22"/>
  <c r="D358" i="22"/>
  <c r="C358" i="22"/>
  <c r="B358" i="22"/>
  <c r="E357" i="22"/>
  <c r="D357" i="22"/>
  <c r="C357" i="22"/>
  <c r="B357" i="22"/>
  <c r="E356" i="22"/>
  <c r="D356" i="22"/>
  <c r="C356" i="22"/>
  <c r="B356" i="22"/>
  <c r="E355" i="22"/>
  <c r="D355" i="22"/>
  <c r="C355" i="22"/>
  <c r="B355" i="22"/>
  <c r="E354" i="22"/>
  <c r="D354" i="22"/>
  <c r="C354" i="22"/>
  <c r="B354" i="22"/>
  <c r="E353" i="22"/>
  <c r="D353" i="22"/>
  <c r="C353" i="22"/>
  <c r="B353" i="22"/>
  <c r="E352" i="22"/>
  <c r="D352" i="22"/>
  <c r="C352" i="22"/>
  <c r="B352" i="22"/>
  <c r="E351" i="22"/>
  <c r="D351" i="22"/>
  <c r="C351" i="22"/>
  <c r="B351" i="22"/>
  <c r="E350" i="22"/>
  <c r="D350" i="22"/>
  <c r="C350" i="22"/>
  <c r="B350" i="22"/>
  <c r="E349" i="22"/>
  <c r="D349" i="22"/>
  <c r="C349" i="22"/>
  <c r="B349" i="22"/>
  <c r="E348" i="22"/>
  <c r="D348" i="22"/>
  <c r="C348" i="22"/>
  <c r="B348" i="22"/>
  <c r="E347" i="22"/>
  <c r="D347" i="22"/>
  <c r="C347" i="22"/>
  <c r="B347" i="22"/>
  <c r="E346" i="22"/>
  <c r="D346" i="22"/>
  <c r="C346" i="22"/>
  <c r="B346" i="22"/>
  <c r="E345" i="22"/>
  <c r="D345" i="22"/>
  <c r="C345" i="22"/>
  <c r="B345" i="22"/>
  <c r="E344" i="22"/>
  <c r="D344" i="22"/>
  <c r="C344" i="22"/>
  <c r="B344" i="22"/>
  <c r="E343" i="22"/>
  <c r="D343" i="22"/>
  <c r="C343" i="22"/>
  <c r="B343" i="22"/>
  <c r="E342" i="22"/>
  <c r="D342" i="22"/>
  <c r="C342" i="22"/>
  <c r="B342" i="22"/>
  <c r="E341" i="22"/>
  <c r="D341" i="22"/>
  <c r="C341" i="22"/>
  <c r="B341" i="22"/>
  <c r="E340" i="22"/>
  <c r="D340" i="22"/>
  <c r="C340" i="22"/>
  <c r="B340" i="22"/>
  <c r="E339" i="22"/>
  <c r="D339" i="22"/>
  <c r="C339" i="22"/>
  <c r="B339" i="22"/>
  <c r="E338" i="22"/>
  <c r="D338" i="22"/>
  <c r="C338" i="22"/>
  <c r="B338" i="22"/>
  <c r="E337" i="22"/>
  <c r="D337" i="22"/>
  <c r="C337" i="22"/>
  <c r="B337" i="22"/>
  <c r="E336" i="22"/>
  <c r="D336" i="22"/>
  <c r="C336" i="22"/>
  <c r="B336" i="22"/>
  <c r="E335" i="22"/>
  <c r="D335" i="22"/>
  <c r="C335" i="22"/>
  <c r="B335" i="22"/>
  <c r="E334" i="22"/>
  <c r="D334" i="22"/>
  <c r="C334" i="22"/>
  <c r="B334" i="22"/>
  <c r="E333" i="22"/>
  <c r="D333" i="22"/>
  <c r="C333" i="22"/>
  <c r="B333" i="22"/>
  <c r="E332" i="22"/>
  <c r="D332" i="22"/>
  <c r="C332" i="22"/>
  <c r="B332" i="22"/>
  <c r="E331" i="22"/>
  <c r="D331" i="22"/>
  <c r="C331" i="22"/>
  <c r="B331" i="22"/>
  <c r="E330" i="22"/>
  <c r="D330" i="22"/>
  <c r="C330" i="22"/>
  <c r="B330" i="22"/>
  <c r="E329" i="22"/>
  <c r="D329" i="22"/>
  <c r="C329" i="22"/>
  <c r="B329" i="22"/>
  <c r="E328" i="22"/>
  <c r="D328" i="22"/>
  <c r="C328" i="22"/>
  <c r="B328" i="22"/>
  <c r="E327" i="22"/>
  <c r="D327" i="22"/>
  <c r="C327" i="22"/>
  <c r="B327" i="22"/>
  <c r="E326" i="22"/>
  <c r="D326" i="22"/>
  <c r="C326" i="22"/>
  <c r="B326" i="22"/>
  <c r="E325" i="22"/>
  <c r="D325" i="22"/>
  <c r="C325" i="22"/>
  <c r="B325" i="22"/>
  <c r="E324" i="22"/>
  <c r="D324" i="22"/>
  <c r="C324" i="22"/>
  <c r="B324" i="22"/>
  <c r="E323" i="22"/>
  <c r="D323" i="22"/>
  <c r="C323" i="22"/>
  <c r="B323" i="22"/>
  <c r="E322" i="22"/>
  <c r="D322" i="22"/>
  <c r="C322" i="22"/>
  <c r="B322" i="22"/>
  <c r="E321" i="22"/>
  <c r="D321" i="22"/>
  <c r="C321" i="22"/>
  <c r="B321" i="22"/>
  <c r="E320" i="22"/>
  <c r="D320" i="22"/>
  <c r="C320" i="22"/>
  <c r="B320" i="22"/>
  <c r="E319" i="22"/>
  <c r="D319" i="22"/>
  <c r="C319" i="22"/>
  <c r="B319" i="22"/>
  <c r="E318" i="22"/>
  <c r="D318" i="22"/>
  <c r="C318" i="22"/>
  <c r="B318" i="22"/>
  <c r="E317" i="22"/>
  <c r="D317" i="22"/>
  <c r="C317" i="22"/>
  <c r="B317" i="22"/>
  <c r="E316" i="22"/>
  <c r="D316" i="22"/>
  <c r="C316" i="22"/>
  <c r="B316" i="22"/>
  <c r="E315" i="22"/>
  <c r="D315" i="22"/>
  <c r="C315" i="22"/>
  <c r="B315" i="22"/>
  <c r="E314" i="22"/>
  <c r="D314" i="22"/>
  <c r="C314" i="22"/>
  <c r="B314" i="22"/>
  <c r="E313" i="22"/>
  <c r="D313" i="22"/>
  <c r="C313" i="22"/>
  <c r="B313" i="22"/>
  <c r="E312" i="22"/>
  <c r="D312" i="22"/>
  <c r="C312" i="22"/>
  <c r="B312" i="22"/>
  <c r="E311" i="22"/>
  <c r="D311" i="22"/>
  <c r="C311" i="22"/>
  <c r="B311" i="22"/>
  <c r="E310" i="22"/>
  <c r="D310" i="22"/>
  <c r="C310" i="22"/>
  <c r="B310" i="22"/>
  <c r="E309" i="22"/>
  <c r="D309" i="22"/>
  <c r="C309" i="22"/>
  <c r="B309" i="22"/>
  <c r="E308" i="22"/>
  <c r="D308" i="22"/>
  <c r="C308" i="22"/>
  <c r="B308" i="22"/>
  <c r="E307" i="22"/>
  <c r="D307" i="22"/>
  <c r="C307" i="22"/>
  <c r="B307" i="22"/>
  <c r="E306" i="22"/>
  <c r="D306" i="22"/>
  <c r="C306" i="22"/>
  <c r="B306" i="22"/>
  <c r="E305" i="22"/>
  <c r="D305" i="22"/>
  <c r="C305" i="22"/>
  <c r="B305" i="22"/>
  <c r="E304" i="22"/>
  <c r="D304" i="22"/>
  <c r="C304" i="22"/>
  <c r="B304" i="22"/>
  <c r="E303" i="22"/>
  <c r="D303" i="22"/>
  <c r="C303" i="22"/>
  <c r="B303" i="22"/>
  <c r="E302" i="22"/>
  <c r="D302" i="22"/>
  <c r="C302" i="22"/>
  <c r="B302" i="22"/>
  <c r="E301" i="22"/>
  <c r="D301" i="22"/>
  <c r="C301" i="22"/>
  <c r="B301" i="22"/>
  <c r="E300" i="22"/>
  <c r="D300" i="22"/>
  <c r="C300" i="22"/>
  <c r="B300" i="22"/>
  <c r="E299" i="22"/>
  <c r="D299" i="22"/>
  <c r="C299" i="22"/>
  <c r="B299" i="22"/>
  <c r="E298" i="22"/>
  <c r="D298" i="22"/>
  <c r="C298" i="22"/>
  <c r="B298" i="22"/>
  <c r="E297" i="22"/>
  <c r="D297" i="22"/>
  <c r="C297" i="22"/>
  <c r="B297" i="22"/>
  <c r="E296" i="22"/>
  <c r="D296" i="22"/>
  <c r="C296" i="22"/>
  <c r="B296" i="22"/>
  <c r="E295" i="22"/>
  <c r="D295" i="22"/>
  <c r="C295" i="22"/>
  <c r="B295" i="22"/>
  <c r="E294" i="22"/>
  <c r="D294" i="22"/>
  <c r="C294" i="22"/>
  <c r="B294" i="22"/>
  <c r="E293" i="22"/>
  <c r="D293" i="22"/>
  <c r="C293" i="22"/>
  <c r="B293" i="22"/>
  <c r="E292" i="22"/>
  <c r="D292" i="22"/>
  <c r="C292" i="22"/>
  <c r="B292" i="22"/>
  <c r="E291" i="22"/>
  <c r="D291" i="22"/>
  <c r="C291" i="22"/>
  <c r="B291" i="22"/>
  <c r="E290" i="22"/>
  <c r="D290" i="22"/>
  <c r="C290" i="22"/>
  <c r="B290" i="22"/>
  <c r="E289" i="22"/>
  <c r="D289" i="22"/>
  <c r="C289" i="22"/>
  <c r="B289" i="22"/>
  <c r="E288" i="22"/>
  <c r="D288" i="22"/>
  <c r="C288" i="22"/>
  <c r="B288" i="22"/>
  <c r="E287" i="22"/>
  <c r="D287" i="22"/>
  <c r="C287" i="22"/>
  <c r="B287" i="22"/>
  <c r="E286" i="22"/>
  <c r="D286" i="22"/>
  <c r="C286" i="22"/>
  <c r="B286" i="22"/>
  <c r="E285" i="22"/>
  <c r="D285" i="22"/>
  <c r="C285" i="22"/>
  <c r="B285" i="22"/>
  <c r="E284" i="22"/>
  <c r="D284" i="22"/>
  <c r="C284" i="22"/>
  <c r="B284" i="22"/>
  <c r="E283" i="22"/>
  <c r="D283" i="22"/>
  <c r="C283" i="22"/>
  <c r="B283" i="22"/>
  <c r="E282" i="22"/>
  <c r="D282" i="22"/>
  <c r="C282" i="22"/>
  <c r="B282" i="22"/>
  <c r="E281" i="22"/>
  <c r="D281" i="22"/>
  <c r="C281" i="22"/>
  <c r="B281" i="22"/>
  <c r="E280" i="22"/>
  <c r="D280" i="22"/>
  <c r="C280" i="22"/>
  <c r="B280" i="22"/>
  <c r="E279" i="22"/>
  <c r="D279" i="22"/>
  <c r="C279" i="22"/>
  <c r="B279" i="22"/>
  <c r="E278" i="22"/>
  <c r="D278" i="22"/>
  <c r="C278" i="22"/>
  <c r="B278" i="22"/>
  <c r="E277" i="22"/>
  <c r="D277" i="22"/>
  <c r="C277" i="22"/>
  <c r="B277" i="22"/>
  <c r="E276" i="22"/>
  <c r="D276" i="22"/>
  <c r="C276" i="22"/>
  <c r="B276" i="22"/>
  <c r="E275" i="22"/>
  <c r="D275" i="22"/>
  <c r="C275" i="22"/>
  <c r="B275" i="22"/>
  <c r="E274" i="22"/>
  <c r="D274" i="22"/>
  <c r="C274" i="22"/>
  <c r="B274" i="22"/>
  <c r="E273" i="22"/>
  <c r="D273" i="22"/>
  <c r="C273" i="22"/>
  <c r="B273" i="22"/>
  <c r="E272" i="22"/>
  <c r="D272" i="22"/>
  <c r="C272" i="22"/>
  <c r="B272" i="22"/>
  <c r="E271" i="22"/>
  <c r="D271" i="22"/>
  <c r="C271" i="22"/>
  <c r="B271" i="22"/>
  <c r="E270" i="22"/>
  <c r="D270" i="22"/>
  <c r="C270" i="22"/>
  <c r="B270" i="22"/>
  <c r="E269" i="22"/>
  <c r="D269" i="22"/>
  <c r="C269" i="22"/>
  <c r="B269" i="22"/>
  <c r="E268" i="22"/>
  <c r="D268" i="22"/>
  <c r="C268" i="22"/>
  <c r="B268" i="22"/>
  <c r="E267" i="22"/>
  <c r="D267" i="22"/>
  <c r="C267" i="22"/>
  <c r="B267" i="22"/>
  <c r="E266" i="22"/>
  <c r="D266" i="22"/>
  <c r="C266" i="22"/>
  <c r="B266" i="22"/>
  <c r="E265" i="22"/>
  <c r="D265" i="22"/>
  <c r="C265" i="22"/>
  <c r="B265" i="22"/>
  <c r="E264" i="22"/>
  <c r="D264" i="22"/>
  <c r="C264" i="22"/>
  <c r="B264" i="22"/>
  <c r="E263" i="22"/>
  <c r="D263" i="22"/>
  <c r="C263" i="22"/>
  <c r="B263" i="22"/>
  <c r="E262" i="22"/>
  <c r="D262" i="22"/>
  <c r="C262" i="22"/>
  <c r="B262" i="22"/>
  <c r="E261" i="22"/>
  <c r="D261" i="22"/>
  <c r="C261" i="22"/>
  <c r="B261" i="22"/>
  <c r="E260" i="22"/>
  <c r="D260" i="22"/>
  <c r="C260" i="22"/>
  <c r="B260" i="22"/>
  <c r="E259" i="22"/>
  <c r="D259" i="22"/>
  <c r="C259" i="22"/>
  <c r="B259" i="22"/>
  <c r="E258" i="22"/>
  <c r="D258" i="22"/>
  <c r="C258" i="22"/>
  <c r="B258" i="22"/>
  <c r="E257" i="22"/>
  <c r="D257" i="22"/>
  <c r="C257" i="22"/>
  <c r="B257" i="22"/>
  <c r="E256" i="22"/>
  <c r="D256" i="22"/>
  <c r="C256" i="22"/>
  <c r="B256" i="22"/>
  <c r="E255" i="22"/>
  <c r="D255" i="22"/>
  <c r="C255" i="22"/>
  <c r="B255" i="22"/>
  <c r="E254" i="22"/>
  <c r="D254" i="22"/>
  <c r="C254" i="22"/>
  <c r="B254" i="22"/>
  <c r="E253" i="22"/>
  <c r="D253" i="22"/>
  <c r="C253" i="22"/>
  <c r="B253" i="22"/>
  <c r="E252" i="22"/>
  <c r="D252" i="22"/>
  <c r="C252" i="22"/>
  <c r="B252" i="22"/>
  <c r="E251" i="22"/>
  <c r="D251" i="22"/>
  <c r="C251" i="22"/>
  <c r="B251" i="22"/>
  <c r="E250" i="22"/>
  <c r="D250" i="22"/>
  <c r="C250" i="22"/>
  <c r="B250" i="22"/>
  <c r="E249" i="22"/>
  <c r="D249" i="22"/>
  <c r="C249" i="22"/>
  <c r="B249" i="22"/>
  <c r="E248" i="22"/>
  <c r="D248" i="22"/>
  <c r="C248" i="22"/>
  <c r="B248" i="22"/>
  <c r="E247" i="22"/>
  <c r="D247" i="22"/>
  <c r="C247" i="22"/>
  <c r="B247" i="22"/>
  <c r="E246" i="22"/>
  <c r="D246" i="22"/>
  <c r="C246" i="22"/>
  <c r="B246" i="22"/>
  <c r="E245" i="22"/>
  <c r="D245" i="22"/>
  <c r="C245" i="22"/>
  <c r="B245" i="22"/>
  <c r="E244" i="22"/>
  <c r="D244" i="22"/>
  <c r="C244" i="22"/>
  <c r="B244" i="22"/>
  <c r="E243" i="22"/>
  <c r="D243" i="22"/>
  <c r="C243" i="22"/>
  <c r="B243" i="22"/>
  <c r="E242" i="22"/>
  <c r="D242" i="22"/>
  <c r="C242" i="22"/>
  <c r="B242" i="22"/>
  <c r="E241" i="22"/>
  <c r="D241" i="22"/>
  <c r="C241" i="22"/>
  <c r="B241" i="22"/>
  <c r="E240" i="22"/>
  <c r="D240" i="22"/>
  <c r="C240" i="22"/>
  <c r="B240" i="22"/>
  <c r="E239" i="22"/>
  <c r="D239" i="22"/>
  <c r="C239" i="22"/>
  <c r="B239" i="22"/>
  <c r="E238" i="22"/>
  <c r="D238" i="22"/>
  <c r="C238" i="22"/>
  <c r="B238" i="22"/>
  <c r="E237" i="22"/>
  <c r="D237" i="22"/>
  <c r="C237" i="22"/>
  <c r="B237" i="22"/>
  <c r="E236" i="22"/>
  <c r="D236" i="22"/>
  <c r="C236" i="22"/>
  <c r="B236" i="22"/>
  <c r="E235" i="22"/>
  <c r="D235" i="22"/>
  <c r="C235" i="22"/>
  <c r="B235" i="22"/>
  <c r="E234" i="22"/>
  <c r="D234" i="22"/>
  <c r="C234" i="22"/>
  <c r="B234" i="22"/>
  <c r="E233" i="22"/>
  <c r="D233" i="22"/>
  <c r="C233" i="22"/>
  <c r="B233" i="22"/>
  <c r="E232" i="22"/>
  <c r="D232" i="22"/>
  <c r="C232" i="22"/>
  <c r="B232" i="22"/>
  <c r="E231" i="22"/>
  <c r="D231" i="22"/>
  <c r="C231" i="22"/>
  <c r="B231" i="22"/>
  <c r="E230" i="22"/>
  <c r="D230" i="22"/>
  <c r="C230" i="22"/>
  <c r="B230" i="22"/>
  <c r="E229" i="22"/>
  <c r="D229" i="22"/>
  <c r="C229" i="22"/>
  <c r="B229" i="22"/>
  <c r="E228" i="22"/>
  <c r="D228" i="22"/>
  <c r="C228" i="22"/>
  <c r="B228" i="22"/>
  <c r="E227" i="22"/>
  <c r="D227" i="22"/>
  <c r="C227" i="22"/>
  <c r="B227" i="22"/>
  <c r="E226" i="22"/>
  <c r="D226" i="22"/>
  <c r="C226" i="22"/>
  <c r="B226" i="22"/>
  <c r="E225" i="22"/>
  <c r="D225" i="22"/>
  <c r="C225" i="22"/>
  <c r="B225" i="22"/>
  <c r="E224" i="22"/>
  <c r="D224" i="22"/>
  <c r="C224" i="22"/>
  <c r="B224" i="22"/>
  <c r="E223" i="22"/>
  <c r="D223" i="22"/>
  <c r="C223" i="22"/>
  <c r="B223" i="22"/>
  <c r="E222" i="22"/>
  <c r="D222" i="22"/>
  <c r="C222" i="22"/>
  <c r="B222" i="22"/>
  <c r="E221" i="22"/>
  <c r="D221" i="22"/>
  <c r="C221" i="22"/>
  <c r="B221" i="22"/>
  <c r="E220" i="22"/>
  <c r="D220" i="22"/>
  <c r="C220" i="22"/>
  <c r="B220" i="22"/>
  <c r="E219" i="22"/>
  <c r="D219" i="22"/>
  <c r="C219" i="22"/>
  <c r="B219" i="22"/>
  <c r="E218" i="22"/>
  <c r="D218" i="22"/>
  <c r="C218" i="22"/>
  <c r="B218" i="22"/>
  <c r="E217" i="22"/>
  <c r="D217" i="22"/>
  <c r="C217" i="22"/>
  <c r="B217" i="22"/>
  <c r="E216" i="22"/>
  <c r="D216" i="22"/>
  <c r="C216" i="22"/>
  <c r="B216" i="22"/>
  <c r="E215" i="22"/>
  <c r="D215" i="22"/>
  <c r="C215" i="22"/>
  <c r="B215" i="22"/>
  <c r="E214" i="22"/>
  <c r="D214" i="22"/>
  <c r="C214" i="22"/>
  <c r="B214" i="22"/>
  <c r="E213" i="22"/>
  <c r="D213" i="22"/>
  <c r="C213" i="22"/>
  <c r="B213" i="22"/>
  <c r="E212" i="22"/>
  <c r="D212" i="22"/>
  <c r="C212" i="22"/>
  <c r="B212" i="22"/>
  <c r="E211" i="22"/>
  <c r="D211" i="22"/>
  <c r="C211" i="22"/>
  <c r="B211" i="22"/>
  <c r="E210" i="22"/>
  <c r="D210" i="22"/>
  <c r="C210" i="22"/>
  <c r="B210" i="22"/>
  <c r="E209" i="22"/>
  <c r="D209" i="22"/>
  <c r="C209" i="22"/>
  <c r="B209" i="22"/>
  <c r="E208" i="22"/>
  <c r="D208" i="22"/>
  <c r="C208" i="22"/>
  <c r="B208" i="22"/>
  <c r="E207" i="22"/>
  <c r="D207" i="22"/>
  <c r="C207" i="22"/>
  <c r="B207" i="22"/>
  <c r="E206" i="22"/>
  <c r="D206" i="22"/>
  <c r="C206" i="22"/>
  <c r="B206" i="22"/>
  <c r="E205" i="22"/>
  <c r="D205" i="22"/>
  <c r="C205" i="22"/>
  <c r="B205" i="22"/>
  <c r="E204" i="22"/>
  <c r="D204" i="22"/>
  <c r="C204" i="22"/>
  <c r="B204" i="22"/>
  <c r="E203" i="22"/>
  <c r="D203" i="22"/>
  <c r="C203" i="22"/>
  <c r="B203" i="22"/>
  <c r="E202" i="22"/>
  <c r="D202" i="22"/>
  <c r="C202" i="22"/>
  <c r="B202" i="22"/>
  <c r="E201" i="22"/>
  <c r="D201" i="22"/>
  <c r="C201" i="22"/>
  <c r="B201" i="22"/>
  <c r="E200" i="22"/>
  <c r="D200" i="22"/>
  <c r="C200" i="22"/>
  <c r="B200" i="22"/>
  <c r="E199" i="22"/>
  <c r="D199" i="22"/>
  <c r="C199" i="22"/>
  <c r="B199" i="22"/>
  <c r="E198" i="22"/>
  <c r="D198" i="22"/>
  <c r="C198" i="22"/>
  <c r="B198" i="22"/>
  <c r="E197" i="22"/>
  <c r="D197" i="22"/>
  <c r="C197" i="22"/>
  <c r="B197" i="22"/>
  <c r="E196" i="22"/>
  <c r="D196" i="22"/>
  <c r="C196" i="22"/>
  <c r="B196" i="22"/>
  <c r="E195" i="22"/>
  <c r="D195" i="22"/>
  <c r="C195" i="22"/>
  <c r="B195" i="22"/>
  <c r="E194" i="22"/>
  <c r="D194" i="22"/>
  <c r="C194" i="22"/>
  <c r="B194" i="22"/>
  <c r="E193" i="22"/>
  <c r="D193" i="22"/>
  <c r="C193" i="22"/>
  <c r="B193" i="22"/>
  <c r="E192" i="22"/>
  <c r="D192" i="22"/>
  <c r="C192" i="22"/>
  <c r="B192" i="22"/>
  <c r="E191" i="22"/>
  <c r="D191" i="22"/>
  <c r="C191" i="22"/>
  <c r="B191" i="22"/>
  <c r="E190" i="22"/>
  <c r="D190" i="22"/>
  <c r="C190" i="22"/>
  <c r="B190" i="22"/>
  <c r="E189" i="22"/>
  <c r="D189" i="22"/>
  <c r="C189" i="22"/>
  <c r="B189" i="22"/>
  <c r="E188" i="22"/>
  <c r="D188" i="22"/>
  <c r="C188" i="22"/>
  <c r="B188" i="22"/>
  <c r="E187" i="22"/>
  <c r="D187" i="22"/>
  <c r="C187" i="22"/>
  <c r="B187" i="22"/>
  <c r="E186" i="22"/>
  <c r="D186" i="22"/>
  <c r="C186" i="22"/>
  <c r="B186" i="22"/>
  <c r="E185" i="22"/>
  <c r="D185" i="22"/>
  <c r="C185" i="22"/>
  <c r="B185" i="22"/>
  <c r="E184" i="22"/>
  <c r="D184" i="22"/>
  <c r="C184" i="22"/>
  <c r="B184" i="22"/>
  <c r="E183" i="22"/>
  <c r="D183" i="22"/>
  <c r="C183" i="22"/>
  <c r="B183" i="22"/>
  <c r="E182" i="22"/>
  <c r="D182" i="22"/>
  <c r="C182" i="22"/>
  <c r="B182" i="22"/>
  <c r="E181" i="22"/>
  <c r="D181" i="22"/>
  <c r="C181" i="22"/>
  <c r="B181" i="22"/>
  <c r="E180" i="22"/>
  <c r="D180" i="22"/>
  <c r="C180" i="22"/>
  <c r="B180" i="22"/>
  <c r="E179" i="22"/>
  <c r="D179" i="22"/>
  <c r="C179" i="22"/>
  <c r="B179" i="22"/>
  <c r="E178" i="22"/>
  <c r="D178" i="22"/>
  <c r="C178" i="22"/>
  <c r="B178" i="22"/>
  <c r="E177" i="22"/>
  <c r="D177" i="22"/>
  <c r="C177" i="22"/>
  <c r="B177" i="22"/>
  <c r="E176" i="22"/>
  <c r="D176" i="22"/>
  <c r="C176" i="22"/>
  <c r="B176" i="22"/>
  <c r="E175" i="22"/>
  <c r="D175" i="22"/>
  <c r="C175" i="22"/>
  <c r="B175" i="22"/>
  <c r="E174" i="22"/>
  <c r="D174" i="22"/>
  <c r="C174" i="22"/>
  <c r="B174" i="22"/>
  <c r="E173" i="22"/>
  <c r="D173" i="22"/>
  <c r="C173" i="22"/>
  <c r="B173" i="22"/>
  <c r="E172" i="22"/>
  <c r="D172" i="22"/>
  <c r="C172" i="22"/>
  <c r="B172" i="22"/>
  <c r="E171" i="22"/>
  <c r="D171" i="22"/>
  <c r="C171" i="22"/>
  <c r="B171" i="22"/>
  <c r="E170" i="22"/>
  <c r="D170" i="22"/>
  <c r="C170" i="22"/>
  <c r="B170" i="22"/>
  <c r="E169" i="22"/>
  <c r="D169" i="22"/>
  <c r="C169" i="22"/>
  <c r="B169" i="22"/>
  <c r="E168" i="22"/>
  <c r="D168" i="22"/>
  <c r="C168" i="22"/>
  <c r="B168" i="22"/>
  <c r="E167" i="22"/>
  <c r="D167" i="22"/>
  <c r="C167" i="22"/>
  <c r="B167" i="22"/>
  <c r="E166" i="22"/>
  <c r="D166" i="22"/>
  <c r="C166" i="22"/>
  <c r="B166" i="22"/>
  <c r="E165" i="22"/>
  <c r="D165" i="22"/>
  <c r="C165" i="22"/>
  <c r="B165" i="22"/>
  <c r="E164" i="22"/>
  <c r="D164" i="22"/>
  <c r="C164" i="22"/>
  <c r="B164" i="22"/>
  <c r="E163" i="22"/>
  <c r="D163" i="22"/>
  <c r="C163" i="22"/>
  <c r="B163" i="22"/>
  <c r="E162" i="22"/>
  <c r="D162" i="22"/>
  <c r="C162" i="22"/>
  <c r="B162" i="22"/>
  <c r="E161" i="22"/>
  <c r="D161" i="22"/>
  <c r="C161" i="22"/>
  <c r="B161" i="22"/>
  <c r="E160" i="22"/>
  <c r="D160" i="22"/>
  <c r="C160" i="22"/>
  <c r="B160" i="22"/>
  <c r="E159" i="22"/>
  <c r="D159" i="22"/>
  <c r="C159" i="22"/>
  <c r="B159" i="22"/>
  <c r="E158" i="22"/>
  <c r="D158" i="22"/>
  <c r="C158" i="22"/>
  <c r="B158" i="22"/>
  <c r="E157" i="22"/>
  <c r="D157" i="22"/>
  <c r="C157" i="22"/>
  <c r="B157" i="22"/>
  <c r="E156" i="22"/>
  <c r="D156" i="22"/>
  <c r="C156" i="22"/>
  <c r="B156" i="22"/>
  <c r="E155" i="22"/>
  <c r="D155" i="22"/>
  <c r="C155" i="22"/>
  <c r="B155" i="22"/>
  <c r="E154" i="22"/>
  <c r="D154" i="22"/>
  <c r="C154" i="22"/>
  <c r="B154" i="22"/>
  <c r="E153" i="22"/>
  <c r="D153" i="22"/>
  <c r="C153" i="22"/>
  <c r="B153" i="22"/>
  <c r="E152" i="22"/>
  <c r="D152" i="22"/>
  <c r="C152" i="22"/>
  <c r="B152" i="22"/>
  <c r="E151" i="22"/>
  <c r="D151" i="22"/>
  <c r="C151" i="22"/>
  <c r="B151" i="22"/>
  <c r="E150" i="22"/>
  <c r="D150" i="22"/>
  <c r="C150" i="22"/>
  <c r="B150" i="22"/>
  <c r="E149" i="22"/>
  <c r="D149" i="22"/>
  <c r="C149" i="22"/>
  <c r="B149" i="22"/>
  <c r="E148" i="22"/>
  <c r="D148" i="22"/>
  <c r="C148" i="22"/>
  <c r="B148" i="22"/>
  <c r="E147" i="22"/>
  <c r="D147" i="22"/>
  <c r="C147" i="22"/>
  <c r="B147" i="22"/>
  <c r="E146" i="22"/>
  <c r="D146" i="22"/>
  <c r="C146" i="22"/>
  <c r="B146" i="22"/>
  <c r="E145" i="22"/>
  <c r="D145" i="22"/>
  <c r="C145" i="22"/>
  <c r="B145" i="22"/>
  <c r="E144" i="22"/>
  <c r="D144" i="22"/>
  <c r="C144" i="22"/>
  <c r="B144" i="22"/>
  <c r="E143" i="22"/>
  <c r="D143" i="22"/>
  <c r="C143" i="22"/>
  <c r="B143" i="22"/>
  <c r="E142" i="22"/>
  <c r="D142" i="22"/>
  <c r="C142" i="22"/>
  <c r="B142" i="22"/>
  <c r="E141" i="22"/>
  <c r="D141" i="22"/>
  <c r="C141" i="22"/>
  <c r="B141" i="22"/>
  <c r="E140" i="22"/>
  <c r="D140" i="22"/>
  <c r="C140" i="22"/>
  <c r="B140" i="22"/>
  <c r="E139" i="22"/>
  <c r="D139" i="22"/>
  <c r="C139" i="22"/>
  <c r="B139" i="22"/>
  <c r="E138" i="22"/>
  <c r="D138" i="22"/>
  <c r="C138" i="22"/>
  <c r="B138" i="22"/>
  <c r="E137" i="22"/>
  <c r="D137" i="22"/>
  <c r="C137" i="22"/>
  <c r="B137" i="22"/>
  <c r="E136" i="22"/>
  <c r="D136" i="22"/>
  <c r="C136" i="22"/>
  <c r="B136" i="22"/>
  <c r="E135" i="22"/>
  <c r="D135" i="22"/>
  <c r="C135" i="22"/>
  <c r="B135" i="22"/>
  <c r="E134" i="22"/>
  <c r="D134" i="22"/>
  <c r="C134" i="22"/>
  <c r="B134" i="22"/>
  <c r="E133" i="22"/>
  <c r="D133" i="22"/>
  <c r="C133" i="22"/>
  <c r="B133" i="22"/>
  <c r="E132" i="22"/>
  <c r="D132" i="22"/>
  <c r="C132" i="22"/>
  <c r="B132" i="22"/>
  <c r="E131" i="22"/>
  <c r="D131" i="22"/>
  <c r="C131" i="22"/>
  <c r="B131" i="22"/>
  <c r="E130" i="22"/>
  <c r="D130" i="22"/>
  <c r="C130" i="22"/>
  <c r="B130" i="22"/>
  <c r="E129" i="22"/>
  <c r="D129" i="22"/>
  <c r="C129" i="22"/>
  <c r="B129" i="22"/>
  <c r="E128" i="22"/>
  <c r="D128" i="22"/>
  <c r="C128" i="22"/>
  <c r="B128" i="22"/>
  <c r="E127" i="22"/>
  <c r="D127" i="22"/>
  <c r="C127" i="22"/>
  <c r="B127" i="22"/>
  <c r="E126" i="22"/>
  <c r="D126" i="22"/>
  <c r="C126" i="22"/>
  <c r="B126" i="22"/>
  <c r="E125" i="22"/>
  <c r="D125" i="22"/>
  <c r="C125" i="22"/>
  <c r="B125" i="22"/>
  <c r="E124" i="22"/>
  <c r="D124" i="22"/>
  <c r="C124" i="22"/>
  <c r="B124" i="22"/>
  <c r="E123" i="22"/>
  <c r="D123" i="22"/>
  <c r="C123" i="22"/>
  <c r="B123" i="22"/>
  <c r="E122" i="22"/>
  <c r="D122" i="22"/>
  <c r="C122" i="22"/>
  <c r="B122" i="22"/>
  <c r="E121" i="22"/>
  <c r="D121" i="22"/>
  <c r="C121" i="22"/>
  <c r="B121" i="22"/>
  <c r="E120" i="22"/>
  <c r="D120" i="22"/>
  <c r="C120" i="22"/>
  <c r="B120" i="22"/>
  <c r="E119" i="22"/>
  <c r="D119" i="22"/>
  <c r="C119" i="22"/>
  <c r="B119" i="22"/>
  <c r="E118" i="22"/>
  <c r="D118" i="22"/>
  <c r="C118" i="22"/>
  <c r="B118" i="22"/>
  <c r="E117" i="22"/>
  <c r="D117" i="22"/>
  <c r="C117" i="22"/>
  <c r="B117" i="22"/>
  <c r="E116" i="22"/>
  <c r="D116" i="22"/>
  <c r="C116" i="22"/>
  <c r="B116" i="22"/>
  <c r="E115" i="22"/>
  <c r="D115" i="22"/>
  <c r="C115" i="22"/>
  <c r="B115" i="22"/>
  <c r="E114" i="22"/>
  <c r="D114" i="22"/>
  <c r="C114" i="22"/>
  <c r="B114" i="22"/>
  <c r="E113" i="22"/>
  <c r="D113" i="22"/>
  <c r="C113" i="22"/>
  <c r="B113" i="22"/>
  <c r="E112" i="22"/>
  <c r="D112" i="22"/>
  <c r="C112" i="22"/>
  <c r="B112" i="22"/>
  <c r="E111" i="22"/>
  <c r="D111" i="22"/>
  <c r="C111" i="22"/>
  <c r="B111" i="22"/>
  <c r="E110" i="22"/>
  <c r="D110" i="22"/>
  <c r="C110" i="22"/>
  <c r="B110" i="22"/>
  <c r="E109" i="22"/>
  <c r="D109" i="22"/>
  <c r="C109" i="22"/>
  <c r="B109" i="22"/>
  <c r="E108" i="22"/>
  <c r="D108" i="22"/>
  <c r="C108" i="22"/>
  <c r="B108" i="22"/>
  <c r="E107" i="22"/>
  <c r="D107" i="22"/>
  <c r="C107" i="22"/>
  <c r="B107" i="22"/>
  <c r="E106" i="22"/>
  <c r="D106" i="22"/>
  <c r="C106" i="22"/>
  <c r="B106" i="22"/>
  <c r="E105" i="22"/>
  <c r="D105" i="22"/>
  <c r="C105" i="22"/>
  <c r="B105" i="22"/>
  <c r="E104" i="22"/>
  <c r="D104" i="22"/>
  <c r="C104" i="22"/>
  <c r="B104" i="22"/>
  <c r="E103" i="22"/>
  <c r="D103" i="22"/>
  <c r="C103" i="22"/>
  <c r="B103" i="22"/>
  <c r="E102" i="22"/>
  <c r="D102" i="22"/>
  <c r="C102" i="22"/>
  <c r="B102" i="22"/>
  <c r="E101" i="22"/>
  <c r="D101" i="22"/>
  <c r="C101" i="22"/>
  <c r="B101" i="22"/>
  <c r="E100" i="22"/>
  <c r="D100" i="22"/>
  <c r="C100" i="22"/>
  <c r="B100" i="22"/>
  <c r="E99" i="22"/>
  <c r="D99" i="22"/>
  <c r="C99" i="22"/>
  <c r="B99" i="22"/>
  <c r="E98" i="22"/>
  <c r="D98" i="22"/>
  <c r="C98" i="22"/>
  <c r="B98" i="22"/>
  <c r="E97" i="22"/>
  <c r="D97" i="22"/>
  <c r="C97" i="22"/>
  <c r="B97" i="22"/>
  <c r="E96" i="22"/>
  <c r="D96" i="22"/>
  <c r="C96" i="22"/>
  <c r="B96" i="22"/>
  <c r="E95" i="22"/>
  <c r="D95" i="22"/>
  <c r="C95" i="22"/>
  <c r="B95" i="22"/>
  <c r="E94" i="22"/>
  <c r="D94" i="22"/>
  <c r="C94" i="22"/>
  <c r="B94" i="22"/>
  <c r="E93" i="22"/>
  <c r="D93" i="22"/>
  <c r="C93" i="22"/>
  <c r="B93" i="22"/>
  <c r="E92" i="22"/>
  <c r="D92" i="22"/>
  <c r="C92" i="22"/>
  <c r="B92" i="22"/>
  <c r="E91" i="22"/>
  <c r="D91" i="22"/>
  <c r="C91" i="22"/>
  <c r="B91" i="22"/>
  <c r="E90" i="22"/>
  <c r="D90" i="22"/>
  <c r="C90" i="22"/>
  <c r="B90" i="22"/>
  <c r="E89" i="22"/>
  <c r="D89" i="22"/>
  <c r="C89" i="22"/>
  <c r="B89" i="22"/>
  <c r="E88" i="22"/>
  <c r="D88" i="22"/>
  <c r="C88" i="22"/>
  <c r="B88" i="22"/>
  <c r="E87" i="22"/>
  <c r="D87" i="22"/>
  <c r="C87" i="22"/>
  <c r="B87" i="22"/>
  <c r="E86" i="22"/>
  <c r="D86" i="22"/>
  <c r="C86" i="22"/>
  <c r="B86" i="22"/>
  <c r="E85" i="22"/>
  <c r="D85" i="22"/>
  <c r="C85" i="22"/>
  <c r="B85" i="22"/>
  <c r="E84" i="22"/>
  <c r="D84" i="22"/>
  <c r="C84" i="22"/>
  <c r="B84" i="22"/>
  <c r="E83" i="22"/>
  <c r="D83" i="22"/>
  <c r="C83" i="22"/>
  <c r="B83" i="22"/>
  <c r="E82" i="22"/>
  <c r="D82" i="22"/>
  <c r="C82" i="22"/>
  <c r="B82" i="22"/>
  <c r="E81" i="22"/>
  <c r="D81" i="22"/>
  <c r="C81" i="22"/>
  <c r="B81" i="22"/>
  <c r="E80" i="22"/>
  <c r="D80" i="22"/>
  <c r="C80" i="22"/>
  <c r="B80" i="22"/>
  <c r="E79" i="22"/>
  <c r="D79" i="22"/>
  <c r="C79" i="22"/>
  <c r="B79" i="22"/>
  <c r="E78" i="22"/>
  <c r="D78" i="22"/>
  <c r="C78" i="22"/>
  <c r="B78" i="22"/>
  <c r="E77" i="22"/>
  <c r="D77" i="22"/>
  <c r="C77" i="22"/>
  <c r="B77" i="22"/>
  <c r="E76" i="22"/>
  <c r="D76" i="22"/>
  <c r="C76" i="22"/>
  <c r="B76" i="22"/>
  <c r="E75" i="22"/>
  <c r="D75" i="22"/>
  <c r="C75" i="22"/>
  <c r="B75" i="22"/>
  <c r="E74" i="22"/>
  <c r="D74" i="22"/>
  <c r="C74" i="22"/>
  <c r="B74" i="22"/>
  <c r="E73" i="22"/>
  <c r="D73" i="22"/>
  <c r="C73" i="22"/>
  <c r="B73" i="22"/>
  <c r="E72" i="22"/>
  <c r="D72" i="22"/>
  <c r="C72" i="22"/>
  <c r="B72" i="22"/>
  <c r="E71" i="22"/>
  <c r="D71" i="22"/>
  <c r="C71" i="22"/>
  <c r="B71" i="22"/>
  <c r="E70" i="22"/>
  <c r="D70" i="22"/>
  <c r="C70" i="22"/>
  <c r="B70" i="22"/>
  <c r="E69" i="22"/>
  <c r="D69" i="22"/>
  <c r="C69" i="22"/>
  <c r="B69" i="22"/>
  <c r="E68" i="22"/>
  <c r="D68" i="22"/>
  <c r="C68" i="22"/>
  <c r="B68" i="22"/>
  <c r="E67" i="22"/>
  <c r="D67" i="22"/>
  <c r="C67" i="22"/>
  <c r="B67" i="22"/>
  <c r="E66" i="22"/>
  <c r="D66" i="22"/>
  <c r="C66" i="22"/>
  <c r="B66" i="22"/>
  <c r="E65" i="22"/>
  <c r="D65" i="22"/>
  <c r="C65" i="22"/>
  <c r="B65" i="22"/>
  <c r="E64" i="22"/>
  <c r="D64" i="22"/>
  <c r="C64" i="22"/>
  <c r="B64" i="22"/>
  <c r="E63" i="22"/>
  <c r="D63" i="22"/>
  <c r="C63" i="22"/>
  <c r="B63" i="22"/>
  <c r="E62" i="22"/>
  <c r="D62" i="22"/>
  <c r="C62" i="22"/>
  <c r="B62" i="22"/>
  <c r="E61" i="22"/>
  <c r="D61" i="22"/>
  <c r="C61" i="22"/>
  <c r="B61" i="22"/>
  <c r="E60" i="22"/>
  <c r="D60" i="22"/>
  <c r="C60" i="22"/>
  <c r="B60" i="22"/>
  <c r="E59" i="22"/>
  <c r="D59" i="22"/>
  <c r="C59" i="22"/>
  <c r="B59" i="22"/>
  <c r="E58" i="22"/>
  <c r="D58" i="22"/>
  <c r="C58" i="22"/>
  <c r="B58" i="22"/>
  <c r="E57" i="22"/>
  <c r="D57" i="22"/>
  <c r="C57" i="22"/>
  <c r="B57" i="22"/>
  <c r="E56" i="22"/>
  <c r="D56" i="22"/>
  <c r="C56" i="22"/>
  <c r="B56" i="22"/>
  <c r="E55" i="22"/>
  <c r="D55" i="22"/>
  <c r="C55" i="22"/>
  <c r="B55" i="22"/>
  <c r="E54" i="22"/>
  <c r="D54" i="22"/>
  <c r="C54" i="22"/>
  <c r="B54" i="22"/>
  <c r="E53" i="22"/>
  <c r="D53" i="22"/>
  <c r="C53" i="22"/>
  <c r="B53" i="22"/>
  <c r="E52" i="22"/>
  <c r="D52" i="22"/>
  <c r="C52" i="22"/>
  <c r="B52" i="22"/>
  <c r="E51" i="22"/>
  <c r="D51" i="22"/>
  <c r="C51" i="22"/>
  <c r="B51" i="22"/>
  <c r="E50" i="22"/>
  <c r="D50" i="22"/>
  <c r="C50" i="22"/>
  <c r="B50" i="22"/>
  <c r="E49" i="22"/>
  <c r="D49" i="22"/>
  <c r="C49" i="22"/>
  <c r="B49" i="22"/>
  <c r="E48" i="22"/>
  <c r="D48" i="22"/>
  <c r="C48" i="22"/>
  <c r="B48" i="22"/>
  <c r="E47" i="22"/>
  <c r="D47" i="22"/>
  <c r="C47" i="22"/>
  <c r="B47" i="22"/>
  <c r="E46" i="22"/>
  <c r="D46" i="22"/>
  <c r="C46" i="22"/>
  <c r="B46" i="22"/>
  <c r="E45" i="22"/>
  <c r="D45" i="22"/>
  <c r="C45" i="22"/>
  <c r="B45" i="22"/>
  <c r="E44" i="22"/>
  <c r="D44" i="22"/>
  <c r="C44" i="22"/>
  <c r="B44" i="22"/>
  <c r="E43" i="22"/>
  <c r="D43" i="22"/>
  <c r="C43" i="22"/>
  <c r="B43" i="22"/>
  <c r="E42" i="22"/>
  <c r="D42" i="22"/>
  <c r="C42" i="22"/>
  <c r="B42" i="22"/>
  <c r="E41" i="22"/>
  <c r="D41" i="22"/>
  <c r="C41" i="22"/>
  <c r="B41" i="22"/>
  <c r="E40" i="22"/>
  <c r="D40" i="22"/>
  <c r="C40" i="22"/>
  <c r="B40" i="22"/>
  <c r="E39" i="22"/>
  <c r="D39" i="22"/>
  <c r="C39" i="22"/>
  <c r="B39" i="22"/>
  <c r="E38" i="22"/>
  <c r="D38" i="22"/>
  <c r="C38" i="22"/>
  <c r="B38" i="22"/>
  <c r="E37" i="22"/>
  <c r="D37" i="22"/>
  <c r="C37" i="22"/>
  <c r="B37" i="22"/>
  <c r="E36" i="22"/>
  <c r="D36" i="22"/>
  <c r="C36" i="22"/>
  <c r="B36" i="22"/>
  <c r="E35" i="22"/>
  <c r="D35" i="22"/>
  <c r="C35" i="22"/>
  <c r="B35" i="22"/>
  <c r="E34" i="22"/>
  <c r="D34" i="22"/>
  <c r="C34" i="22"/>
  <c r="B34" i="22"/>
  <c r="E33" i="22"/>
  <c r="D33" i="22"/>
  <c r="C33" i="22"/>
  <c r="B33" i="22"/>
  <c r="E32" i="22"/>
  <c r="D32" i="22"/>
  <c r="C32" i="22"/>
  <c r="B32" i="22"/>
  <c r="E31" i="22"/>
  <c r="D31" i="22"/>
  <c r="C31" i="22"/>
  <c r="B31" i="22"/>
  <c r="E30" i="22"/>
  <c r="D30" i="22"/>
  <c r="C30" i="22"/>
  <c r="B30" i="22"/>
  <c r="E29" i="22"/>
  <c r="D29" i="22"/>
  <c r="C29" i="22"/>
  <c r="B29" i="22"/>
  <c r="E28" i="22"/>
  <c r="D28" i="22"/>
  <c r="C28" i="22"/>
  <c r="B28" i="22"/>
  <c r="E27" i="22"/>
  <c r="D27" i="22"/>
  <c r="C27" i="22"/>
  <c r="B27" i="22"/>
  <c r="E26" i="22"/>
  <c r="D26" i="22"/>
  <c r="C26" i="22"/>
  <c r="B26" i="22"/>
  <c r="E25" i="22"/>
  <c r="D25" i="22"/>
  <c r="C25" i="22"/>
  <c r="B25" i="22"/>
  <c r="E24" i="22"/>
  <c r="D24" i="22"/>
  <c r="C24" i="22"/>
  <c r="B24" i="22"/>
  <c r="E23" i="22"/>
  <c r="D23" i="22"/>
  <c r="C23" i="22"/>
  <c r="B23" i="22"/>
  <c r="E22" i="22"/>
  <c r="D22" i="22"/>
  <c r="C22" i="22"/>
  <c r="B22" i="22"/>
  <c r="E21" i="22"/>
  <c r="D21" i="22"/>
  <c r="C21" i="22"/>
  <c r="B21" i="22"/>
  <c r="E20" i="22"/>
  <c r="D20" i="22"/>
  <c r="C20" i="22"/>
  <c r="B20" i="22"/>
  <c r="E19" i="22"/>
  <c r="D19" i="22"/>
  <c r="C19" i="22"/>
  <c r="B19" i="22"/>
  <c r="E18" i="22"/>
  <c r="D18" i="22"/>
  <c r="C18" i="22"/>
  <c r="B18" i="22"/>
  <c r="E17" i="22"/>
  <c r="D17" i="22"/>
  <c r="C17" i="22"/>
  <c r="B17" i="22"/>
  <c r="E16" i="22"/>
  <c r="D16" i="22"/>
  <c r="C16" i="22"/>
  <c r="B16" i="22"/>
  <c r="E15" i="22"/>
  <c r="D15" i="22"/>
  <c r="C15" i="22"/>
  <c r="B15" i="22"/>
  <c r="E14" i="22"/>
  <c r="D14" i="22"/>
  <c r="C14" i="22"/>
  <c r="B14" i="22"/>
  <c r="E13" i="22"/>
  <c r="D13" i="22"/>
  <c r="C13" i="22"/>
  <c r="B13" i="22"/>
  <c r="E12" i="22"/>
  <c r="D12" i="22"/>
  <c r="C12" i="22"/>
  <c r="B12" i="22"/>
  <c r="E11" i="22"/>
  <c r="D11" i="22"/>
  <c r="C11" i="22"/>
  <c r="B11" i="22"/>
  <c r="E10" i="22"/>
  <c r="D10" i="22"/>
  <c r="C10" i="22"/>
  <c r="B10" i="22"/>
  <c r="E9" i="22"/>
  <c r="D9" i="22"/>
  <c r="C9" i="22"/>
  <c r="B9" i="22"/>
  <c r="E8" i="22"/>
  <c r="D8" i="22"/>
  <c r="C8" i="22"/>
  <c r="B8" i="22"/>
  <c r="E7" i="22"/>
  <c r="D7" i="22"/>
  <c r="C7" i="22"/>
  <c r="B7" i="22"/>
  <c r="E6" i="22"/>
  <c r="D6" i="22"/>
  <c r="C6" i="22"/>
  <c r="B6" i="22"/>
  <c r="E5" i="22"/>
  <c r="D5" i="22"/>
  <c r="C5" i="22"/>
  <c r="B5" i="22"/>
  <c r="K2" i="20" l="1"/>
  <c r="K3" i="20" s="1"/>
  <c r="K4" i="20" s="1"/>
  <c r="K5" i="20" s="1"/>
  <c r="K6" i="20" s="1"/>
  <c r="K7" i="20" s="1"/>
  <c r="K8" i="20" s="1"/>
  <c r="K9" i="20" s="1"/>
  <c r="K10" i="20" s="1"/>
  <c r="K11" i="20" s="1"/>
  <c r="K12" i="20" s="1"/>
  <c r="K13" i="20" s="1"/>
  <c r="K14" i="20" s="1"/>
  <c r="K15" i="20" s="1"/>
  <c r="K16" i="20" s="1"/>
  <c r="K17" i="20" s="1"/>
  <c r="K18" i="20" s="1"/>
  <c r="K19" i="20" s="1"/>
  <c r="K20" i="20" s="1"/>
  <c r="K21" i="20" s="1"/>
  <c r="K22" i="20" s="1"/>
  <c r="K23" i="20" s="1"/>
  <c r="K24" i="20" s="1"/>
  <c r="K25" i="20" s="1"/>
  <c r="K26" i="20" s="1"/>
  <c r="K27" i="20" s="1"/>
  <c r="K28" i="20" s="1"/>
  <c r="K29" i="20" s="1"/>
  <c r="K30" i="20" s="1"/>
  <c r="K31" i="20" s="1"/>
  <c r="K32" i="20" s="1"/>
  <c r="K33" i="20" s="1"/>
  <c r="K34" i="20" s="1"/>
  <c r="K35" i="20" s="1"/>
  <c r="K36" i="20" s="1"/>
  <c r="K37" i="20" s="1"/>
  <c r="K38" i="20" s="1"/>
  <c r="K39" i="20" s="1"/>
  <c r="K40" i="20" s="1"/>
  <c r="K41" i="20" s="1"/>
  <c r="K42" i="20" s="1"/>
  <c r="K43" i="20" s="1"/>
  <c r="K44" i="20" s="1"/>
  <c r="K45" i="20" s="1"/>
  <c r="K46" i="20" s="1"/>
  <c r="K47" i="20" s="1"/>
  <c r="K48" i="20" s="1"/>
  <c r="K49" i="20" s="1"/>
  <c r="K50" i="20" s="1"/>
  <c r="K51" i="20" s="1"/>
  <c r="K52" i="20" s="1"/>
  <c r="K53" i="20" s="1"/>
  <c r="K54" i="20" s="1"/>
  <c r="K55" i="20" s="1"/>
  <c r="K56" i="20" s="1"/>
  <c r="K57" i="20" s="1"/>
  <c r="K58" i="20" s="1"/>
  <c r="K59" i="20" s="1"/>
  <c r="K60" i="20" s="1"/>
  <c r="K61" i="20" s="1"/>
  <c r="K62" i="20" s="1"/>
  <c r="K63" i="20" s="1"/>
  <c r="K64" i="20" s="1"/>
  <c r="K65" i="20" s="1"/>
  <c r="K66" i="20" s="1"/>
  <c r="K67" i="20" s="1"/>
  <c r="K68" i="20" s="1"/>
  <c r="K69" i="20" s="1"/>
  <c r="K70" i="20" s="1"/>
  <c r="K71" i="20" s="1"/>
  <c r="K72" i="20" s="1"/>
  <c r="K73" i="20" s="1"/>
  <c r="K74" i="20" s="1"/>
  <c r="K75" i="20" s="1"/>
  <c r="K76" i="20" s="1"/>
  <c r="K77" i="20" s="1"/>
  <c r="K78" i="20" s="1"/>
  <c r="K79" i="20" s="1"/>
  <c r="K80" i="20" s="1"/>
  <c r="K81" i="20" s="1"/>
  <c r="K82" i="20" s="1"/>
  <c r="K83" i="20" s="1"/>
  <c r="K84" i="20" s="1"/>
  <c r="K85" i="20" s="1"/>
  <c r="K86" i="20" s="1"/>
  <c r="K87" i="20" s="1"/>
  <c r="K88" i="20" s="1"/>
  <c r="K89" i="20" s="1"/>
  <c r="K90" i="20" s="1"/>
  <c r="K91" i="20" s="1"/>
  <c r="K92" i="20" s="1"/>
  <c r="K93" i="20" s="1"/>
  <c r="K94" i="20" s="1"/>
  <c r="K95" i="20" s="1"/>
  <c r="K96" i="20" s="1"/>
  <c r="K97" i="20" s="1"/>
  <c r="K98" i="20" s="1"/>
  <c r="K99" i="20" s="1"/>
  <c r="K100" i="20" s="1"/>
  <c r="K101" i="20" s="1"/>
  <c r="K102" i="20" s="1"/>
  <c r="K103" i="20" s="1"/>
  <c r="K104" i="20" s="1"/>
  <c r="K105" i="20" s="1"/>
  <c r="K106" i="20" s="1"/>
  <c r="K107" i="20" s="1"/>
  <c r="K108" i="20" s="1"/>
  <c r="K109" i="20" s="1"/>
  <c r="K110" i="20" s="1"/>
  <c r="K111" i="20" s="1"/>
  <c r="K112" i="20" s="1"/>
  <c r="K113" i="20" s="1"/>
  <c r="K114" i="20" s="1"/>
  <c r="K115" i="20" s="1"/>
  <c r="K116" i="20" s="1"/>
  <c r="K117" i="20" s="1"/>
  <c r="K118" i="20" s="1"/>
  <c r="K119" i="20" s="1"/>
  <c r="K120" i="20" s="1"/>
  <c r="K121" i="20" s="1"/>
  <c r="K122" i="20" s="1"/>
  <c r="K123" i="20" s="1"/>
  <c r="K124" i="20" s="1"/>
  <c r="K125" i="20" s="1"/>
  <c r="K126" i="20" s="1"/>
  <c r="K127" i="20" s="1"/>
  <c r="K128" i="20" s="1"/>
  <c r="K129" i="20" s="1"/>
  <c r="K130" i="20" s="1"/>
  <c r="K131" i="20" s="1"/>
  <c r="K132" i="20" s="1"/>
  <c r="K133" i="20" s="1"/>
  <c r="K134" i="20" s="1"/>
  <c r="K135" i="20" s="1"/>
  <c r="K136" i="20" s="1"/>
  <c r="K137" i="20" s="1"/>
  <c r="K138" i="20" s="1"/>
  <c r="K139" i="20" s="1"/>
  <c r="K140" i="20" s="1"/>
  <c r="K141" i="20" s="1"/>
  <c r="K142" i="20" s="1"/>
  <c r="K143" i="20" s="1"/>
  <c r="K144" i="20" s="1"/>
  <c r="K145" i="20" s="1"/>
  <c r="K146" i="20" s="1"/>
  <c r="K147" i="20" s="1"/>
  <c r="K148" i="20" s="1"/>
  <c r="K149" i="20" s="1"/>
  <c r="K150" i="20" s="1"/>
  <c r="K151" i="20" s="1"/>
  <c r="K152" i="20" s="1"/>
  <c r="K153" i="20" s="1"/>
  <c r="K154" i="20" s="1"/>
  <c r="K155" i="20" s="1"/>
  <c r="K156" i="20" s="1"/>
  <c r="K157" i="20" s="1"/>
  <c r="K158" i="20" s="1"/>
  <c r="K159" i="20" s="1"/>
  <c r="K160" i="20" s="1"/>
  <c r="K161" i="20" s="1"/>
  <c r="K162" i="20" s="1"/>
  <c r="K163" i="20" s="1"/>
  <c r="K164" i="20" s="1"/>
  <c r="K165" i="20" s="1"/>
  <c r="K166" i="20" s="1"/>
  <c r="K167" i="20" s="1"/>
  <c r="K168" i="20" s="1"/>
  <c r="K169" i="20" s="1"/>
  <c r="K170" i="20" s="1"/>
  <c r="K171" i="20" s="1"/>
  <c r="K172" i="20" s="1"/>
  <c r="K173" i="20" s="1"/>
  <c r="K174" i="20" s="1"/>
  <c r="K175" i="20" s="1"/>
  <c r="K176" i="20" s="1"/>
  <c r="K177" i="20" s="1"/>
  <c r="K178" i="20" s="1"/>
  <c r="K179" i="20" s="1"/>
  <c r="K180" i="20" s="1"/>
  <c r="K181" i="20" s="1"/>
  <c r="K182" i="20" s="1"/>
  <c r="K183" i="20" s="1"/>
  <c r="K184" i="20" s="1"/>
  <c r="K185" i="20" s="1"/>
  <c r="K186" i="20" s="1"/>
  <c r="K187" i="20" s="1"/>
  <c r="K188" i="20" s="1"/>
  <c r="K189" i="20" s="1"/>
  <c r="K190" i="20" s="1"/>
  <c r="K191" i="20" s="1"/>
  <c r="K192" i="20" s="1"/>
  <c r="K193" i="20" s="1"/>
  <c r="K194" i="20" s="1"/>
  <c r="K195" i="20" s="1"/>
  <c r="K196" i="20" s="1"/>
  <c r="K197" i="20" s="1"/>
  <c r="K198" i="20" s="1"/>
  <c r="K199" i="20" s="1"/>
  <c r="K200" i="20" s="1"/>
  <c r="K201" i="20" s="1"/>
  <c r="K202" i="20" s="1"/>
  <c r="J2" i="20"/>
  <c r="N11" i="20"/>
  <c r="J11" i="20"/>
  <c r="N12" i="20"/>
  <c r="J12" i="20"/>
  <c r="N13" i="20"/>
  <c r="J13" i="20"/>
  <c r="N14" i="20"/>
  <c r="J14" i="20"/>
  <c r="N15" i="20"/>
  <c r="J15" i="20"/>
  <c r="N16" i="20"/>
  <c r="J16" i="20"/>
  <c r="N18" i="20"/>
  <c r="J18" i="20"/>
  <c r="N19" i="20"/>
  <c r="J19" i="20"/>
  <c r="N20" i="20"/>
  <c r="J20" i="20"/>
  <c r="N21" i="20"/>
  <c r="J21" i="20"/>
  <c r="N22" i="20"/>
  <c r="J22" i="20"/>
  <c r="N23" i="20"/>
  <c r="J23" i="20"/>
  <c r="N24" i="20"/>
  <c r="J24" i="20"/>
  <c r="N26" i="20"/>
  <c r="J26" i="20"/>
  <c r="AB5" i="22"/>
  <c r="U27" i="22"/>
  <c r="T27" i="22"/>
  <c r="U26" i="22"/>
  <c r="T26" i="22"/>
  <c r="U25" i="22"/>
  <c r="T25" i="22"/>
  <c r="U24" i="22"/>
  <c r="T24" i="22"/>
  <c r="U1" i="22"/>
  <c r="T1" i="22"/>
  <c r="V7" i="22"/>
  <c r="V6" i="22"/>
  <c r="V5" i="22"/>
  <c r="V4" i="22"/>
  <c r="S10" i="22"/>
  <c r="V10" i="22" s="1"/>
  <c r="S11" i="22"/>
  <c r="V11" i="22" s="1"/>
  <c r="S12" i="22"/>
  <c r="V12" i="22" s="1"/>
  <c r="S9" i="22"/>
  <c r="V9" i="22" s="1"/>
  <c r="U62" i="22"/>
  <c r="T62" i="22"/>
  <c r="U61" i="22"/>
  <c r="T61" i="22"/>
  <c r="U60" i="22"/>
  <c r="T60" i="22"/>
  <c r="U59" i="22"/>
  <c r="T59" i="22"/>
  <c r="U58" i="22"/>
  <c r="T58" i="22"/>
  <c r="S58" i="22"/>
  <c r="U57" i="22"/>
  <c r="T57" i="22"/>
  <c r="U56" i="22"/>
  <c r="T56" i="22"/>
  <c r="U55" i="22"/>
  <c r="T55" i="22"/>
  <c r="U54" i="22"/>
  <c r="T54" i="22"/>
  <c r="U53" i="22"/>
  <c r="T53" i="22"/>
  <c r="S53" i="22"/>
  <c r="U52" i="22"/>
  <c r="T52" i="22"/>
  <c r="U51" i="22"/>
  <c r="T51" i="22"/>
  <c r="U50" i="22"/>
  <c r="T50" i="22"/>
  <c r="U49" i="22"/>
  <c r="T49" i="22"/>
  <c r="U48" i="22"/>
  <c r="T48" i="22"/>
  <c r="S48" i="22"/>
  <c r="U47" i="22"/>
  <c r="T47" i="22"/>
  <c r="U46" i="22"/>
  <c r="T46" i="22"/>
  <c r="U45" i="22"/>
  <c r="T45" i="22"/>
  <c r="U44" i="22"/>
  <c r="T44" i="22"/>
  <c r="U43" i="22"/>
  <c r="T43" i="22"/>
  <c r="S43" i="22"/>
  <c r="U42" i="22"/>
  <c r="T42" i="22"/>
  <c r="U41" i="22"/>
  <c r="T41" i="22"/>
  <c r="U40" i="22"/>
  <c r="T40" i="22"/>
  <c r="U39" i="22"/>
  <c r="T39" i="22"/>
  <c r="U38" i="22"/>
  <c r="T38" i="22"/>
  <c r="S38" i="22"/>
  <c r="U37" i="22"/>
  <c r="T37" i="22"/>
  <c r="U36" i="22"/>
  <c r="T36" i="22"/>
  <c r="U35" i="22"/>
  <c r="T35" i="22"/>
  <c r="U34" i="22"/>
  <c r="T34" i="22"/>
  <c r="U33" i="22"/>
  <c r="T33" i="22"/>
  <c r="S33" i="22"/>
  <c r="U32" i="22"/>
  <c r="T32" i="22"/>
  <c r="U31" i="22"/>
  <c r="T31" i="22"/>
  <c r="U30" i="22"/>
  <c r="T30" i="22"/>
  <c r="U29" i="22"/>
  <c r="T29" i="22"/>
  <c r="S1" i="22"/>
  <c r="Y1252" i="21"/>
  <c r="Z1252" i="21" a="1"/>
  <c r="Z1252" i="21"/>
  <c r="V1252" i="21"/>
  <c r="W1252" i="21"/>
  <c r="X1252" i="21"/>
  <c r="AP1252" i="21"/>
  <c r="AQ1252" i="21"/>
  <c r="Y1251" i="21"/>
  <c r="Z1251" i="21" a="1"/>
  <c r="Z1251" i="21"/>
  <c r="V1251" i="21"/>
  <c r="W1251" i="21"/>
  <c r="X1251" i="21"/>
  <c r="AP1251" i="21"/>
  <c r="AQ1251" i="21"/>
  <c r="AM1249" i="21"/>
  <c r="AN1249" i="21"/>
  <c r="AP1249" i="21"/>
  <c r="AM1250" i="21"/>
  <c r="AN1250" i="21"/>
  <c r="AP1250" i="21"/>
  <c r="Y1250" i="21"/>
  <c r="Z1250" i="21" a="1"/>
  <c r="Z1250" i="21"/>
  <c r="V1250" i="21"/>
  <c r="W1250" i="21"/>
  <c r="AQ1250" i="21" s="1"/>
  <c r="X1250" i="21"/>
  <c r="Y1249" i="21" l="1"/>
  <c r="Z1249" i="21" a="1"/>
  <c r="Z1249" i="21"/>
  <c r="V1249" i="21"/>
  <c r="W1249" i="21"/>
  <c r="AQ1249" i="21" s="1"/>
  <c r="X1249" i="21"/>
  <c r="AQ73" i="21"/>
  <c r="AQ81" i="21"/>
  <c r="AQ82" i="21"/>
  <c r="AQ387" i="21"/>
  <c r="AQ612" i="21"/>
  <c r="AQ613" i="21"/>
  <c r="AQ626" i="21"/>
  <c r="AQ629" i="21"/>
  <c r="AQ630" i="21"/>
  <c r="AQ631" i="21"/>
  <c r="AQ633" i="21"/>
  <c r="AQ634" i="21"/>
  <c r="AQ635" i="21"/>
  <c r="AQ636" i="21"/>
  <c r="AQ637" i="21"/>
  <c r="AQ638" i="21"/>
  <c r="AQ639" i="21"/>
  <c r="AQ640" i="21"/>
  <c r="AQ641" i="21"/>
  <c r="AQ642" i="21"/>
  <c r="AQ643" i="21"/>
  <c r="AQ644" i="21"/>
  <c r="AQ645" i="21"/>
  <c r="AQ646" i="21"/>
  <c r="AQ647" i="21"/>
  <c r="AQ648" i="21"/>
  <c r="AQ649" i="21"/>
  <c r="AQ650" i="21"/>
  <c r="AQ651" i="21"/>
  <c r="AQ652" i="21"/>
  <c r="AQ654" i="21"/>
  <c r="AQ655" i="21"/>
  <c r="AQ656" i="21"/>
  <c r="AQ657" i="21"/>
  <c r="AQ658" i="21"/>
  <c r="AQ659" i="21"/>
  <c r="AQ660" i="21"/>
  <c r="AQ661" i="21"/>
  <c r="AQ662" i="21"/>
  <c r="AQ663" i="21"/>
  <c r="AQ664" i="21"/>
  <c r="AQ665" i="21"/>
  <c r="AQ666" i="21"/>
  <c r="AQ667" i="21"/>
  <c r="AQ668" i="21"/>
  <c r="AQ669" i="21"/>
  <c r="AQ671" i="21"/>
  <c r="AQ672" i="21"/>
  <c r="AQ673" i="21"/>
  <c r="AQ674" i="21"/>
  <c r="AQ675" i="21"/>
  <c r="AQ676" i="21"/>
  <c r="AQ677" i="21"/>
  <c r="AQ678" i="21"/>
  <c r="AQ679" i="21"/>
  <c r="AQ680" i="21"/>
  <c r="AQ922" i="21"/>
  <c r="AQ923" i="21"/>
  <c r="AQ1105" i="21"/>
  <c r="AQ1116" i="21"/>
  <c r="AQ1124" i="21"/>
  <c r="AQ1125" i="21"/>
  <c r="AQ1126" i="21"/>
  <c r="AQ1127" i="21"/>
  <c r="AQ1128" i="21"/>
  <c r="AQ1129" i="21"/>
  <c r="AQ1155" i="21"/>
  <c r="AQ1157" i="21"/>
  <c r="AQ1160" i="21"/>
  <c r="AQ1162" i="21"/>
  <c r="AQ1163" i="21"/>
  <c r="AQ1165" i="21"/>
  <c r="AQ1166" i="21"/>
  <c r="AQ1168" i="21"/>
  <c r="AQ1169" i="21"/>
  <c r="AQ1171" i="21"/>
  <c r="AQ1174" i="21"/>
  <c r="AQ1175" i="21"/>
  <c r="AQ1176" i="21"/>
  <c r="AQ1178" i="21"/>
  <c r="AQ1179" i="21"/>
  <c r="AQ1180" i="21"/>
  <c r="AQ1199" i="21"/>
  <c r="AQ1200" i="21"/>
  <c r="AQ1203" i="21"/>
  <c r="AQ1204" i="21"/>
  <c r="AQ1206" i="21"/>
  <c r="Y1247" i="21"/>
  <c r="Z1247" i="21" a="1"/>
  <c r="Z1247" i="21"/>
  <c r="Y1248" i="21"/>
  <c r="Z1248" i="21" a="1"/>
  <c r="Z1248" i="21"/>
  <c r="AL1248" i="21"/>
  <c r="AM1248" i="21"/>
  <c r="AN1248" i="21"/>
  <c r="AP1248" i="21"/>
  <c r="AL1247" i="21"/>
  <c r="AP1247" i="21"/>
  <c r="AM1247" i="21"/>
  <c r="AN1247" i="21"/>
  <c r="Y58" i="22"/>
  <c r="Y53" i="22"/>
  <c r="Y48" i="22"/>
  <c r="Y43" i="22"/>
  <c r="Y38" i="22"/>
  <c r="Y33" i="22"/>
  <c r="Y28" i="22"/>
  <c r="Y23" i="22"/>
  <c r="Y18" i="22"/>
  <c r="Y13" i="22"/>
  <c r="Y8" i="22"/>
  <c r="AP1203" i="21"/>
  <c r="AP1204" i="21"/>
  <c r="AP1205" i="21"/>
  <c r="AP1206" i="21"/>
  <c r="AP1207" i="21"/>
  <c r="AP1208" i="21"/>
  <c r="AP1209" i="21"/>
  <c r="AP1210" i="21"/>
  <c r="AP1211" i="21"/>
  <c r="AP1212" i="21"/>
  <c r="AP1213" i="21"/>
  <c r="AP1214" i="21"/>
  <c r="AP1215" i="21"/>
  <c r="AP1216" i="21"/>
  <c r="AP1217" i="21"/>
  <c r="AP1218" i="21"/>
  <c r="AP1219" i="21"/>
  <c r="AP1220" i="21"/>
  <c r="AP1221" i="21"/>
  <c r="AP1222" i="21"/>
  <c r="AP1223" i="21"/>
  <c r="AP1224" i="21"/>
  <c r="AP1225" i="21"/>
  <c r="AP1226" i="21"/>
  <c r="AP1227" i="21"/>
  <c r="AP1228" i="21"/>
  <c r="AP1229" i="21"/>
  <c r="AP1230" i="21"/>
  <c r="AP1231" i="21"/>
  <c r="AP1232" i="21"/>
  <c r="AP1233" i="21"/>
  <c r="AP1234" i="21"/>
  <c r="AP1235" i="21"/>
  <c r="AP1236" i="21"/>
  <c r="AP1237" i="21"/>
  <c r="AP1238" i="21"/>
  <c r="AP1239" i="21"/>
  <c r="AP1240" i="21"/>
  <c r="AP1241" i="21"/>
  <c r="AP1242" i="21"/>
  <c r="AP1243" i="21"/>
  <c r="AP1244" i="21"/>
  <c r="AP1245" i="21"/>
  <c r="AP1246" i="21"/>
  <c r="AO1203" i="21"/>
  <c r="AO1204" i="21"/>
  <c r="AO1205" i="21"/>
  <c r="AO1206" i="21"/>
  <c r="AO1207" i="21"/>
  <c r="AO1208" i="21"/>
  <c r="AO1209" i="21"/>
  <c r="AO1210" i="21"/>
  <c r="AO1211" i="21"/>
  <c r="AO1212" i="21"/>
  <c r="AO1213" i="21"/>
  <c r="AO1214" i="21"/>
  <c r="AO1215" i="21"/>
  <c r="AO1216" i="21"/>
  <c r="AO1217" i="21"/>
  <c r="AO1218" i="21"/>
  <c r="AO1219" i="21"/>
  <c r="AO1220" i="21"/>
  <c r="AO1221" i="21"/>
  <c r="AO1222" i="21"/>
  <c r="AO1223" i="21"/>
  <c r="AO1224" i="21"/>
  <c r="AO1225" i="21"/>
  <c r="AO1226" i="21"/>
  <c r="AO1227" i="21"/>
  <c r="AO1228" i="21"/>
  <c r="AO1229" i="21"/>
  <c r="AO1230" i="21"/>
  <c r="AO1231" i="21"/>
  <c r="AO1232" i="21"/>
  <c r="AO1233" i="21"/>
  <c r="AO1234" i="21"/>
  <c r="AO1235" i="21"/>
  <c r="AO1236" i="21"/>
  <c r="AO1237" i="21"/>
  <c r="AO1238" i="21"/>
  <c r="AO1239" i="21"/>
  <c r="AO1240" i="21"/>
  <c r="AO1241" i="21"/>
  <c r="AO1242" i="21"/>
  <c r="AO1243" i="21"/>
  <c r="AO1244" i="21"/>
  <c r="AO1245" i="21"/>
  <c r="AO1246" i="21"/>
  <c r="AM1203" i="21"/>
  <c r="AN1203" i="21"/>
  <c r="AM1204" i="21"/>
  <c r="AN1204" i="21"/>
  <c r="AM1205" i="21"/>
  <c r="AN1205" i="21"/>
  <c r="AM1206" i="21"/>
  <c r="AN1206" i="21"/>
  <c r="AM1207" i="21"/>
  <c r="AN1207" i="21"/>
  <c r="AM1208" i="21"/>
  <c r="AN1208" i="21"/>
  <c r="AM1209" i="21"/>
  <c r="AN1209" i="21"/>
  <c r="AM1210" i="21"/>
  <c r="AN1210" i="21"/>
  <c r="AM1211" i="21"/>
  <c r="AN1211" i="21"/>
  <c r="AM1212" i="21"/>
  <c r="AN1212" i="21"/>
  <c r="AM1213" i="21"/>
  <c r="AN1213" i="21"/>
  <c r="AM1214" i="21"/>
  <c r="AN1214" i="21"/>
  <c r="AM1215" i="21"/>
  <c r="AN1215" i="21"/>
  <c r="AM1216" i="21"/>
  <c r="AN1216" i="21"/>
  <c r="AM1217" i="21"/>
  <c r="AN1217" i="21"/>
  <c r="AM1218" i="21"/>
  <c r="AN1218" i="21"/>
  <c r="AM1219" i="21"/>
  <c r="AN1219" i="21"/>
  <c r="AM1220" i="21"/>
  <c r="AN1220" i="21"/>
  <c r="AM1221" i="21"/>
  <c r="AN1221" i="21"/>
  <c r="AM1222" i="21"/>
  <c r="AN1222" i="21"/>
  <c r="AM1223" i="21"/>
  <c r="AN1223" i="21"/>
  <c r="AM1224" i="21"/>
  <c r="AN1224" i="21"/>
  <c r="AM1225" i="21"/>
  <c r="AN1225" i="21"/>
  <c r="AM1226" i="21"/>
  <c r="AN1226" i="21"/>
  <c r="AM1227" i="21"/>
  <c r="AN1227" i="21"/>
  <c r="AM1228" i="21"/>
  <c r="AN1228" i="21"/>
  <c r="AM1229" i="21"/>
  <c r="AN1229" i="21"/>
  <c r="AM1230" i="21"/>
  <c r="AN1230" i="21"/>
  <c r="AM1231" i="21"/>
  <c r="AN1231" i="21"/>
  <c r="AM1232" i="21"/>
  <c r="AN1232" i="21"/>
  <c r="AM1233" i="21"/>
  <c r="AN1233" i="21"/>
  <c r="AM1234" i="21"/>
  <c r="AN1234" i="21"/>
  <c r="AM1235" i="21"/>
  <c r="AN1235" i="21"/>
  <c r="AM1236" i="21"/>
  <c r="AN1236" i="21"/>
  <c r="AM1237" i="21"/>
  <c r="AN1237" i="21"/>
  <c r="AM1238" i="21"/>
  <c r="AN1238" i="21"/>
  <c r="AM1239" i="21"/>
  <c r="AN1239" i="21"/>
  <c r="AM1240" i="21"/>
  <c r="AN1240" i="21"/>
  <c r="AM1241" i="21"/>
  <c r="AN1241" i="21"/>
  <c r="AM1242" i="21"/>
  <c r="AN1242" i="21"/>
  <c r="AM1243" i="21"/>
  <c r="AN1243" i="21"/>
  <c r="AM1244" i="21"/>
  <c r="AN1244" i="21"/>
  <c r="AM1245" i="21"/>
  <c r="AN1245" i="21"/>
  <c r="AM1246" i="21"/>
  <c r="AN1246" i="21"/>
  <c r="AP3" i="21"/>
  <c r="AN1202" i="21"/>
  <c r="AN1201" i="21"/>
  <c r="AN1200" i="21"/>
  <c r="AN1199" i="21"/>
  <c r="AN1198" i="21"/>
  <c r="AN1197" i="21"/>
  <c r="AN1196" i="21"/>
  <c r="AN1195" i="21"/>
  <c r="AN1194" i="21"/>
  <c r="AN1193" i="21"/>
  <c r="AN1192" i="21"/>
  <c r="AN1191" i="21"/>
  <c r="AN1190" i="21"/>
  <c r="AN1189" i="21"/>
  <c r="AN1188" i="21"/>
  <c r="AN1187" i="21"/>
  <c r="AN1186" i="21"/>
  <c r="AN1185" i="21"/>
  <c r="AN1184" i="21"/>
  <c r="AN1183" i="21"/>
  <c r="AN1182" i="21"/>
  <c r="AN1181" i="21"/>
  <c r="AN1180" i="21"/>
  <c r="AN1179" i="21"/>
  <c r="AN1178" i="21"/>
  <c r="AN1177" i="21"/>
  <c r="AN1176" i="21"/>
  <c r="AN1175" i="21"/>
  <c r="AN1174" i="21"/>
  <c r="AN1173" i="21"/>
  <c r="AN1172" i="21"/>
  <c r="AN1171" i="21"/>
  <c r="AN1170" i="21"/>
  <c r="AN1169" i="21"/>
  <c r="AN1168" i="21"/>
  <c r="AN1167" i="21"/>
  <c r="AN1166" i="21"/>
  <c r="AN1165" i="21"/>
  <c r="AN1164" i="21"/>
  <c r="AN1163" i="21"/>
  <c r="AN1162" i="21"/>
  <c r="AN1161" i="21"/>
  <c r="AN1160" i="21"/>
  <c r="AN1159" i="21"/>
  <c r="AN1158" i="21"/>
  <c r="AN1157" i="21"/>
  <c r="AN1156" i="21"/>
  <c r="AN1155" i="21"/>
  <c r="AN1154" i="21"/>
  <c r="AN1153" i="21"/>
  <c r="AN1152" i="21"/>
  <c r="AN1151" i="21"/>
  <c r="AN1150" i="21"/>
  <c r="AN1149" i="21"/>
  <c r="AN1148" i="21"/>
  <c r="AN1147" i="21"/>
  <c r="AN1146" i="21"/>
  <c r="AN1145" i="21"/>
  <c r="AN1144" i="21"/>
  <c r="AN1143" i="21"/>
  <c r="AN1142" i="21"/>
  <c r="AN1141" i="21"/>
  <c r="AN1140" i="21"/>
  <c r="AN1139" i="21"/>
  <c r="AN1138" i="21"/>
  <c r="AN1137" i="21"/>
  <c r="AN1136" i="21"/>
  <c r="AN1135" i="21"/>
  <c r="AN1134" i="21"/>
  <c r="AN1133" i="21"/>
  <c r="AN1132" i="21"/>
  <c r="AN1131" i="21"/>
  <c r="AN1130" i="21"/>
  <c r="AN1129" i="21"/>
  <c r="AN1128" i="21"/>
  <c r="AN1127" i="21"/>
  <c r="AN1126" i="21"/>
  <c r="AN1125" i="21"/>
  <c r="AN1124" i="21"/>
  <c r="AN1123" i="21"/>
  <c r="AN1122" i="21"/>
  <c r="AN1121" i="21"/>
  <c r="AN1120" i="21"/>
  <c r="AN1119" i="21"/>
  <c r="AN1118" i="21"/>
  <c r="AN1117" i="21"/>
  <c r="AN1116" i="21"/>
  <c r="AN1115" i="21"/>
  <c r="AN1114" i="21"/>
  <c r="AN1113" i="21"/>
  <c r="AN1112" i="21"/>
  <c r="AN1111" i="21"/>
  <c r="AN1110" i="21"/>
  <c r="AN1109" i="21"/>
  <c r="AN1108" i="21"/>
  <c r="AN1107" i="21"/>
  <c r="AN1106" i="21"/>
  <c r="AN1105" i="21"/>
  <c r="AN1104" i="21"/>
  <c r="AN1103" i="21"/>
  <c r="AN1102" i="21"/>
  <c r="AN1101" i="21"/>
  <c r="AN1100" i="21"/>
  <c r="AN1099" i="21"/>
  <c r="AN1098" i="21"/>
  <c r="AN1097" i="21"/>
  <c r="AN1096" i="21"/>
  <c r="AN1095" i="21"/>
  <c r="AN1094" i="21"/>
  <c r="AN1093" i="21"/>
  <c r="AN1092" i="21"/>
  <c r="AN1091" i="21"/>
  <c r="AN1090" i="21"/>
  <c r="AN1089" i="21"/>
  <c r="AN1088" i="21"/>
  <c r="AN1087" i="21"/>
  <c r="AN1086" i="21"/>
  <c r="AN1085" i="21"/>
  <c r="AN1084" i="21"/>
  <c r="AN1083" i="21"/>
  <c r="AN1082" i="21"/>
  <c r="AN1081" i="21"/>
  <c r="AN1080" i="21"/>
  <c r="AN1079" i="21"/>
  <c r="AN1078" i="21"/>
  <c r="AN1077" i="21"/>
  <c r="AN1076" i="21"/>
  <c r="AN1075" i="21"/>
  <c r="AN1074" i="21"/>
  <c r="AN1073" i="21"/>
  <c r="AN1072" i="21"/>
  <c r="AN1071" i="21"/>
  <c r="AN1070" i="21"/>
  <c r="AN1069" i="21"/>
  <c r="AN1068" i="21"/>
  <c r="AN1067" i="21"/>
  <c r="AN1066" i="21"/>
  <c r="AN1065" i="21"/>
  <c r="AN1064" i="21"/>
  <c r="AN1063" i="21"/>
  <c r="AN1062" i="21"/>
  <c r="AN1061" i="21"/>
  <c r="AN1060" i="21"/>
  <c r="AN1059" i="21"/>
  <c r="AN1058" i="21"/>
  <c r="AN1057" i="21"/>
  <c r="AN1056" i="21"/>
  <c r="AN1055" i="21"/>
  <c r="AN1054" i="21"/>
  <c r="AN1053" i="21"/>
  <c r="AN1052" i="21"/>
  <c r="AN1051" i="21"/>
  <c r="AN1050" i="21"/>
  <c r="AN1049" i="21"/>
  <c r="AN1048" i="21"/>
  <c r="AN1047" i="21"/>
  <c r="AN1046" i="21"/>
  <c r="AN1045" i="21"/>
  <c r="AN1044" i="21"/>
  <c r="AN1043" i="21"/>
  <c r="AN1042" i="21"/>
  <c r="AN1041" i="21"/>
  <c r="AN1040" i="21"/>
  <c r="AN1039" i="21"/>
  <c r="AN1038" i="21"/>
  <c r="AN1037" i="21"/>
  <c r="AN1036" i="21"/>
  <c r="AN1035" i="21"/>
  <c r="AN1034" i="21"/>
  <c r="AN1033" i="21"/>
  <c r="AN1032" i="21"/>
  <c r="AN1031" i="21"/>
  <c r="AN1030" i="21"/>
  <c r="AN1029" i="21"/>
  <c r="AN1028" i="21"/>
  <c r="AN1027" i="21"/>
  <c r="AN1026" i="21"/>
  <c r="AN1025" i="21"/>
  <c r="AN1024" i="21"/>
  <c r="AN1023" i="21"/>
  <c r="AN1022" i="21"/>
  <c r="AN1021" i="21"/>
  <c r="AN1020" i="21"/>
  <c r="AN1019" i="21"/>
  <c r="AN1018" i="21"/>
  <c r="AN1017" i="21"/>
  <c r="AN1016" i="21"/>
  <c r="AN1015" i="21"/>
  <c r="AN1014" i="21"/>
  <c r="AN1013" i="21"/>
  <c r="AN1012" i="21"/>
  <c r="AN1011" i="21"/>
  <c r="AN1010" i="21"/>
  <c r="AN1009" i="21"/>
  <c r="AN1008" i="21"/>
  <c r="AN1007" i="21"/>
  <c r="AN1006" i="21"/>
  <c r="AN1005" i="21"/>
  <c r="AN1004" i="21"/>
  <c r="AN1003" i="21"/>
  <c r="AN1002" i="21"/>
  <c r="AN1001" i="21"/>
  <c r="AN1000" i="21"/>
  <c r="AN999" i="21"/>
  <c r="AN998" i="21"/>
  <c r="AN997" i="21"/>
  <c r="AN996" i="21"/>
  <c r="AN995" i="21"/>
  <c r="AN994" i="21"/>
  <c r="AN993" i="21"/>
  <c r="AN992" i="21"/>
  <c r="AN991" i="21"/>
  <c r="AN990" i="21"/>
  <c r="AN989" i="21"/>
  <c r="AN988" i="21"/>
  <c r="AN987" i="21"/>
  <c r="AN986" i="21"/>
  <c r="AN985" i="21"/>
  <c r="AN984" i="21"/>
  <c r="AN983" i="21"/>
  <c r="AN982" i="21"/>
  <c r="AN981" i="21"/>
  <c r="AN980" i="21"/>
  <c r="AN979" i="21"/>
  <c r="AN978" i="21"/>
  <c r="AN977" i="21"/>
  <c r="AN976" i="21"/>
  <c r="AN975" i="21"/>
  <c r="AN974" i="21"/>
  <c r="AN973" i="21"/>
  <c r="AN972" i="21"/>
  <c r="AN971" i="21"/>
  <c r="AN970" i="21"/>
  <c r="AN969" i="21"/>
  <c r="AN968" i="21"/>
  <c r="AN967" i="21"/>
  <c r="AN966" i="21"/>
  <c r="AN965" i="21"/>
  <c r="AN964" i="21"/>
  <c r="AN963" i="21"/>
  <c r="AN962" i="21"/>
  <c r="AN961" i="21"/>
  <c r="AN960" i="21"/>
  <c r="AN959" i="21"/>
  <c r="AN958" i="21"/>
  <c r="AN957" i="21"/>
  <c r="AN956" i="21"/>
  <c r="AN955" i="21"/>
  <c r="AN954" i="21"/>
  <c r="AN953" i="21"/>
  <c r="AN952" i="21"/>
  <c r="AN951" i="21"/>
  <c r="AN950" i="21"/>
  <c r="AN949" i="21"/>
  <c r="AN948" i="21"/>
  <c r="AN947" i="21"/>
  <c r="AN946" i="21"/>
  <c r="AN945" i="21"/>
  <c r="AN944" i="21"/>
  <c r="AN943" i="21"/>
  <c r="AN942" i="21"/>
  <c r="AN941" i="21"/>
  <c r="AN940" i="21"/>
  <c r="AN939" i="21"/>
  <c r="AN938" i="21"/>
  <c r="AN937" i="21"/>
  <c r="AN936" i="21"/>
  <c r="AN935" i="21"/>
  <c r="AN934" i="21"/>
  <c r="AN933" i="21"/>
  <c r="AN932" i="21"/>
  <c r="AN931" i="21"/>
  <c r="AN930" i="21"/>
  <c r="AN929" i="21"/>
  <c r="AN928" i="21"/>
  <c r="AN927" i="21"/>
  <c r="AN926" i="21"/>
  <c r="AN925" i="21"/>
  <c r="AN924" i="21"/>
  <c r="AN923" i="21"/>
  <c r="AN922" i="21"/>
  <c r="AN921" i="21"/>
  <c r="AN920" i="21"/>
  <c r="AN919" i="21"/>
  <c r="AN918" i="21"/>
  <c r="AN917" i="21"/>
  <c r="AN916" i="21"/>
  <c r="AN915" i="21"/>
  <c r="AN914" i="21"/>
  <c r="AN913" i="21"/>
  <c r="AN912" i="21"/>
  <c r="AN911" i="21"/>
  <c r="AN910" i="21"/>
  <c r="AN909" i="21"/>
  <c r="AN908" i="21"/>
  <c r="AN907" i="21"/>
  <c r="AN906" i="21"/>
  <c r="AN905" i="21"/>
  <c r="AN904" i="21"/>
  <c r="AN903" i="21"/>
  <c r="AN902" i="21"/>
  <c r="AN901" i="21"/>
  <c r="AN900" i="21"/>
  <c r="AN899" i="21"/>
  <c r="AN898" i="21"/>
  <c r="AN897" i="21"/>
  <c r="AN896" i="21"/>
  <c r="AN895" i="21"/>
  <c r="AN894" i="21"/>
  <c r="AN893" i="21"/>
  <c r="AN892" i="21"/>
  <c r="AN891" i="21"/>
  <c r="AN890" i="21"/>
  <c r="AN889" i="21"/>
  <c r="AN888" i="21"/>
  <c r="AN887" i="21"/>
  <c r="AN886" i="21"/>
  <c r="AN885" i="21"/>
  <c r="AN884" i="21"/>
  <c r="AN883" i="21"/>
  <c r="AN882" i="21"/>
  <c r="AN881" i="21"/>
  <c r="AN880" i="21"/>
  <c r="AN879" i="21"/>
  <c r="AN878" i="21"/>
  <c r="AN877" i="21"/>
  <c r="AN876" i="21"/>
  <c r="AN875" i="21"/>
  <c r="AN874" i="21"/>
  <c r="AN873" i="21"/>
  <c r="AN872" i="21"/>
  <c r="AN871" i="21"/>
  <c r="AN870" i="21"/>
  <c r="AN869" i="21"/>
  <c r="AN868" i="21"/>
  <c r="AN867" i="21"/>
  <c r="AN866" i="21"/>
  <c r="AN865" i="21"/>
  <c r="AN864" i="21"/>
  <c r="AN863" i="21"/>
  <c r="AN862" i="21"/>
  <c r="AN861" i="21"/>
  <c r="AN860" i="21"/>
  <c r="AN859" i="21"/>
  <c r="AN858" i="21"/>
  <c r="AN857" i="21"/>
  <c r="AN856" i="21"/>
  <c r="AN855" i="21"/>
  <c r="AN854" i="21"/>
  <c r="AN853" i="21"/>
  <c r="AN852" i="21"/>
  <c r="AN851" i="21"/>
  <c r="AN850" i="21"/>
  <c r="AN849" i="21"/>
  <c r="AN848" i="21"/>
  <c r="AN847" i="21"/>
  <c r="AN846" i="21"/>
  <c r="AN845" i="21"/>
  <c r="AN844" i="21"/>
  <c r="AN843" i="21"/>
  <c r="AN842" i="21"/>
  <c r="AN841" i="21"/>
  <c r="AN840" i="21"/>
  <c r="AN839" i="21"/>
  <c r="AN838" i="21"/>
  <c r="AN837" i="21"/>
  <c r="AN836" i="21"/>
  <c r="AN835" i="21"/>
  <c r="AN834" i="21"/>
  <c r="AN833" i="21"/>
  <c r="AN832" i="21"/>
  <c r="AN831" i="21"/>
  <c r="AN830" i="21"/>
  <c r="AN829" i="21"/>
  <c r="AN828" i="21"/>
  <c r="AN827" i="21"/>
  <c r="AN826" i="21"/>
  <c r="AN825" i="21"/>
  <c r="AN824" i="21"/>
  <c r="AN823" i="21"/>
  <c r="AN822" i="21"/>
  <c r="AN821" i="21"/>
  <c r="AN820" i="21"/>
  <c r="AN819" i="21"/>
  <c r="AN818" i="21"/>
  <c r="AN817" i="21"/>
  <c r="AN816" i="21"/>
  <c r="AN815" i="21"/>
  <c r="AN814" i="21"/>
  <c r="AN813" i="21"/>
  <c r="AN812" i="21"/>
  <c r="AN811" i="21"/>
  <c r="AN810" i="21"/>
  <c r="AN809" i="21"/>
  <c r="AN808" i="21"/>
  <c r="AN807" i="21"/>
  <c r="AN806" i="21"/>
  <c r="AN805" i="21"/>
  <c r="AN804" i="21"/>
  <c r="AN803" i="21"/>
  <c r="AN802" i="21"/>
  <c r="AN801" i="21"/>
  <c r="AN800" i="21"/>
  <c r="AN799" i="21"/>
  <c r="AN798" i="21"/>
  <c r="AN797" i="21"/>
  <c r="AN796" i="21"/>
  <c r="AN795" i="21"/>
  <c r="AN794" i="21"/>
  <c r="AN793" i="21"/>
  <c r="AN792" i="21"/>
  <c r="AN791" i="21"/>
  <c r="AN790" i="21"/>
  <c r="AN789" i="21"/>
  <c r="AN788" i="21"/>
  <c r="AN787" i="21"/>
  <c r="AN786" i="21"/>
  <c r="AN785" i="21"/>
  <c r="AN784" i="21"/>
  <c r="AN783" i="21"/>
  <c r="AN782" i="21"/>
  <c r="AN781" i="21"/>
  <c r="AN780" i="21"/>
  <c r="AN779" i="21"/>
  <c r="AN778" i="21"/>
  <c r="AN777" i="21"/>
  <c r="AN776" i="21"/>
  <c r="AN775" i="21"/>
  <c r="AN774" i="21"/>
  <c r="AN773" i="21"/>
  <c r="AN772" i="21"/>
  <c r="AN771" i="21"/>
  <c r="AN770" i="21"/>
  <c r="AN769" i="21"/>
  <c r="AN768" i="21"/>
  <c r="AN767" i="21"/>
  <c r="AN766" i="21"/>
  <c r="AN765" i="21"/>
  <c r="AN764" i="21"/>
  <c r="AN763" i="21"/>
  <c r="AN762" i="21"/>
  <c r="AN761" i="21"/>
  <c r="AN760" i="21"/>
  <c r="AN759" i="21"/>
  <c r="AN758" i="21"/>
  <c r="AN757" i="21"/>
  <c r="AN756" i="21"/>
  <c r="AN755" i="21"/>
  <c r="AN754" i="21"/>
  <c r="AN753" i="21"/>
  <c r="AN752" i="21"/>
  <c r="AN751" i="21"/>
  <c r="AN750" i="21"/>
  <c r="AN749" i="21"/>
  <c r="AN748" i="21"/>
  <c r="AN747" i="21"/>
  <c r="AN746" i="21"/>
  <c r="AN745" i="21"/>
  <c r="AN744" i="21"/>
  <c r="AN743" i="21"/>
  <c r="AN742" i="21"/>
  <c r="AN741" i="21"/>
  <c r="AN740" i="21"/>
  <c r="AN739" i="21"/>
  <c r="AN738" i="21"/>
  <c r="AN737" i="21"/>
  <c r="AN736" i="21"/>
  <c r="AN735" i="21"/>
  <c r="AN734" i="21"/>
  <c r="AN733" i="21"/>
  <c r="AN732" i="21"/>
  <c r="AN731" i="21"/>
  <c r="AN730" i="21"/>
  <c r="AN729" i="21"/>
  <c r="AN728" i="21"/>
  <c r="AN727" i="21"/>
  <c r="AN726" i="21"/>
  <c r="AN725" i="21"/>
  <c r="AN724" i="21"/>
  <c r="AN723" i="21"/>
  <c r="AN722" i="21"/>
  <c r="AN721" i="21"/>
  <c r="AN720" i="21"/>
  <c r="AN719" i="21"/>
  <c r="AN718" i="21"/>
  <c r="AN717" i="21"/>
  <c r="AN716" i="21"/>
  <c r="AN715" i="21"/>
  <c r="AN714" i="21"/>
  <c r="AN713" i="21"/>
  <c r="AN712" i="21"/>
  <c r="AN711" i="21"/>
  <c r="AN710" i="21"/>
  <c r="AN709" i="21"/>
  <c r="AN708" i="21"/>
  <c r="AN707" i="21"/>
  <c r="AN706" i="21"/>
  <c r="AN705" i="21"/>
  <c r="AN704" i="21"/>
  <c r="AN703" i="21"/>
  <c r="AN702" i="21"/>
  <c r="AN701" i="21"/>
  <c r="AN700" i="21"/>
  <c r="AN699" i="21"/>
  <c r="AN698" i="21"/>
  <c r="AN697" i="21"/>
  <c r="AN696" i="21"/>
  <c r="AN695" i="21"/>
  <c r="AN694" i="21"/>
  <c r="AN693" i="21"/>
  <c r="AN692" i="21"/>
  <c r="AN691" i="21"/>
  <c r="AN690" i="21"/>
  <c r="AN689" i="21"/>
  <c r="AN688" i="21"/>
  <c r="AN687" i="21"/>
  <c r="AN686" i="21"/>
  <c r="AN685" i="21"/>
  <c r="AN684" i="21"/>
  <c r="AN683" i="21"/>
  <c r="AN682" i="21"/>
  <c r="AN681" i="21"/>
  <c r="AN680" i="21"/>
  <c r="AN679" i="21"/>
  <c r="AN678" i="21"/>
  <c r="AN677" i="21"/>
  <c r="AN676" i="21"/>
  <c r="AN675" i="21"/>
  <c r="AN674" i="21"/>
  <c r="AN673" i="21"/>
  <c r="AN672" i="21"/>
  <c r="AN671" i="21"/>
  <c r="AN670" i="21"/>
  <c r="AN669" i="21"/>
  <c r="AN668" i="21"/>
  <c r="AN667" i="21"/>
  <c r="AN666" i="21"/>
  <c r="AN665" i="21"/>
  <c r="AN664" i="21"/>
  <c r="AN663" i="21"/>
  <c r="AN662" i="21"/>
  <c r="AN661" i="21"/>
  <c r="AN660" i="21"/>
  <c r="AN659" i="21"/>
  <c r="AN658" i="21"/>
  <c r="AN657" i="21"/>
  <c r="AN656" i="21"/>
  <c r="AN655" i="21"/>
  <c r="AN654" i="21"/>
  <c r="AN653" i="21"/>
  <c r="AN652" i="21"/>
  <c r="AN651" i="21"/>
  <c r="AN650" i="21"/>
  <c r="AN649" i="21"/>
  <c r="AN648" i="21"/>
  <c r="AN647" i="21"/>
  <c r="AN646" i="21"/>
  <c r="AN645" i="21"/>
  <c r="AN644" i="21"/>
  <c r="AN643" i="21"/>
  <c r="AN642" i="21"/>
  <c r="AN641" i="21"/>
  <c r="AN640" i="21"/>
  <c r="AN639" i="21"/>
  <c r="AN638" i="21"/>
  <c r="AN637" i="21"/>
  <c r="AN636" i="21"/>
  <c r="AN635" i="21"/>
  <c r="AN634" i="21"/>
  <c r="AN633" i="21"/>
  <c r="AN632" i="21"/>
  <c r="AN631" i="21"/>
  <c r="AN630" i="21"/>
  <c r="AN629" i="21"/>
  <c r="AN628" i="21"/>
  <c r="AN627" i="21"/>
  <c r="AN626" i="21"/>
  <c r="AN625" i="21"/>
  <c r="AN624" i="21"/>
  <c r="AN623" i="21"/>
  <c r="AN622" i="21"/>
  <c r="AN621" i="21"/>
  <c r="AN620" i="21"/>
  <c r="AN619" i="21"/>
  <c r="AN618" i="21"/>
  <c r="AN617" i="21"/>
  <c r="AN616" i="21"/>
  <c r="AN615" i="21"/>
  <c r="AN614" i="21"/>
  <c r="AN613" i="21"/>
  <c r="AN612" i="21"/>
  <c r="AN611" i="21"/>
  <c r="AN610" i="21"/>
  <c r="AN609" i="21"/>
  <c r="AN608" i="21"/>
  <c r="AN607" i="21"/>
  <c r="AN606" i="21"/>
  <c r="AN605" i="21"/>
  <c r="AN604" i="21"/>
  <c r="AN603" i="21"/>
  <c r="AN602" i="21"/>
  <c r="AN601" i="21"/>
  <c r="AN600" i="21"/>
  <c r="AN599" i="21"/>
  <c r="AN598" i="21"/>
  <c r="AN597" i="21"/>
  <c r="AN596" i="21"/>
  <c r="AN595" i="21"/>
  <c r="AN594" i="21"/>
  <c r="AN593" i="21"/>
  <c r="AN592" i="21"/>
  <c r="AN591" i="21"/>
  <c r="AN590" i="21"/>
  <c r="AN589" i="21"/>
  <c r="AN588" i="21"/>
  <c r="AN587" i="21"/>
  <c r="AN586" i="21"/>
  <c r="AN585" i="21"/>
  <c r="AN584" i="21"/>
  <c r="AN583" i="21"/>
  <c r="AN582" i="21"/>
  <c r="AN581" i="21"/>
  <c r="AN580" i="21"/>
  <c r="AN579" i="21"/>
  <c r="AN578" i="21"/>
  <c r="AN577" i="21"/>
  <c r="AN576" i="21"/>
  <c r="AN575" i="21"/>
  <c r="AN574" i="21"/>
  <c r="AN573" i="21"/>
  <c r="AN572" i="21"/>
  <c r="AN571" i="21"/>
  <c r="AN570" i="21"/>
  <c r="AN569" i="21"/>
  <c r="AN568" i="21"/>
  <c r="AN567" i="21"/>
  <c r="AN566" i="21"/>
  <c r="AN565" i="21"/>
  <c r="AN564" i="21"/>
  <c r="AN563" i="21"/>
  <c r="AN562" i="21"/>
  <c r="AN561" i="21"/>
  <c r="AN560" i="21"/>
  <c r="AN559" i="21"/>
  <c r="AN558" i="21"/>
  <c r="AN557" i="21"/>
  <c r="AN556" i="21"/>
  <c r="AN555" i="21"/>
  <c r="AN554" i="21"/>
  <c r="AN553" i="21"/>
  <c r="AN552" i="21"/>
  <c r="AN551" i="21"/>
  <c r="AN550" i="21"/>
  <c r="AN549" i="21"/>
  <c r="AN548" i="21"/>
  <c r="AN547" i="21"/>
  <c r="AN546" i="21"/>
  <c r="AN545" i="21"/>
  <c r="AN544" i="21"/>
  <c r="AN543" i="21"/>
  <c r="AN542" i="21"/>
  <c r="AN541" i="21"/>
  <c r="AN540" i="21"/>
  <c r="AN539" i="21"/>
  <c r="AN538" i="21"/>
  <c r="AN537" i="21"/>
  <c r="AN536" i="21"/>
  <c r="AN535" i="21"/>
  <c r="AN534" i="21"/>
  <c r="AN533" i="21"/>
  <c r="AN532" i="21"/>
  <c r="AN531" i="21"/>
  <c r="AN530" i="21"/>
  <c r="AN529" i="21"/>
  <c r="AN528" i="21"/>
  <c r="AN527" i="21"/>
  <c r="AN526" i="21"/>
  <c r="AN525" i="21"/>
  <c r="AN524" i="21"/>
  <c r="AN523" i="21"/>
  <c r="AN522" i="21"/>
  <c r="AN521" i="21"/>
  <c r="AN520" i="21"/>
  <c r="AN519" i="21"/>
  <c r="AN518" i="21"/>
  <c r="AN517" i="21"/>
  <c r="AN516" i="21"/>
  <c r="AN515" i="21"/>
  <c r="AN514" i="21"/>
  <c r="AN513" i="21"/>
  <c r="AN512" i="21"/>
  <c r="AN511" i="21"/>
  <c r="AN510" i="21"/>
  <c r="AN509" i="21"/>
  <c r="AN508" i="21"/>
  <c r="AN507" i="21"/>
  <c r="AN506" i="21"/>
  <c r="AN505" i="21"/>
  <c r="AN504" i="21"/>
  <c r="AN503" i="21"/>
  <c r="AN502" i="21"/>
  <c r="AN501" i="21"/>
  <c r="AN500" i="21"/>
  <c r="AN499" i="21"/>
  <c r="AN498" i="21"/>
  <c r="AN497" i="21"/>
  <c r="AN496" i="21"/>
  <c r="AN495" i="21"/>
  <c r="AN494" i="21"/>
  <c r="AN493" i="21"/>
  <c r="AN492" i="21"/>
  <c r="AN491" i="21"/>
  <c r="AN490" i="21"/>
  <c r="AN489" i="21"/>
  <c r="AN488" i="21"/>
  <c r="AN487" i="21"/>
  <c r="AN486" i="21"/>
  <c r="AN485" i="21"/>
  <c r="AN484" i="21"/>
  <c r="AN483" i="21"/>
  <c r="AN482" i="21"/>
  <c r="AN481" i="21"/>
  <c r="AN480" i="21"/>
  <c r="AN479" i="21"/>
  <c r="AN478" i="21"/>
  <c r="AN477" i="21"/>
  <c r="AN476" i="21"/>
  <c r="AN475" i="21"/>
  <c r="AN474" i="21"/>
  <c r="AN473" i="21"/>
  <c r="AN472" i="21"/>
  <c r="AN471" i="21"/>
  <c r="AN470" i="21"/>
  <c r="AN469" i="21"/>
  <c r="AN468" i="21"/>
  <c r="AN467" i="21"/>
  <c r="AN466" i="21"/>
  <c r="AN465" i="21"/>
  <c r="AN464" i="21"/>
  <c r="AN463" i="21"/>
  <c r="AN462" i="21"/>
  <c r="AN461" i="21"/>
  <c r="AN460" i="21"/>
  <c r="AN459" i="21"/>
  <c r="AN458" i="21"/>
  <c r="AN457" i="21"/>
  <c r="AN456" i="21"/>
  <c r="AN455" i="21"/>
  <c r="AN454" i="21"/>
  <c r="AN453" i="21"/>
  <c r="AN452" i="21"/>
  <c r="AN451" i="21"/>
  <c r="AN450" i="21"/>
  <c r="AN449" i="21"/>
  <c r="AN448" i="21"/>
  <c r="AN447" i="21"/>
  <c r="AN446" i="21"/>
  <c r="AN445" i="21"/>
  <c r="AN444" i="21"/>
  <c r="AN443" i="21"/>
  <c r="AN442" i="21"/>
  <c r="AN441" i="21"/>
  <c r="AN440" i="21"/>
  <c r="AN439" i="21"/>
  <c r="AN438" i="21"/>
  <c r="AN437" i="21"/>
  <c r="AN436" i="21"/>
  <c r="AN435" i="21"/>
  <c r="AN434" i="21"/>
  <c r="AN433" i="21"/>
  <c r="AN432" i="21"/>
  <c r="AN431" i="21"/>
  <c r="AN430" i="21"/>
  <c r="AN429" i="21"/>
  <c r="AN428" i="21"/>
  <c r="AN427" i="21"/>
  <c r="AN426" i="21"/>
  <c r="AN425" i="21"/>
  <c r="AN424" i="21"/>
  <c r="AN423" i="21"/>
  <c r="AN422" i="21"/>
  <c r="AN421" i="21"/>
  <c r="AN420" i="21"/>
  <c r="AN419" i="21"/>
  <c r="AN418" i="21"/>
  <c r="AN417" i="21"/>
  <c r="AN416" i="21"/>
  <c r="AN415" i="21"/>
  <c r="AN414" i="21"/>
  <c r="AN413" i="21"/>
  <c r="AN412" i="21"/>
  <c r="AN411" i="21"/>
  <c r="AN410" i="21"/>
  <c r="AN409" i="21"/>
  <c r="AN408" i="21"/>
  <c r="AN407" i="21"/>
  <c r="AN406" i="21"/>
  <c r="AN405" i="21"/>
  <c r="AN404" i="21"/>
  <c r="AN403" i="21"/>
  <c r="AN402" i="21"/>
  <c r="AN401" i="21"/>
  <c r="AN400" i="21"/>
  <c r="AN399" i="21"/>
  <c r="AN398" i="21"/>
  <c r="AN397" i="21"/>
  <c r="AN396" i="21"/>
  <c r="AN395" i="21"/>
  <c r="AN394" i="21"/>
  <c r="AN393" i="21"/>
  <c r="AN392" i="21"/>
  <c r="AN391" i="21"/>
  <c r="AN390" i="21"/>
  <c r="AN389" i="21"/>
  <c r="AN388" i="21"/>
  <c r="AN387" i="21"/>
  <c r="AN386" i="21"/>
  <c r="AN385" i="21"/>
  <c r="AN384" i="21"/>
  <c r="AN383" i="21"/>
  <c r="AN382" i="21"/>
  <c r="AN381" i="21"/>
  <c r="AN380" i="21"/>
  <c r="AN379" i="21"/>
  <c r="AN378" i="21"/>
  <c r="AN377" i="21"/>
  <c r="AN376" i="21"/>
  <c r="AN375" i="21"/>
  <c r="AN374" i="21"/>
  <c r="AN373" i="21"/>
  <c r="AN372" i="21"/>
  <c r="AN371" i="21"/>
  <c r="AN370" i="21"/>
  <c r="AN369" i="21"/>
  <c r="AN368" i="21"/>
  <c r="AN367" i="21"/>
  <c r="AN366" i="21"/>
  <c r="AN365" i="21"/>
  <c r="AN364" i="21"/>
  <c r="AN363" i="21"/>
  <c r="AN362" i="21"/>
  <c r="AN361" i="21"/>
  <c r="AN360" i="21"/>
  <c r="AN359" i="21"/>
  <c r="AN358" i="21"/>
  <c r="AN357" i="21"/>
  <c r="AN356" i="21"/>
  <c r="AN355" i="21"/>
  <c r="AN354" i="21"/>
  <c r="AN353" i="21"/>
  <c r="AN352" i="21"/>
  <c r="AN351" i="21"/>
  <c r="AN350" i="21"/>
  <c r="AN349" i="21"/>
  <c r="AN348" i="21"/>
  <c r="AN347" i="21"/>
  <c r="AN346" i="21"/>
  <c r="AN345" i="21"/>
  <c r="AN344" i="21"/>
  <c r="AN343" i="21"/>
  <c r="AN342" i="21"/>
  <c r="AN341" i="21"/>
  <c r="AN340" i="21"/>
  <c r="AN339" i="21"/>
  <c r="AN338" i="21"/>
  <c r="AN337" i="21"/>
  <c r="AN336" i="21"/>
  <c r="AN335" i="21"/>
  <c r="AN334" i="21"/>
  <c r="AN333" i="21"/>
  <c r="AN332" i="21"/>
  <c r="AN331" i="21"/>
  <c r="AN330" i="21"/>
  <c r="AN329" i="21"/>
  <c r="AN328" i="21"/>
  <c r="AN327" i="21"/>
  <c r="AN326" i="21"/>
  <c r="AN325" i="21"/>
  <c r="AN324" i="21"/>
  <c r="AN323" i="21"/>
  <c r="AN322" i="21"/>
  <c r="AN321" i="21"/>
  <c r="AN320" i="21"/>
  <c r="AN319" i="21"/>
  <c r="AN318" i="21"/>
  <c r="AN317" i="21"/>
  <c r="AN316" i="21"/>
  <c r="AN315" i="21"/>
  <c r="AN314" i="21"/>
  <c r="AN313" i="21"/>
  <c r="AN312" i="21"/>
  <c r="AN311" i="21"/>
  <c r="AN310" i="21"/>
  <c r="AN309" i="21"/>
  <c r="AN308" i="21"/>
  <c r="AN307" i="21"/>
  <c r="AN306" i="21"/>
  <c r="AN305" i="21"/>
  <c r="AN304" i="21"/>
  <c r="AN303" i="21"/>
  <c r="AN302" i="21"/>
  <c r="AN301" i="21"/>
  <c r="AN300" i="21"/>
  <c r="AN299" i="21"/>
  <c r="AN298" i="21"/>
  <c r="AN297" i="21"/>
  <c r="AN296" i="21"/>
  <c r="AN295" i="21"/>
  <c r="AN294" i="21"/>
  <c r="AN293" i="21"/>
  <c r="AN292" i="21"/>
  <c r="AN291" i="21"/>
  <c r="AN290" i="21"/>
  <c r="AN289" i="21"/>
  <c r="AN288" i="21"/>
  <c r="AN287" i="21"/>
  <c r="AN286" i="21"/>
  <c r="AN285" i="21"/>
  <c r="AN284" i="21"/>
  <c r="AN283" i="21"/>
  <c r="AN282" i="21"/>
  <c r="AN281" i="21"/>
  <c r="AN280" i="21"/>
  <c r="AN279" i="21"/>
  <c r="AN278" i="21"/>
  <c r="AN277" i="21"/>
  <c r="AN276" i="21"/>
  <c r="AN275" i="21"/>
  <c r="AN274" i="21"/>
  <c r="AN273" i="21"/>
  <c r="AN272" i="21"/>
  <c r="AN271" i="21"/>
  <c r="AN270" i="21"/>
  <c r="AN269" i="21"/>
  <c r="AN268" i="21"/>
  <c r="AN267" i="21"/>
  <c r="AN266" i="21"/>
  <c r="AN265" i="21"/>
  <c r="AN264" i="21"/>
  <c r="AN263" i="21"/>
  <c r="AN262" i="21"/>
  <c r="AN261" i="21"/>
  <c r="AN260" i="21"/>
  <c r="AN259" i="21"/>
  <c r="AN258" i="21"/>
  <c r="AN257" i="21"/>
  <c r="AN256" i="21"/>
  <c r="AN255" i="21"/>
  <c r="AN254" i="21"/>
  <c r="AN253" i="21"/>
  <c r="AN252" i="21"/>
  <c r="AN251" i="21"/>
  <c r="AN250" i="21"/>
  <c r="AN249" i="21"/>
  <c r="AN248" i="21"/>
  <c r="AN247" i="21"/>
  <c r="AN246" i="21"/>
  <c r="AN245" i="21"/>
  <c r="AN244" i="21"/>
  <c r="AN243" i="21"/>
  <c r="AN242" i="21"/>
  <c r="AN241" i="21"/>
  <c r="AN240" i="21"/>
  <c r="AN239" i="21"/>
  <c r="AN238" i="21"/>
  <c r="AN237" i="21"/>
  <c r="AN236" i="21"/>
  <c r="AN235" i="21"/>
  <c r="AN234" i="21"/>
  <c r="AN233" i="21"/>
  <c r="AN232" i="21"/>
  <c r="AN231" i="21"/>
  <c r="AN230" i="21"/>
  <c r="AN229" i="21"/>
  <c r="AN228" i="21"/>
  <c r="AN227" i="21"/>
  <c r="AN226" i="21"/>
  <c r="AN225" i="21"/>
  <c r="AN224" i="21"/>
  <c r="AN223" i="21"/>
  <c r="AN222" i="21"/>
  <c r="AN221" i="21"/>
  <c r="AN220" i="21"/>
  <c r="AN219" i="21"/>
  <c r="AN218" i="21"/>
  <c r="AN217" i="21"/>
  <c r="AN216" i="21"/>
  <c r="AN215" i="21"/>
  <c r="AN214" i="21"/>
  <c r="AN213" i="21"/>
  <c r="AN212" i="21"/>
  <c r="AN211" i="21"/>
  <c r="AN210" i="21"/>
  <c r="AN209" i="21"/>
  <c r="AN208" i="21"/>
  <c r="AN207" i="21"/>
  <c r="AN206" i="21"/>
  <c r="AN205" i="21"/>
  <c r="AN204" i="21"/>
  <c r="AN203" i="21"/>
  <c r="AN202" i="21"/>
  <c r="AN201" i="21"/>
  <c r="AN200" i="21"/>
  <c r="AN199" i="21"/>
  <c r="AN198" i="21"/>
  <c r="AN197" i="21"/>
  <c r="AN196" i="21"/>
  <c r="AN195" i="21"/>
  <c r="AN194" i="21"/>
  <c r="AN193" i="21"/>
  <c r="AN192" i="21"/>
  <c r="AN191" i="21"/>
  <c r="AN190" i="21"/>
  <c r="AN189" i="21"/>
  <c r="AN188" i="21"/>
  <c r="AN187" i="21"/>
  <c r="AN186" i="21"/>
  <c r="AN185" i="21"/>
  <c r="AN184" i="21"/>
  <c r="AN183" i="21"/>
  <c r="AN182" i="21"/>
  <c r="AN181" i="21"/>
  <c r="AN180" i="21"/>
  <c r="AN179" i="21"/>
  <c r="AN178" i="21"/>
  <c r="AN177" i="21"/>
  <c r="AN176" i="21"/>
  <c r="AN175" i="21"/>
  <c r="AN174" i="21"/>
  <c r="AN173" i="21"/>
  <c r="AN172" i="21"/>
  <c r="AN171" i="21"/>
  <c r="AN170" i="21"/>
  <c r="AN169" i="21"/>
  <c r="AN168" i="21"/>
  <c r="AN167" i="21"/>
  <c r="AN166" i="21"/>
  <c r="AN165" i="21"/>
  <c r="AN164" i="21"/>
  <c r="AN163" i="21"/>
  <c r="AN162" i="21"/>
  <c r="AN161" i="21"/>
  <c r="AN160" i="21"/>
  <c r="AN159" i="21"/>
  <c r="AN158" i="21"/>
  <c r="AN157" i="21"/>
  <c r="AN156" i="21"/>
  <c r="AN155" i="21"/>
  <c r="AN154" i="21"/>
  <c r="AN153" i="21"/>
  <c r="AN152" i="21"/>
  <c r="AN151" i="21"/>
  <c r="AN150" i="21"/>
  <c r="AN149" i="21"/>
  <c r="AN148" i="21"/>
  <c r="AN147" i="21"/>
  <c r="AN146" i="21"/>
  <c r="AN145" i="21"/>
  <c r="AN144" i="21"/>
  <c r="AN143" i="21"/>
  <c r="AN142" i="21"/>
  <c r="AN141" i="21"/>
  <c r="AN140" i="21"/>
  <c r="AN139" i="21"/>
  <c r="AN138" i="21"/>
  <c r="AN137" i="21"/>
  <c r="AN136" i="21"/>
  <c r="AN135" i="21"/>
  <c r="AN134" i="21"/>
  <c r="AN133" i="21"/>
  <c r="AN132" i="21"/>
  <c r="AN131" i="21"/>
  <c r="AN130" i="21"/>
  <c r="AN129" i="21"/>
  <c r="AN128" i="21"/>
  <c r="AN127" i="21"/>
  <c r="AN126" i="21"/>
  <c r="AN125" i="21"/>
  <c r="AN124" i="21"/>
  <c r="AN123" i="21"/>
  <c r="AN122" i="21"/>
  <c r="AN121" i="21"/>
  <c r="AN120" i="21"/>
  <c r="AN119" i="21"/>
  <c r="AN118" i="21"/>
  <c r="AN117" i="21"/>
  <c r="AN116" i="21"/>
  <c r="AN115" i="21"/>
  <c r="AN114" i="21"/>
  <c r="AN113" i="21"/>
  <c r="AN112" i="21"/>
  <c r="AN111" i="21"/>
  <c r="AN110" i="21"/>
  <c r="AN109" i="21"/>
  <c r="AN108" i="21"/>
  <c r="AN107" i="21"/>
  <c r="AN106" i="21"/>
  <c r="AN105" i="21"/>
  <c r="AN104" i="21"/>
  <c r="AN103" i="21"/>
  <c r="AN102" i="21"/>
  <c r="AN101" i="21"/>
  <c r="AN100" i="21"/>
  <c r="AN99" i="21"/>
  <c r="AN98" i="21"/>
  <c r="AN97" i="21"/>
  <c r="AN96" i="21"/>
  <c r="AN95" i="21"/>
  <c r="AN94" i="21"/>
  <c r="AN93" i="21"/>
  <c r="AN92" i="21"/>
  <c r="AN91" i="21"/>
  <c r="AN90" i="21"/>
  <c r="AN89" i="21"/>
  <c r="AN88" i="21"/>
  <c r="AN87" i="21"/>
  <c r="AN86" i="21"/>
  <c r="AN85" i="21"/>
  <c r="AN84" i="21"/>
  <c r="AN83" i="21"/>
  <c r="AN82" i="21"/>
  <c r="AN81" i="21"/>
  <c r="AN80" i="21"/>
  <c r="AN79" i="21"/>
  <c r="AN78" i="21"/>
  <c r="AN77" i="21"/>
  <c r="AN76" i="21"/>
  <c r="AN75" i="21"/>
  <c r="AN74" i="21"/>
  <c r="AN73" i="21"/>
  <c r="AN72" i="21"/>
  <c r="AN71" i="21"/>
  <c r="AN70" i="21"/>
  <c r="AN69" i="21"/>
  <c r="AN68" i="21"/>
  <c r="AN67" i="21"/>
  <c r="AN66" i="21"/>
  <c r="AN65" i="21"/>
  <c r="AN64" i="21"/>
  <c r="AN63" i="21"/>
  <c r="AN62" i="21"/>
  <c r="AN61" i="21"/>
  <c r="AN60" i="21"/>
  <c r="AN59" i="21"/>
  <c r="AN58" i="21"/>
  <c r="AN57" i="21"/>
  <c r="AN56" i="21"/>
  <c r="AN55" i="21"/>
  <c r="AN54" i="21"/>
  <c r="AN53" i="21"/>
  <c r="AN52" i="21"/>
  <c r="AN51" i="21"/>
  <c r="AN50" i="21"/>
  <c r="AN49" i="21"/>
  <c r="AN48" i="21"/>
  <c r="AN47" i="21"/>
  <c r="AN46" i="21"/>
  <c r="AN45" i="21"/>
  <c r="AN44" i="21"/>
  <c r="AN43" i="21"/>
  <c r="AN42" i="21"/>
  <c r="AN41" i="21"/>
  <c r="AN40" i="21"/>
  <c r="AN39" i="21"/>
  <c r="AN38" i="21"/>
  <c r="AN37" i="21"/>
  <c r="AN36" i="21"/>
  <c r="AN35" i="21"/>
  <c r="AN34" i="21"/>
  <c r="AN33" i="21"/>
  <c r="AN32" i="21"/>
  <c r="AN31" i="21"/>
  <c r="AN30" i="21"/>
  <c r="AN29" i="21"/>
  <c r="AN28" i="21"/>
  <c r="AN27" i="21"/>
  <c r="AN26" i="21"/>
  <c r="AN25" i="21"/>
  <c r="AN24" i="21"/>
  <c r="AN23" i="21"/>
  <c r="AN22" i="21"/>
  <c r="AN21" i="21"/>
  <c r="AN20" i="21"/>
  <c r="AN19" i="21"/>
  <c r="AN18" i="21"/>
  <c r="AN17" i="21"/>
  <c r="AN16" i="21"/>
  <c r="AN15" i="21"/>
  <c r="AN14" i="21"/>
  <c r="AN13" i="21"/>
  <c r="AN12" i="21"/>
  <c r="AN11" i="21"/>
  <c r="AN10" i="21"/>
  <c r="AN9" i="21"/>
  <c r="AN8" i="21"/>
  <c r="AN7" i="21"/>
  <c r="AN6" i="21"/>
  <c r="AN5" i="21"/>
  <c r="AN4" i="21"/>
  <c r="AN3" i="21"/>
  <c r="AN2" i="21"/>
  <c r="AM1202" i="21"/>
  <c r="AM1200" i="21"/>
  <c r="AM1199" i="21"/>
  <c r="AM1198" i="21"/>
  <c r="AM1197" i="21"/>
  <c r="AM1196" i="21"/>
  <c r="AM1195" i="21"/>
  <c r="AM1194" i="21"/>
  <c r="AM1193" i="21"/>
  <c r="AM1192" i="21"/>
  <c r="AM1191" i="21"/>
  <c r="AM1190" i="21"/>
  <c r="AM1189" i="21"/>
  <c r="AM1188" i="21"/>
  <c r="AM1186" i="21"/>
  <c r="AM1185" i="21"/>
  <c r="AM1184" i="21"/>
  <c r="AM1183" i="21"/>
  <c r="AM1182" i="21"/>
  <c r="AM1180" i="21"/>
  <c r="AM1179" i="21"/>
  <c r="AM1178" i="21"/>
  <c r="AM1177" i="21"/>
  <c r="AM1176" i="21"/>
  <c r="AM1175" i="21"/>
  <c r="AM1174" i="21"/>
  <c r="AM1173" i="21"/>
  <c r="AM1172" i="21"/>
  <c r="AM1171" i="21"/>
  <c r="AM1170" i="21"/>
  <c r="AM1169" i="21"/>
  <c r="AM1168" i="21"/>
  <c r="AM1167" i="21"/>
  <c r="AM1166" i="21"/>
  <c r="AM1165" i="21"/>
  <c r="AM1164" i="21"/>
  <c r="AM1163" i="21"/>
  <c r="AM1162" i="21"/>
  <c r="AM1161" i="21"/>
  <c r="AM1160" i="21"/>
  <c r="AM1159" i="21"/>
  <c r="AM1158" i="21"/>
  <c r="AM1157" i="21"/>
  <c r="AM1156" i="21"/>
  <c r="AM1155" i="21"/>
  <c r="AM1154" i="21"/>
  <c r="AM1153" i="21"/>
  <c r="AM1152" i="21"/>
  <c r="AM1151" i="21"/>
  <c r="AM1150" i="21"/>
  <c r="AM1149" i="21"/>
  <c r="AM1148" i="21"/>
  <c r="AM1147" i="21"/>
  <c r="AM1146" i="21"/>
  <c r="AM1145" i="21"/>
  <c r="AM1144" i="21"/>
  <c r="AM1143" i="21"/>
  <c r="AM1142" i="21"/>
  <c r="AM1141" i="21"/>
  <c r="AM1140" i="21"/>
  <c r="AM1139" i="21"/>
  <c r="AM1138" i="21"/>
  <c r="AM1137" i="21"/>
  <c r="AM1136" i="21"/>
  <c r="AM1135" i="21"/>
  <c r="AM1134" i="21"/>
  <c r="AM1133" i="21"/>
  <c r="AM1132" i="21"/>
  <c r="AM1131" i="21"/>
  <c r="AM1130" i="21"/>
  <c r="AM1129" i="21"/>
  <c r="AM1128" i="21"/>
  <c r="AM1127" i="21"/>
  <c r="AM1126" i="21"/>
  <c r="AM1125" i="21"/>
  <c r="AM1124" i="21"/>
  <c r="AM1123" i="21"/>
  <c r="AM1122" i="21"/>
  <c r="AM1121" i="21"/>
  <c r="AM1120" i="21"/>
  <c r="AM1119" i="21"/>
  <c r="AM1118" i="21"/>
  <c r="AM1117" i="21"/>
  <c r="AM1116" i="21"/>
  <c r="AM1115" i="21"/>
  <c r="AM1114" i="21"/>
  <c r="AM1113" i="21"/>
  <c r="AM1112" i="21"/>
  <c r="AM1111" i="21"/>
  <c r="AM1110" i="21"/>
  <c r="AM1105" i="21"/>
  <c r="AM1104" i="21"/>
  <c r="AM1103" i="21"/>
  <c r="AM1102" i="21"/>
  <c r="AM1101" i="21"/>
  <c r="AM1100" i="21"/>
  <c r="AM1099" i="21"/>
  <c r="AM1098" i="21"/>
  <c r="AM1097" i="21"/>
  <c r="AM1096" i="21"/>
  <c r="AM1095" i="21"/>
  <c r="AM1094" i="21"/>
  <c r="AM1093" i="21"/>
  <c r="AM1092" i="21"/>
  <c r="AM1091" i="21"/>
  <c r="AM1090" i="21"/>
  <c r="AM1089" i="21"/>
  <c r="AM1088" i="21"/>
  <c r="AM1087" i="21"/>
  <c r="AM1086" i="21"/>
  <c r="AM1085" i="21"/>
  <c r="AM1084" i="21"/>
  <c r="AM1083" i="21"/>
  <c r="AM1082" i="21"/>
  <c r="AM1081" i="21"/>
  <c r="AM1080" i="21"/>
  <c r="AM1079" i="21"/>
  <c r="AM1078" i="21"/>
  <c r="AM1077" i="21"/>
  <c r="AM1076" i="21"/>
  <c r="AM1075" i="21"/>
  <c r="AM1074" i="21"/>
  <c r="AM1073" i="21"/>
  <c r="AM1072" i="21"/>
  <c r="AM1071" i="21"/>
  <c r="AM1070" i="21"/>
  <c r="AM1069" i="21"/>
  <c r="AM1068" i="21"/>
  <c r="AM1067" i="21"/>
  <c r="AM1066" i="21"/>
  <c r="AM1065" i="21"/>
  <c r="AM1064" i="21"/>
  <c r="AM1063" i="21"/>
  <c r="AM1062" i="21"/>
  <c r="AM1061" i="21"/>
  <c r="AM1060" i="21"/>
  <c r="AM1059" i="21"/>
  <c r="AM1058" i="21"/>
  <c r="AM1057" i="21"/>
  <c r="AM1056" i="21"/>
  <c r="AM1055" i="21"/>
  <c r="AM1054" i="21"/>
  <c r="AM1053" i="21"/>
  <c r="AM1052" i="21"/>
  <c r="AM1051" i="21"/>
  <c r="AM1050" i="21"/>
  <c r="AM1049" i="21"/>
  <c r="AM1048" i="21"/>
  <c r="AM1047" i="21"/>
  <c r="AM1046" i="21"/>
  <c r="AM1045" i="21"/>
  <c r="AM1044" i="21"/>
  <c r="AM1043" i="21"/>
  <c r="AM1042" i="21"/>
  <c r="AM1041" i="21"/>
  <c r="AM1040" i="21"/>
  <c r="AM1039" i="21"/>
  <c r="AM1038" i="21"/>
  <c r="AM1037" i="21"/>
  <c r="AM1036" i="21"/>
  <c r="AM1035" i="21"/>
  <c r="AM1034" i="21"/>
  <c r="AM1033" i="21"/>
  <c r="AM1032" i="21"/>
  <c r="AM1031" i="21"/>
  <c r="AM1030" i="21"/>
  <c r="AM1029" i="21"/>
  <c r="AM1028" i="21"/>
  <c r="AM1027" i="21"/>
  <c r="AM1026" i="21"/>
  <c r="AM1025" i="21"/>
  <c r="AM1024" i="21"/>
  <c r="AM1023" i="21"/>
  <c r="AM1022" i="21"/>
  <c r="AM1021" i="21"/>
  <c r="AM1020" i="21"/>
  <c r="AM1019" i="21"/>
  <c r="AM1018" i="21"/>
  <c r="AM1017" i="21"/>
  <c r="AM1016" i="21"/>
  <c r="AM1015" i="21"/>
  <c r="AM1014" i="21"/>
  <c r="AM1013" i="21"/>
  <c r="AM1012" i="21"/>
  <c r="AM1011" i="21"/>
  <c r="AM1010" i="21"/>
  <c r="AM1009" i="21"/>
  <c r="AM1008" i="21"/>
  <c r="AM1007" i="21"/>
  <c r="AM1006" i="21"/>
  <c r="AM1005" i="21"/>
  <c r="AM1004" i="21"/>
  <c r="AM1003" i="21"/>
  <c r="AM1002" i="21"/>
  <c r="AM1001" i="21"/>
  <c r="AM1000" i="21"/>
  <c r="AM999" i="21"/>
  <c r="AM998" i="21"/>
  <c r="AM997" i="21"/>
  <c r="AM996" i="21"/>
  <c r="AM995" i="21"/>
  <c r="AM994" i="21"/>
  <c r="AM993" i="21"/>
  <c r="AM992" i="21"/>
  <c r="AM991" i="21"/>
  <c r="AM990" i="21"/>
  <c r="AM989" i="21"/>
  <c r="AM988" i="21"/>
  <c r="AM987" i="21"/>
  <c r="AM986" i="21"/>
  <c r="AM985" i="21"/>
  <c r="AM984" i="21"/>
  <c r="AM983" i="21"/>
  <c r="AM982" i="21"/>
  <c r="AM981" i="21"/>
  <c r="AM980" i="21"/>
  <c r="AM979" i="21"/>
  <c r="AM978" i="21"/>
  <c r="AM977" i="21"/>
  <c r="AM976" i="21"/>
  <c r="AM975" i="21"/>
  <c r="AM974" i="21"/>
  <c r="AM973" i="21"/>
  <c r="AM972" i="21"/>
  <c r="AM971" i="21"/>
  <c r="AM970" i="21"/>
  <c r="AM969" i="21"/>
  <c r="AM968" i="21"/>
  <c r="AM967" i="21"/>
  <c r="AM966" i="21"/>
  <c r="AM965" i="21"/>
  <c r="AM964" i="21"/>
  <c r="AM963" i="21"/>
  <c r="AM962" i="21"/>
  <c r="AM961" i="21"/>
  <c r="AM960" i="21"/>
  <c r="AM959" i="21"/>
  <c r="AM958" i="21"/>
  <c r="AM957" i="21"/>
  <c r="AM956" i="21"/>
  <c r="AM955" i="21"/>
  <c r="AM954" i="21"/>
  <c r="AM953" i="21"/>
  <c r="AM952" i="21"/>
  <c r="AM951" i="21"/>
  <c r="AM950" i="21"/>
  <c r="AM949" i="21"/>
  <c r="AM948" i="21"/>
  <c r="AM947" i="21"/>
  <c r="AM946" i="21"/>
  <c r="AM945" i="21"/>
  <c r="AM944" i="21"/>
  <c r="AM943" i="21"/>
  <c r="AM942" i="21"/>
  <c r="AM941" i="21"/>
  <c r="AM940" i="21"/>
  <c r="AM939" i="21"/>
  <c r="AM938" i="21"/>
  <c r="AM937" i="21"/>
  <c r="AM936" i="21"/>
  <c r="AM935" i="21"/>
  <c r="AM934" i="21"/>
  <c r="AM933" i="21"/>
  <c r="AM932" i="21"/>
  <c r="AM931" i="21"/>
  <c r="AM930" i="21"/>
  <c r="AM929" i="21"/>
  <c r="AM928" i="21"/>
  <c r="AM927" i="21"/>
  <c r="AM926" i="21"/>
  <c r="AM925" i="21"/>
  <c r="AM924" i="21"/>
  <c r="AM923" i="21"/>
  <c r="AM922" i="21"/>
  <c r="AM921" i="21"/>
  <c r="AM920" i="21"/>
  <c r="AM919" i="21"/>
  <c r="AM918" i="21"/>
  <c r="AM917" i="21"/>
  <c r="AM916" i="21"/>
  <c r="AM915" i="21"/>
  <c r="AM914" i="21"/>
  <c r="AM913" i="21"/>
  <c r="AM912" i="21"/>
  <c r="AM911" i="21"/>
  <c r="AM910" i="21"/>
  <c r="AM909" i="21"/>
  <c r="AM908" i="21"/>
  <c r="AM907" i="21"/>
  <c r="AM906" i="21"/>
  <c r="AM905" i="21"/>
  <c r="AM904" i="21"/>
  <c r="AM903" i="21"/>
  <c r="AM902" i="21"/>
  <c r="AM901" i="21"/>
  <c r="AM900" i="21"/>
  <c r="AM899" i="21"/>
  <c r="AM898" i="21"/>
  <c r="AM897" i="21"/>
  <c r="AM896" i="21"/>
  <c r="AM895" i="21"/>
  <c r="AM894" i="21"/>
  <c r="AM893" i="21"/>
  <c r="AM892" i="21"/>
  <c r="AM891" i="21"/>
  <c r="AM890" i="21"/>
  <c r="AM889" i="21"/>
  <c r="AM888" i="21"/>
  <c r="AM887" i="21"/>
  <c r="AM886" i="21"/>
  <c r="AM885" i="21"/>
  <c r="AM884" i="21"/>
  <c r="AM883" i="21"/>
  <c r="AM882" i="21"/>
  <c r="AM881" i="21"/>
  <c r="AM880" i="21"/>
  <c r="AM879" i="21"/>
  <c r="AM878" i="21"/>
  <c r="AM877" i="21"/>
  <c r="AM876" i="21"/>
  <c r="AM875" i="21"/>
  <c r="AM874" i="21"/>
  <c r="AM873" i="21"/>
  <c r="AM872" i="21"/>
  <c r="AM871" i="21"/>
  <c r="AM870" i="21"/>
  <c r="AM869" i="21"/>
  <c r="AM868" i="21"/>
  <c r="AM867" i="21"/>
  <c r="AM866" i="21"/>
  <c r="AM865" i="21"/>
  <c r="AM864" i="21"/>
  <c r="AM863" i="21"/>
  <c r="AM862" i="21"/>
  <c r="AM861" i="21"/>
  <c r="AM860" i="21"/>
  <c r="AM859" i="21"/>
  <c r="AM858" i="21"/>
  <c r="AM857" i="21"/>
  <c r="AM856" i="21"/>
  <c r="AM855" i="21"/>
  <c r="AM854" i="21"/>
  <c r="AM853" i="21"/>
  <c r="AM852" i="21"/>
  <c r="AM851" i="21"/>
  <c r="AM850" i="21"/>
  <c r="AM849" i="21"/>
  <c r="AM848" i="21"/>
  <c r="AM847" i="21"/>
  <c r="AM846" i="21"/>
  <c r="AM845" i="21"/>
  <c r="AM844" i="21"/>
  <c r="AM843" i="21"/>
  <c r="AM842" i="21"/>
  <c r="AM841" i="21"/>
  <c r="AM840" i="21"/>
  <c r="AM839" i="21"/>
  <c r="AM838" i="21"/>
  <c r="AM837" i="21"/>
  <c r="AM836" i="21"/>
  <c r="AM835" i="21"/>
  <c r="AM834" i="21"/>
  <c r="AM833" i="21"/>
  <c r="AM832" i="21"/>
  <c r="AM831" i="21"/>
  <c r="AM830" i="21"/>
  <c r="AM829" i="21"/>
  <c r="AM828" i="21"/>
  <c r="AM827" i="21"/>
  <c r="AM826" i="21"/>
  <c r="AM825" i="21"/>
  <c r="AM824" i="21"/>
  <c r="AM823" i="21"/>
  <c r="AM822" i="21"/>
  <c r="AM821" i="21"/>
  <c r="AM820" i="21"/>
  <c r="AM819" i="21"/>
  <c r="AM818" i="21"/>
  <c r="AM817" i="21"/>
  <c r="AM816" i="21"/>
  <c r="AM815" i="21"/>
  <c r="AM814" i="21"/>
  <c r="AM813" i="21"/>
  <c r="AM812" i="21"/>
  <c r="AM811" i="21"/>
  <c r="AM810" i="21"/>
  <c r="AM809" i="21"/>
  <c r="AM808" i="21"/>
  <c r="AM807" i="21"/>
  <c r="AM806" i="21"/>
  <c r="AM805" i="21"/>
  <c r="AM804" i="21"/>
  <c r="AM803" i="21"/>
  <c r="AM802" i="21"/>
  <c r="AM801" i="21"/>
  <c r="AM800" i="21"/>
  <c r="AM799" i="21"/>
  <c r="AM798" i="21"/>
  <c r="AM797" i="21"/>
  <c r="AM796" i="21"/>
  <c r="AM795" i="21"/>
  <c r="AM794" i="21"/>
  <c r="AM793" i="21"/>
  <c r="AM792" i="21"/>
  <c r="AM791" i="21"/>
  <c r="AM790" i="21"/>
  <c r="AM789" i="21"/>
  <c r="AM788" i="21"/>
  <c r="AM787" i="21"/>
  <c r="AM786" i="21"/>
  <c r="AM785" i="21"/>
  <c r="AM784" i="21"/>
  <c r="AM783" i="21"/>
  <c r="AM782" i="21"/>
  <c r="AM781" i="21"/>
  <c r="AM780" i="21"/>
  <c r="AM779" i="21"/>
  <c r="AM778" i="21"/>
  <c r="AM777" i="21"/>
  <c r="AM776" i="21"/>
  <c r="AM775" i="21"/>
  <c r="AM774" i="21"/>
  <c r="AM773" i="21"/>
  <c r="AM772" i="21"/>
  <c r="AM771" i="21"/>
  <c r="AM770" i="21"/>
  <c r="AM769" i="21"/>
  <c r="AM768" i="21"/>
  <c r="AM767" i="21"/>
  <c r="AM766" i="21"/>
  <c r="AM765" i="21"/>
  <c r="AM764" i="21"/>
  <c r="AM763" i="21"/>
  <c r="AM762" i="21"/>
  <c r="AM761" i="21"/>
  <c r="AM760" i="21"/>
  <c r="AM759" i="21"/>
  <c r="AM755" i="21"/>
  <c r="AM754" i="21"/>
  <c r="AM753" i="21"/>
  <c r="AM752" i="21"/>
  <c r="AM751" i="21"/>
  <c r="AM750" i="21"/>
  <c r="AM749" i="21"/>
  <c r="AM748" i="21"/>
  <c r="AM747" i="21"/>
  <c r="AM746" i="21"/>
  <c r="AM745" i="21"/>
  <c r="AM744" i="21"/>
  <c r="AM743" i="21"/>
  <c r="AM742" i="21"/>
  <c r="AM741" i="21"/>
  <c r="AM740" i="21"/>
  <c r="AM739" i="21"/>
  <c r="AM738" i="21"/>
  <c r="AM737" i="21"/>
  <c r="AM736" i="21"/>
  <c r="AM735" i="21"/>
  <c r="AM734" i="21"/>
  <c r="AM733" i="21"/>
  <c r="AM732" i="21"/>
  <c r="AM731" i="21"/>
  <c r="AM730" i="21"/>
  <c r="AM729" i="21"/>
  <c r="AM728" i="21"/>
  <c r="AM727" i="21"/>
  <c r="AM726" i="21"/>
  <c r="AM725" i="21"/>
  <c r="AM724" i="21"/>
  <c r="AM718" i="21"/>
  <c r="AM708" i="21"/>
  <c r="AM707" i="21"/>
  <c r="AM706" i="21"/>
  <c r="AM705" i="21"/>
  <c r="AM704" i="21"/>
  <c r="AM703" i="21"/>
  <c r="AM702" i="21"/>
  <c r="AM701" i="21"/>
  <c r="AM700" i="21"/>
  <c r="AM699" i="21"/>
  <c r="AM698" i="21"/>
  <c r="AM697" i="21"/>
  <c r="AM696" i="21"/>
  <c r="AM695" i="21"/>
  <c r="AM694" i="21"/>
  <c r="AM693" i="21"/>
  <c r="AM692" i="21"/>
  <c r="AM691" i="21"/>
  <c r="AM690" i="21"/>
  <c r="AM689" i="21"/>
  <c r="AM688" i="21"/>
  <c r="AM687" i="21"/>
  <c r="AM686" i="21"/>
  <c r="AM685" i="21"/>
  <c r="AM684" i="21"/>
  <c r="AM683" i="21"/>
  <c r="AM682" i="21"/>
  <c r="AM681" i="21"/>
  <c r="AM680" i="21"/>
  <c r="AM679" i="21"/>
  <c r="AM678" i="21"/>
  <c r="AM677" i="21"/>
  <c r="AM676" i="21"/>
  <c r="AM675" i="21"/>
  <c r="AM674" i="21"/>
  <c r="AM673" i="21"/>
  <c r="AM672" i="21"/>
  <c r="AM671" i="21"/>
  <c r="AM670" i="21"/>
  <c r="AM669" i="21"/>
  <c r="AM668" i="21"/>
  <c r="AM667" i="21"/>
  <c r="AM666" i="21"/>
  <c r="AM665" i="21"/>
  <c r="AM664" i="21"/>
  <c r="AM663" i="21"/>
  <c r="AM662" i="21"/>
  <c r="AM661" i="21"/>
  <c r="AM660" i="21"/>
  <c r="AM659" i="21"/>
  <c r="AM658" i="21"/>
  <c r="AM657" i="21"/>
  <c r="AM656" i="21"/>
  <c r="AM655" i="21"/>
  <c r="AM654" i="21"/>
  <c r="AM653" i="21"/>
  <c r="AM652" i="21"/>
  <c r="AM651" i="21"/>
  <c r="AM650" i="21"/>
  <c r="AM649" i="21"/>
  <c r="AM648" i="21"/>
  <c r="AM647" i="21"/>
  <c r="AM646" i="21"/>
  <c r="AM645" i="21"/>
  <c r="AM644" i="21"/>
  <c r="AM643" i="21"/>
  <c r="AM642" i="21"/>
  <c r="AM641" i="21"/>
  <c r="AM640" i="21"/>
  <c r="AM639" i="21"/>
  <c r="AM638" i="21"/>
  <c r="AM637" i="21"/>
  <c r="AM636" i="21"/>
  <c r="AM635" i="21"/>
  <c r="AM634" i="21"/>
  <c r="AM633" i="21"/>
  <c r="AM632" i="21"/>
  <c r="AM631" i="21"/>
  <c r="AM630" i="21"/>
  <c r="AM629" i="21"/>
  <c r="AM628" i="21"/>
  <c r="AM627" i="21"/>
  <c r="AM626" i="21"/>
  <c r="AM625" i="21"/>
  <c r="AM624" i="21"/>
  <c r="AM623" i="21"/>
  <c r="AM622" i="21"/>
  <c r="AM621" i="21"/>
  <c r="AM620" i="21"/>
  <c r="AM619" i="21"/>
  <c r="AM618" i="21"/>
  <c r="AM617" i="21"/>
  <c r="AM616" i="21"/>
  <c r="AM615" i="21"/>
  <c r="AM614" i="21"/>
  <c r="AM613" i="21"/>
  <c r="AM612" i="21"/>
  <c r="AM611" i="21"/>
  <c r="AM610" i="21"/>
  <c r="AM609" i="21"/>
  <c r="AM608" i="21"/>
  <c r="AM607" i="21"/>
  <c r="AM606" i="21"/>
  <c r="AM605" i="21"/>
  <c r="AM604" i="21"/>
  <c r="AM603" i="21"/>
  <c r="AM602" i="21"/>
  <c r="AM601" i="21"/>
  <c r="AM600" i="21"/>
  <c r="AM599" i="21"/>
  <c r="AM598" i="21"/>
  <c r="AM597" i="21"/>
  <c r="AM596" i="21"/>
  <c r="AM595" i="21"/>
  <c r="AM594" i="21"/>
  <c r="AM593" i="21"/>
  <c r="AM592" i="21"/>
  <c r="AM591" i="21"/>
  <c r="AM590" i="21"/>
  <c r="AM589" i="21"/>
  <c r="AM588" i="21"/>
  <c r="AM587" i="21"/>
  <c r="AM586" i="21"/>
  <c r="AM585" i="21"/>
  <c r="AM584" i="21"/>
  <c r="AM583" i="21"/>
  <c r="AM582" i="21"/>
  <c r="AM581" i="21"/>
  <c r="AM580" i="21"/>
  <c r="AM579" i="21"/>
  <c r="AM578" i="21"/>
  <c r="AM577" i="21"/>
  <c r="AM576" i="21"/>
  <c r="AM575" i="21"/>
  <c r="AM574" i="21"/>
  <c r="AM573" i="21"/>
  <c r="AM572" i="21"/>
  <c r="AM571" i="21"/>
  <c r="AM570" i="21"/>
  <c r="AM569" i="21"/>
  <c r="AM568" i="21"/>
  <c r="AM567" i="21"/>
  <c r="AM566" i="21"/>
  <c r="AM565" i="21"/>
  <c r="AM564" i="21"/>
  <c r="AM563" i="21"/>
  <c r="AM562" i="21"/>
  <c r="AM561" i="21"/>
  <c r="AM560" i="21"/>
  <c r="AM559" i="21"/>
  <c r="AM558" i="21"/>
  <c r="AM557" i="21"/>
  <c r="AM556" i="21"/>
  <c r="AM555" i="21"/>
  <c r="AM554" i="21"/>
  <c r="AM553" i="21"/>
  <c r="AM552" i="21"/>
  <c r="AM551" i="21"/>
  <c r="AM550" i="21"/>
  <c r="AM549" i="21"/>
  <c r="AM548" i="21"/>
  <c r="AM547" i="21"/>
  <c r="AM546" i="21"/>
  <c r="AM545" i="21"/>
  <c r="AM544" i="21"/>
  <c r="AM543" i="21"/>
  <c r="AM542" i="21"/>
  <c r="AM541" i="21"/>
  <c r="AM540" i="21"/>
  <c r="AM539" i="21"/>
  <c r="AM538" i="21"/>
  <c r="AM537" i="21"/>
  <c r="AM536" i="21"/>
  <c r="AM535" i="21"/>
  <c r="AM534" i="21"/>
  <c r="AM533" i="21"/>
  <c r="AM532" i="21"/>
  <c r="AM531" i="21"/>
  <c r="AM530" i="21"/>
  <c r="AM529" i="21"/>
  <c r="AM528" i="21"/>
  <c r="AM527" i="21"/>
  <c r="AM526" i="21"/>
  <c r="AM525" i="21"/>
  <c r="AM524" i="21"/>
  <c r="AM523" i="21"/>
  <c r="AM522" i="21"/>
  <c r="AM521" i="21"/>
  <c r="AM520" i="21"/>
  <c r="AM519" i="21"/>
  <c r="AM518" i="21"/>
  <c r="AM517" i="21"/>
  <c r="AM516" i="21"/>
  <c r="AM515" i="21"/>
  <c r="AM514" i="21"/>
  <c r="AM513" i="21"/>
  <c r="AM512" i="21"/>
  <c r="AM511" i="21"/>
  <c r="AM510" i="21"/>
  <c r="AM509" i="21"/>
  <c r="AM508" i="21"/>
  <c r="AM507" i="21"/>
  <c r="AM506" i="21"/>
  <c r="AM505" i="21"/>
  <c r="AM504" i="21"/>
  <c r="AM503" i="21"/>
  <c r="AM502" i="21"/>
  <c r="AM501" i="21"/>
  <c r="AM500" i="21"/>
  <c r="AM499" i="21"/>
  <c r="AM498" i="21"/>
  <c r="AM497" i="21"/>
  <c r="AM496" i="21"/>
  <c r="AM495" i="21"/>
  <c r="AM494" i="21"/>
  <c r="AM493" i="21"/>
  <c r="AM492" i="21"/>
  <c r="AM491" i="21"/>
  <c r="AM490" i="21"/>
  <c r="AM489" i="21"/>
  <c r="AM488" i="21"/>
  <c r="AM487" i="21"/>
  <c r="AM486" i="21"/>
  <c r="AM485" i="21"/>
  <c r="AM484" i="21"/>
  <c r="AM483" i="21"/>
  <c r="AM482" i="21"/>
  <c r="AM481" i="21"/>
  <c r="AM480" i="21"/>
  <c r="AM479" i="21"/>
  <c r="AM478" i="21"/>
  <c r="AM477" i="21"/>
  <c r="AM476" i="21"/>
  <c r="AM475" i="21"/>
  <c r="AM474" i="21"/>
  <c r="AM473" i="21"/>
  <c r="AM472" i="21"/>
  <c r="AM471" i="21"/>
  <c r="AM470" i="21"/>
  <c r="AM469" i="21"/>
  <c r="AM468" i="21"/>
  <c r="AM467" i="21"/>
  <c r="AM466" i="21"/>
  <c r="AM465" i="21"/>
  <c r="AM464" i="21"/>
  <c r="AM463" i="21"/>
  <c r="AM462" i="21"/>
  <c r="AM461" i="21"/>
  <c r="AM460" i="21"/>
  <c r="AM459" i="21"/>
  <c r="AM458" i="21"/>
  <c r="AM457" i="21"/>
  <c r="AM456" i="21"/>
  <c r="AM455" i="21"/>
  <c r="AM454" i="21"/>
  <c r="AM453" i="21"/>
  <c r="AM452" i="21"/>
  <c r="AM451" i="21"/>
  <c r="AM450" i="21"/>
  <c r="AM449" i="21"/>
  <c r="AM448" i="21"/>
  <c r="AM447" i="21"/>
  <c r="AM446" i="21"/>
  <c r="AM445" i="21"/>
  <c r="AM444" i="21"/>
  <c r="AM443" i="21"/>
  <c r="AM442" i="21"/>
  <c r="AM441" i="21"/>
  <c r="AM440" i="21"/>
  <c r="AM439" i="21"/>
  <c r="AM438" i="21"/>
  <c r="AM437" i="21"/>
  <c r="AM436" i="21"/>
  <c r="AM435" i="21"/>
  <c r="AM434" i="21"/>
  <c r="AM433" i="21"/>
  <c r="AM432" i="21"/>
  <c r="AM431" i="21"/>
  <c r="AM430" i="21"/>
  <c r="AM429" i="21"/>
  <c r="AM428" i="21"/>
  <c r="AM427" i="21"/>
  <c r="AM426" i="21"/>
  <c r="AM425" i="21"/>
  <c r="AM424" i="21"/>
  <c r="AM423" i="21"/>
  <c r="AM422" i="21"/>
  <c r="AM421" i="21"/>
  <c r="AM420" i="21"/>
  <c r="AM419" i="21"/>
  <c r="AM418" i="21"/>
  <c r="AM417" i="21"/>
  <c r="AM416" i="21"/>
  <c r="AM415" i="21"/>
  <c r="AM414" i="21"/>
  <c r="AM413" i="21"/>
  <c r="AM412" i="21"/>
  <c r="AM411" i="21"/>
  <c r="AM410" i="21"/>
  <c r="AM409" i="21"/>
  <c r="AM408" i="21"/>
  <c r="AM407" i="21"/>
  <c r="AM406" i="21"/>
  <c r="AM405" i="21"/>
  <c r="AM404" i="21"/>
  <c r="AM403" i="21"/>
  <c r="AM402" i="21"/>
  <c r="AM401" i="21"/>
  <c r="AM400" i="21"/>
  <c r="AM399" i="21"/>
  <c r="AM398" i="21"/>
  <c r="AM397" i="21"/>
  <c r="AM396" i="21"/>
  <c r="AM395" i="21"/>
  <c r="AM394" i="21"/>
  <c r="AM393" i="21"/>
  <c r="AM392" i="21"/>
  <c r="AM391" i="21"/>
  <c r="AM390" i="21"/>
  <c r="AM389" i="21"/>
  <c r="AM388" i="21"/>
  <c r="AM387" i="21"/>
  <c r="AM386" i="21"/>
  <c r="AM385" i="21"/>
  <c r="AM384" i="21"/>
  <c r="AM383" i="21"/>
  <c r="AM382" i="21"/>
  <c r="AM381" i="21"/>
  <c r="AM380" i="21"/>
  <c r="AM379" i="21"/>
  <c r="AM378" i="21"/>
  <c r="AM377" i="21"/>
  <c r="AM376" i="21"/>
  <c r="AM375" i="21"/>
  <c r="AM374" i="21"/>
  <c r="AM373" i="21"/>
  <c r="AM372" i="21"/>
  <c r="AM371" i="21"/>
  <c r="AM370" i="21"/>
  <c r="AM369" i="21"/>
  <c r="AM368" i="21"/>
  <c r="AM367" i="21"/>
  <c r="AM366" i="21"/>
  <c r="AM365" i="21"/>
  <c r="AM364" i="21"/>
  <c r="AM363" i="21"/>
  <c r="AM362" i="21"/>
  <c r="AM361" i="21"/>
  <c r="AM360" i="21"/>
  <c r="AM359" i="21"/>
  <c r="AM358" i="21"/>
  <c r="AM357" i="21"/>
  <c r="AM356" i="21"/>
  <c r="AM355" i="21"/>
  <c r="AM354" i="21"/>
  <c r="AM353" i="21"/>
  <c r="AM352" i="21"/>
  <c r="AM351" i="21"/>
  <c r="AM350" i="21"/>
  <c r="AM349" i="21"/>
  <c r="AM348" i="21"/>
  <c r="AM347" i="21"/>
  <c r="AM346" i="21"/>
  <c r="AM345" i="21"/>
  <c r="AM344" i="21"/>
  <c r="AM343" i="21"/>
  <c r="AM342" i="21"/>
  <c r="AM341" i="21"/>
  <c r="AM340" i="21"/>
  <c r="AM339" i="21"/>
  <c r="AM338" i="21"/>
  <c r="AM337" i="21"/>
  <c r="AM336" i="21"/>
  <c r="AM335" i="21"/>
  <c r="AM334" i="21"/>
  <c r="AM333" i="21"/>
  <c r="AM332" i="21"/>
  <c r="AM331" i="21"/>
  <c r="AM330" i="21"/>
  <c r="AM329" i="21"/>
  <c r="AM328" i="21"/>
  <c r="AM327" i="21"/>
  <c r="AM326" i="21"/>
  <c r="AM325" i="21"/>
  <c r="AM324" i="21"/>
  <c r="AM323" i="21"/>
  <c r="AM322" i="21"/>
  <c r="AM321" i="21"/>
  <c r="AM320" i="21"/>
  <c r="AM319" i="21"/>
  <c r="AM318" i="21"/>
  <c r="AM317" i="21"/>
  <c r="AM316" i="21"/>
  <c r="AM315" i="21"/>
  <c r="AM314" i="21"/>
  <c r="AM313" i="21"/>
  <c r="AM312" i="21"/>
  <c r="AM311" i="21"/>
  <c r="AM310" i="21"/>
  <c r="AM309" i="21"/>
  <c r="AM308" i="21"/>
  <c r="AM307" i="21"/>
  <c r="AM306" i="21"/>
  <c r="AM305" i="21"/>
  <c r="AM304" i="21"/>
  <c r="AM303" i="21"/>
  <c r="AM302" i="21"/>
  <c r="AM301" i="21"/>
  <c r="AM300" i="21"/>
  <c r="AM299" i="21"/>
  <c r="AM298" i="21"/>
  <c r="AM297" i="21"/>
  <c r="AM296" i="21"/>
  <c r="AM295" i="21"/>
  <c r="AM294" i="21"/>
  <c r="AM293" i="21"/>
  <c r="AM292" i="21"/>
  <c r="AM291" i="21"/>
  <c r="AM285" i="21"/>
  <c r="AM284" i="21"/>
  <c r="AM283" i="21"/>
  <c r="AM282" i="21"/>
  <c r="AM281" i="21"/>
  <c r="AM280" i="21"/>
  <c r="AM279" i="21"/>
  <c r="AM278" i="21"/>
  <c r="AM277" i="21"/>
  <c r="AM276" i="21"/>
  <c r="AM275" i="21"/>
  <c r="AM274" i="21"/>
  <c r="AM273" i="21"/>
  <c r="AM272" i="21"/>
  <c r="AM271" i="21"/>
  <c r="AM270" i="21"/>
  <c r="AM269" i="21"/>
  <c r="AM268" i="21"/>
  <c r="AM267" i="21"/>
  <c r="AM266" i="21"/>
  <c r="AM265" i="21"/>
  <c r="AM264" i="21"/>
  <c r="AM263" i="21"/>
  <c r="AM262" i="21"/>
  <c r="AM259" i="21"/>
  <c r="AM258" i="21"/>
  <c r="AM257" i="21"/>
  <c r="AM256" i="21"/>
  <c r="AM255" i="21"/>
  <c r="AM254" i="21"/>
  <c r="AM253" i="21"/>
  <c r="AM252" i="21"/>
  <c r="AM251" i="21"/>
  <c r="AM250" i="21"/>
  <c r="AM249" i="21"/>
  <c r="AM248" i="21"/>
  <c r="AM247" i="21"/>
  <c r="AM246" i="21"/>
  <c r="AM245" i="21"/>
  <c r="AM244" i="21"/>
  <c r="AM243" i="21"/>
  <c r="AM242" i="21"/>
  <c r="AM241" i="21"/>
  <c r="AM240" i="21"/>
  <c r="AM239" i="21"/>
  <c r="AM238" i="21"/>
  <c r="AM237" i="21"/>
  <c r="AM236" i="21"/>
  <c r="AM233" i="21"/>
  <c r="AM232" i="21"/>
  <c r="AM231" i="21"/>
  <c r="AM230" i="21"/>
  <c r="AM229" i="21"/>
  <c r="AM228" i="21"/>
  <c r="AM227" i="21"/>
  <c r="AM226" i="21"/>
  <c r="AM225" i="21"/>
  <c r="AM224" i="21"/>
  <c r="AM223" i="21"/>
  <c r="AM222" i="21"/>
  <c r="AM221" i="21"/>
  <c r="AM220" i="21"/>
  <c r="AM219" i="21"/>
  <c r="AM218" i="21"/>
  <c r="AM217" i="21"/>
  <c r="AM216" i="21"/>
  <c r="AM215" i="21"/>
  <c r="AM214" i="21"/>
  <c r="AM213" i="21"/>
  <c r="AM212" i="21"/>
  <c r="AM211" i="21"/>
  <c r="AM210" i="21"/>
  <c r="AM209" i="21"/>
  <c r="AM208" i="21"/>
  <c r="AM207" i="21"/>
  <c r="AM206" i="21"/>
  <c r="AM205" i="21"/>
  <c r="AM204" i="21"/>
  <c r="AM203" i="21"/>
  <c r="AM202" i="21"/>
  <c r="AM201" i="21"/>
  <c r="AM200" i="21"/>
  <c r="AM199" i="21"/>
  <c r="AM198" i="21"/>
  <c r="AM197" i="21"/>
  <c r="AM196" i="21"/>
  <c r="AM195" i="21"/>
  <c r="AM194" i="21"/>
  <c r="AM193" i="21"/>
  <c r="AM192" i="21"/>
  <c r="AM191" i="21"/>
  <c r="AM190" i="21"/>
  <c r="AM189" i="21"/>
  <c r="AM188" i="21"/>
  <c r="AM187" i="21"/>
  <c r="AM186" i="21"/>
  <c r="AM185" i="21"/>
  <c r="AM184" i="21"/>
  <c r="AM183" i="21"/>
  <c r="AM182" i="21"/>
  <c r="AM181" i="21"/>
  <c r="AM180" i="21"/>
  <c r="AM179" i="21"/>
  <c r="AM178" i="21"/>
  <c r="AM177" i="21"/>
  <c r="AM176" i="21"/>
  <c r="AM175" i="21"/>
  <c r="AM174" i="21"/>
  <c r="AM173" i="21"/>
  <c r="AM172" i="21"/>
  <c r="AM171" i="21"/>
  <c r="AM170" i="21"/>
  <c r="AM169" i="21"/>
  <c r="AM168" i="21"/>
  <c r="AM167" i="21"/>
  <c r="AM166" i="21"/>
  <c r="AM165" i="21"/>
  <c r="AM164" i="21"/>
  <c r="AM163" i="21"/>
  <c r="AM162" i="21"/>
  <c r="AM161" i="21"/>
  <c r="AM160" i="21"/>
  <c r="AM159" i="21"/>
  <c r="AM158" i="21"/>
  <c r="AM157" i="21"/>
  <c r="AM156" i="21"/>
  <c r="AM155" i="21"/>
  <c r="AM154" i="21"/>
  <c r="AM153" i="21"/>
  <c r="AM152" i="21"/>
  <c r="AM151" i="21"/>
  <c r="AM150" i="21"/>
  <c r="AM149" i="21"/>
  <c r="AM148" i="21"/>
  <c r="AM147" i="21"/>
  <c r="AM146" i="21"/>
  <c r="AM145" i="21"/>
  <c r="AM144" i="21"/>
  <c r="AM143" i="21"/>
  <c r="AM142" i="21"/>
  <c r="AM141" i="21"/>
  <c r="AM140" i="21"/>
  <c r="AM139" i="21"/>
  <c r="AM138" i="21"/>
  <c r="AM137" i="21"/>
  <c r="AM136" i="21"/>
  <c r="AM135" i="21"/>
  <c r="AM134" i="21"/>
  <c r="AM133" i="21"/>
  <c r="AM132" i="21"/>
  <c r="AM131" i="21"/>
  <c r="AM130" i="21"/>
  <c r="AM129" i="21"/>
  <c r="AM128" i="21"/>
  <c r="AM127" i="21"/>
  <c r="AM126" i="21"/>
  <c r="AM125" i="21"/>
  <c r="AM124" i="21"/>
  <c r="AM123" i="21"/>
  <c r="AM122" i="21"/>
  <c r="AM121" i="21"/>
  <c r="AM120" i="21"/>
  <c r="AM84" i="21"/>
  <c r="AM83" i="21"/>
  <c r="AM82" i="21"/>
  <c r="AM81" i="21"/>
  <c r="AM80" i="21"/>
  <c r="AM79" i="21"/>
  <c r="AM78" i="21"/>
  <c r="AM77" i="21"/>
  <c r="AM76" i="21"/>
  <c r="AM75" i="21"/>
  <c r="AM74" i="21"/>
  <c r="AM73" i="21"/>
  <c r="AM72" i="21"/>
  <c r="AM71" i="21"/>
  <c r="AM70" i="21"/>
  <c r="AM69" i="21"/>
  <c r="AM68" i="21"/>
  <c r="AM67" i="21"/>
  <c r="AM66" i="21"/>
  <c r="AM65" i="21"/>
  <c r="AM64" i="21"/>
  <c r="AM63" i="21"/>
  <c r="AM62" i="21"/>
  <c r="AM61" i="21"/>
  <c r="AM60" i="21"/>
  <c r="AM59" i="21"/>
  <c r="AM58" i="21"/>
  <c r="AM57" i="21"/>
  <c r="AM56" i="21"/>
  <c r="AM55" i="21"/>
  <c r="AM54" i="21"/>
  <c r="AM53" i="21"/>
  <c r="AM52" i="21"/>
  <c r="AM51" i="21"/>
  <c r="AM50" i="21"/>
  <c r="AM48" i="21"/>
  <c r="AM47" i="21"/>
  <c r="AM46" i="21"/>
  <c r="AM45" i="21"/>
  <c r="AM44" i="21"/>
  <c r="AM43" i="21"/>
  <c r="AM40" i="21"/>
  <c r="AM39" i="21"/>
  <c r="AM38" i="21"/>
  <c r="AM36" i="21"/>
  <c r="AM35" i="21"/>
  <c r="AM34" i="21"/>
  <c r="AM30" i="21"/>
  <c r="AM29" i="21"/>
  <c r="AM28" i="21"/>
  <c r="AM27" i="21"/>
  <c r="AM26" i="21"/>
  <c r="AM25" i="21"/>
  <c r="AM23" i="21"/>
  <c r="AM22" i="21"/>
  <c r="AM21" i="21"/>
  <c r="AM20" i="21"/>
  <c r="AM19" i="21"/>
  <c r="AM18" i="21"/>
  <c r="AM17" i="21"/>
  <c r="AM16" i="21"/>
  <c r="AM15" i="21"/>
  <c r="AM14" i="21"/>
  <c r="AM13" i="21"/>
  <c r="AM12" i="21"/>
  <c r="AM11" i="21"/>
  <c r="AM10" i="21"/>
  <c r="AM9" i="21"/>
  <c r="AM8" i="21"/>
  <c r="AM7" i="21"/>
  <c r="AM3" i="21"/>
  <c r="AM2" i="21"/>
  <c r="AP5" i="21"/>
  <c r="AP6" i="21"/>
  <c r="AP7" i="21"/>
  <c r="AP8" i="21"/>
  <c r="AP9" i="21"/>
  <c r="AP10" i="21"/>
  <c r="AP11" i="21"/>
  <c r="AP12" i="21"/>
  <c r="AP13" i="21"/>
  <c r="AP14" i="21"/>
  <c r="AP15" i="21"/>
  <c r="AP16" i="21"/>
  <c r="AP17" i="21"/>
  <c r="AP18" i="21"/>
  <c r="AP19" i="21"/>
  <c r="AP20" i="21"/>
  <c r="AP21" i="21"/>
  <c r="AP22" i="21"/>
  <c r="AP23" i="21"/>
  <c r="AP24" i="21"/>
  <c r="AP25" i="21"/>
  <c r="AP26" i="21"/>
  <c r="AP27" i="21"/>
  <c r="AP28" i="21"/>
  <c r="AP29" i="21"/>
  <c r="AP30" i="21"/>
  <c r="AP31" i="21"/>
  <c r="AP32" i="21"/>
  <c r="AP33" i="21"/>
  <c r="AP34" i="21"/>
  <c r="AP35" i="21"/>
  <c r="AP36" i="21"/>
  <c r="AP37" i="21"/>
  <c r="AP39" i="21"/>
  <c r="AP40" i="21"/>
  <c r="AP41" i="21"/>
  <c r="AP42" i="21"/>
  <c r="AP43" i="21"/>
  <c r="AP44" i="21"/>
  <c r="AP45" i="21"/>
  <c r="AP46" i="21"/>
  <c r="AP47" i="21"/>
  <c r="AP48" i="21"/>
  <c r="AP49" i="21"/>
  <c r="AP50" i="21"/>
  <c r="AP51" i="21"/>
  <c r="AP52" i="21"/>
  <c r="AP53" i="21"/>
  <c r="AP54" i="21"/>
  <c r="AP55" i="21"/>
  <c r="AP56" i="21"/>
  <c r="AP57" i="21"/>
  <c r="AP58" i="21"/>
  <c r="AP59" i="21"/>
  <c r="AP60" i="21"/>
  <c r="AP61" i="21"/>
  <c r="AP62" i="21"/>
  <c r="AP63" i="21"/>
  <c r="AP64" i="21"/>
  <c r="AP65" i="21"/>
  <c r="AP66" i="21"/>
  <c r="AP67" i="21"/>
  <c r="AP68" i="21"/>
  <c r="AP69" i="21"/>
  <c r="AP70" i="21"/>
  <c r="AP71" i="21"/>
  <c r="AP72" i="21"/>
  <c r="AP73" i="21"/>
  <c r="AP74" i="21"/>
  <c r="AP75" i="21"/>
  <c r="AP76" i="21"/>
  <c r="AP77" i="21"/>
  <c r="AP78" i="21"/>
  <c r="AP79" i="21"/>
  <c r="AP80" i="21"/>
  <c r="AP81" i="21"/>
  <c r="AP82" i="21"/>
  <c r="AP83" i="21"/>
  <c r="AP84" i="21"/>
  <c r="AP85" i="21"/>
  <c r="AP86" i="21"/>
  <c r="AP87" i="21"/>
  <c r="AP88" i="21"/>
  <c r="AP89" i="21"/>
  <c r="AP90" i="21"/>
  <c r="AP91" i="21"/>
  <c r="AP92" i="21"/>
  <c r="AP93" i="21"/>
  <c r="AP94" i="21"/>
  <c r="AP95" i="21"/>
  <c r="AP96" i="21"/>
  <c r="AP97" i="21"/>
  <c r="AP98" i="21"/>
  <c r="AP99" i="21"/>
  <c r="AP100" i="21"/>
  <c r="AP101" i="21"/>
  <c r="AP102" i="21"/>
  <c r="AP103" i="21"/>
  <c r="AP104" i="21"/>
  <c r="AP105" i="21"/>
  <c r="AP106" i="21"/>
  <c r="AP107" i="21"/>
  <c r="AP108" i="21"/>
  <c r="AP109" i="21"/>
  <c r="AP110" i="21"/>
  <c r="AP111" i="21"/>
  <c r="AP112" i="21"/>
  <c r="AP113" i="21"/>
  <c r="AP114" i="21"/>
  <c r="AP115" i="21"/>
  <c r="AP116" i="21"/>
  <c r="AP117" i="21"/>
  <c r="AP118" i="21"/>
  <c r="AP119" i="21"/>
  <c r="AP120" i="21"/>
  <c r="AP121" i="21"/>
  <c r="AP122" i="21"/>
  <c r="AP123" i="21"/>
  <c r="AP124" i="21"/>
  <c r="AP125" i="21"/>
  <c r="AP126" i="21"/>
  <c r="AP127" i="21"/>
  <c r="AP128" i="21"/>
  <c r="AP129" i="21"/>
  <c r="AP130" i="21"/>
  <c r="AP131" i="21"/>
  <c r="AP132" i="21"/>
  <c r="AP133" i="21"/>
  <c r="AP134" i="21"/>
  <c r="AP135" i="21"/>
  <c r="AP136" i="21"/>
  <c r="AP137" i="21"/>
  <c r="AP138" i="21"/>
  <c r="AP139" i="21"/>
  <c r="AP140" i="21"/>
  <c r="AP141" i="21"/>
  <c r="AP142" i="21"/>
  <c r="AP143" i="21"/>
  <c r="AP144" i="21"/>
  <c r="AP145" i="21"/>
  <c r="AP146" i="21"/>
  <c r="AP147" i="21"/>
  <c r="AP148" i="21"/>
  <c r="AP149" i="21"/>
  <c r="AP150" i="21"/>
  <c r="AP151" i="21"/>
  <c r="AP152" i="21"/>
  <c r="AP153" i="21"/>
  <c r="AP154" i="21"/>
  <c r="AP155" i="21"/>
  <c r="AP156" i="21"/>
  <c r="AP157" i="21"/>
  <c r="AP158" i="21"/>
  <c r="AP159" i="21"/>
  <c r="AP160" i="21"/>
  <c r="AP161" i="21"/>
  <c r="AP162" i="21"/>
  <c r="AP163" i="21"/>
  <c r="AP164" i="21"/>
  <c r="AP165" i="21"/>
  <c r="AP166" i="21"/>
  <c r="AP167" i="21"/>
  <c r="AP168" i="21"/>
  <c r="AP169" i="21"/>
  <c r="AP170" i="21"/>
  <c r="AP171" i="21"/>
  <c r="AP172" i="21"/>
  <c r="AP173" i="21"/>
  <c r="AP174" i="21"/>
  <c r="AP175" i="21"/>
  <c r="AP176" i="21"/>
  <c r="AP177" i="21"/>
  <c r="AP178" i="21"/>
  <c r="AP179" i="21"/>
  <c r="AP180" i="21"/>
  <c r="AP181" i="21"/>
  <c r="AP182" i="21"/>
  <c r="AP183" i="21"/>
  <c r="AP184" i="21"/>
  <c r="AP185" i="21"/>
  <c r="AP186" i="21"/>
  <c r="AP187" i="21"/>
  <c r="AP188" i="21"/>
  <c r="AP189" i="21"/>
  <c r="AP190" i="21"/>
  <c r="AP191" i="21"/>
  <c r="AP192" i="21"/>
  <c r="AP193" i="21"/>
  <c r="AP194" i="21"/>
  <c r="AP195" i="21"/>
  <c r="AP196" i="21"/>
  <c r="AP197" i="21"/>
  <c r="AP198" i="21"/>
  <c r="AP199" i="21"/>
  <c r="AP200" i="21"/>
  <c r="AP201" i="21"/>
  <c r="AP202" i="21"/>
  <c r="AP203" i="21"/>
  <c r="AP204" i="21"/>
  <c r="AP205" i="21"/>
  <c r="AP206" i="21"/>
  <c r="AP207" i="21"/>
  <c r="AP208" i="21"/>
  <c r="AP209" i="21"/>
  <c r="AP210" i="21"/>
  <c r="AP211" i="21"/>
  <c r="AP212" i="21"/>
  <c r="AP213" i="21"/>
  <c r="AP214" i="21"/>
  <c r="AP215" i="21"/>
  <c r="AP216" i="21"/>
  <c r="AP217" i="21"/>
  <c r="AP218" i="21"/>
  <c r="AP219" i="21"/>
  <c r="AP220" i="21"/>
  <c r="AP221" i="21"/>
  <c r="AP222" i="21"/>
  <c r="AP223" i="21"/>
  <c r="AP224" i="21"/>
  <c r="AP225" i="21"/>
  <c r="AP226" i="21"/>
  <c r="AP227" i="21"/>
  <c r="AP228" i="21"/>
  <c r="AP229" i="21"/>
  <c r="AP230" i="21"/>
  <c r="AP231" i="21"/>
  <c r="AP232" i="21"/>
  <c r="AP233" i="21"/>
  <c r="AP234" i="21"/>
  <c r="AP235" i="21"/>
  <c r="AP236" i="21"/>
  <c r="AP237" i="21"/>
  <c r="AP238" i="21"/>
  <c r="AP239" i="21"/>
  <c r="AP240" i="21"/>
  <c r="AP241" i="21"/>
  <c r="AP242" i="21"/>
  <c r="AP243" i="21"/>
  <c r="AP244" i="21"/>
  <c r="AP245" i="21"/>
  <c r="AP246" i="21"/>
  <c r="AP247" i="21"/>
  <c r="AP248" i="21"/>
  <c r="AP249" i="21"/>
  <c r="AP250" i="21"/>
  <c r="AP251" i="21"/>
  <c r="AP252" i="21"/>
  <c r="AP253" i="21"/>
  <c r="AP254" i="21"/>
  <c r="AP255" i="21"/>
  <c r="AP256" i="21"/>
  <c r="AP257" i="21"/>
  <c r="AP258" i="21"/>
  <c r="AP259" i="21"/>
  <c r="AP260" i="21"/>
  <c r="AP261" i="21"/>
  <c r="AP262" i="21"/>
  <c r="AP263" i="21"/>
  <c r="AP264" i="21"/>
  <c r="AP265" i="21"/>
  <c r="AP266" i="21"/>
  <c r="AP267" i="21"/>
  <c r="AP268" i="21"/>
  <c r="AP269" i="21"/>
  <c r="AP270" i="21"/>
  <c r="AP271" i="21"/>
  <c r="AP272" i="21"/>
  <c r="AP273" i="21"/>
  <c r="AP274" i="21"/>
  <c r="AP275" i="21"/>
  <c r="AP276" i="21"/>
  <c r="AP277" i="21"/>
  <c r="AP278" i="21"/>
  <c r="AP279" i="21"/>
  <c r="AP280" i="21"/>
  <c r="AP281" i="21"/>
  <c r="AP282" i="21"/>
  <c r="AP283" i="21"/>
  <c r="AP284" i="21"/>
  <c r="AP285" i="21"/>
  <c r="AP286" i="21"/>
  <c r="AP287" i="21"/>
  <c r="AP288" i="21"/>
  <c r="AP289" i="21"/>
  <c r="AP290" i="21"/>
  <c r="AP291" i="21"/>
  <c r="AP292" i="21"/>
  <c r="AP293" i="21"/>
  <c r="AP294" i="21"/>
  <c r="AP295" i="21"/>
  <c r="AP296" i="21"/>
  <c r="AP297" i="21"/>
  <c r="AP298" i="21"/>
  <c r="AP299" i="21"/>
  <c r="AP300" i="21"/>
  <c r="AP301" i="21"/>
  <c r="AP302" i="21"/>
  <c r="AP303" i="21"/>
  <c r="AP304" i="21"/>
  <c r="AP305" i="21"/>
  <c r="AP306" i="21"/>
  <c r="AP307" i="21"/>
  <c r="AP308" i="21"/>
  <c r="AP309" i="21"/>
  <c r="AP310" i="21"/>
  <c r="AP311" i="21"/>
  <c r="AP312" i="21"/>
  <c r="AP313" i="21"/>
  <c r="AP314" i="21"/>
  <c r="AP315" i="21"/>
  <c r="AP316" i="21"/>
  <c r="AP317" i="21"/>
  <c r="AP318" i="21"/>
  <c r="AP319" i="21"/>
  <c r="AP320" i="21"/>
  <c r="AP321" i="21"/>
  <c r="AP322" i="21"/>
  <c r="AP323" i="21"/>
  <c r="AP324" i="21"/>
  <c r="AP325" i="21"/>
  <c r="AP326" i="21"/>
  <c r="AP327" i="21"/>
  <c r="AP328" i="21"/>
  <c r="AP329" i="21"/>
  <c r="AP330" i="21"/>
  <c r="AP331" i="21"/>
  <c r="AP332" i="21"/>
  <c r="AP333" i="21"/>
  <c r="AP334" i="21"/>
  <c r="AP335" i="21"/>
  <c r="AP336" i="21"/>
  <c r="AP337" i="21"/>
  <c r="AP338" i="21"/>
  <c r="AP339" i="21"/>
  <c r="AP340" i="21"/>
  <c r="AP341" i="21"/>
  <c r="AP342" i="21"/>
  <c r="AP343" i="21"/>
  <c r="AP344" i="21"/>
  <c r="AP345" i="21"/>
  <c r="AP346" i="21"/>
  <c r="AP347" i="21"/>
  <c r="AP348" i="21"/>
  <c r="AP349" i="21"/>
  <c r="AP350" i="21"/>
  <c r="AP351" i="21"/>
  <c r="AP352" i="21"/>
  <c r="AP353" i="21"/>
  <c r="AP354" i="21"/>
  <c r="AP355" i="21"/>
  <c r="AP356" i="21"/>
  <c r="AP357" i="21"/>
  <c r="AP358" i="21"/>
  <c r="AP359" i="21"/>
  <c r="AP360" i="21"/>
  <c r="AP361" i="21"/>
  <c r="AP362" i="21"/>
  <c r="AP363" i="21"/>
  <c r="AP364" i="21"/>
  <c r="AP365" i="21"/>
  <c r="AP366" i="21"/>
  <c r="AP367" i="21"/>
  <c r="AP368" i="21"/>
  <c r="AP369" i="21"/>
  <c r="AP370" i="21"/>
  <c r="AP371" i="21"/>
  <c r="AP372" i="21"/>
  <c r="AP373" i="21"/>
  <c r="AP374" i="21"/>
  <c r="AP375" i="21"/>
  <c r="AP376" i="21"/>
  <c r="AP377" i="21"/>
  <c r="AP378" i="21"/>
  <c r="AP379" i="21"/>
  <c r="AP380" i="21"/>
  <c r="AP381" i="21"/>
  <c r="AP382" i="21"/>
  <c r="AP383" i="21"/>
  <c r="AP384" i="21"/>
  <c r="AP385" i="21"/>
  <c r="AP386" i="21"/>
  <c r="AP387" i="21"/>
  <c r="AP388" i="21"/>
  <c r="AP389" i="21"/>
  <c r="AP390" i="21"/>
  <c r="AP391" i="21"/>
  <c r="AP392" i="21"/>
  <c r="AP393" i="21"/>
  <c r="AP394" i="21"/>
  <c r="AP395" i="21"/>
  <c r="AP396" i="21"/>
  <c r="AP397" i="21"/>
  <c r="AP398" i="21"/>
  <c r="AP399" i="21"/>
  <c r="AP400" i="21"/>
  <c r="AP401" i="21"/>
  <c r="AP402" i="21"/>
  <c r="AP403" i="21"/>
  <c r="AP404" i="21"/>
  <c r="AP405" i="21"/>
  <c r="AP406" i="21"/>
  <c r="AP407" i="21"/>
  <c r="AP408" i="21"/>
  <c r="AP409" i="21"/>
  <c r="AP410" i="21"/>
  <c r="AP411" i="21"/>
  <c r="AP412" i="21"/>
  <c r="AP413" i="21"/>
  <c r="AP414" i="21"/>
  <c r="AP415" i="21"/>
  <c r="AP416" i="21"/>
  <c r="AP417" i="21"/>
  <c r="AP418" i="21"/>
  <c r="AP419" i="21"/>
  <c r="AP420" i="21"/>
  <c r="AP421" i="21"/>
  <c r="AP422" i="21"/>
  <c r="AP423" i="21"/>
  <c r="AP424" i="21"/>
  <c r="AP425" i="21"/>
  <c r="AP426" i="21"/>
  <c r="AP427" i="21"/>
  <c r="AP428" i="21"/>
  <c r="AP429" i="21"/>
  <c r="AP430" i="21"/>
  <c r="AP431" i="21"/>
  <c r="AP432" i="21"/>
  <c r="AP433" i="21"/>
  <c r="AP434" i="21"/>
  <c r="AP435" i="21"/>
  <c r="AP436" i="21"/>
  <c r="AP437" i="21"/>
  <c r="AP438" i="21"/>
  <c r="AP439" i="21"/>
  <c r="AP440" i="21"/>
  <c r="AP441" i="21"/>
  <c r="AP442" i="21"/>
  <c r="AP443" i="21"/>
  <c r="AP444" i="21"/>
  <c r="AP445" i="21"/>
  <c r="AP446" i="21"/>
  <c r="AP447" i="21"/>
  <c r="AP448" i="21"/>
  <c r="AP449" i="21"/>
  <c r="AP450" i="21"/>
  <c r="AP451" i="21"/>
  <c r="AP452" i="21"/>
  <c r="AP453" i="21"/>
  <c r="AP454" i="21"/>
  <c r="AP455" i="21"/>
  <c r="AP456" i="21"/>
  <c r="AP457" i="21"/>
  <c r="AP458" i="21"/>
  <c r="AP459" i="21"/>
  <c r="AP460" i="21"/>
  <c r="AP461" i="21"/>
  <c r="AP462" i="21"/>
  <c r="AP463" i="21"/>
  <c r="AP464" i="21"/>
  <c r="AP465" i="21"/>
  <c r="AP466" i="21"/>
  <c r="AP467" i="21"/>
  <c r="AP468" i="21"/>
  <c r="AP469" i="21"/>
  <c r="AP470" i="21"/>
  <c r="AP471" i="21"/>
  <c r="AP472" i="21"/>
  <c r="AP473" i="21"/>
  <c r="AP474" i="21"/>
  <c r="AP475" i="21"/>
  <c r="AP476" i="21"/>
  <c r="AP477" i="21"/>
  <c r="AP478" i="21"/>
  <c r="AP479" i="21"/>
  <c r="AP480" i="21"/>
  <c r="AP481" i="21"/>
  <c r="AP482" i="21"/>
  <c r="AP483" i="21"/>
  <c r="AP484" i="21"/>
  <c r="AP485" i="21"/>
  <c r="AP486" i="21"/>
  <c r="AP487" i="21"/>
  <c r="AP488" i="21"/>
  <c r="AP489" i="21"/>
  <c r="AP490" i="21"/>
  <c r="AP491" i="21"/>
  <c r="AP492" i="21"/>
  <c r="AP493" i="21"/>
  <c r="AP494" i="21"/>
  <c r="AP495" i="21"/>
  <c r="AP496" i="21"/>
  <c r="AP497" i="21"/>
  <c r="AP498" i="21"/>
  <c r="AP499" i="21"/>
  <c r="AP500" i="21"/>
  <c r="AP501" i="21"/>
  <c r="AP502" i="21"/>
  <c r="AP503" i="21"/>
  <c r="AP504" i="21"/>
  <c r="AP505" i="21"/>
  <c r="AP506" i="21"/>
  <c r="AP507" i="21"/>
  <c r="AP508" i="21"/>
  <c r="AP509" i="21"/>
  <c r="AP510" i="21"/>
  <c r="AP511" i="21"/>
  <c r="AP512" i="21"/>
  <c r="AP513" i="21"/>
  <c r="AP514" i="21"/>
  <c r="AP515" i="21"/>
  <c r="AP516" i="21"/>
  <c r="AP517" i="21"/>
  <c r="AP518" i="21"/>
  <c r="AP519" i="21"/>
  <c r="AP520" i="21"/>
  <c r="AP521" i="21"/>
  <c r="AP522" i="21"/>
  <c r="AP523" i="21"/>
  <c r="AP524" i="21"/>
  <c r="AP525" i="21"/>
  <c r="AP526" i="21"/>
  <c r="AP527" i="21"/>
  <c r="AP528" i="21"/>
  <c r="AP529" i="21"/>
  <c r="AP530" i="21"/>
  <c r="AP531" i="21"/>
  <c r="AP532" i="21"/>
  <c r="AP533" i="21"/>
  <c r="AP534" i="21"/>
  <c r="AP535" i="21"/>
  <c r="AP536" i="21"/>
  <c r="AP537" i="21"/>
  <c r="AP538" i="21"/>
  <c r="AP539" i="21"/>
  <c r="AP540" i="21"/>
  <c r="AP541" i="21"/>
  <c r="AP542" i="21"/>
  <c r="AP543" i="21"/>
  <c r="AP544" i="21"/>
  <c r="AP545" i="21"/>
  <c r="AP546" i="21"/>
  <c r="AP547" i="21"/>
  <c r="AP548" i="21"/>
  <c r="AP549" i="21"/>
  <c r="AP550" i="21"/>
  <c r="AP551" i="21"/>
  <c r="AP552" i="21"/>
  <c r="AP553" i="21"/>
  <c r="AP554" i="21"/>
  <c r="AP555" i="21"/>
  <c r="AP556" i="21"/>
  <c r="AP557" i="21"/>
  <c r="AP558" i="21"/>
  <c r="AP559" i="21"/>
  <c r="AP560" i="21"/>
  <c r="AP561" i="21"/>
  <c r="AP562" i="21"/>
  <c r="AP563" i="21"/>
  <c r="AP564" i="21"/>
  <c r="AP565" i="21"/>
  <c r="AP566" i="21"/>
  <c r="AP567" i="21"/>
  <c r="AP568" i="21"/>
  <c r="AP569" i="21"/>
  <c r="AP570" i="21"/>
  <c r="AP571" i="21"/>
  <c r="AP572" i="21"/>
  <c r="AP573" i="21"/>
  <c r="AP574" i="21"/>
  <c r="AP575" i="21"/>
  <c r="AP576" i="21"/>
  <c r="AP577" i="21"/>
  <c r="AP578" i="21"/>
  <c r="AP579" i="21"/>
  <c r="AP580" i="21"/>
  <c r="AP581" i="21"/>
  <c r="AP582" i="21"/>
  <c r="AP583" i="21"/>
  <c r="AP584" i="21"/>
  <c r="AP585" i="21"/>
  <c r="AP586" i="21"/>
  <c r="AP587" i="21"/>
  <c r="AP588" i="21"/>
  <c r="AP589" i="21"/>
  <c r="AP590" i="21"/>
  <c r="AP591" i="21"/>
  <c r="AP592" i="21"/>
  <c r="AP593" i="21"/>
  <c r="AP594" i="21"/>
  <c r="AP595" i="21"/>
  <c r="AP596" i="21"/>
  <c r="AP597" i="21"/>
  <c r="AP598" i="21"/>
  <c r="AP599" i="21"/>
  <c r="AP600" i="21"/>
  <c r="AP601" i="21"/>
  <c r="AP602" i="21"/>
  <c r="AP603" i="21"/>
  <c r="AP604" i="21"/>
  <c r="AP605" i="21"/>
  <c r="AP606" i="21"/>
  <c r="AP607" i="21"/>
  <c r="AP608" i="21"/>
  <c r="AP609" i="21"/>
  <c r="AP610" i="21"/>
  <c r="AP611" i="21"/>
  <c r="AP612" i="21"/>
  <c r="AP613" i="21"/>
  <c r="AP614" i="21"/>
  <c r="AP615" i="21"/>
  <c r="AP616" i="21"/>
  <c r="AP617" i="21"/>
  <c r="AP618" i="21"/>
  <c r="AP619" i="21"/>
  <c r="AP620" i="21"/>
  <c r="AP621" i="21"/>
  <c r="AP622" i="21"/>
  <c r="AP623" i="21"/>
  <c r="AP624" i="21"/>
  <c r="AP625" i="21"/>
  <c r="AP626" i="21"/>
  <c r="AP627" i="21"/>
  <c r="AP628" i="21"/>
  <c r="AP629" i="21"/>
  <c r="AP630" i="21"/>
  <c r="AP631" i="21"/>
  <c r="AP632" i="21"/>
  <c r="AP633" i="21"/>
  <c r="AP634" i="21"/>
  <c r="AP635" i="21"/>
  <c r="AP636" i="21"/>
  <c r="AP637" i="21"/>
  <c r="AP638" i="21"/>
  <c r="AP639" i="21"/>
  <c r="AP640" i="21"/>
  <c r="AP641" i="21"/>
  <c r="AP642" i="21"/>
  <c r="AP643" i="21"/>
  <c r="AP644" i="21"/>
  <c r="AP645" i="21"/>
  <c r="AP646" i="21"/>
  <c r="AP647" i="21"/>
  <c r="AP648" i="21"/>
  <c r="AP649" i="21"/>
  <c r="AP650" i="21"/>
  <c r="AP651" i="21"/>
  <c r="AP652" i="21"/>
  <c r="AP653" i="21"/>
  <c r="AP654" i="21"/>
  <c r="AP655" i="21"/>
  <c r="AP656" i="21"/>
  <c r="AP657" i="21"/>
  <c r="AP658" i="21"/>
  <c r="AP659" i="21"/>
  <c r="AP660" i="21"/>
  <c r="AP661" i="21"/>
  <c r="AP662" i="21"/>
  <c r="AP663" i="21"/>
  <c r="AP664" i="21"/>
  <c r="AP665" i="21"/>
  <c r="AP666" i="21"/>
  <c r="AP667" i="21"/>
  <c r="AP668" i="21"/>
  <c r="AP669" i="21"/>
  <c r="AP670" i="21"/>
  <c r="AP671" i="21"/>
  <c r="AP672" i="21"/>
  <c r="AP673" i="21"/>
  <c r="AP674" i="21"/>
  <c r="AP675" i="21"/>
  <c r="AP676" i="21"/>
  <c r="AP677" i="21"/>
  <c r="AP678" i="21"/>
  <c r="AP679" i="21"/>
  <c r="AP680" i="21"/>
  <c r="AP681" i="21"/>
  <c r="AP682" i="21"/>
  <c r="AP683" i="21"/>
  <c r="AP684" i="21"/>
  <c r="AP685" i="21"/>
  <c r="AP686" i="21"/>
  <c r="AP687" i="21"/>
  <c r="AP688" i="21"/>
  <c r="AP689" i="21"/>
  <c r="AP690" i="21"/>
  <c r="AP691" i="21"/>
  <c r="AP692" i="21"/>
  <c r="AP693" i="21"/>
  <c r="AP694" i="21"/>
  <c r="AP695" i="21"/>
  <c r="AP696" i="21"/>
  <c r="AP697" i="21"/>
  <c r="AP698" i="21"/>
  <c r="AP699" i="21"/>
  <c r="AP700" i="21"/>
  <c r="AP701" i="21"/>
  <c r="AP702" i="21"/>
  <c r="AP703" i="21"/>
  <c r="AP704" i="21"/>
  <c r="AP705" i="21"/>
  <c r="AP706" i="21"/>
  <c r="AP707" i="21"/>
  <c r="AP708" i="21"/>
  <c r="AP709" i="21"/>
  <c r="AP710" i="21"/>
  <c r="AP711" i="21"/>
  <c r="AP712" i="21"/>
  <c r="AP713" i="21"/>
  <c r="AP714" i="21"/>
  <c r="AP715" i="21"/>
  <c r="AP716" i="21"/>
  <c r="AP717" i="21"/>
  <c r="AP718" i="21"/>
  <c r="AP719" i="21"/>
  <c r="AP720" i="21"/>
  <c r="AP721" i="21"/>
  <c r="AP722" i="21"/>
  <c r="AP723" i="21"/>
  <c r="AP724" i="21"/>
  <c r="AP725" i="21"/>
  <c r="AP726" i="21"/>
  <c r="AP727" i="21"/>
  <c r="AP728" i="21"/>
  <c r="AP729" i="21"/>
  <c r="AP730" i="21"/>
  <c r="AP731" i="21"/>
  <c r="AP732" i="21"/>
  <c r="AP733" i="21"/>
  <c r="AP734" i="21"/>
  <c r="AP735" i="21"/>
  <c r="AP736" i="21"/>
  <c r="AP737" i="21"/>
  <c r="AP738" i="21"/>
  <c r="AP739" i="21"/>
  <c r="AP740" i="21"/>
  <c r="AP741" i="21"/>
  <c r="AP742" i="21"/>
  <c r="AP743" i="21"/>
  <c r="AP744" i="21"/>
  <c r="AP745" i="21"/>
  <c r="AP746" i="21"/>
  <c r="AP747" i="21"/>
  <c r="AP748" i="21"/>
  <c r="AP749" i="21"/>
  <c r="AP750" i="21"/>
  <c r="AP751" i="21"/>
  <c r="AP752" i="21"/>
  <c r="AP753" i="21"/>
  <c r="AP754" i="21"/>
  <c r="AP755" i="21"/>
  <c r="AP756" i="21"/>
  <c r="AP757" i="21"/>
  <c r="AP758" i="21"/>
  <c r="AP759" i="21"/>
  <c r="AP760" i="21"/>
  <c r="AP761" i="21"/>
  <c r="AP762" i="21"/>
  <c r="AP763" i="21"/>
  <c r="AP764" i="21"/>
  <c r="AP765" i="21"/>
  <c r="AP766" i="21"/>
  <c r="AP767" i="21"/>
  <c r="AP768" i="21"/>
  <c r="AP769" i="21"/>
  <c r="AP770" i="21"/>
  <c r="AP771" i="21"/>
  <c r="AP772" i="21"/>
  <c r="AP773" i="21"/>
  <c r="AP774" i="21"/>
  <c r="AP775" i="21"/>
  <c r="AP776" i="21"/>
  <c r="AP777" i="21"/>
  <c r="AP778" i="21"/>
  <c r="AP779" i="21"/>
  <c r="AP780" i="21"/>
  <c r="AP781" i="21"/>
  <c r="AP782" i="21"/>
  <c r="AP783" i="21"/>
  <c r="AP784" i="21"/>
  <c r="AP785" i="21"/>
  <c r="AP786" i="21"/>
  <c r="AP787" i="21"/>
  <c r="AP788" i="21"/>
  <c r="AP789" i="21"/>
  <c r="AP790" i="21"/>
  <c r="AP791" i="21"/>
  <c r="AP792" i="21"/>
  <c r="AP793" i="21"/>
  <c r="AP794" i="21"/>
  <c r="AP795" i="21"/>
  <c r="AP796" i="21"/>
  <c r="AP797" i="21"/>
  <c r="AP798" i="21"/>
  <c r="AP799" i="21"/>
  <c r="AP800" i="21"/>
  <c r="AP801" i="21"/>
  <c r="AP802" i="21"/>
  <c r="AP803" i="21"/>
  <c r="AP804" i="21"/>
  <c r="AP805" i="21"/>
  <c r="AP806" i="21"/>
  <c r="AP807" i="21"/>
  <c r="AP808" i="21"/>
  <c r="AP809" i="21"/>
  <c r="AP810" i="21"/>
  <c r="AP811" i="21"/>
  <c r="AP812" i="21"/>
  <c r="AP813" i="21"/>
  <c r="AP814" i="21"/>
  <c r="AP815" i="21"/>
  <c r="AP816" i="21"/>
  <c r="AP817" i="21"/>
  <c r="AP818" i="21"/>
  <c r="AP819" i="21"/>
  <c r="AP820" i="21"/>
  <c r="AP821" i="21"/>
  <c r="AP822" i="21"/>
  <c r="AP823" i="21"/>
  <c r="AP824" i="21"/>
  <c r="AP825" i="21"/>
  <c r="AP826" i="21"/>
  <c r="AP827" i="21"/>
  <c r="AP828" i="21"/>
  <c r="AP829" i="21"/>
  <c r="AP830" i="21"/>
  <c r="AP831" i="21"/>
  <c r="AP832" i="21"/>
  <c r="AP833" i="21"/>
  <c r="AP834" i="21"/>
  <c r="AP835" i="21"/>
  <c r="AP836" i="21"/>
  <c r="AP837" i="21"/>
  <c r="AP838" i="21"/>
  <c r="AP839" i="21"/>
  <c r="AP840" i="21"/>
  <c r="AP841" i="21"/>
  <c r="AP842" i="21"/>
  <c r="AP843" i="21"/>
  <c r="AP844" i="21"/>
  <c r="AP845" i="21"/>
  <c r="AP846" i="21"/>
  <c r="AP847" i="21"/>
  <c r="AP848" i="21"/>
  <c r="AP849" i="21"/>
  <c r="AP850" i="21"/>
  <c r="AP851" i="21"/>
  <c r="AP852" i="21"/>
  <c r="AP853" i="21"/>
  <c r="AP854" i="21"/>
  <c r="AP855" i="21"/>
  <c r="AP856" i="21"/>
  <c r="AP857" i="21"/>
  <c r="AP858" i="21"/>
  <c r="AP859" i="21"/>
  <c r="AP860" i="21"/>
  <c r="AP861" i="21"/>
  <c r="AP862" i="21"/>
  <c r="AP863" i="21"/>
  <c r="AP864" i="21"/>
  <c r="AP865" i="21"/>
  <c r="AP866" i="21"/>
  <c r="AP867" i="21"/>
  <c r="AP868" i="21"/>
  <c r="AP869" i="21"/>
  <c r="AP870" i="21"/>
  <c r="AP871" i="21"/>
  <c r="AP872" i="21"/>
  <c r="AP873" i="21"/>
  <c r="AP874" i="21"/>
  <c r="AP875" i="21"/>
  <c r="AP876" i="21"/>
  <c r="AP877" i="21"/>
  <c r="AP878" i="21"/>
  <c r="AP879" i="21"/>
  <c r="AP880" i="21"/>
  <c r="AP881" i="21"/>
  <c r="AP882" i="21"/>
  <c r="AP883" i="21"/>
  <c r="AP884" i="21"/>
  <c r="AP885" i="21"/>
  <c r="AP886" i="21"/>
  <c r="AP887" i="21"/>
  <c r="AP888" i="21"/>
  <c r="AP889" i="21"/>
  <c r="AP890" i="21"/>
  <c r="AP891" i="21"/>
  <c r="AP892" i="21"/>
  <c r="AP893" i="21"/>
  <c r="AP894" i="21"/>
  <c r="AP895" i="21"/>
  <c r="AP896" i="21"/>
  <c r="AP897" i="21"/>
  <c r="AP898" i="21"/>
  <c r="AP899" i="21"/>
  <c r="AP900" i="21"/>
  <c r="AP901" i="21"/>
  <c r="AP902" i="21"/>
  <c r="AP903" i="21"/>
  <c r="AP904" i="21"/>
  <c r="AP905" i="21"/>
  <c r="AP906" i="21"/>
  <c r="AP907" i="21"/>
  <c r="AP908" i="21"/>
  <c r="AP909" i="21"/>
  <c r="AP910" i="21"/>
  <c r="AP911" i="21"/>
  <c r="AP912" i="21"/>
  <c r="AP913" i="21"/>
  <c r="AP914" i="21"/>
  <c r="AP915" i="21"/>
  <c r="AP916" i="21"/>
  <c r="AP917" i="21"/>
  <c r="AP918" i="21"/>
  <c r="AP919" i="21"/>
  <c r="AP920" i="21"/>
  <c r="AP921" i="21"/>
  <c r="AP922" i="21"/>
  <c r="AP923" i="21"/>
  <c r="AP924" i="21"/>
  <c r="AP925" i="21"/>
  <c r="AP926" i="21"/>
  <c r="AP927" i="21"/>
  <c r="AP928" i="21"/>
  <c r="AP929" i="21"/>
  <c r="AP930" i="21"/>
  <c r="AP931" i="21"/>
  <c r="AP932" i="21"/>
  <c r="AP933" i="21"/>
  <c r="AP934" i="21"/>
  <c r="AP935" i="21"/>
  <c r="AP936" i="21"/>
  <c r="AP937" i="21"/>
  <c r="AP938" i="21"/>
  <c r="AP939" i="21"/>
  <c r="AP940" i="21"/>
  <c r="AP941" i="21"/>
  <c r="AP942" i="21"/>
  <c r="AP943" i="21"/>
  <c r="AP944" i="21"/>
  <c r="AP945" i="21"/>
  <c r="AP946" i="21"/>
  <c r="AP947" i="21"/>
  <c r="AP948" i="21"/>
  <c r="AP949" i="21"/>
  <c r="AP950" i="21"/>
  <c r="AP951" i="21"/>
  <c r="AP952" i="21"/>
  <c r="AP953" i="21"/>
  <c r="AP954" i="21"/>
  <c r="AP955" i="21"/>
  <c r="AP956" i="21"/>
  <c r="AP957" i="21"/>
  <c r="AP958" i="21"/>
  <c r="AP959" i="21"/>
  <c r="AP960" i="21"/>
  <c r="AP961" i="21"/>
  <c r="AP962" i="21"/>
  <c r="AP963" i="21"/>
  <c r="AP964" i="21"/>
  <c r="AP965" i="21"/>
  <c r="AP966" i="21"/>
  <c r="AP967" i="21"/>
  <c r="AP968" i="21"/>
  <c r="AP969" i="21"/>
  <c r="AP970" i="21"/>
  <c r="AP971" i="21"/>
  <c r="AP972" i="21"/>
  <c r="AP973" i="21"/>
  <c r="AP974" i="21"/>
  <c r="AP975" i="21"/>
  <c r="AP976" i="21"/>
  <c r="AP977" i="21"/>
  <c r="AP978" i="21"/>
  <c r="AP979" i="21"/>
  <c r="AP980" i="21"/>
  <c r="AP981" i="21"/>
  <c r="AP982" i="21"/>
  <c r="AP983" i="21"/>
  <c r="AP984" i="21"/>
  <c r="AP985" i="21"/>
  <c r="AP986" i="21"/>
  <c r="AP987" i="21"/>
  <c r="AP988" i="21"/>
  <c r="AP989" i="21"/>
  <c r="AP990" i="21"/>
  <c r="AP991" i="21"/>
  <c r="AP992" i="21"/>
  <c r="AP993" i="21"/>
  <c r="AP994" i="21"/>
  <c r="AP995" i="21"/>
  <c r="AP996" i="21"/>
  <c r="AP997" i="21"/>
  <c r="AP998" i="21"/>
  <c r="AP999" i="21"/>
  <c r="AP1000" i="21"/>
  <c r="AP1001" i="21"/>
  <c r="AP1002" i="21"/>
  <c r="AP1003" i="21"/>
  <c r="AP1004" i="21"/>
  <c r="AP1005" i="21"/>
  <c r="AP1006" i="21"/>
  <c r="AP1007" i="21"/>
  <c r="AP1008" i="21"/>
  <c r="AP1009" i="21"/>
  <c r="AP1010" i="21"/>
  <c r="AP1011" i="21"/>
  <c r="AP1012" i="21"/>
  <c r="AP1013" i="21"/>
  <c r="AP1014" i="21"/>
  <c r="AP1015" i="21"/>
  <c r="AP1016" i="21"/>
  <c r="AP1017" i="21"/>
  <c r="AP1018" i="21"/>
  <c r="AP1019" i="21"/>
  <c r="AP1020" i="21"/>
  <c r="AP1021" i="21"/>
  <c r="AP1022" i="21"/>
  <c r="AP1023" i="21"/>
  <c r="AP1024" i="21"/>
  <c r="AP1025" i="21"/>
  <c r="AP1026" i="21"/>
  <c r="AP1027" i="21"/>
  <c r="AP1028" i="21"/>
  <c r="AP1029" i="21"/>
  <c r="AP1030" i="21"/>
  <c r="AP1031" i="21"/>
  <c r="AP1032" i="21"/>
  <c r="AP1033" i="21"/>
  <c r="AP1034" i="21"/>
  <c r="AP1035" i="21"/>
  <c r="AP1036" i="21"/>
  <c r="AP1037" i="21"/>
  <c r="AP1038" i="21"/>
  <c r="AP1039" i="21"/>
  <c r="AP1040" i="21"/>
  <c r="AP1041" i="21"/>
  <c r="AP1042" i="21"/>
  <c r="AP1043" i="21"/>
  <c r="AP1044" i="21"/>
  <c r="AP1045" i="21"/>
  <c r="AP1046" i="21"/>
  <c r="AP1047" i="21"/>
  <c r="AP1048" i="21"/>
  <c r="AP1049" i="21"/>
  <c r="AP1050" i="21"/>
  <c r="AP1051" i="21"/>
  <c r="AP1052" i="21"/>
  <c r="AP1053" i="21"/>
  <c r="AP1054" i="21"/>
  <c r="AP1055" i="21"/>
  <c r="AP1056" i="21"/>
  <c r="AP1057" i="21"/>
  <c r="AP1058" i="21"/>
  <c r="AP1059" i="21"/>
  <c r="AP1060" i="21"/>
  <c r="AP1061" i="21"/>
  <c r="AP1062" i="21"/>
  <c r="AP1063" i="21"/>
  <c r="AP1064" i="21"/>
  <c r="AP1065" i="21"/>
  <c r="AP1066" i="21"/>
  <c r="AP1067" i="21"/>
  <c r="AP1068" i="21"/>
  <c r="AP1069" i="21"/>
  <c r="AP1070" i="21"/>
  <c r="AP1071" i="21"/>
  <c r="AP1072" i="21"/>
  <c r="AP1073" i="21"/>
  <c r="AP1074" i="21"/>
  <c r="AP1075" i="21"/>
  <c r="AP1076" i="21"/>
  <c r="AP1077" i="21"/>
  <c r="AP1078" i="21"/>
  <c r="AP1079" i="21"/>
  <c r="AP1080" i="21"/>
  <c r="AP1081" i="21"/>
  <c r="AP1082" i="21"/>
  <c r="AP1083" i="21"/>
  <c r="AP1084" i="21"/>
  <c r="AP1085" i="21"/>
  <c r="AP1086" i="21"/>
  <c r="AP1087" i="21"/>
  <c r="AP1088" i="21"/>
  <c r="AP1089" i="21"/>
  <c r="AP1090" i="21"/>
  <c r="AP1091" i="21"/>
  <c r="AP1092" i="21"/>
  <c r="AP1093" i="21"/>
  <c r="AP1094" i="21"/>
  <c r="AP1095" i="21"/>
  <c r="AP1096" i="21"/>
  <c r="AP1097" i="21"/>
  <c r="AP1098" i="21"/>
  <c r="AP1099" i="21"/>
  <c r="AP1100" i="21"/>
  <c r="AP1101" i="21"/>
  <c r="AP1102" i="21"/>
  <c r="AP1103" i="21"/>
  <c r="AP1104" i="21"/>
  <c r="AP1105" i="21"/>
  <c r="AP1106" i="21"/>
  <c r="AP1107" i="21"/>
  <c r="AP1108" i="21"/>
  <c r="AP1109" i="21"/>
  <c r="AP1110" i="21"/>
  <c r="AP1111" i="21"/>
  <c r="AP1112" i="21"/>
  <c r="AP1113" i="21"/>
  <c r="AP1114" i="21"/>
  <c r="AP1115" i="21"/>
  <c r="AP1116" i="21"/>
  <c r="AP1117" i="21"/>
  <c r="AP1118" i="21"/>
  <c r="AP1119" i="21"/>
  <c r="AP1120" i="21"/>
  <c r="AP1121" i="21"/>
  <c r="AP1122" i="21"/>
  <c r="AP1123" i="21"/>
  <c r="AP1124" i="21"/>
  <c r="AP1125" i="21"/>
  <c r="AP1126" i="21"/>
  <c r="AP1127" i="21"/>
  <c r="AP1128" i="21"/>
  <c r="AP1129" i="21"/>
  <c r="AP1130" i="21"/>
  <c r="AP1131" i="21"/>
  <c r="AP1132" i="21"/>
  <c r="AP1133" i="21"/>
  <c r="AP1134" i="21"/>
  <c r="AP1135" i="21"/>
  <c r="AP1136" i="21"/>
  <c r="AP1137" i="21"/>
  <c r="AP1138" i="21"/>
  <c r="AP1139" i="21"/>
  <c r="AP1140" i="21"/>
  <c r="AP1141" i="21"/>
  <c r="AP1142" i="21"/>
  <c r="AP1143" i="21"/>
  <c r="AP1144" i="21"/>
  <c r="AP1145" i="21"/>
  <c r="AP1146" i="21"/>
  <c r="AP1147" i="21"/>
  <c r="AP1148" i="21"/>
  <c r="AP1149" i="21"/>
  <c r="AP1150" i="21"/>
  <c r="AP1151" i="21"/>
  <c r="AP1152" i="21"/>
  <c r="AP1153" i="21"/>
  <c r="AP1154" i="21"/>
  <c r="AP1155" i="21"/>
  <c r="AP1156" i="21"/>
  <c r="AP1157" i="21"/>
  <c r="AP1158" i="21"/>
  <c r="AP1159" i="21"/>
  <c r="AP1160" i="21"/>
  <c r="AP1161" i="21"/>
  <c r="AP1162" i="21"/>
  <c r="AP1163" i="21"/>
  <c r="AP1164" i="21"/>
  <c r="AP1165" i="21"/>
  <c r="AP1166" i="21"/>
  <c r="AP1167" i="21"/>
  <c r="AP1168" i="21"/>
  <c r="AP1169" i="21"/>
  <c r="AP1170" i="21"/>
  <c r="AP1171" i="21"/>
  <c r="AP1172" i="21"/>
  <c r="AP1173" i="21"/>
  <c r="AP1174" i="21"/>
  <c r="AP1175" i="21"/>
  <c r="AP1176" i="21"/>
  <c r="AP1177" i="21"/>
  <c r="AP1178" i="21"/>
  <c r="AP1179" i="21"/>
  <c r="AP1180" i="21"/>
  <c r="AP1181" i="21"/>
  <c r="AP1182" i="21"/>
  <c r="AP1183" i="21"/>
  <c r="AP1184" i="21"/>
  <c r="AP1185" i="21"/>
  <c r="AP1186" i="21"/>
  <c r="AP1187" i="21"/>
  <c r="AP1188" i="21"/>
  <c r="AP1189" i="21"/>
  <c r="AP1190" i="21"/>
  <c r="AP1191" i="21"/>
  <c r="AP1192" i="21"/>
  <c r="AP1193" i="21"/>
  <c r="AP1194" i="21"/>
  <c r="AP1195" i="21"/>
  <c r="AP1196" i="21"/>
  <c r="AP1197" i="21"/>
  <c r="AP1198" i="21"/>
  <c r="AP1199" i="21"/>
  <c r="AP1200" i="21"/>
  <c r="AP1201" i="21"/>
  <c r="AP1202" i="21"/>
  <c r="AP2" i="21"/>
  <c r="AP4" i="21"/>
  <c r="V1248" i="21" l="1"/>
  <c r="W1248" i="21"/>
  <c r="AQ1248" i="21" s="1"/>
  <c r="X1248" i="21"/>
  <c r="V1247" i="21"/>
  <c r="W1247" i="21"/>
  <c r="AQ1247" i="21" s="1"/>
  <c r="X1247" i="21"/>
  <c r="AA1" i="22"/>
  <c r="O45" i="22"/>
  <c r="N45" i="22"/>
  <c r="O44" i="22"/>
  <c r="N44" i="22"/>
  <c r="O43" i="22"/>
  <c r="N43" i="22"/>
  <c r="O42" i="22"/>
  <c r="N42" i="22"/>
  <c r="O41" i="22"/>
  <c r="N41" i="22"/>
  <c r="O40" i="22"/>
  <c r="N40" i="22"/>
  <c r="O39" i="22"/>
  <c r="N39" i="22"/>
  <c r="O38" i="22"/>
  <c r="N38" i="22"/>
  <c r="O37" i="22"/>
  <c r="N37" i="22"/>
  <c r="O36" i="22"/>
  <c r="N36" i="22"/>
  <c r="O35" i="22"/>
  <c r="N35" i="22"/>
  <c r="O34" i="22"/>
  <c r="N34" i="22"/>
  <c r="O33" i="22"/>
  <c r="N33" i="22"/>
  <c r="O32" i="22"/>
  <c r="N32" i="22"/>
  <c r="O31" i="22"/>
  <c r="N31" i="22"/>
  <c r="O30" i="22"/>
  <c r="N30" i="22"/>
  <c r="O29" i="22"/>
  <c r="N29" i="22"/>
  <c r="O28" i="22"/>
  <c r="N28" i="22"/>
  <c r="O27" i="22"/>
  <c r="N27" i="22"/>
  <c r="O26" i="22"/>
  <c r="N26" i="22"/>
  <c r="O25" i="22"/>
  <c r="N25" i="22"/>
  <c r="O24" i="22"/>
  <c r="N24" i="22"/>
  <c r="O23" i="22"/>
  <c r="N23" i="22"/>
  <c r="O22" i="22"/>
  <c r="N22" i="22"/>
  <c r="O21" i="22"/>
  <c r="N21" i="22"/>
  <c r="O20" i="22"/>
  <c r="N20" i="22"/>
  <c r="O19" i="22"/>
  <c r="N19" i="22"/>
  <c r="O18" i="22"/>
  <c r="N18" i="22"/>
  <c r="O17" i="22"/>
  <c r="N17" i="22"/>
  <c r="O16" i="22"/>
  <c r="N16" i="22"/>
  <c r="O15" i="22"/>
  <c r="N15" i="22"/>
  <c r="O14" i="22"/>
  <c r="N14" i="22"/>
  <c r="O13" i="22"/>
  <c r="N13" i="22"/>
  <c r="O12" i="22"/>
  <c r="N12" i="22"/>
  <c r="O11" i="22"/>
  <c r="N11" i="22"/>
  <c r="O10" i="22"/>
  <c r="N10" i="22"/>
  <c r="O9" i="22"/>
  <c r="N9" i="22"/>
  <c r="O8" i="22"/>
  <c r="N8" i="22"/>
  <c r="O7" i="22"/>
  <c r="N7" i="22"/>
  <c r="O6" i="22"/>
  <c r="N6" i="22"/>
  <c r="O5" i="22"/>
  <c r="N5" i="22"/>
  <c r="O4" i="22"/>
  <c r="N4" i="22"/>
  <c r="O1" i="22"/>
  <c r="N1" i="22"/>
  <c r="M1" i="22"/>
  <c r="L1" i="22"/>
  <c r="K1" i="22"/>
  <c r="J1" i="22"/>
  <c r="G703" i="22"/>
  <c r="F703" i="22"/>
  <c r="G702" i="22"/>
  <c r="F702" i="22"/>
  <c r="G701" i="22"/>
  <c r="F701" i="22"/>
  <c r="G700" i="22"/>
  <c r="F700" i="22"/>
  <c r="G699" i="22"/>
  <c r="F699" i="22"/>
  <c r="G698" i="22"/>
  <c r="F698" i="22"/>
  <c r="G697" i="22"/>
  <c r="F697" i="22"/>
  <c r="G696" i="22"/>
  <c r="F696" i="22"/>
  <c r="G695" i="22"/>
  <c r="F695" i="22"/>
  <c r="G694" i="22"/>
  <c r="F694" i="22"/>
  <c r="G693" i="22"/>
  <c r="F693" i="22"/>
  <c r="G692" i="22"/>
  <c r="F692" i="22"/>
  <c r="G691" i="22"/>
  <c r="F691" i="22"/>
  <c r="G690" i="22"/>
  <c r="F690" i="22"/>
  <c r="G689" i="22"/>
  <c r="F689" i="22"/>
  <c r="G688" i="22"/>
  <c r="F688" i="22"/>
  <c r="G687" i="22"/>
  <c r="F687" i="22"/>
  <c r="G686" i="22"/>
  <c r="F686" i="22"/>
  <c r="G685" i="22"/>
  <c r="F685" i="22"/>
  <c r="G684" i="22"/>
  <c r="F684" i="22"/>
  <c r="G683" i="22"/>
  <c r="F683" i="22"/>
  <c r="G682" i="22"/>
  <c r="F682" i="22"/>
  <c r="G681" i="22"/>
  <c r="F681" i="22"/>
  <c r="G680" i="22"/>
  <c r="F680" i="22"/>
  <c r="G679" i="22"/>
  <c r="F679" i="22"/>
  <c r="G678" i="22"/>
  <c r="F678" i="22"/>
  <c r="G677" i="22"/>
  <c r="F677" i="22"/>
  <c r="G676" i="22"/>
  <c r="F676" i="22"/>
  <c r="G675" i="22"/>
  <c r="F675" i="22"/>
  <c r="G674" i="22"/>
  <c r="F674" i="22"/>
  <c r="G673" i="22"/>
  <c r="F673" i="22"/>
  <c r="G672" i="22"/>
  <c r="F672" i="22"/>
  <c r="G671" i="22"/>
  <c r="F671" i="22"/>
  <c r="G670" i="22"/>
  <c r="F670" i="22"/>
  <c r="G669" i="22"/>
  <c r="F669" i="22"/>
  <c r="G668" i="22"/>
  <c r="F668" i="22"/>
  <c r="G667" i="22"/>
  <c r="F667" i="22"/>
  <c r="G666" i="22"/>
  <c r="F666" i="22"/>
  <c r="G665" i="22"/>
  <c r="F665" i="22"/>
  <c r="G664" i="22"/>
  <c r="F664" i="22"/>
  <c r="G663" i="22"/>
  <c r="F663" i="22"/>
  <c r="G662" i="22"/>
  <c r="F662" i="22"/>
  <c r="G661" i="22"/>
  <c r="F661" i="22"/>
  <c r="G660" i="22"/>
  <c r="F660" i="22"/>
  <c r="G659" i="22"/>
  <c r="F659" i="22"/>
  <c r="G658" i="22"/>
  <c r="F658" i="22"/>
  <c r="G657" i="22"/>
  <c r="F657" i="22"/>
  <c r="G656" i="22"/>
  <c r="F656" i="22"/>
  <c r="G655" i="22"/>
  <c r="F655" i="22"/>
  <c r="G654" i="22"/>
  <c r="F654" i="22"/>
  <c r="G653" i="22"/>
  <c r="F653" i="22"/>
  <c r="G652" i="22"/>
  <c r="F652" i="22"/>
  <c r="G651" i="22"/>
  <c r="F651" i="22"/>
  <c r="G650" i="22"/>
  <c r="F650" i="22"/>
  <c r="G649" i="22"/>
  <c r="F649" i="22"/>
  <c r="G648" i="22"/>
  <c r="F648" i="22"/>
  <c r="G647" i="22"/>
  <c r="F647" i="22"/>
  <c r="G646" i="22"/>
  <c r="F646" i="22"/>
  <c r="G645" i="22"/>
  <c r="F645" i="22"/>
  <c r="G644" i="22"/>
  <c r="F644" i="22"/>
  <c r="G643" i="22"/>
  <c r="F643" i="22"/>
  <c r="G642" i="22"/>
  <c r="F642" i="22"/>
  <c r="G641" i="22"/>
  <c r="F641" i="22"/>
  <c r="G640" i="22"/>
  <c r="F640" i="22"/>
  <c r="G639" i="22"/>
  <c r="F639" i="22"/>
  <c r="G638" i="22"/>
  <c r="F638" i="22"/>
  <c r="G637" i="22"/>
  <c r="F637" i="22"/>
  <c r="G636" i="22"/>
  <c r="F636" i="22"/>
  <c r="G635" i="22"/>
  <c r="F635" i="22"/>
  <c r="G634" i="22"/>
  <c r="F634" i="22"/>
  <c r="G633" i="22"/>
  <c r="F633" i="22"/>
  <c r="G632" i="22"/>
  <c r="F632" i="22"/>
  <c r="G631" i="22"/>
  <c r="F631" i="22"/>
  <c r="G630" i="22"/>
  <c r="F630" i="22"/>
  <c r="G629" i="22"/>
  <c r="F629" i="22"/>
  <c r="G628" i="22"/>
  <c r="F628" i="22"/>
  <c r="G627" i="22"/>
  <c r="F627" i="22"/>
  <c r="G626" i="22"/>
  <c r="F626" i="22"/>
  <c r="G625" i="22"/>
  <c r="F625" i="22"/>
  <c r="G624" i="22"/>
  <c r="F624" i="22"/>
  <c r="G623" i="22"/>
  <c r="F623" i="22"/>
  <c r="G622" i="22"/>
  <c r="F622" i="22"/>
  <c r="G621" i="22"/>
  <c r="F621" i="22"/>
  <c r="G620" i="22"/>
  <c r="F620" i="22"/>
  <c r="G619" i="22"/>
  <c r="F619" i="22"/>
  <c r="G618" i="22"/>
  <c r="F618" i="22"/>
  <c r="G617" i="22"/>
  <c r="F617" i="22"/>
  <c r="G616" i="22"/>
  <c r="F616" i="22"/>
  <c r="G615" i="22"/>
  <c r="F615" i="22"/>
  <c r="G614" i="22"/>
  <c r="F614" i="22"/>
  <c r="G613" i="22"/>
  <c r="F613" i="22"/>
  <c r="G612" i="22"/>
  <c r="F612" i="22"/>
  <c r="G611" i="22"/>
  <c r="F611" i="22"/>
  <c r="G610" i="22"/>
  <c r="F610" i="22"/>
  <c r="G609" i="22"/>
  <c r="F609" i="22"/>
  <c r="G608" i="22"/>
  <c r="F608" i="22"/>
  <c r="G607" i="22"/>
  <c r="F607" i="22"/>
  <c r="G606" i="22"/>
  <c r="F606" i="22"/>
  <c r="G605" i="22"/>
  <c r="F605" i="22"/>
  <c r="G604" i="22"/>
  <c r="F604" i="22"/>
  <c r="G603" i="22"/>
  <c r="F603" i="22"/>
  <c r="G602" i="22"/>
  <c r="F602" i="22"/>
  <c r="G601" i="22"/>
  <c r="F601" i="22"/>
  <c r="G600" i="22"/>
  <c r="F600" i="22"/>
  <c r="G599" i="22"/>
  <c r="F599" i="22"/>
  <c r="G598" i="22"/>
  <c r="F598" i="22"/>
  <c r="G597" i="22"/>
  <c r="F597" i="22"/>
  <c r="G596" i="22"/>
  <c r="F596" i="22"/>
  <c r="G595" i="22"/>
  <c r="F595" i="22"/>
  <c r="G594" i="22"/>
  <c r="F594" i="22"/>
  <c r="G593" i="22"/>
  <c r="F593" i="22"/>
  <c r="G592" i="22"/>
  <c r="F592" i="22"/>
  <c r="G591" i="22"/>
  <c r="F591" i="22"/>
  <c r="G590" i="22"/>
  <c r="F590" i="22"/>
  <c r="G589" i="22"/>
  <c r="F589" i="22"/>
  <c r="G588" i="22"/>
  <c r="F588" i="22"/>
  <c r="G587" i="22"/>
  <c r="F587" i="22"/>
  <c r="G586" i="22"/>
  <c r="F586" i="22"/>
  <c r="G585" i="22"/>
  <c r="F585" i="22"/>
  <c r="G584" i="22"/>
  <c r="F584" i="22"/>
  <c r="G583" i="22"/>
  <c r="F583" i="22"/>
  <c r="G582" i="22"/>
  <c r="F582" i="22"/>
  <c r="G581" i="22"/>
  <c r="F581" i="22"/>
  <c r="G580" i="22"/>
  <c r="F580" i="22"/>
  <c r="G579" i="22"/>
  <c r="F579" i="22"/>
  <c r="G578" i="22"/>
  <c r="F578" i="22"/>
  <c r="G577" i="22"/>
  <c r="F577" i="22"/>
  <c r="G576" i="22"/>
  <c r="F576" i="22"/>
  <c r="G575" i="22"/>
  <c r="F575" i="22"/>
  <c r="G574" i="22"/>
  <c r="F574" i="22"/>
  <c r="G573" i="22"/>
  <c r="F573" i="22"/>
  <c r="G572" i="22"/>
  <c r="F572" i="22"/>
  <c r="G571" i="22"/>
  <c r="F571" i="22"/>
  <c r="G570" i="22"/>
  <c r="F570" i="22"/>
  <c r="G569" i="22"/>
  <c r="F569" i="22"/>
  <c r="G568" i="22"/>
  <c r="F568" i="22"/>
  <c r="G567" i="22"/>
  <c r="F567" i="22"/>
  <c r="G566" i="22"/>
  <c r="F566" i="22"/>
  <c r="G565" i="22"/>
  <c r="F565" i="22"/>
  <c r="G564" i="22"/>
  <c r="F564" i="22"/>
  <c r="G563" i="22"/>
  <c r="F563" i="22"/>
  <c r="G562" i="22"/>
  <c r="F562" i="22"/>
  <c r="G561" i="22"/>
  <c r="F561" i="22"/>
  <c r="G560" i="22"/>
  <c r="F560" i="22"/>
  <c r="G559" i="22"/>
  <c r="F559" i="22"/>
  <c r="G558" i="22"/>
  <c r="F558" i="22"/>
  <c r="G557" i="22"/>
  <c r="F557" i="22"/>
  <c r="G556" i="22"/>
  <c r="F556" i="22"/>
  <c r="G555" i="22"/>
  <c r="F555" i="22"/>
  <c r="G554" i="22"/>
  <c r="F554" i="22"/>
  <c r="G553" i="22"/>
  <c r="F553" i="22"/>
  <c r="G552" i="22"/>
  <c r="F552" i="22"/>
  <c r="G551" i="22"/>
  <c r="F551" i="22"/>
  <c r="G550" i="22"/>
  <c r="F550" i="22"/>
  <c r="G549" i="22"/>
  <c r="F549" i="22"/>
  <c r="G548" i="22"/>
  <c r="F548" i="22"/>
  <c r="G547" i="22"/>
  <c r="F547" i="22"/>
  <c r="G546" i="22"/>
  <c r="F546" i="22"/>
  <c r="G545" i="22"/>
  <c r="F545" i="22"/>
  <c r="G544" i="22"/>
  <c r="F544" i="22"/>
  <c r="G543" i="22"/>
  <c r="F543" i="22"/>
  <c r="G542" i="22"/>
  <c r="F542" i="22"/>
  <c r="G541" i="22"/>
  <c r="F541" i="22"/>
  <c r="G540" i="22"/>
  <c r="F540" i="22"/>
  <c r="G539" i="22"/>
  <c r="F539" i="22"/>
  <c r="G538" i="22"/>
  <c r="F538" i="22"/>
  <c r="G537" i="22"/>
  <c r="F537" i="22"/>
  <c r="G536" i="22"/>
  <c r="F536" i="22"/>
  <c r="G535" i="22"/>
  <c r="F535" i="22"/>
  <c r="G534" i="22"/>
  <c r="F534" i="22"/>
  <c r="G533" i="22"/>
  <c r="F533" i="22"/>
  <c r="G532" i="22"/>
  <c r="F532" i="22"/>
  <c r="G531" i="22"/>
  <c r="F531" i="22"/>
  <c r="G530" i="22"/>
  <c r="F530" i="22"/>
  <c r="G529" i="22"/>
  <c r="F529" i="22"/>
  <c r="G528" i="22"/>
  <c r="F528" i="22"/>
  <c r="G527" i="22"/>
  <c r="F527" i="22"/>
  <c r="G526" i="22"/>
  <c r="F526" i="22"/>
  <c r="G525" i="22"/>
  <c r="F525" i="22"/>
  <c r="G524" i="22"/>
  <c r="F524" i="22"/>
  <c r="G523" i="22"/>
  <c r="F523" i="22"/>
  <c r="G522" i="22"/>
  <c r="F522" i="22"/>
  <c r="G521" i="22"/>
  <c r="F521" i="22"/>
  <c r="G520" i="22"/>
  <c r="F520" i="22"/>
  <c r="G519" i="22"/>
  <c r="F519" i="22"/>
  <c r="G518" i="22"/>
  <c r="F518" i="22"/>
  <c r="G517" i="22"/>
  <c r="F517" i="22"/>
  <c r="G516" i="22"/>
  <c r="F516" i="22"/>
  <c r="G515" i="22"/>
  <c r="F515" i="22"/>
  <c r="G514" i="22"/>
  <c r="F514" i="22"/>
  <c r="G513" i="22"/>
  <c r="F513" i="22"/>
  <c r="G512" i="22"/>
  <c r="F512" i="22"/>
  <c r="G511" i="22"/>
  <c r="F511" i="22"/>
  <c r="G510" i="22"/>
  <c r="F510" i="22"/>
  <c r="G509" i="22"/>
  <c r="F509" i="22"/>
  <c r="G508" i="22"/>
  <c r="F508" i="22"/>
  <c r="G507" i="22"/>
  <c r="F507" i="22"/>
  <c r="G506" i="22"/>
  <c r="F506" i="22"/>
  <c r="G505" i="22"/>
  <c r="F505" i="22"/>
  <c r="G504" i="22"/>
  <c r="F504" i="22"/>
  <c r="G503" i="22"/>
  <c r="F503" i="22"/>
  <c r="G502" i="22"/>
  <c r="F502" i="22"/>
  <c r="G501" i="22"/>
  <c r="F501" i="22"/>
  <c r="G500" i="22"/>
  <c r="F500" i="22"/>
  <c r="G499" i="22"/>
  <c r="F499" i="22"/>
  <c r="G498" i="22"/>
  <c r="F498" i="22"/>
  <c r="G497" i="22"/>
  <c r="F497" i="22"/>
  <c r="G496" i="22"/>
  <c r="F496" i="22"/>
  <c r="G495" i="22"/>
  <c r="F495" i="22"/>
  <c r="G494" i="22"/>
  <c r="F494" i="22"/>
  <c r="G493" i="22"/>
  <c r="F493" i="22"/>
  <c r="G492" i="22"/>
  <c r="F492" i="22"/>
  <c r="G491" i="22"/>
  <c r="F491" i="22"/>
  <c r="G490" i="22"/>
  <c r="F490" i="22"/>
  <c r="G489" i="22"/>
  <c r="F489" i="22"/>
  <c r="G488" i="22"/>
  <c r="F488" i="22"/>
  <c r="G487" i="22"/>
  <c r="F487" i="22"/>
  <c r="G486" i="22"/>
  <c r="F486" i="22"/>
  <c r="G485" i="22"/>
  <c r="F485" i="22"/>
  <c r="G484" i="22"/>
  <c r="F484" i="22"/>
  <c r="G483" i="22"/>
  <c r="F483" i="22"/>
  <c r="G482" i="22"/>
  <c r="F482" i="22"/>
  <c r="G481" i="22"/>
  <c r="F481" i="22"/>
  <c r="G480" i="22"/>
  <c r="F480" i="22"/>
  <c r="G479" i="22"/>
  <c r="F479" i="22"/>
  <c r="G478" i="22"/>
  <c r="F478" i="22"/>
  <c r="G477" i="22"/>
  <c r="F477" i="22"/>
  <c r="G476" i="22"/>
  <c r="F476" i="22"/>
  <c r="G475" i="22"/>
  <c r="F475" i="22"/>
  <c r="G474" i="22"/>
  <c r="F474" i="22"/>
  <c r="G473" i="22"/>
  <c r="F473" i="22"/>
  <c r="G472" i="22"/>
  <c r="F472" i="22"/>
  <c r="G471" i="22"/>
  <c r="F471" i="22"/>
  <c r="G470" i="22"/>
  <c r="F470" i="22"/>
  <c r="G469" i="22"/>
  <c r="F469" i="22"/>
  <c r="G468" i="22"/>
  <c r="F468" i="22"/>
  <c r="G467" i="22"/>
  <c r="F467" i="22"/>
  <c r="G466" i="22"/>
  <c r="F466" i="22"/>
  <c r="G465" i="22"/>
  <c r="F465" i="22"/>
  <c r="G464" i="22"/>
  <c r="F464" i="22"/>
  <c r="G463" i="22"/>
  <c r="F463" i="22"/>
  <c r="G462" i="22"/>
  <c r="F462" i="22"/>
  <c r="G461" i="22"/>
  <c r="F461" i="22"/>
  <c r="G460" i="22"/>
  <c r="F460" i="22"/>
  <c r="G459" i="22"/>
  <c r="F459" i="22"/>
  <c r="G458" i="22"/>
  <c r="F458" i="22"/>
  <c r="G457" i="22"/>
  <c r="F457" i="22"/>
  <c r="G456" i="22"/>
  <c r="F456" i="22"/>
  <c r="G455" i="22"/>
  <c r="F455" i="22"/>
  <c r="G454" i="22"/>
  <c r="F454" i="22"/>
  <c r="G453" i="22"/>
  <c r="F453" i="22"/>
  <c r="G452" i="22"/>
  <c r="F452" i="22"/>
  <c r="G451" i="22"/>
  <c r="F451" i="22"/>
  <c r="G450" i="22"/>
  <c r="F450" i="22"/>
  <c r="G449" i="22"/>
  <c r="F449" i="22"/>
  <c r="G448" i="22"/>
  <c r="F448" i="22"/>
  <c r="G447" i="22"/>
  <c r="F447" i="22"/>
  <c r="G446" i="22"/>
  <c r="F446" i="22"/>
  <c r="G445" i="22"/>
  <c r="F445" i="22"/>
  <c r="G444" i="22"/>
  <c r="F444" i="22"/>
  <c r="G443" i="22"/>
  <c r="F443" i="22"/>
  <c r="G442" i="22"/>
  <c r="F442" i="22"/>
  <c r="G441" i="22"/>
  <c r="F441" i="22"/>
  <c r="G440" i="22"/>
  <c r="F440" i="22"/>
  <c r="G439" i="22"/>
  <c r="F439" i="22"/>
  <c r="G438" i="22"/>
  <c r="F438" i="22"/>
  <c r="G437" i="22"/>
  <c r="F437" i="22"/>
  <c r="G436" i="22"/>
  <c r="F436" i="22"/>
  <c r="G435" i="22"/>
  <c r="F435" i="22"/>
  <c r="G434" i="22"/>
  <c r="F434" i="22"/>
  <c r="G433" i="22"/>
  <c r="F433" i="22"/>
  <c r="G432" i="22"/>
  <c r="F432" i="22"/>
  <c r="G431" i="22"/>
  <c r="F431" i="22"/>
  <c r="G430" i="22"/>
  <c r="F430" i="22"/>
  <c r="G429" i="22"/>
  <c r="F429" i="22"/>
  <c r="G428" i="22"/>
  <c r="F428" i="22"/>
  <c r="G427" i="22"/>
  <c r="F427" i="22"/>
  <c r="G426" i="22"/>
  <c r="F426" i="22"/>
  <c r="G425" i="22"/>
  <c r="F425" i="22"/>
  <c r="G424" i="22"/>
  <c r="F424" i="22"/>
  <c r="G423" i="22"/>
  <c r="F423" i="22"/>
  <c r="G422" i="22"/>
  <c r="F422" i="22"/>
  <c r="G421" i="22"/>
  <c r="F421" i="22"/>
  <c r="G420" i="22"/>
  <c r="F420" i="22"/>
  <c r="G419" i="22"/>
  <c r="F419" i="22"/>
  <c r="G418" i="22"/>
  <c r="F418" i="22"/>
  <c r="G417" i="22"/>
  <c r="F417" i="22"/>
  <c r="G416" i="22"/>
  <c r="F416" i="22"/>
  <c r="G415" i="22"/>
  <c r="F415" i="22"/>
  <c r="G414" i="22"/>
  <c r="F414" i="22"/>
  <c r="G413" i="22"/>
  <c r="F413" i="22"/>
  <c r="G412" i="22"/>
  <c r="F412" i="22"/>
  <c r="G411" i="22"/>
  <c r="F411" i="22"/>
  <c r="G410" i="22"/>
  <c r="F410" i="22"/>
  <c r="G409" i="22"/>
  <c r="F409" i="22"/>
  <c r="G408" i="22"/>
  <c r="F408" i="22"/>
  <c r="G407" i="22"/>
  <c r="F407" i="22"/>
  <c r="G406" i="22"/>
  <c r="F406" i="22"/>
  <c r="G405" i="22"/>
  <c r="F405" i="22"/>
  <c r="G404" i="22"/>
  <c r="F404" i="22"/>
  <c r="G403" i="22"/>
  <c r="F403" i="22"/>
  <c r="G402" i="22"/>
  <c r="F402" i="22"/>
  <c r="G401" i="22"/>
  <c r="F401" i="22"/>
  <c r="G400" i="22"/>
  <c r="F400" i="22"/>
  <c r="G399" i="22"/>
  <c r="F399" i="22"/>
  <c r="G398" i="22"/>
  <c r="F398" i="22"/>
  <c r="G397" i="22"/>
  <c r="F397" i="22"/>
  <c r="G396" i="22"/>
  <c r="F396" i="22"/>
  <c r="G395" i="22"/>
  <c r="F395" i="22"/>
  <c r="G394" i="22"/>
  <c r="F394" i="22"/>
  <c r="G393" i="22"/>
  <c r="F393" i="22"/>
  <c r="G392" i="22"/>
  <c r="F392" i="22"/>
  <c r="G391" i="22"/>
  <c r="F391" i="22"/>
  <c r="G390" i="22"/>
  <c r="F390" i="22"/>
  <c r="G389" i="22"/>
  <c r="F389" i="22"/>
  <c r="G388" i="22"/>
  <c r="F388" i="22"/>
  <c r="G387" i="22"/>
  <c r="F387" i="22"/>
  <c r="G386" i="22"/>
  <c r="F386" i="22"/>
  <c r="G385" i="22"/>
  <c r="F385" i="22"/>
  <c r="G384" i="22"/>
  <c r="F384" i="22"/>
  <c r="G383" i="22"/>
  <c r="F383" i="22"/>
  <c r="G382" i="22"/>
  <c r="F382" i="22"/>
  <c r="G381" i="22"/>
  <c r="F381" i="22"/>
  <c r="G380" i="22"/>
  <c r="F380" i="22"/>
  <c r="G379" i="22"/>
  <c r="F379" i="22"/>
  <c r="G378" i="22"/>
  <c r="F378" i="22"/>
  <c r="G377" i="22"/>
  <c r="F377" i="22"/>
  <c r="G376" i="22"/>
  <c r="F376" i="22"/>
  <c r="G375" i="22"/>
  <c r="F375" i="22"/>
  <c r="G374" i="22"/>
  <c r="F374" i="22"/>
  <c r="G373" i="22"/>
  <c r="F373" i="22"/>
  <c r="G372" i="22"/>
  <c r="F372" i="22"/>
  <c r="G371" i="22"/>
  <c r="F371" i="22"/>
  <c r="G370" i="22"/>
  <c r="F370" i="22"/>
  <c r="G369" i="22"/>
  <c r="F369" i="22"/>
  <c r="G368" i="22"/>
  <c r="F368" i="22"/>
  <c r="G367" i="22"/>
  <c r="F367" i="22"/>
  <c r="G366" i="22"/>
  <c r="F366" i="22"/>
  <c r="G365" i="22"/>
  <c r="F365" i="22"/>
  <c r="G364" i="22"/>
  <c r="F364" i="22"/>
  <c r="G363" i="22"/>
  <c r="F363" i="22"/>
  <c r="G362" i="22"/>
  <c r="F362" i="22"/>
  <c r="G361" i="22"/>
  <c r="F361" i="22"/>
  <c r="G360" i="22"/>
  <c r="F360" i="22"/>
  <c r="G359" i="22"/>
  <c r="F359" i="22"/>
  <c r="G358" i="22"/>
  <c r="F358" i="22"/>
  <c r="G357" i="22"/>
  <c r="F357" i="22"/>
  <c r="G356" i="22"/>
  <c r="F356" i="22"/>
  <c r="G355" i="22"/>
  <c r="F355" i="22"/>
  <c r="G354" i="22"/>
  <c r="F354" i="22"/>
  <c r="G353" i="22"/>
  <c r="F353" i="22"/>
  <c r="G352" i="22"/>
  <c r="F352" i="22"/>
  <c r="G351" i="22"/>
  <c r="F351" i="22"/>
  <c r="G350" i="22"/>
  <c r="F350" i="22"/>
  <c r="G349" i="22"/>
  <c r="F349" i="22"/>
  <c r="G348" i="22"/>
  <c r="F348" i="22"/>
  <c r="G347" i="22"/>
  <c r="F347" i="22"/>
  <c r="G346" i="22"/>
  <c r="F346" i="22"/>
  <c r="G345" i="22"/>
  <c r="F345" i="22"/>
  <c r="G344" i="22"/>
  <c r="F344" i="22"/>
  <c r="G343" i="22"/>
  <c r="F343" i="22"/>
  <c r="G342" i="22"/>
  <c r="F342" i="22"/>
  <c r="G341" i="22"/>
  <c r="F341" i="22"/>
  <c r="G340" i="22"/>
  <c r="F340" i="22"/>
  <c r="G339" i="22"/>
  <c r="F339" i="22"/>
  <c r="G338" i="22"/>
  <c r="F338" i="22"/>
  <c r="G337" i="22"/>
  <c r="F337" i="22"/>
  <c r="G336" i="22"/>
  <c r="F336" i="22"/>
  <c r="G335" i="22"/>
  <c r="F335" i="22"/>
  <c r="G334" i="22"/>
  <c r="F334" i="22"/>
  <c r="G333" i="22"/>
  <c r="F333" i="22"/>
  <c r="G332" i="22"/>
  <c r="F332" i="22"/>
  <c r="G331" i="22"/>
  <c r="F331" i="22"/>
  <c r="G330" i="22"/>
  <c r="F330" i="22"/>
  <c r="G329" i="22"/>
  <c r="F329" i="22"/>
  <c r="G328" i="22"/>
  <c r="F328" i="22"/>
  <c r="G327" i="22"/>
  <c r="F327" i="22"/>
  <c r="G326" i="22"/>
  <c r="F326" i="22"/>
  <c r="G325" i="22"/>
  <c r="F325" i="22"/>
  <c r="G324" i="22"/>
  <c r="F324" i="22"/>
  <c r="G323" i="22"/>
  <c r="F323" i="22"/>
  <c r="G322" i="22"/>
  <c r="F322" i="22"/>
  <c r="G321" i="22"/>
  <c r="F321" i="22"/>
  <c r="G320" i="22"/>
  <c r="F320" i="22"/>
  <c r="G319" i="22"/>
  <c r="F319" i="22"/>
  <c r="G318" i="22"/>
  <c r="F318" i="22"/>
  <c r="G317" i="22"/>
  <c r="F317" i="22"/>
  <c r="G316" i="22"/>
  <c r="F316" i="22"/>
  <c r="G315" i="22"/>
  <c r="F315" i="22"/>
  <c r="G314" i="22"/>
  <c r="F314" i="22"/>
  <c r="G313" i="22"/>
  <c r="F313" i="22"/>
  <c r="G312" i="22"/>
  <c r="F312" i="22"/>
  <c r="G311" i="22"/>
  <c r="F311" i="22"/>
  <c r="G310" i="22"/>
  <c r="F310" i="22"/>
  <c r="G309" i="22"/>
  <c r="F309" i="22"/>
  <c r="G308" i="22"/>
  <c r="F308" i="22"/>
  <c r="G307" i="22"/>
  <c r="F307" i="22"/>
  <c r="G306" i="22"/>
  <c r="F306" i="22"/>
  <c r="G305" i="22"/>
  <c r="F305" i="22"/>
  <c r="G304" i="22"/>
  <c r="F304" i="22"/>
  <c r="G303" i="22"/>
  <c r="F303" i="22"/>
  <c r="G302" i="22"/>
  <c r="F302" i="22"/>
  <c r="G301" i="22"/>
  <c r="F301" i="22"/>
  <c r="G300" i="22"/>
  <c r="F300" i="22"/>
  <c r="G299" i="22"/>
  <c r="F299" i="22"/>
  <c r="G298" i="22"/>
  <c r="F298" i="22"/>
  <c r="G297" i="22"/>
  <c r="F297" i="22"/>
  <c r="G296" i="22"/>
  <c r="F296" i="22"/>
  <c r="G295" i="22"/>
  <c r="F295" i="22"/>
  <c r="G294" i="22"/>
  <c r="F294" i="22"/>
  <c r="G293" i="22"/>
  <c r="F293" i="22"/>
  <c r="G292" i="22"/>
  <c r="F292" i="22"/>
  <c r="G291" i="22"/>
  <c r="F291" i="22"/>
  <c r="G290" i="22"/>
  <c r="F290" i="22"/>
  <c r="G289" i="22"/>
  <c r="F289" i="22"/>
  <c r="G288" i="22"/>
  <c r="F288" i="22"/>
  <c r="G287" i="22"/>
  <c r="F287" i="22"/>
  <c r="G286" i="22"/>
  <c r="F286" i="22"/>
  <c r="G285" i="22"/>
  <c r="F285" i="22"/>
  <c r="G284" i="22"/>
  <c r="F284" i="22"/>
  <c r="G283" i="22"/>
  <c r="F283" i="22"/>
  <c r="G282" i="22"/>
  <c r="F282" i="22"/>
  <c r="G281" i="22"/>
  <c r="F281" i="22"/>
  <c r="G280" i="22"/>
  <c r="F280" i="22"/>
  <c r="G279" i="22"/>
  <c r="F279" i="22"/>
  <c r="G278" i="22"/>
  <c r="F278" i="22"/>
  <c r="G277" i="22"/>
  <c r="F277" i="22"/>
  <c r="G276" i="22"/>
  <c r="F276" i="22"/>
  <c r="G275" i="22"/>
  <c r="F275" i="22"/>
  <c r="G274" i="22"/>
  <c r="F274" i="22"/>
  <c r="G273" i="22"/>
  <c r="F273" i="22"/>
  <c r="G272" i="22"/>
  <c r="F272" i="22"/>
  <c r="G271" i="22"/>
  <c r="F271" i="22"/>
  <c r="G270" i="22"/>
  <c r="F270" i="22"/>
  <c r="G269" i="22"/>
  <c r="F269" i="22"/>
  <c r="G268" i="22"/>
  <c r="F268" i="22"/>
  <c r="G267" i="22"/>
  <c r="F267" i="22"/>
  <c r="G266" i="22"/>
  <c r="F266" i="22"/>
  <c r="G265" i="22"/>
  <c r="F265" i="22"/>
  <c r="G264" i="22"/>
  <c r="F264" i="22"/>
  <c r="G263" i="22"/>
  <c r="F263" i="22"/>
  <c r="G262" i="22"/>
  <c r="F262" i="22"/>
  <c r="G261" i="22"/>
  <c r="F261" i="22"/>
  <c r="G260" i="22"/>
  <c r="F260" i="22"/>
  <c r="G259" i="22"/>
  <c r="F259" i="22"/>
  <c r="G258" i="22"/>
  <c r="F258" i="22"/>
  <c r="G257" i="22"/>
  <c r="F257" i="22"/>
  <c r="G256" i="22"/>
  <c r="F256" i="22"/>
  <c r="G255" i="22"/>
  <c r="F255" i="22"/>
  <c r="G254" i="22"/>
  <c r="F254" i="22"/>
  <c r="G253" i="22"/>
  <c r="F253" i="22"/>
  <c r="G252" i="22"/>
  <c r="F252" i="22"/>
  <c r="G251" i="22"/>
  <c r="F251" i="22"/>
  <c r="G250" i="22"/>
  <c r="F250" i="22"/>
  <c r="G249" i="22"/>
  <c r="F249" i="22"/>
  <c r="G248" i="22"/>
  <c r="F248" i="22"/>
  <c r="G247" i="22"/>
  <c r="F247" i="22"/>
  <c r="G246" i="22"/>
  <c r="F246" i="22"/>
  <c r="G245" i="22"/>
  <c r="F245" i="22"/>
  <c r="G244" i="22"/>
  <c r="F244" i="22"/>
  <c r="G243" i="22"/>
  <c r="F243" i="22"/>
  <c r="G242" i="22"/>
  <c r="F242" i="22"/>
  <c r="G241" i="22"/>
  <c r="F241" i="22"/>
  <c r="G240" i="22"/>
  <c r="F240" i="22"/>
  <c r="G239" i="22"/>
  <c r="F239" i="22"/>
  <c r="G238" i="22"/>
  <c r="F238" i="22"/>
  <c r="G237" i="22"/>
  <c r="F237" i="22"/>
  <c r="G236" i="22"/>
  <c r="F236" i="22"/>
  <c r="G235" i="22"/>
  <c r="F235" i="22"/>
  <c r="G234" i="22"/>
  <c r="F234" i="22"/>
  <c r="G233" i="22"/>
  <c r="F233" i="22"/>
  <c r="G232" i="22"/>
  <c r="F232" i="22"/>
  <c r="G231" i="22"/>
  <c r="F231" i="22"/>
  <c r="G230" i="22"/>
  <c r="F230" i="22"/>
  <c r="G229" i="22"/>
  <c r="F229" i="22"/>
  <c r="G228" i="22"/>
  <c r="F228" i="22"/>
  <c r="G227" i="22"/>
  <c r="F227" i="22"/>
  <c r="G226" i="22"/>
  <c r="F226" i="22"/>
  <c r="G225" i="22"/>
  <c r="F225" i="22"/>
  <c r="G224" i="22"/>
  <c r="F224" i="22"/>
  <c r="G223" i="22"/>
  <c r="F223" i="22"/>
  <c r="G222" i="22"/>
  <c r="F222" i="22"/>
  <c r="G221" i="22"/>
  <c r="F221" i="22"/>
  <c r="G220" i="22"/>
  <c r="F220" i="22"/>
  <c r="G219" i="22"/>
  <c r="F219" i="22"/>
  <c r="G218" i="22"/>
  <c r="F218" i="22"/>
  <c r="G217" i="22"/>
  <c r="F217" i="22"/>
  <c r="G216" i="22"/>
  <c r="F216" i="22"/>
  <c r="G215" i="22"/>
  <c r="F215" i="22"/>
  <c r="G214" i="22"/>
  <c r="F214" i="22"/>
  <c r="G213" i="22"/>
  <c r="F213" i="22"/>
  <c r="G212" i="22"/>
  <c r="F212" i="22"/>
  <c r="G211" i="22"/>
  <c r="F211" i="22"/>
  <c r="G210" i="22"/>
  <c r="F210" i="22"/>
  <c r="G209" i="22"/>
  <c r="F209" i="22"/>
  <c r="G208" i="22"/>
  <c r="F208" i="22"/>
  <c r="G207" i="22"/>
  <c r="F207" i="22"/>
  <c r="G206" i="22"/>
  <c r="F206" i="22"/>
  <c r="G205" i="22"/>
  <c r="F205" i="22"/>
  <c r="G204" i="22"/>
  <c r="F204" i="22"/>
  <c r="G203" i="22"/>
  <c r="F203" i="22"/>
  <c r="G202" i="22"/>
  <c r="F202" i="22"/>
  <c r="G201" i="22"/>
  <c r="F201" i="22"/>
  <c r="G200" i="22"/>
  <c r="F200" i="22"/>
  <c r="G199" i="22"/>
  <c r="F199" i="22"/>
  <c r="G198" i="22"/>
  <c r="F198" i="22"/>
  <c r="G197" i="22"/>
  <c r="F197" i="22"/>
  <c r="G196" i="22"/>
  <c r="F196" i="22"/>
  <c r="G195" i="22"/>
  <c r="F195" i="22"/>
  <c r="G194" i="22"/>
  <c r="F194" i="22"/>
  <c r="G193" i="22"/>
  <c r="F193" i="22"/>
  <c r="G192" i="22"/>
  <c r="F192" i="22"/>
  <c r="G191" i="22"/>
  <c r="F191" i="22"/>
  <c r="G190" i="22"/>
  <c r="F190" i="22"/>
  <c r="G189" i="22"/>
  <c r="F189" i="22"/>
  <c r="G188" i="22"/>
  <c r="F188" i="22"/>
  <c r="G187" i="22"/>
  <c r="F187" i="22"/>
  <c r="G186" i="22"/>
  <c r="F186" i="22"/>
  <c r="G185" i="22"/>
  <c r="F185" i="22"/>
  <c r="G184" i="22"/>
  <c r="F184" i="22"/>
  <c r="G183" i="22"/>
  <c r="F183" i="22"/>
  <c r="G182" i="22"/>
  <c r="F182" i="22"/>
  <c r="G181" i="22"/>
  <c r="F181" i="22"/>
  <c r="G180" i="22"/>
  <c r="F180" i="22"/>
  <c r="G179" i="22"/>
  <c r="F179" i="22"/>
  <c r="G178" i="22"/>
  <c r="F178" i="22"/>
  <c r="G177" i="22"/>
  <c r="F177" i="22"/>
  <c r="G176" i="22"/>
  <c r="F176" i="22"/>
  <c r="G175" i="22"/>
  <c r="F175" i="22"/>
  <c r="G174" i="22"/>
  <c r="F174" i="22"/>
  <c r="G173" i="22"/>
  <c r="F173" i="22"/>
  <c r="G172" i="22"/>
  <c r="F172" i="22"/>
  <c r="G171" i="22"/>
  <c r="F171" i="22"/>
  <c r="G170" i="22"/>
  <c r="F170" i="22"/>
  <c r="G169" i="22"/>
  <c r="F169" i="22"/>
  <c r="G168" i="22"/>
  <c r="F168" i="22"/>
  <c r="G167" i="22"/>
  <c r="F167" i="22"/>
  <c r="G166" i="22"/>
  <c r="F166" i="22"/>
  <c r="G165" i="22"/>
  <c r="F165" i="22"/>
  <c r="G164" i="22"/>
  <c r="F164" i="22"/>
  <c r="G163" i="22"/>
  <c r="F163" i="22"/>
  <c r="G162" i="22"/>
  <c r="F162" i="22"/>
  <c r="G161" i="22"/>
  <c r="F161" i="22"/>
  <c r="G160" i="22"/>
  <c r="F160" i="22"/>
  <c r="G159" i="22"/>
  <c r="F159" i="22"/>
  <c r="G158" i="22"/>
  <c r="F158" i="22"/>
  <c r="G157" i="22"/>
  <c r="F157" i="22"/>
  <c r="G156" i="22"/>
  <c r="F156" i="22"/>
  <c r="G155" i="22"/>
  <c r="F155" i="22"/>
  <c r="G154" i="22"/>
  <c r="F154" i="22"/>
  <c r="G153" i="22"/>
  <c r="F153" i="22"/>
  <c r="G152" i="22"/>
  <c r="F152" i="22"/>
  <c r="G151" i="22"/>
  <c r="F151" i="22"/>
  <c r="G150" i="22"/>
  <c r="F150" i="22"/>
  <c r="G149" i="22"/>
  <c r="F149" i="22"/>
  <c r="G148" i="22"/>
  <c r="F148" i="22"/>
  <c r="G147" i="22"/>
  <c r="F147" i="22"/>
  <c r="G146" i="22"/>
  <c r="F146" i="22"/>
  <c r="G145" i="22"/>
  <c r="F145" i="22"/>
  <c r="G144" i="22"/>
  <c r="F144" i="22"/>
  <c r="G143" i="22"/>
  <c r="F143" i="22"/>
  <c r="G142" i="22"/>
  <c r="F142" i="22"/>
  <c r="G141" i="22"/>
  <c r="F141" i="22"/>
  <c r="G140" i="22"/>
  <c r="F140" i="22"/>
  <c r="G139" i="22"/>
  <c r="F139" i="22"/>
  <c r="G138" i="22"/>
  <c r="F138" i="22"/>
  <c r="G137" i="22"/>
  <c r="F137" i="22"/>
  <c r="G136" i="22"/>
  <c r="F136" i="22"/>
  <c r="G135" i="22"/>
  <c r="F135" i="22"/>
  <c r="G134" i="22"/>
  <c r="F134" i="22"/>
  <c r="G133" i="22"/>
  <c r="F133" i="22"/>
  <c r="G132" i="22"/>
  <c r="F132" i="22"/>
  <c r="G131" i="22"/>
  <c r="F131" i="22"/>
  <c r="G130" i="22"/>
  <c r="F130" i="22"/>
  <c r="G129" i="22"/>
  <c r="F129" i="22"/>
  <c r="G128" i="22"/>
  <c r="F128" i="22"/>
  <c r="G127" i="22"/>
  <c r="F127" i="22"/>
  <c r="G126" i="22"/>
  <c r="F126" i="22"/>
  <c r="G125" i="22"/>
  <c r="F125" i="22"/>
  <c r="G124" i="22"/>
  <c r="F124" i="22"/>
  <c r="G123" i="22"/>
  <c r="F123" i="22"/>
  <c r="G122" i="22"/>
  <c r="F122" i="22"/>
  <c r="G121" i="22"/>
  <c r="F121" i="22"/>
  <c r="G120" i="22"/>
  <c r="F120" i="22"/>
  <c r="G119" i="22"/>
  <c r="F119" i="22"/>
  <c r="G118" i="22"/>
  <c r="F118" i="22"/>
  <c r="G117" i="22"/>
  <c r="F117" i="22"/>
  <c r="G116" i="22"/>
  <c r="F116" i="22"/>
  <c r="G115" i="22"/>
  <c r="F115" i="22"/>
  <c r="G114" i="22"/>
  <c r="F114" i="22"/>
  <c r="G113" i="22"/>
  <c r="F113" i="22"/>
  <c r="G112" i="22"/>
  <c r="F112" i="22"/>
  <c r="G111" i="22"/>
  <c r="F111" i="22"/>
  <c r="G110" i="22"/>
  <c r="F110" i="22"/>
  <c r="G109" i="22"/>
  <c r="F109" i="22"/>
  <c r="G108" i="22"/>
  <c r="F108" i="22"/>
  <c r="G107" i="22"/>
  <c r="F107" i="22"/>
  <c r="G106" i="22"/>
  <c r="F106" i="22"/>
  <c r="G105" i="22"/>
  <c r="F105" i="22"/>
  <c r="G104" i="22"/>
  <c r="F104" i="22"/>
  <c r="G103" i="22"/>
  <c r="F103" i="22"/>
  <c r="G102" i="22"/>
  <c r="F102" i="22"/>
  <c r="G101" i="22"/>
  <c r="F101" i="22"/>
  <c r="G100" i="22"/>
  <c r="F100" i="22"/>
  <c r="G99" i="22"/>
  <c r="F99" i="22"/>
  <c r="G98" i="22"/>
  <c r="F98" i="22"/>
  <c r="G97" i="22"/>
  <c r="F97" i="22"/>
  <c r="G96" i="22"/>
  <c r="F96" i="22"/>
  <c r="G95" i="22"/>
  <c r="F95" i="22"/>
  <c r="G94" i="22"/>
  <c r="F94" i="22"/>
  <c r="G93" i="22"/>
  <c r="F93" i="22"/>
  <c r="G92" i="22"/>
  <c r="F92" i="22"/>
  <c r="G91" i="22"/>
  <c r="F91" i="22"/>
  <c r="G90" i="22"/>
  <c r="F90" i="22"/>
  <c r="G89" i="22"/>
  <c r="F89" i="22"/>
  <c r="G88" i="22"/>
  <c r="F88" i="22"/>
  <c r="G87" i="22"/>
  <c r="F87" i="22"/>
  <c r="G86" i="22"/>
  <c r="F86" i="22"/>
  <c r="G85" i="22"/>
  <c r="F85" i="22"/>
  <c r="G84" i="22"/>
  <c r="F84" i="22"/>
  <c r="G83" i="22"/>
  <c r="F83" i="22"/>
  <c r="G82" i="22"/>
  <c r="F82" i="22"/>
  <c r="G81" i="22"/>
  <c r="F81" i="22"/>
  <c r="G80" i="22"/>
  <c r="F80" i="22"/>
  <c r="G79" i="22"/>
  <c r="F79" i="22"/>
  <c r="G78" i="22"/>
  <c r="F78" i="22"/>
  <c r="G77" i="22"/>
  <c r="F77" i="22"/>
  <c r="G76" i="22"/>
  <c r="F76" i="22"/>
  <c r="G75" i="22"/>
  <c r="F75" i="22"/>
  <c r="G74" i="22"/>
  <c r="F74" i="22"/>
  <c r="G73" i="22"/>
  <c r="F73" i="22"/>
  <c r="G72" i="22"/>
  <c r="F72" i="22"/>
  <c r="G71" i="22"/>
  <c r="F71" i="22"/>
  <c r="G70" i="22"/>
  <c r="F70" i="22"/>
  <c r="G69" i="22"/>
  <c r="F69" i="22"/>
  <c r="G68" i="22"/>
  <c r="F68" i="22"/>
  <c r="G67" i="22"/>
  <c r="F67" i="22"/>
  <c r="G66" i="22"/>
  <c r="F66" i="22"/>
  <c r="G65" i="22"/>
  <c r="F65" i="22"/>
  <c r="G64" i="22"/>
  <c r="F64" i="22"/>
  <c r="G63" i="22"/>
  <c r="F63" i="22"/>
  <c r="G62" i="22"/>
  <c r="F62" i="22"/>
  <c r="G61" i="22"/>
  <c r="F61" i="22"/>
  <c r="G60" i="22"/>
  <c r="F60" i="22"/>
  <c r="G59" i="22"/>
  <c r="F59" i="22"/>
  <c r="G58" i="22"/>
  <c r="F58" i="22"/>
  <c r="G57" i="22"/>
  <c r="F57" i="22"/>
  <c r="G56" i="22"/>
  <c r="F56" i="22"/>
  <c r="G55" i="22"/>
  <c r="F55" i="22"/>
  <c r="G54" i="22"/>
  <c r="F54" i="22"/>
  <c r="G53" i="22"/>
  <c r="F53" i="22"/>
  <c r="G52" i="22"/>
  <c r="F52" i="22"/>
  <c r="G51" i="22"/>
  <c r="F51" i="22"/>
  <c r="G50" i="22"/>
  <c r="F50" i="22"/>
  <c r="G49" i="22"/>
  <c r="F49" i="22"/>
  <c r="G48" i="22"/>
  <c r="F48" i="22"/>
  <c r="G47" i="22"/>
  <c r="F47" i="22"/>
  <c r="G46" i="22"/>
  <c r="F46" i="22"/>
  <c r="G45" i="22"/>
  <c r="F45" i="22"/>
  <c r="G44" i="22"/>
  <c r="F44" i="22"/>
  <c r="G43" i="22"/>
  <c r="F43" i="22"/>
  <c r="G42" i="22"/>
  <c r="F42" i="22"/>
  <c r="G41" i="22"/>
  <c r="F41" i="22"/>
  <c r="G40" i="22"/>
  <c r="F40" i="22"/>
  <c r="G39" i="22"/>
  <c r="F39" i="22"/>
  <c r="G38" i="22"/>
  <c r="F38" i="22"/>
  <c r="G37" i="22"/>
  <c r="F37" i="22"/>
  <c r="G36" i="22"/>
  <c r="F36" i="22"/>
  <c r="G35" i="22"/>
  <c r="F35" i="22"/>
  <c r="G34" i="22"/>
  <c r="F34" i="22"/>
  <c r="G33" i="22"/>
  <c r="F33" i="22"/>
  <c r="G32" i="22"/>
  <c r="F32" i="22"/>
  <c r="G31" i="22"/>
  <c r="F31" i="22"/>
  <c r="G30" i="22"/>
  <c r="F30" i="22"/>
  <c r="G29" i="22"/>
  <c r="F29" i="22"/>
  <c r="G28" i="22"/>
  <c r="F28" i="22"/>
  <c r="G27" i="22"/>
  <c r="F27" i="22"/>
  <c r="G26" i="22"/>
  <c r="F26" i="22"/>
  <c r="G25" i="22"/>
  <c r="F25" i="22"/>
  <c r="G24" i="22"/>
  <c r="F24" i="22"/>
  <c r="G23" i="22"/>
  <c r="F23" i="22"/>
  <c r="G22" i="22"/>
  <c r="F22" i="22"/>
  <c r="G21" i="22"/>
  <c r="F21" i="22"/>
  <c r="G20" i="22"/>
  <c r="F20" i="22"/>
  <c r="G19" i="22"/>
  <c r="F19" i="22"/>
  <c r="G18" i="22"/>
  <c r="F18" i="22"/>
  <c r="G17" i="22"/>
  <c r="F17" i="22"/>
  <c r="G16" i="22"/>
  <c r="F16" i="22"/>
  <c r="G15" i="22"/>
  <c r="F15" i="22"/>
  <c r="G14" i="22"/>
  <c r="F14" i="22"/>
  <c r="G13" i="22"/>
  <c r="F13" i="22"/>
  <c r="G12" i="22"/>
  <c r="F12" i="22"/>
  <c r="G11" i="22"/>
  <c r="F11" i="22"/>
  <c r="G10" i="22"/>
  <c r="F10" i="22"/>
  <c r="G9" i="22"/>
  <c r="F9" i="22"/>
  <c r="G8" i="22"/>
  <c r="F8" i="22"/>
  <c r="G7" i="22"/>
  <c r="F7" i="22"/>
  <c r="G6" i="22"/>
  <c r="F6" i="22"/>
  <c r="G5" i="22"/>
  <c r="F5" i="22"/>
  <c r="G4" i="22"/>
  <c r="F4" i="22"/>
  <c r="G1" i="22"/>
  <c r="F1" i="22"/>
  <c r="E1" i="22"/>
  <c r="D1" i="22"/>
  <c r="C1" i="22"/>
  <c r="B1" i="22"/>
  <c r="AB3" i="22" l="1"/>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46" i="17"/>
  <c r="C86" i="17"/>
  <c r="C74" i="17"/>
  <c r="C75" i="17" s="1"/>
  <c r="C76" i="17" s="1"/>
  <c r="C77" i="17" s="1"/>
  <c r="C78" i="17" s="1"/>
  <c r="C79" i="17" s="1"/>
  <c r="C80" i="17" s="1"/>
  <c r="C81" i="17" s="1"/>
  <c r="C82" i="17" s="1"/>
  <c r="C65" i="17"/>
  <c r="C66" i="17" s="1"/>
  <c r="C67" i="17" s="1"/>
  <c r="C68" i="17" s="1"/>
  <c r="C69" i="17" s="1"/>
  <c r="C70" i="17" s="1"/>
  <c r="C71" i="17" s="1"/>
  <c r="C72" i="17" s="1"/>
  <c r="I250" i="18"/>
  <c r="I251" i="18"/>
  <c r="I252" i="18"/>
  <c r="I253" i="18"/>
  <c r="I254" i="18"/>
  <c r="I255" i="18"/>
  <c r="I256" i="18"/>
  <c r="I257" i="18"/>
  <c r="I258" i="18"/>
  <c r="I259" i="18"/>
  <c r="I260" i="18"/>
  <c r="I261" i="18"/>
  <c r="I262" i="18"/>
  <c r="I263" i="18"/>
  <c r="I264" i="18"/>
  <c r="I265" i="18"/>
  <c r="I266" i="18"/>
  <c r="I267" i="18"/>
  <c r="I268" i="18"/>
  <c r="I269" i="18"/>
  <c r="I270" i="18"/>
  <c r="I271" i="18"/>
  <c r="I272" i="18"/>
  <c r="I273" i="18"/>
  <c r="I274" i="18"/>
  <c r="I275" i="18"/>
  <c r="I276" i="18"/>
  <c r="I277" i="18"/>
  <c r="I278" i="18"/>
  <c r="I279" i="18"/>
  <c r="I280" i="18"/>
  <c r="I281" i="18"/>
  <c r="I282" i="18"/>
  <c r="I283" i="18"/>
  <c r="I284" i="18"/>
  <c r="I285" i="18"/>
  <c r="I286" i="18"/>
  <c r="I287" i="18"/>
  <c r="I288" i="18"/>
  <c r="I289" i="18"/>
  <c r="I290" i="18"/>
  <c r="I291" i="18"/>
  <c r="I292" i="18"/>
  <c r="I293" i="18"/>
  <c r="I294" i="18"/>
  <c r="I295" i="18"/>
  <c r="I296" i="18"/>
  <c r="I297" i="18"/>
  <c r="I298" i="18"/>
  <c r="I299" i="18"/>
  <c r="I300" i="18"/>
  <c r="I301" i="18"/>
  <c r="I302" i="18"/>
  <c r="I303" i="18"/>
  <c r="I304" i="18"/>
  <c r="I305" i="18"/>
  <c r="I307" i="18"/>
  <c r="I308" i="18"/>
  <c r="I309" i="18"/>
  <c r="I310" i="18"/>
  <c r="I311" i="18"/>
  <c r="I312" i="18"/>
  <c r="I313" i="18"/>
  <c r="I314" i="18"/>
  <c r="I315" i="18"/>
  <c r="I316" i="18"/>
  <c r="I317" i="18"/>
  <c r="I318" i="18"/>
  <c r="I319" i="18"/>
  <c r="I320" i="18"/>
  <c r="I321" i="18"/>
  <c r="I322" i="18"/>
  <c r="I323" i="18"/>
  <c r="I324" i="18"/>
  <c r="I325" i="18"/>
  <c r="I326" i="18"/>
  <c r="I327" i="18"/>
  <c r="I328" i="18"/>
  <c r="I329" i="18"/>
  <c r="I330" i="18"/>
  <c r="I331" i="18"/>
  <c r="I332" i="18"/>
  <c r="I333" i="18"/>
  <c r="I334" i="18"/>
  <c r="I335" i="18"/>
  <c r="I336" i="18"/>
  <c r="I337" i="18"/>
  <c r="I338" i="18"/>
  <c r="I339" i="18"/>
  <c r="I340" i="18"/>
  <c r="I341" i="18"/>
  <c r="I342" i="18"/>
  <c r="I343" i="18"/>
  <c r="I344" i="18"/>
  <c r="I345" i="18"/>
  <c r="I346" i="18"/>
  <c r="I347" i="18"/>
  <c r="I348" i="18"/>
  <c r="I349" i="18"/>
  <c r="I350" i="18"/>
  <c r="I351" i="18"/>
  <c r="I352" i="18"/>
  <c r="I353" i="18"/>
  <c r="I354" i="18"/>
  <c r="I355" i="18"/>
  <c r="I356" i="18"/>
  <c r="I357" i="18"/>
  <c r="I358" i="18"/>
  <c r="I359" i="18"/>
  <c r="I360" i="18"/>
  <c r="I361" i="18"/>
  <c r="I362" i="18"/>
  <c r="I363" i="18"/>
  <c r="I364" i="18"/>
  <c r="I365" i="18"/>
  <c r="I366" i="18"/>
  <c r="I367" i="18"/>
  <c r="I368" i="18"/>
  <c r="I369" i="18"/>
  <c r="I370" i="18"/>
  <c r="I371" i="18"/>
  <c r="I372" i="18"/>
  <c r="I373" i="18"/>
  <c r="I374" i="18"/>
  <c r="I375" i="18"/>
  <c r="I376" i="18"/>
  <c r="I377" i="18"/>
  <c r="I378" i="18"/>
  <c r="I379" i="18"/>
  <c r="I380" i="18"/>
  <c r="I381" i="18"/>
  <c r="I382" i="18"/>
  <c r="I383" i="18"/>
  <c r="I384" i="18"/>
  <c r="I385" i="18"/>
  <c r="I386" i="18"/>
  <c r="I387" i="18"/>
  <c r="I388" i="18"/>
  <c r="I389" i="18"/>
  <c r="I390" i="18"/>
  <c r="I391" i="18"/>
  <c r="I392" i="18"/>
  <c r="I393" i="18"/>
  <c r="I394" i="18"/>
  <c r="I395" i="18"/>
  <c r="I396" i="18"/>
  <c r="I397" i="18"/>
  <c r="I398" i="18"/>
  <c r="I399" i="18"/>
  <c r="I400" i="18"/>
  <c r="I401" i="18"/>
  <c r="I402" i="18"/>
  <c r="I403" i="18"/>
  <c r="I404" i="18"/>
  <c r="I405" i="18"/>
  <c r="I406" i="18"/>
  <c r="I407" i="18"/>
  <c r="I408" i="18"/>
  <c r="I409" i="18"/>
  <c r="I410" i="18"/>
  <c r="I411" i="18"/>
  <c r="I412" i="18"/>
  <c r="I413" i="18"/>
  <c r="I414" i="18"/>
  <c r="I415" i="18"/>
  <c r="I416" i="18"/>
  <c r="I417" i="18"/>
  <c r="I418" i="18"/>
  <c r="I419" i="18"/>
  <c r="I420" i="18"/>
  <c r="I421" i="18"/>
  <c r="I422" i="18"/>
  <c r="I423" i="18"/>
  <c r="I424" i="18"/>
  <c r="I425" i="18"/>
  <c r="I426" i="18"/>
  <c r="I427" i="18"/>
  <c r="I428" i="18"/>
  <c r="I429" i="18"/>
  <c r="I430" i="18"/>
  <c r="I431" i="18"/>
  <c r="I432" i="18"/>
  <c r="I433" i="18"/>
  <c r="I434" i="18"/>
  <c r="I435" i="18"/>
  <c r="I436" i="18"/>
  <c r="I437" i="18"/>
  <c r="I438" i="18"/>
  <c r="I439" i="18"/>
  <c r="I440" i="18"/>
  <c r="I441" i="18"/>
  <c r="I442" i="18"/>
  <c r="I443" i="18"/>
  <c r="I444" i="18"/>
  <c r="I445" i="18"/>
  <c r="I446" i="18"/>
  <c r="I447" i="18"/>
  <c r="I448" i="18"/>
  <c r="I449" i="18"/>
  <c r="I450" i="18"/>
  <c r="I451" i="18"/>
  <c r="I452" i="18"/>
  <c r="I453" i="18"/>
  <c r="I454" i="18"/>
  <c r="I455" i="18"/>
  <c r="I456" i="18"/>
  <c r="I457" i="18"/>
  <c r="I458" i="18"/>
  <c r="I459" i="18"/>
  <c r="I460" i="18"/>
  <c r="I461" i="18"/>
  <c r="I462" i="18"/>
  <c r="I463" i="18"/>
  <c r="I464" i="18"/>
  <c r="I465" i="18"/>
  <c r="I466" i="18"/>
  <c r="I467" i="18"/>
  <c r="I468" i="18"/>
  <c r="I469" i="18"/>
  <c r="I470" i="18"/>
  <c r="I471" i="18"/>
  <c r="I472" i="18"/>
  <c r="I473" i="18"/>
  <c r="I474" i="18"/>
  <c r="I475" i="18"/>
  <c r="I476" i="18"/>
  <c r="I477" i="18"/>
  <c r="I478" i="18"/>
  <c r="I479" i="18"/>
  <c r="I480" i="18"/>
  <c r="I481" i="18"/>
  <c r="I482" i="18"/>
  <c r="I483" i="18"/>
  <c r="I484" i="18"/>
  <c r="I485" i="18"/>
  <c r="I486" i="18"/>
  <c r="I487" i="18"/>
  <c r="I488" i="18"/>
  <c r="I489" i="18"/>
  <c r="I490" i="18"/>
  <c r="I491" i="18"/>
  <c r="I492" i="18"/>
  <c r="I493" i="18"/>
  <c r="I494" i="18"/>
  <c r="I495" i="18"/>
  <c r="I496" i="18"/>
  <c r="I497" i="18"/>
  <c r="I498" i="18"/>
  <c r="I499" i="18"/>
  <c r="I500" i="18"/>
  <c r="I501" i="18"/>
  <c r="I502" i="18"/>
  <c r="I503" i="18"/>
  <c r="I504" i="18"/>
  <c r="I505" i="18"/>
  <c r="I506" i="18"/>
  <c r="I507" i="18"/>
  <c r="I508" i="18"/>
  <c r="I509" i="18"/>
  <c r="I510" i="18"/>
  <c r="I511" i="18"/>
  <c r="I512" i="18"/>
  <c r="I513" i="18"/>
  <c r="I514" i="18"/>
  <c r="I515" i="18"/>
  <c r="I516" i="18"/>
  <c r="I517" i="18"/>
  <c r="I518" i="18"/>
  <c r="I519" i="18"/>
  <c r="I520" i="18"/>
  <c r="I521" i="18"/>
  <c r="I522" i="18"/>
  <c r="I523" i="18"/>
  <c r="I524" i="18"/>
  <c r="I525" i="18"/>
  <c r="I526" i="18"/>
  <c r="I527" i="18"/>
  <c r="I528" i="18"/>
  <c r="I529" i="18"/>
  <c r="I530" i="18"/>
  <c r="I531" i="18"/>
  <c r="I532" i="18"/>
  <c r="I533" i="18"/>
  <c r="I534" i="18"/>
  <c r="I535" i="18"/>
  <c r="I536" i="18"/>
  <c r="I537" i="18"/>
  <c r="I538" i="18"/>
  <c r="I539" i="18"/>
  <c r="I540" i="18"/>
  <c r="I541" i="18"/>
  <c r="I542" i="18"/>
  <c r="I543" i="18"/>
  <c r="I544" i="18"/>
  <c r="I545" i="18"/>
  <c r="I546" i="18"/>
  <c r="I547" i="18"/>
  <c r="I548" i="18"/>
  <c r="I549" i="18"/>
  <c r="I550" i="18"/>
  <c r="I551" i="18"/>
  <c r="I552" i="18"/>
  <c r="I553" i="18"/>
  <c r="I554" i="18"/>
  <c r="I555" i="18"/>
  <c r="I556" i="18"/>
  <c r="I557" i="18"/>
  <c r="I558" i="18"/>
  <c r="I559" i="18"/>
  <c r="I560" i="18"/>
  <c r="I561" i="18"/>
  <c r="I562" i="18"/>
  <c r="I563" i="18"/>
  <c r="I564" i="18"/>
  <c r="I565" i="18"/>
  <c r="I566" i="18"/>
  <c r="I567" i="18"/>
  <c r="I568" i="18"/>
  <c r="I569" i="18"/>
  <c r="I570" i="18"/>
  <c r="I571" i="18"/>
  <c r="I572" i="18"/>
  <c r="I573" i="18"/>
  <c r="I574" i="18"/>
  <c r="I575" i="18"/>
  <c r="I576" i="18"/>
  <c r="I577" i="18"/>
  <c r="I578" i="18"/>
  <c r="I579" i="18"/>
  <c r="I580" i="18"/>
  <c r="I581" i="18"/>
  <c r="I582" i="18"/>
  <c r="I583" i="18"/>
  <c r="I584" i="18"/>
  <c r="I585" i="18"/>
  <c r="I586" i="18"/>
  <c r="I587" i="18"/>
  <c r="I588" i="18"/>
  <c r="I589" i="18"/>
  <c r="I590" i="18"/>
  <c r="I591" i="18"/>
  <c r="I592" i="18"/>
  <c r="I593" i="18"/>
  <c r="I594" i="18"/>
  <c r="I595" i="18"/>
  <c r="I596" i="18"/>
  <c r="I597" i="18"/>
  <c r="I598" i="18"/>
  <c r="I599" i="18"/>
  <c r="I600" i="18"/>
  <c r="I601" i="18"/>
  <c r="I602" i="18"/>
  <c r="I603" i="18"/>
  <c r="I604" i="18"/>
  <c r="I605" i="18"/>
  <c r="I606" i="18"/>
  <c r="I607" i="18"/>
  <c r="I608" i="18"/>
  <c r="I609" i="18"/>
  <c r="I610" i="18"/>
  <c r="I611" i="18"/>
  <c r="I612" i="18"/>
  <c r="I613" i="18"/>
  <c r="I614" i="18"/>
  <c r="I615" i="18"/>
  <c r="I616" i="18"/>
  <c r="I617" i="18"/>
  <c r="I618" i="18"/>
  <c r="I619" i="18"/>
  <c r="I620" i="18"/>
  <c r="I621" i="18"/>
  <c r="I622" i="18"/>
  <c r="I623" i="18"/>
  <c r="I624" i="18"/>
  <c r="I625" i="18"/>
  <c r="I626" i="18"/>
  <c r="I627" i="18"/>
  <c r="I628" i="18"/>
  <c r="I629" i="18"/>
  <c r="I630" i="18"/>
  <c r="I631" i="18"/>
  <c r="I632" i="18"/>
  <c r="I633" i="18"/>
  <c r="I634" i="18"/>
  <c r="I635" i="18"/>
  <c r="I636" i="18"/>
  <c r="I637" i="18"/>
  <c r="I638" i="18"/>
  <c r="I639" i="18"/>
  <c r="I640" i="18"/>
  <c r="I641" i="18"/>
  <c r="I642" i="18"/>
  <c r="I643" i="18"/>
  <c r="I644" i="18"/>
  <c r="I645" i="18"/>
  <c r="I646" i="18"/>
  <c r="I647" i="18"/>
  <c r="I648" i="18"/>
  <c r="I649" i="18"/>
  <c r="I650" i="18"/>
  <c r="I651" i="18"/>
  <c r="I652" i="18"/>
  <c r="I653" i="18"/>
  <c r="I654" i="18"/>
  <c r="I655" i="18"/>
  <c r="I656" i="18"/>
  <c r="I657" i="18"/>
  <c r="I658" i="18"/>
  <c r="I659" i="18"/>
  <c r="I660" i="18"/>
  <c r="I661" i="18"/>
  <c r="I662" i="18"/>
  <c r="I663" i="18"/>
  <c r="I664" i="18"/>
  <c r="I665" i="18"/>
  <c r="I666" i="18"/>
  <c r="I667" i="18"/>
  <c r="I668" i="18"/>
  <c r="I669" i="18"/>
  <c r="I670" i="18"/>
  <c r="I671" i="18"/>
  <c r="I672" i="18"/>
  <c r="I673" i="18"/>
  <c r="I674" i="18"/>
  <c r="I675" i="18"/>
  <c r="I676" i="18"/>
  <c r="I677" i="18"/>
  <c r="I678" i="18"/>
  <c r="I679" i="18"/>
  <c r="I680" i="18"/>
  <c r="I681" i="18"/>
  <c r="I682" i="18"/>
  <c r="I683" i="18"/>
  <c r="I684" i="18"/>
  <c r="I685" i="18"/>
  <c r="I686" i="18"/>
  <c r="I687" i="18"/>
  <c r="I688" i="18"/>
  <c r="I689" i="18"/>
  <c r="I690" i="18"/>
  <c r="I691" i="18"/>
  <c r="I692" i="18"/>
  <c r="I693" i="18"/>
  <c r="I694" i="18"/>
  <c r="I695" i="18"/>
  <c r="I696" i="18"/>
  <c r="I697" i="18"/>
  <c r="I698" i="18"/>
  <c r="I699" i="18"/>
  <c r="I700" i="18"/>
  <c r="I701" i="18"/>
  <c r="I702" i="18"/>
  <c r="I703" i="18"/>
  <c r="J657" i="18"/>
  <c r="J658" i="18" s="1"/>
  <c r="J659" i="18" s="1"/>
  <c r="J660" i="18" s="1"/>
  <c r="J661" i="18" s="1"/>
  <c r="J662" i="18" s="1"/>
  <c r="J652" i="18"/>
  <c r="J653" i="18" s="1"/>
  <c r="J654" i="18" s="1"/>
  <c r="J655" i="18" s="1"/>
  <c r="J637" i="18"/>
  <c r="J638" i="18" s="1"/>
  <c r="J639" i="18" s="1"/>
  <c r="J640" i="18" s="1"/>
  <c r="J641" i="18" s="1"/>
  <c r="J642" i="18" s="1"/>
  <c r="J563" i="18"/>
  <c r="J564" i="18" s="1"/>
  <c r="J565" i="18" s="1"/>
  <c r="J566" i="18" s="1"/>
  <c r="J567" i="18" s="1"/>
  <c r="J568" i="18" s="1"/>
  <c r="J569" i="18" s="1"/>
  <c r="J570" i="18" s="1"/>
  <c r="J571" i="18" s="1"/>
  <c r="J572" i="18" s="1"/>
  <c r="J573" i="18" s="1"/>
  <c r="J574" i="18" s="1"/>
  <c r="J575" i="18" s="1"/>
  <c r="J576" i="18" s="1"/>
  <c r="J577" i="18" s="1"/>
  <c r="J578" i="18" s="1"/>
  <c r="J579" i="18" s="1"/>
  <c r="J580" i="18" s="1"/>
  <c r="J581" i="18" s="1"/>
  <c r="J582" i="18" s="1"/>
  <c r="J583" i="18" s="1"/>
  <c r="J584" i="18" s="1"/>
  <c r="J585" i="18" s="1"/>
  <c r="J586" i="18" s="1"/>
  <c r="J587" i="18" s="1"/>
  <c r="J588" i="18" s="1"/>
  <c r="J589" i="18" s="1"/>
  <c r="J590" i="18" s="1"/>
  <c r="J591" i="18" s="1"/>
  <c r="J592" i="18" s="1"/>
  <c r="J593" i="18" s="1"/>
  <c r="J594" i="18" s="1"/>
  <c r="J595" i="18" s="1"/>
  <c r="J596" i="18" s="1"/>
  <c r="J597" i="18" s="1"/>
  <c r="J598" i="18" s="1"/>
  <c r="J599" i="18" s="1"/>
  <c r="J600" i="18" s="1"/>
  <c r="J601" i="18" s="1"/>
  <c r="J602" i="18" s="1"/>
  <c r="J603" i="18" s="1"/>
  <c r="J604" i="18" s="1"/>
  <c r="J605" i="18" s="1"/>
  <c r="J606" i="18" s="1"/>
  <c r="J607" i="18" s="1"/>
  <c r="J608" i="18" s="1"/>
  <c r="J609" i="18" s="1"/>
  <c r="J610" i="18" s="1"/>
  <c r="J611" i="18" s="1"/>
  <c r="J612" i="18" s="1"/>
  <c r="J613" i="18" s="1"/>
  <c r="J614" i="18" s="1"/>
  <c r="J615" i="18" s="1"/>
  <c r="J616" i="18" s="1"/>
  <c r="J617" i="18" s="1"/>
  <c r="J618" i="18" s="1"/>
  <c r="J489" i="18"/>
  <c r="J490" i="18" s="1"/>
  <c r="J491" i="18" s="1"/>
  <c r="J492" i="18" s="1"/>
  <c r="J493" i="18" s="1"/>
  <c r="J494" i="18" s="1"/>
  <c r="J495" i="18" s="1"/>
  <c r="J496" i="18" s="1"/>
  <c r="J497" i="18" s="1"/>
  <c r="J498" i="18" s="1"/>
  <c r="J499" i="18" s="1"/>
  <c r="J500" i="18" s="1"/>
  <c r="J501" i="18" s="1"/>
  <c r="J502" i="18" s="1"/>
  <c r="J503" i="18" s="1"/>
  <c r="J504" i="18" s="1"/>
  <c r="J505" i="18" s="1"/>
  <c r="J506" i="18" s="1"/>
  <c r="J507" i="18" s="1"/>
  <c r="J508" i="18" s="1"/>
  <c r="J509" i="18" s="1"/>
  <c r="J510" i="18" s="1"/>
  <c r="J511" i="18" s="1"/>
  <c r="J512" i="18" s="1"/>
  <c r="J513" i="18" s="1"/>
  <c r="J514" i="18" s="1"/>
  <c r="J515" i="18" s="1"/>
  <c r="J516" i="18" s="1"/>
  <c r="J517" i="18" s="1"/>
  <c r="J518" i="18" s="1"/>
  <c r="J519" i="18" s="1"/>
  <c r="J520" i="18" s="1"/>
  <c r="J521" i="18" s="1"/>
  <c r="J522" i="18" s="1"/>
  <c r="J523" i="18" s="1"/>
  <c r="J524" i="18" s="1"/>
  <c r="J525" i="18" s="1"/>
  <c r="J526" i="18" s="1"/>
  <c r="J527" i="18" s="1"/>
  <c r="J528" i="18" s="1"/>
  <c r="J529" i="18" s="1"/>
  <c r="J530" i="18" s="1"/>
  <c r="J531" i="18" s="1"/>
  <c r="J532" i="18" s="1"/>
  <c r="J533" i="18" s="1"/>
  <c r="J534" i="18" s="1"/>
  <c r="J535" i="18" s="1"/>
  <c r="J536" i="18" s="1"/>
  <c r="J537" i="18" s="1"/>
  <c r="J538" i="18" s="1"/>
  <c r="J539" i="18" s="1"/>
  <c r="J540" i="18" s="1"/>
  <c r="J541" i="18" s="1"/>
  <c r="J542" i="18" s="1"/>
  <c r="J543" i="18" s="1"/>
  <c r="J544" i="18" s="1"/>
  <c r="J545" i="18" s="1"/>
  <c r="J546" i="18" s="1"/>
  <c r="J547" i="18" s="1"/>
  <c r="J548" i="18" s="1"/>
  <c r="J549" i="18" s="1"/>
  <c r="J550" i="18" s="1"/>
  <c r="J551" i="18" s="1"/>
  <c r="J552" i="18" s="1"/>
  <c r="J553" i="18" s="1"/>
  <c r="J554" i="18" s="1"/>
  <c r="J555" i="18" s="1"/>
  <c r="J556" i="18" s="1"/>
  <c r="J557" i="18" s="1"/>
  <c r="J558" i="18" s="1"/>
  <c r="J559" i="18" s="1"/>
  <c r="J478" i="18"/>
  <c r="J479" i="18" s="1"/>
  <c r="J436" i="18"/>
  <c r="J437" i="18" s="1"/>
  <c r="J438" i="18" s="1"/>
  <c r="J439" i="18" s="1"/>
  <c r="J440" i="18" s="1"/>
  <c r="J441" i="18" s="1"/>
  <c r="J442" i="18" s="1"/>
  <c r="J443" i="18" s="1"/>
  <c r="J444" i="18" s="1"/>
  <c r="J445" i="18" s="1"/>
  <c r="J446" i="18" s="1"/>
  <c r="J447" i="18" s="1"/>
  <c r="J448" i="18" s="1"/>
  <c r="J449" i="18" s="1"/>
  <c r="J450" i="18" s="1"/>
  <c r="J451" i="18" s="1"/>
  <c r="J452" i="18" s="1"/>
  <c r="J453" i="18" s="1"/>
  <c r="J454" i="18" s="1"/>
  <c r="J455" i="18" s="1"/>
  <c r="J456" i="18" s="1"/>
  <c r="J457" i="18" s="1"/>
  <c r="J458" i="18" s="1"/>
  <c r="J459" i="18" s="1"/>
  <c r="J460" i="18" s="1"/>
  <c r="J461" i="18" s="1"/>
  <c r="J462" i="18" s="1"/>
  <c r="J463" i="18" s="1"/>
  <c r="J464" i="18" s="1"/>
  <c r="J465" i="18" s="1"/>
  <c r="J466" i="18" s="1"/>
  <c r="J403" i="18"/>
  <c r="J404" i="18" s="1"/>
  <c r="J405" i="18" s="1"/>
  <c r="J406" i="18" s="1"/>
  <c r="J407" i="18" s="1"/>
  <c r="J408" i="18" s="1"/>
  <c r="J409" i="18" s="1"/>
  <c r="J410" i="18" s="1"/>
  <c r="J411" i="18" s="1"/>
  <c r="J412" i="18" s="1"/>
  <c r="J413" i="18" s="1"/>
  <c r="J414" i="18" s="1"/>
  <c r="J415" i="18" s="1"/>
  <c r="J416" i="18" s="1"/>
  <c r="J417" i="18" s="1"/>
  <c r="J418" i="18" s="1"/>
  <c r="J419" i="18" s="1"/>
  <c r="J348" i="18"/>
  <c r="J349" i="18" s="1"/>
  <c r="J350" i="18" s="1"/>
  <c r="J324" i="18"/>
  <c r="J325" i="18" s="1"/>
  <c r="J326" i="18" s="1"/>
  <c r="J327" i="18" s="1"/>
  <c r="J328" i="18" s="1"/>
  <c r="G306" i="18"/>
  <c r="J282" i="18"/>
  <c r="J283" i="18" s="1"/>
  <c r="J284" i="18" s="1"/>
  <c r="J285" i="18" s="1"/>
  <c r="J286" i="18" s="1"/>
  <c r="J287" i="18" s="1"/>
  <c r="J288" i="18" s="1"/>
  <c r="J289" i="18" s="1"/>
  <c r="J290" i="18" s="1"/>
  <c r="J291" i="18" s="1"/>
  <c r="J292" i="18" s="1"/>
  <c r="J293" i="18" s="1"/>
  <c r="J264" i="18"/>
  <c r="J265" i="18" s="1"/>
  <c r="J266" i="18" s="1"/>
  <c r="J267" i="18" s="1"/>
  <c r="J268" i="18" s="1"/>
  <c r="J269" i="18" s="1"/>
  <c r="C559" i="18"/>
  <c r="C482" i="18"/>
  <c r="C427" i="18"/>
  <c r="C425" i="18"/>
  <c r="C388" i="18"/>
  <c r="C330" i="18"/>
  <c r="C257" i="18"/>
  <c r="I32" i="19"/>
  <c r="I33" i="19"/>
  <c r="I34" i="19"/>
  <c r="I35" i="19"/>
  <c r="I36" i="19"/>
  <c r="I37" i="19"/>
  <c r="I38" i="19"/>
  <c r="I39" i="19"/>
  <c r="I40" i="19"/>
  <c r="I41" i="19"/>
  <c r="I42" i="19"/>
  <c r="I43" i="19"/>
  <c r="I44" i="19"/>
  <c r="I45" i="19"/>
  <c r="I46" i="19"/>
  <c r="I47" i="19"/>
  <c r="I48" i="19"/>
  <c r="I49" i="19"/>
  <c r="I50" i="19"/>
  <c r="I51" i="19"/>
  <c r="I52" i="19"/>
  <c r="I53" i="19"/>
  <c r="I54" i="19"/>
  <c r="I55" i="19"/>
  <c r="I56" i="19"/>
  <c r="I57" i="19"/>
  <c r="I58" i="19"/>
  <c r="I59" i="19"/>
  <c r="I60" i="19"/>
  <c r="I61" i="19"/>
  <c r="I62" i="19"/>
  <c r="I63" i="19"/>
  <c r="I64" i="19"/>
  <c r="I65" i="19"/>
  <c r="I66" i="19"/>
  <c r="I67" i="19"/>
  <c r="I68" i="19"/>
  <c r="I69" i="19"/>
  <c r="I70" i="19"/>
  <c r="I71" i="19"/>
  <c r="I72" i="19"/>
  <c r="I73" i="19"/>
  <c r="I74" i="19"/>
  <c r="I75" i="19"/>
  <c r="I76" i="19"/>
  <c r="I77" i="19"/>
  <c r="I78" i="19"/>
  <c r="I79" i="19"/>
  <c r="I80" i="19"/>
  <c r="I81" i="19"/>
  <c r="I82" i="19"/>
  <c r="I83" i="19"/>
  <c r="J83" i="19"/>
  <c r="J58" i="19"/>
  <c r="J34" i="19"/>
  <c r="I31" i="19"/>
  <c r="I30" i="19"/>
  <c r="I29" i="19"/>
  <c r="I28" i="19"/>
  <c r="I27" i="19"/>
  <c r="C67" i="19"/>
  <c r="C68" i="19" s="1"/>
  <c r="C69" i="19" s="1"/>
  <c r="C70" i="19" s="1"/>
  <c r="C71" i="19" s="1"/>
  <c r="C72" i="19" s="1"/>
  <c r="C73" i="19" s="1"/>
  <c r="C57" i="19"/>
  <c r="C58" i="19" s="1"/>
  <c r="C59" i="19" s="1"/>
  <c r="C60" i="19" s="1"/>
  <c r="C61" i="19" s="1"/>
  <c r="C62" i="19" s="1"/>
  <c r="C63" i="19" s="1"/>
  <c r="C64" i="19" s="1"/>
  <c r="C65" i="19" s="1"/>
  <c r="C45" i="19"/>
  <c r="C46" i="19" s="1"/>
  <c r="C47" i="19" s="1"/>
  <c r="C48" i="19" s="1"/>
  <c r="C49" i="19" s="1"/>
  <c r="C50" i="19" s="1"/>
  <c r="C51" i="19" s="1"/>
  <c r="C52" i="19" s="1"/>
  <c r="C53" i="19" s="1"/>
  <c r="C54" i="19" s="1"/>
  <c r="C55" i="19" s="1"/>
  <c r="I65" i="16"/>
  <c r="I66" i="16"/>
  <c r="I67" i="16"/>
  <c r="I68" i="16"/>
  <c r="I69" i="16"/>
  <c r="I70" i="16"/>
  <c r="I71" i="16"/>
  <c r="I72" i="16"/>
  <c r="I73" i="16"/>
  <c r="I74" i="16"/>
  <c r="I75" i="16"/>
  <c r="I76" i="16"/>
  <c r="I77" i="16"/>
  <c r="I78" i="16"/>
  <c r="I79" i="16"/>
  <c r="I80" i="16"/>
  <c r="I81" i="16"/>
  <c r="I82" i="16"/>
  <c r="I83" i="16"/>
  <c r="I84" i="16"/>
  <c r="I85" i="16"/>
  <c r="I86" i="16"/>
  <c r="I87" i="16"/>
  <c r="I88" i="16"/>
  <c r="I89" i="16"/>
  <c r="I90" i="16"/>
  <c r="I91" i="16"/>
  <c r="I92" i="16"/>
  <c r="I93" i="16"/>
  <c r="I94" i="16"/>
  <c r="I95" i="16"/>
  <c r="I96" i="16"/>
  <c r="I97" i="16"/>
  <c r="I98" i="16"/>
  <c r="I99" i="16"/>
  <c r="I100" i="16"/>
  <c r="I101" i="16"/>
  <c r="I102" i="16"/>
  <c r="I103" i="16"/>
  <c r="I104" i="16"/>
  <c r="I105" i="16"/>
  <c r="I106" i="16"/>
  <c r="I107" i="16"/>
  <c r="I108" i="16"/>
  <c r="I109" i="16"/>
  <c r="I110" i="16"/>
  <c r="I111" i="16"/>
  <c r="I112" i="16"/>
  <c r="I113" i="16"/>
  <c r="I114" i="16"/>
  <c r="I115" i="16"/>
  <c r="I116" i="16"/>
  <c r="I117" i="16"/>
  <c r="I118" i="16"/>
  <c r="I119" i="16"/>
  <c r="I120" i="16"/>
  <c r="I121" i="16"/>
  <c r="I122" i="16"/>
  <c r="I123" i="16"/>
  <c r="I124" i="16"/>
  <c r="I125" i="16"/>
  <c r="I126" i="16"/>
  <c r="I127" i="16"/>
  <c r="I128" i="16"/>
  <c r="I129" i="16"/>
  <c r="I130" i="16"/>
  <c r="I131" i="16"/>
  <c r="I132" i="16"/>
  <c r="I133" i="16"/>
  <c r="I134" i="16"/>
  <c r="I135" i="16"/>
  <c r="I136" i="16"/>
  <c r="I137" i="16"/>
  <c r="I138" i="16"/>
  <c r="I139" i="16"/>
  <c r="I140" i="16"/>
  <c r="I141" i="16"/>
  <c r="I142" i="16"/>
  <c r="I143" i="16"/>
  <c r="I144" i="16"/>
  <c r="I145" i="16"/>
  <c r="I146" i="16"/>
  <c r="I147" i="16"/>
  <c r="I148" i="16"/>
  <c r="I149" i="16"/>
  <c r="I150" i="16"/>
  <c r="I151" i="16"/>
  <c r="I152" i="16"/>
  <c r="I153" i="16"/>
  <c r="I154" i="16"/>
  <c r="I155" i="16"/>
  <c r="I156" i="16"/>
  <c r="I157" i="16"/>
  <c r="I158" i="16"/>
  <c r="I159" i="16"/>
  <c r="I160" i="16"/>
  <c r="I161" i="16"/>
  <c r="I162" i="16"/>
  <c r="I163" i="16"/>
  <c r="I164" i="16"/>
  <c r="I165" i="16"/>
  <c r="I166" i="16"/>
  <c r="I167" i="16"/>
  <c r="I168" i="16"/>
  <c r="I169" i="16"/>
  <c r="I170" i="16"/>
  <c r="I171" i="16"/>
  <c r="I172" i="16"/>
  <c r="I173" i="16"/>
  <c r="I174" i="16"/>
  <c r="I175" i="16"/>
  <c r="I176" i="16"/>
  <c r="I177" i="16"/>
  <c r="I178" i="16"/>
  <c r="I179" i="16"/>
  <c r="I180" i="16"/>
  <c r="I181" i="16"/>
  <c r="I182" i="16"/>
  <c r="I183" i="16"/>
  <c r="I184" i="16"/>
  <c r="I185" i="16"/>
  <c r="I186" i="16"/>
  <c r="I187" i="16"/>
  <c r="I188" i="16"/>
  <c r="I189" i="16"/>
  <c r="B148" i="16"/>
  <c r="B121" i="16"/>
  <c r="B119" i="16"/>
  <c r="B100" i="16"/>
  <c r="B101" i="16" s="1"/>
  <c r="B70" i="16"/>
  <c r="B71" i="16" s="1"/>
  <c r="B72" i="16" s="1"/>
  <c r="B73" i="16" s="1"/>
  <c r="B82" i="16" s="1"/>
  <c r="J306" i="18" l="1"/>
  <c r="J307" i="18" s="1"/>
  <c r="I306" i="18"/>
  <c r="J35" i="19"/>
  <c r="J59" i="19"/>
  <c r="B88" i="16"/>
  <c r="B89" i="16" s="1"/>
  <c r="B90" i="16" s="1"/>
  <c r="B83" i="16"/>
  <c r="W5" i="22" l="1"/>
  <c r="Y5" i="22" s="1"/>
  <c r="J36" i="19"/>
  <c r="J60" i="19"/>
  <c r="I73" i="15"/>
  <c r="I74" i="15"/>
  <c r="I75" i="15"/>
  <c r="I76" i="15"/>
  <c r="I77" i="15"/>
  <c r="I78" i="15"/>
  <c r="I79" i="15"/>
  <c r="I80" i="15"/>
  <c r="I81" i="15"/>
  <c r="I82" i="15"/>
  <c r="I83" i="15"/>
  <c r="I84" i="15"/>
  <c r="I85" i="15"/>
  <c r="I86" i="15"/>
  <c r="I87" i="15"/>
  <c r="I88" i="15"/>
  <c r="I89" i="15"/>
  <c r="I90" i="15"/>
  <c r="I91" i="15"/>
  <c r="I92" i="15"/>
  <c r="I93" i="15"/>
  <c r="I94" i="15"/>
  <c r="I95" i="15"/>
  <c r="I96" i="15"/>
  <c r="I97" i="15"/>
  <c r="I98" i="15"/>
  <c r="I99" i="15"/>
  <c r="I100" i="15"/>
  <c r="I101" i="15"/>
  <c r="I102" i="15"/>
  <c r="I103" i="15"/>
  <c r="I104" i="15"/>
  <c r="I105" i="15"/>
  <c r="I106" i="15"/>
  <c r="I107" i="15"/>
  <c r="I108" i="15"/>
  <c r="I109" i="15"/>
  <c r="I110" i="15"/>
  <c r="I111" i="15"/>
  <c r="I112" i="15"/>
  <c r="I113" i="15"/>
  <c r="I114" i="15"/>
  <c r="I115" i="15"/>
  <c r="I116" i="15"/>
  <c r="I117" i="15"/>
  <c r="I118" i="15"/>
  <c r="I119" i="15"/>
  <c r="I120" i="15"/>
  <c r="I121" i="15"/>
  <c r="I122" i="15"/>
  <c r="I123" i="15"/>
  <c r="I124" i="15"/>
  <c r="I125" i="15"/>
  <c r="I126" i="15"/>
  <c r="I127" i="15"/>
  <c r="I128" i="15"/>
  <c r="I129" i="15"/>
  <c r="I130" i="15"/>
  <c r="I131" i="15"/>
  <c r="I132" i="15"/>
  <c r="I133" i="15"/>
  <c r="I134" i="15"/>
  <c r="I135" i="15"/>
  <c r="I136" i="15"/>
  <c r="I137" i="15"/>
  <c r="I138" i="15"/>
  <c r="I139" i="15"/>
  <c r="I140" i="15"/>
  <c r="I141" i="15"/>
  <c r="I142" i="15"/>
  <c r="I143" i="15"/>
  <c r="I144" i="15"/>
  <c r="I145" i="15"/>
  <c r="I146" i="15"/>
  <c r="I147" i="15"/>
  <c r="I148" i="15"/>
  <c r="I149" i="15"/>
  <c r="I150" i="15"/>
  <c r="I151" i="15"/>
  <c r="I152" i="15"/>
  <c r="I153" i="15"/>
  <c r="I154" i="15"/>
  <c r="I155" i="15"/>
  <c r="I156" i="15"/>
  <c r="I157" i="15"/>
  <c r="I158" i="15"/>
  <c r="I159" i="15"/>
  <c r="I160" i="15"/>
  <c r="I161" i="15"/>
  <c r="I162" i="15"/>
  <c r="I163" i="15"/>
  <c r="I164" i="15"/>
  <c r="I165" i="15"/>
  <c r="I166" i="15"/>
  <c r="I167" i="15"/>
  <c r="J95" i="15"/>
  <c r="J80" i="15"/>
  <c r="C141" i="15"/>
  <c r="C142" i="15" s="1"/>
  <c r="C130" i="15"/>
  <c r="C128" i="15"/>
  <c r="C124" i="15"/>
  <c r="C121" i="15"/>
  <c r="C101" i="15"/>
  <c r="C102" i="15" s="1"/>
  <c r="C91" i="15"/>
  <c r="C92" i="15" s="1"/>
  <c r="C79" i="15"/>
  <c r="C73" i="15"/>
  <c r="C74" i="15" s="1"/>
  <c r="C75" i="15" s="1"/>
  <c r="I260" i="14"/>
  <c r="I261" i="14"/>
  <c r="I262" i="14"/>
  <c r="I263" i="14"/>
  <c r="I264" i="14"/>
  <c r="I265" i="14"/>
  <c r="I266" i="14"/>
  <c r="I267" i="14"/>
  <c r="I268" i="14"/>
  <c r="I269" i="14"/>
  <c r="I270" i="14"/>
  <c r="I271" i="14"/>
  <c r="I272" i="14"/>
  <c r="I273" i="14"/>
  <c r="I274" i="14"/>
  <c r="I275" i="14"/>
  <c r="I276" i="14"/>
  <c r="I277" i="14"/>
  <c r="I278" i="14"/>
  <c r="I279" i="14"/>
  <c r="I280" i="14"/>
  <c r="I281" i="14"/>
  <c r="I282" i="14"/>
  <c r="I283" i="14"/>
  <c r="I284" i="14"/>
  <c r="I285" i="14"/>
  <c r="I286" i="14"/>
  <c r="I287" i="14"/>
  <c r="I288" i="14"/>
  <c r="I289" i="14"/>
  <c r="I290" i="14"/>
  <c r="I291" i="14"/>
  <c r="I292" i="14"/>
  <c r="I293" i="14"/>
  <c r="I294" i="14"/>
  <c r="I295" i="14"/>
  <c r="I296" i="14"/>
  <c r="I297" i="14"/>
  <c r="I298" i="14"/>
  <c r="I299" i="14"/>
  <c r="I300" i="14"/>
  <c r="I301" i="14"/>
  <c r="I302" i="14"/>
  <c r="I303" i="14"/>
  <c r="I304" i="14"/>
  <c r="I305" i="14"/>
  <c r="I306" i="14"/>
  <c r="I307" i="14"/>
  <c r="I308" i="14"/>
  <c r="I309" i="14"/>
  <c r="I310" i="14"/>
  <c r="I311" i="14"/>
  <c r="I312" i="14"/>
  <c r="I313" i="14"/>
  <c r="I314" i="14"/>
  <c r="I315" i="14"/>
  <c r="I316" i="14"/>
  <c r="I317" i="14"/>
  <c r="I318" i="14"/>
  <c r="I319" i="14"/>
  <c r="I320" i="14"/>
  <c r="I321" i="14"/>
  <c r="I322" i="14"/>
  <c r="I323" i="14"/>
  <c r="I324" i="14"/>
  <c r="I325" i="14"/>
  <c r="I326" i="14"/>
  <c r="I327" i="14"/>
  <c r="I328" i="14"/>
  <c r="I329" i="14"/>
  <c r="I330" i="14"/>
  <c r="I331" i="14"/>
  <c r="I332" i="14"/>
  <c r="I333" i="14"/>
  <c r="I334" i="14"/>
  <c r="I335" i="14"/>
  <c r="I336" i="14"/>
  <c r="I337" i="14"/>
  <c r="I338" i="14"/>
  <c r="I339" i="14"/>
  <c r="I340" i="14"/>
  <c r="I341" i="14"/>
  <c r="I342" i="14"/>
  <c r="I343" i="14"/>
  <c r="I344" i="14"/>
  <c r="I345" i="14"/>
  <c r="I346" i="14"/>
  <c r="I347" i="14"/>
  <c r="I348" i="14"/>
  <c r="I349" i="14"/>
  <c r="I350" i="14"/>
  <c r="I351" i="14"/>
  <c r="I352" i="14"/>
  <c r="I353" i="14"/>
  <c r="I354" i="14"/>
  <c r="I355" i="14"/>
  <c r="I356" i="14"/>
  <c r="I357" i="14"/>
  <c r="I358" i="14"/>
  <c r="I359" i="14"/>
  <c r="I360" i="14"/>
  <c r="I361" i="14"/>
  <c r="I362" i="14"/>
  <c r="I363" i="14"/>
  <c r="I364" i="14"/>
  <c r="I365" i="14"/>
  <c r="I366" i="14"/>
  <c r="I367" i="14"/>
  <c r="I368" i="14"/>
  <c r="I369" i="14"/>
  <c r="I370" i="14"/>
  <c r="I371" i="14"/>
  <c r="I372" i="14"/>
  <c r="I373" i="14"/>
  <c r="I374" i="14"/>
  <c r="I375" i="14"/>
  <c r="I376" i="14"/>
  <c r="I377" i="14"/>
  <c r="I378" i="14"/>
  <c r="I379" i="14"/>
  <c r="I380" i="14"/>
  <c r="I381" i="14"/>
  <c r="I382" i="14"/>
  <c r="I383" i="14"/>
  <c r="I384" i="14"/>
  <c r="I385" i="14"/>
  <c r="I386" i="14"/>
  <c r="I387" i="14"/>
  <c r="I388" i="14"/>
  <c r="I389" i="14"/>
  <c r="I390" i="14"/>
  <c r="I391" i="14"/>
  <c r="I392" i="14"/>
  <c r="I393" i="14"/>
  <c r="I394" i="14"/>
  <c r="I395" i="14"/>
  <c r="I396" i="14"/>
  <c r="I397" i="14"/>
  <c r="I398" i="14"/>
  <c r="I399" i="14"/>
  <c r="I400" i="14"/>
  <c r="I401" i="14"/>
  <c r="I402" i="14"/>
  <c r="I403" i="14"/>
  <c r="I404" i="14"/>
  <c r="I405" i="14"/>
  <c r="I406" i="14"/>
  <c r="I407" i="14"/>
  <c r="I408" i="14"/>
  <c r="I409" i="14"/>
  <c r="I410" i="14"/>
  <c r="I411" i="14"/>
  <c r="I412" i="14"/>
  <c r="I413" i="14"/>
  <c r="I414" i="14"/>
  <c r="I415" i="14"/>
  <c r="I416" i="14"/>
  <c r="I417" i="14"/>
  <c r="I418" i="14"/>
  <c r="I419" i="14"/>
  <c r="I420" i="14"/>
  <c r="I421" i="14"/>
  <c r="I422" i="14"/>
  <c r="I423" i="14"/>
  <c r="I424" i="14"/>
  <c r="I425" i="14"/>
  <c r="I426" i="14"/>
  <c r="I427" i="14"/>
  <c r="I428" i="14"/>
  <c r="I429" i="14"/>
  <c r="I430" i="14"/>
  <c r="I431" i="14"/>
  <c r="I432" i="14"/>
  <c r="I433" i="14"/>
  <c r="I434" i="14"/>
  <c r="I435" i="14"/>
  <c r="I436" i="14"/>
  <c r="I437" i="14"/>
  <c r="I438" i="14"/>
  <c r="I439" i="14"/>
  <c r="I440" i="14"/>
  <c r="I441" i="14"/>
  <c r="I442" i="14"/>
  <c r="I443" i="14"/>
  <c r="I444" i="14"/>
  <c r="I445" i="14"/>
  <c r="I446" i="14"/>
  <c r="I447" i="14"/>
  <c r="I448" i="14"/>
  <c r="I449" i="14"/>
  <c r="I450" i="14"/>
  <c r="I451" i="14"/>
  <c r="I452" i="14"/>
  <c r="I453" i="14"/>
  <c r="I454" i="14"/>
  <c r="I455" i="14"/>
  <c r="I456" i="14"/>
  <c r="I457" i="14"/>
  <c r="I458" i="14"/>
  <c r="I459" i="14"/>
  <c r="I460" i="14"/>
  <c r="I461" i="14"/>
  <c r="I462" i="14"/>
  <c r="I463" i="14"/>
  <c r="I464" i="14"/>
  <c r="I465" i="14"/>
  <c r="I466" i="14"/>
  <c r="I467" i="14"/>
  <c r="I468" i="14"/>
  <c r="I469" i="14"/>
  <c r="I470" i="14"/>
  <c r="I471" i="14"/>
  <c r="I472" i="14"/>
  <c r="I473" i="14"/>
  <c r="I474" i="14"/>
  <c r="I475" i="14"/>
  <c r="I476" i="14"/>
  <c r="I477" i="14"/>
  <c r="I478" i="14"/>
  <c r="I479" i="14"/>
  <c r="I480" i="14"/>
  <c r="I481" i="14"/>
  <c r="I482" i="14"/>
  <c r="I483" i="14"/>
  <c r="I484" i="14"/>
  <c r="I485" i="14"/>
  <c r="I486" i="14"/>
  <c r="I487" i="14"/>
  <c r="I488" i="14"/>
  <c r="I489" i="14"/>
  <c r="I490" i="14"/>
  <c r="I491" i="14"/>
  <c r="I492" i="14"/>
  <c r="I493" i="14"/>
  <c r="I494" i="14"/>
  <c r="I495" i="14"/>
  <c r="I496" i="14"/>
  <c r="I497" i="14"/>
  <c r="I498" i="14"/>
  <c r="I499" i="14"/>
  <c r="I500" i="14"/>
  <c r="I501" i="14"/>
  <c r="I502" i="14"/>
  <c r="I503" i="14"/>
  <c r="I504" i="14"/>
  <c r="I505" i="14"/>
  <c r="I506" i="14"/>
  <c r="I507" i="14"/>
  <c r="I508" i="14"/>
  <c r="I509" i="14"/>
  <c r="I510" i="14"/>
  <c r="I511" i="14"/>
  <c r="I512" i="14"/>
  <c r="I513" i="14"/>
  <c r="I514" i="14"/>
  <c r="I515" i="14"/>
  <c r="I516" i="14"/>
  <c r="I517" i="14"/>
  <c r="I518" i="14"/>
  <c r="I519" i="14"/>
  <c r="I520" i="14"/>
  <c r="I521" i="14"/>
  <c r="I522" i="14"/>
  <c r="I523" i="14"/>
  <c r="I524" i="14"/>
  <c r="I525" i="14"/>
  <c r="I526" i="14"/>
  <c r="I527" i="14"/>
  <c r="I528" i="14"/>
  <c r="I529" i="14"/>
  <c r="I530" i="14"/>
  <c r="I531" i="14"/>
  <c r="I532" i="14"/>
  <c r="I533" i="14"/>
  <c r="I534" i="14"/>
  <c r="I535" i="14"/>
  <c r="I536" i="14"/>
  <c r="I537" i="14"/>
  <c r="I538" i="14"/>
  <c r="I539" i="14"/>
  <c r="I540" i="14"/>
  <c r="I541" i="14"/>
  <c r="I542" i="14"/>
  <c r="I543" i="14"/>
  <c r="I544" i="14"/>
  <c r="I545" i="14"/>
  <c r="I546" i="14"/>
  <c r="I547" i="14"/>
  <c r="I548" i="14"/>
  <c r="I549" i="14"/>
  <c r="I550" i="14"/>
  <c r="I551" i="14"/>
  <c r="I552" i="14"/>
  <c r="I553" i="14"/>
  <c r="I554" i="14"/>
  <c r="I555" i="14"/>
  <c r="I556" i="14"/>
  <c r="I557" i="14"/>
  <c r="I558" i="14"/>
  <c r="I559" i="14"/>
  <c r="I560" i="14"/>
  <c r="I561" i="14"/>
  <c r="I562" i="14"/>
  <c r="I563" i="14"/>
  <c r="I564" i="14"/>
  <c r="I565" i="14"/>
  <c r="I566" i="14"/>
  <c r="I567" i="14"/>
  <c r="I568" i="14"/>
  <c r="I569" i="14"/>
  <c r="I570" i="14"/>
  <c r="I571" i="14"/>
  <c r="I572" i="14"/>
  <c r="I573" i="14"/>
  <c r="I574" i="14"/>
  <c r="I575" i="14"/>
  <c r="I576" i="14"/>
  <c r="I577" i="14"/>
  <c r="I578" i="14"/>
  <c r="I579" i="14"/>
  <c r="I580" i="14"/>
  <c r="I581" i="14"/>
  <c r="I582" i="14"/>
  <c r="I583" i="14"/>
  <c r="I584" i="14"/>
  <c r="I585" i="14"/>
  <c r="I586" i="14"/>
  <c r="I587" i="14"/>
  <c r="I588" i="14"/>
  <c r="I589" i="14"/>
  <c r="I590" i="14"/>
  <c r="I591" i="14"/>
  <c r="I592" i="14"/>
  <c r="I593" i="14"/>
  <c r="I594" i="14"/>
  <c r="I595" i="14"/>
  <c r="I596" i="14"/>
  <c r="I597" i="14"/>
  <c r="I598" i="14"/>
  <c r="I599" i="14"/>
  <c r="I600" i="14"/>
  <c r="I601" i="14"/>
  <c r="I602" i="14"/>
  <c r="I603" i="14"/>
  <c r="I604" i="14"/>
  <c r="I605" i="14"/>
  <c r="I606" i="14"/>
  <c r="I607" i="14"/>
  <c r="I608" i="14"/>
  <c r="I609" i="14"/>
  <c r="I610" i="14"/>
  <c r="I611" i="14"/>
  <c r="I612" i="14"/>
  <c r="I613" i="14"/>
  <c r="I614" i="14"/>
  <c r="I615" i="14"/>
  <c r="I616" i="14"/>
  <c r="I617" i="14"/>
  <c r="I618" i="14"/>
  <c r="I619" i="14"/>
  <c r="I620" i="14"/>
  <c r="I621" i="14"/>
  <c r="I622" i="14"/>
  <c r="I623" i="14"/>
  <c r="I624" i="14"/>
  <c r="I625" i="14"/>
  <c r="I626" i="14"/>
  <c r="I627" i="14"/>
  <c r="I628" i="14"/>
  <c r="I629" i="14"/>
  <c r="I630" i="14"/>
  <c r="I631" i="14"/>
  <c r="I632" i="14"/>
  <c r="I633" i="14"/>
  <c r="I634" i="14"/>
  <c r="I635" i="14"/>
  <c r="I636" i="14"/>
  <c r="I637" i="14"/>
  <c r="I638" i="14"/>
  <c r="I639" i="14"/>
  <c r="I640" i="14"/>
  <c r="I641" i="14"/>
  <c r="I642" i="14"/>
  <c r="I643" i="14"/>
  <c r="I644" i="14"/>
  <c r="I645" i="14"/>
  <c r="I646" i="14"/>
  <c r="I647" i="14"/>
  <c r="I648" i="14"/>
  <c r="I649" i="14"/>
  <c r="I650" i="14"/>
  <c r="I651" i="14"/>
  <c r="I652" i="14"/>
  <c r="I653" i="14"/>
  <c r="I654" i="14"/>
  <c r="I655" i="14"/>
  <c r="I656" i="14"/>
  <c r="I657" i="14"/>
  <c r="I658" i="14"/>
  <c r="I659" i="14"/>
  <c r="I660" i="14"/>
  <c r="I661" i="14"/>
  <c r="I662" i="14"/>
  <c r="I663" i="14"/>
  <c r="I664" i="14"/>
  <c r="I665" i="14"/>
  <c r="I666" i="14"/>
  <c r="I667" i="14"/>
  <c r="I668" i="14"/>
  <c r="I669" i="14"/>
  <c r="I670" i="14"/>
  <c r="I671" i="14"/>
  <c r="I672" i="14"/>
  <c r="I673" i="14"/>
  <c r="I674" i="14"/>
  <c r="I675" i="14"/>
  <c r="I676" i="14"/>
  <c r="I677" i="14"/>
  <c r="I678" i="14"/>
  <c r="I679" i="14"/>
  <c r="I680" i="14"/>
  <c r="I681" i="14"/>
  <c r="I682" i="14"/>
  <c r="I683" i="14"/>
  <c r="I684" i="14"/>
  <c r="I685" i="14"/>
  <c r="I686" i="14"/>
  <c r="I687" i="14"/>
  <c r="I688" i="14"/>
  <c r="I689" i="14"/>
  <c r="I690" i="14"/>
  <c r="I691" i="14"/>
  <c r="I692" i="14"/>
  <c r="I693" i="14"/>
  <c r="I694" i="14"/>
  <c r="I695" i="14"/>
  <c r="I696" i="14"/>
  <c r="I697" i="14"/>
  <c r="I698" i="14"/>
  <c r="I699" i="14"/>
  <c r="I700" i="14"/>
  <c r="I701" i="14"/>
  <c r="I702" i="14"/>
  <c r="I703" i="14"/>
  <c r="I704" i="14"/>
  <c r="I705" i="14"/>
  <c r="I706" i="14"/>
  <c r="I707" i="14"/>
  <c r="I708" i="14"/>
  <c r="I709" i="14"/>
  <c r="I710" i="14"/>
  <c r="I711" i="14"/>
  <c r="I712" i="14"/>
  <c r="I713" i="14"/>
  <c r="I714" i="14"/>
  <c r="I715" i="14"/>
  <c r="I716" i="14"/>
  <c r="I717" i="14"/>
  <c r="I718" i="14"/>
  <c r="I719" i="14"/>
  <c r="I720" i="14"/>
  <c r="I721" i="14"/>
  <c r="I722" i="14"/>
  <c r="I723" i="14"/>
  <c r="I724" i="14"/>
  <c r="I725" i="14"/>
  <c r="I726" i="14"/>
  <c r="I727" i="14"/>
  <c r="I728" i="14"/>
  <c r="I729" i="14"/>
  <c r="I730" i="14"/>
  <c r="I731" i="14"/>
  <c r="I732" i="14"/>
  <c r="I733" i="14"/>
  <c r="I734" i="14"/>
  <c r="I735" i="14"/>
  <c r="I736" i="14"/>
  <c r="I737" i="14"/>
  <c r="I738" i="14"/>
  <c r="I739" i="14"/>
  <c r="I740" i="14"/>
  <c r="I741" i="14"/>
  <c r="I742" i="14"/>
  <c r="I743" i="14"/>
  <c r="I744" i="14"/>
  <c r="I745" i="14"/>
  <c r="I746" i="14"/>
  <c r="I747" i="14"/>
  <c r="I748" i="14"/>
  <c r="I749" i="14"/>
  <c r="I750" i="14"/>
  <c r="I751" i="14"/>
  <c r="I752" i="14"/>
  <c r="I753" i="14"/>
  <c r="I754" i="14"/>
  <c r="I755" i="14"/>
  <c r="I756" i="14"/>
  <c r="I757" i="14"/>
  <c r="I758" i="14"/>
  <c r="I759" i="14"/>
  <c r="I760" i="14"/>
  <c r="I761" i="14"/>
  <c r="I762" i="14"/>
  <c r="I763" i="14"/>
  <c r="I764" i="14"/>
  <c r="I765" i="14"/>
  <c r="I766" i="14"/>
  <c r="I767" i="14"/>
  <c r="I768" i="14"/>
  <c r="I769" i="14"/>
  <c r="I770" i="14"/>
  <c r="I771" i="14"/>
  <c r="I772" i="14"/>
  <c r="I773" i="14"/>
  <c r="I774" i="14"/>
  <c r="I775" i="14"/>
  <c r="I776" i="14"/>
  <c r="I777" i="14"/>
  <c r="I778" i="14"/>
  <c r="I779" i="14"/>
  <c r="I780" i="14"/>
  <c r="I781" i="14"/>
  <c r="I782" i="14"/>
  <c r="I783" i="14"/>
  <c r="I784" i="14"/>
  <c r="I785" i="14"/>
  <c r="I786" i="14"/>
  <c r="I787" i="14"/>
  <c r="I788" i="14"/>
  <c r="I789" i="14"/>
  <c r="I790" i="14"/>
  <c r="I791" i="14"/>
  <c r="I792" i="14"/>
  <c r="I793" i="14"/>
  <c r="I794" i="14"/>
  <c r="I795" i="14"/>
  <c r="I796" i="14"/>
  <c r="I797" i="14"/>
  <c r="I798" i="14"/>
  <c r="I799" i="14"/>
  <c r="I259" i="14"/>
  <c r="J792" i="14"/>
  <c r="J793" i="14" s="1"/>
  <c r="C792" i="14"/>
  <c r="C720" i="14"/>
  <c r="C690" i="14"/>
  <c r="C573" i="14"/>
  <c r="C552" i="14"/>
  <c r="C435" i="14"/>
  <c r="C324" i="14"/>
  <c r="C260" i="14"/>
  <c r="W6" i="22" l="1"/>
  <c r="Y6" i="22" s="1"/>
  <c r="J37" i="19"/>
  <c r="J61" i="19"/>
  <c r="AL1246" i="21"/>
  <c r="AD1246" i="21"/>
  <c r="AE1246" i="21" s="1"/>
  <c r="AL1245" i="21"/>
  <c r="AD1245" i="21"/>
  <c r="AE1245" i="21" s="1"/>
  <c r="AL1244" i="21"/>
  <c r="AD1244" i="21"/>
  <c r="AE1244" i="21" s="1"/>
  <c r="AL1243" i="21"/>
  <c r="AD1243" i="21"/>
  <c r="AE1243" i="21" s="1"/>
  <c r="AL1242" i="21"/>
  <c r="AD1242" i="21"/>
  <c r="AE1242" i="21" s="1"/>
  <c r="AL1241" i="21"/>
  <c r="AD1241" i="21"/>
  <c r="AE1241" i="21" s="1"/>
  <c r="AL1240" i="21"/>
  <c r="AD1240" i="21"/>
  <c r="AE1240" i="21" s="1"/>
  <c r="AL1239" i="21"/>
  <c r="AD1239" i="21"/>
  <c r="AE1239" i="21" s="1"/>
  <c r="AL1238" i="21"/>
  <c r="AD1238" i="21"/>
  <c r="AE1238" i="21" s="1"/>
  <c r="AL1237" i="21"/>
  <c r="AD1237" i="21"/>
  <c r="AE1237" i="21" s="1"/>
  <c r="AL1236" i="21"/>
  <c r="AD1236" i="21"/>
  <c r="AE1236" i="21" s="1"/>
  <c r="AL1235" i="21"/>
  <c r="AD1235" i="21"/>
  <c r="AE1235" i="21" s="1"/>
  <c r="AL1234" i="21"/>
  <c r="AD1234" i="21"/>
  <c r="AE1234" i="21" s="1"/>
  <c r="AL1233" i="21"/>
  <c r="AD1233" i="21"/>
  <c r="AE1233" i="21" s="1"/>
  <c r="AL1232" i="21"/>
  <c r="AD1232" i="21"/>
  <c r="AE1232" i="21" s="1"/>
  <c r="AL1231" i="21"/>
  <c r="AD1231" i="21"/>
  <c r="AE1231" i="21" s="1"/>
  <c r="AL1230" i="21"/>
  <c r="AD1230" i="21"/>
  <c r="AE1230" i="21" s="1"/>
  <c r="AL1229" i="21"/>
  <c r="AD1229" i="21"/>
  <c r="AE1229" i="21" s="1"/>
  <c r="AL1228" i="21"/>
  <c r="AD1228" i="21"/>
  <c r="AE1228" i="21" s="1"/>
  <c r="Y1228" i="21"/>
  <c r="Z1228" i="21" s="1" a="1"/>
  <c r="Z1228" i="21" s="1"/>
  <c r="AI1228" i="21" s="1"/>
  <c r="AJ1228" i="21" s="1"/>
  <c r="X1228" i="21"/>
  <c r="W1228" i="21"/>
  <c r="AQ1228" i="21" s="1"/>
  <c r="V1228" i="21"/>
  <c r="AL1227" i="21"/>
  <c r="AD1227" i="21"/>
  <c r="AE1227" i="21" s="1"/>
  <c r="Y1227" i="21"/>
  <c r="Z1227" i="21" s="1" a="1"/>
  <c r="Z1227" i="21" s="1"/>
  <c r="AI1227" i="21" s="1"/>
  <c r="AJ1227" i="21" s="1"/>
  <c r="X1227" i="21"/>
  <c r="W1227" i="21"/>
  <c r="AQ1227" i="21" s="1"/>
  <c r="V1227" i="21"/>
  <c r="AL1226" i="21"/>
  <c r="AD1226" i="21"/>
  <c r="AE1226" i="21" s="1"/>
  <c r="AL1225" i="21"/>
  <c r="AD1225" i="21"/>
  <c r="AE1225" i="21" s="1"/>
  <c r="AL1224" i="21"/>
  <c r="AD1224" i="21"/>
  <c r="AE1224" i="21" s="1"/>
  <c r="AL1223" i="21"/>
  <c r="AD1223" i="21"/>
  <c r="AE1223" i="21" s="1"/>
  <c r="AL1222" i="21"/>
  <c r="AD1222" i="21"/>
  <c r="AE1222" i="21" s="1"/>
  <c r="AL1221" i="21"/>
  <c r="AD1221" i="21"/>
  <c r="AE1221" i="21" s="1"/>
  <c r="AL1220" i="21"/>
  <c r="AD1220" i="21"/>
  <c r="AE1220" i="21" s="1"/>
  <c r="AL1219" i="21"/>
  <c r="AD1219" i="21"/>
  <c r="AE1219" i="21" s="1"/>
  <c r="AL1218" i="21"/>
  <c r="AD1218" i="21"/>
  <c r="AE1218" i="21" s="1"/>
  <c r="AL1217" i="21"/>
  <c r="AD1217" i="21"/>
  <c r="AE1217" i="21" s="1"/>
  <c r="AL1216" i="21"/>
  <c r="AD1216" i="21"/>
  <c r="AE1216" i="21" s="1"/>
  <c r="AL1215" i="21"/>
  <c r="AD1215" i="21"/>
  <c r="AE1215" i="21" s="1"/>
  <c r="AL1214" i="21"/>
  <c r="AD1214" i="21"/>
  <c r="AE1214" i="21" s="1"/>
  <c r="AL1213" i="21"/>
  <c r="AD1213" i="21"/>
  <c r="AE1213" i="21" s="1"/>
  <c r="AL1212" i="21"/>
  <c r="AD1212" i="21"/>
  <c r="AE1212" i="21" s="1"/>
  <c r="AL1211" i="21"/>
  <c r="AD1211" i="21"/>
  <c r="AE1211" i="21" s="1"/>
  <c r="AL1210" i="21"/>
  <c r="AD1210" i="21"/>
  <c r="AE1210" i="21" s="1"/>
  <c r="AL1209" i="21"/>
  <c r="AD1209" i="21"/>
  <c r="AE1209" i="21" s="1"/>
  <c r="AL1208" i="21"/>
  <c r="AD1208" i="21"/>
  <c r="AE1208" i="21" s="1"/>
  <c r="AL1207" i="21"/>
  <c r="AD1207" i="21"/>
  <c r="AE1207" i="21" s="1"/>
  <c r="AL1206" i="21"/>
  <c r="AD1206" i="21"/>
  <c r="AE1206" i="21" s="1"/>
  <c r="Z1206" i="21" a="1"/>
  <c r="Z1206" i="21" s="1"/>
  <c r="AI1206" i="21" s="1"/>
  <c r="AJ1206" i="21" s="1"/>
  <c r="X1206" i="21"/>
  <c r="AL1205" i="21"/>
  <c r="AD1205" i="21"/>
  <c r="AE1205" i="21" s="1"/>
  <c r="Y1205" i="21"/>
  <c r="Z1205" i="21" s="1" a="1"/>
  <c r="Z1205" i="21" s="1"/>
  <c r="AI1205" i="21" s="1"/>
  <c r="AJ1205" i="21" s="1"/>
  <c r="X1205" i="21"/>
  <c r="W1205" i="21"/>
  <c r="AQ1205" i="21" s="1"/>
  <c r="V1205" i="21"/>
  <c r="AL1202" i="21"/>
  <c r="AD1202" i="21"/>
  <c r="AE1202" i="21" s="1"/>
  <c r="AD1201" i="21"/>
  <c r="AE1201" i="21" s="1"/>
  <c r="I1201" i="21"/>
  <c r="AM1201" i="21" s="1"/>
  <c r="H1201" i="21"/>
  <c r="AO1200" i="21"/>
  <c r="AL1200" i="21"/>
  <c r="AD1200" i="21"/>
  <c r="AE1200" i="21" s="1"/>
  <c r="Z1200" i="21" a="1"/>
  <c r="Z1200" i="21" s="1"/>
  <c r="AI1200" i="21" s="1"/>
  <c r="AJ1200" i="21" s="1"/>
  <c r="X1200" i="21"/>
  <c r="AO1199" i="21"/>
  <c r="AL1199" i="21"/>
  <c r="AD1199" i="21"/>
  <c r="AE1199" i="21" s="1"/>
  <c r="Z1199" i="21" a="1"/>
  <c r="Z1199" i="21" s="1"/>
  <c r="AI1199" i="21" s="1"/>
  <c r="AJ1199" i="21" s="1"/>
  <c r="X1199" i="21"/>
  <c r="AL1198" i="21"/>
  <c r="AD1198" i="21"/>
  <c r="AE1198" i="21" s="1"/>
  <c r="AL1197" i="21"/>
  <c r="AD1197" i="21"/>
  <c r="AE1197" i="21" s="1"/>
  <c r="AO1196" i="21"/>
  <c r="AL1196" i="21"/>
  <c r="AD1196" i="21"/>
  <c r="AE1196" i="21" s="1"/>
  <c r="Y1196" i="21"/>
  <c r="Z1196" i="21" s="1" a="1"/>
  <c r="Z1196" i="21" s="1"/>
  <c r="AI1196" i="21" s="1"/>
  <c r="AJ1196" i="21" s="1"/>
  <c r="X1196" i="21"/>
  <c r="W1196" i="21"/>
  <c r="AQ1196" i="21" s="1"/>
  <c r="V1196" i="21"/>
  <c r="AO1195" i="21"/>
  <c r="AL1195" i="21"/>
  <c r="AD1195" i="21"/>
  <c r="AE1195" i="21" s="1"/>
  <c r="Y1195" i="21"/>
  <c r="Z1195" i="21" s="1" a="1"/>
  <c r="Z1195" i="21" s="1"/>
  <c r="AI1195" i="21" s="1"/>
  <c r="AJ1195" i="21" s="1"/>
  <c r="X1195" i="21"/>
  <c r="W1195" i="21"/>
  <c r="AQ1195" i="21" s="1"/>
  <c r="V1195" i="21"/>
  <c r="AL1194" i="21"/>
  <c r="AD1194" i="21"/>
  <c r="AE1194" i="21" s="1"/>
  <c r="AL1193" i="21"/>
  <c r="AD1193" i="21"/>
  <c r="AE1193" i="21" s="1"/>
  <c r="AL1192" i="21"/>
  <c r="AD1192" i="21"/>
  <c r="AE1192" i="21" s="1"/>
  <c r="AL1191" i="21"/>
  <c r="AD1191" i="21"/>
  <c r="AE1191" i="21" s="1"/>
  <c r="AL1190" i="21"/>
  <c r="AD1190" i="21"/>
  <c r="AE1190" i="21" s="1"/>
  <c r="AL1189" i="21"/>
  <c r="AD1189" i="21"/>
  <c r="AE1189" i="21" s="1"/>
  <c r="AL1188" i="21"/>
  <c r="AD1188" i="21"/>
  <c r="AE1188" i="21" s="1"/>
  <c r="AD1187" i="21"/>
  <c r="AE1187" i="21" s="1"/>
  <c r="G1187" i="21"/>
  <c r="AL1186" i="21"/>
  <c r="AD1186" i="21"/>
  <c r="AE1186" i="21" s="1"/>
  <c r="AL1185" i="21"/>
  <c r="AD1185" i="21"/>
  <c r="AE1185" i="21" s="1"/>
  <c r="AL1184" i="21"/>
  <c r="AD1184" i="21"/>
  <c r="AE1184" i="21" s="1"/>
  <c r="AL1183" i="21"/>
  <c r="AD1183" i="21"/>
  <c r="AE1183" i="21" s="1"/>
  <c r="AL1182" i="21"/>
  <c r="AD1182" i="21"/>
  <c r="AE1182" i="21" s="1"/>
  <c r="AD1181" i="21"/>
  <c r="AE1181" i="21" s="1"/>
  <c r="G1181" i="21"/>
  <c r="AO1180" i="21"/>
  <c r="AL1180" i="21"/>
  <c r="AD1180" i="21"/>
  <c r="AE1180" i="21" s="1"/>
  <c r="Z1180" i="21" a="1"/>
  <c r="Z1180" i="21" s="1"/>
  <c r="AI1180" i="21" s="1"/>
  <c r="AJ1180" i="21" s="1"/>
  <c r="X1180" i="21"/>
  <c r="AO1179" i="21"/>
  <c r="AL1179" i="21"/>
  <c r="AD1179" i="21"/>
  <c r="AE1179" i="21" s="1"/>
  <c r="Z1179" i="21" a="1"/>
  <c r="Z1179" i="21" s="1"/>
  <c r="AI1179" i="21" s="1"/>
  <c r="AJ1179" i="21" s="1"/>
  <c r="X1179" i="21"/>
  <c r="AO1178" i="21"/>
  <c r="AL1178" i="21"/>
  <c r="AD1178" i="21"/>
  <c r="AE1178" i="21" s="1"/>
  <c r="Z1178" i="21" a="1"/>
  <c r="Z1178" i="21" s="1"/>
  <c r="AI1178" i="21" s="1"/>
  <c r="AJ1178" i="21" s="1"/>
  <c r="X1178" i="21"/>
  <c r="AL1177" i="21"/>
  <c r="AD1177" i="21"/>
  <c r="AE1177" i="21" s="1"/>
  <c r="AL1176" i="21"/>
  <c r="AD1176" i="21"/>
  <c r="AE1176" i="21" s="1"/>
  <c r="Z1176" i="21" a="1"/>
  <c r="Z1176" i="21" s="1"/>
  <c r="AI1176" i="21" s="1"/>
  <c r="AJ1176" i="21" s="1"/>
  <c r="X1176" i="21"/>
  <c r="AL1175" i="21"/>
  <c r="AD1175" i="21"/>
  <c r="AE1175" i="21" s="1"/>
  <c r="Z1175" i="21" a="1"/>
  <c r="Z1175" i="21" s="1"/>
  <c r="AI1175" i="21" s="1"/>
  <c r="AJ1175" i="21" s="1"/>
  <c r="X1175" i="21"/>
  <c r="AL1174" i="21"/>
  <c r="AD1174" i="21"/>
  <c r="AE1174" i="21" s="1"/>
  <c r="Z1174" i="21" a="1"/>
  <c r="Z1174" i="21" s="1"/>
  <c r="AI1174" i="21" s="1"/>
  <c r="AJ1174" i="21" s="1"/>
  <c r="X1174" i="21"/>
  <c r="AL1173" i="21"/>
  <c r="AD1173" i="21"/>
  <c r="AE1173" i="21" s="1"/>
  <c r="AL1172" i="21"/>
  <c r="AD1172" i="21"/>
  <c r="AE1172" i="21" s="1"/>
  <c r="AO1171" i="21"/>
  <c r="AL1171" i="21"/>
  <c r="AD1171" i="21"/>
  <c r="AE1171" i="21" s="1"/>
  <c r="Z1171" i="21" a="1"/>
  <c r="Z1171" i="21" s="1"/>
  <c r="AI1171" i="21" s="1"/>
  <c r="AJ1171" i="21" s="1"/>
  <c r="X1171" i="21"/>
  <c r="AO1170" i="21"/>
  <c r="AL1170" i="21"/>
  <c r="AD1170" i="21"/>
  <c r="AE1170" i="21" s="1"/>
  <c r="Y1170" i="21"/>
  <c r="Z1170" i="21" s="1" a="1"/>
  <c r="Z1170" i="21" s="1"/>
  <c r="AI1170" i="21" s="1"/>
  <c r="AJ1170" i="21" s="1"/>
  <c r="X1170" i="21"/>
  <c r="W1170" i="21"/>
  <c r="AQ1170" i="21" s="1"/>
  <c r="V1170" i="21"/>
  <c r="AL1169" i="21"/>
  <c r="AD1169" i="21"/>
  <c r="AE1169" i="21" s="1"/>
  <c r="Z1169" i="21" a="1"/>
  <c r="Z1169" i="21" s="1"/>
  <c r="AI1169" i="21" s="1"/>
  <c r="AJ1169" i="21" s="1"/>
  <c r="X1169" i="21"/>
  <c r="AL1168" i="21"/>
  <c r="AD1168" i="21"/>
  <c r="AE1168" i="21" s="1"/>
  <c r="Z1168" i="21" a="1"/>
  <c r="Z1168" i="21" s="1"/>
  <c r="AI1168" i="21" s="1"/>
  <c r="AJ1168" i="21" s="1"/>
  <c r="X1168" i="21"/>
  <c r="AL1167" i="21"/>
  <c r="AD1167" i="21"/>
  <c r="AE1167" i="21" s="1"/>
  <c r="AO1166" i="21"/>
  <c r="AL1166" i="21"/>
  <c r="AD1166" i="21"/>
  <c r="AE1166" i="21" s="1"/>
  <c r="AO1165" i="21"/>
  <c r="AL1165" i="21"/>
  <c r="AD1165" i="21"/>
  <c r="AE1165" i="21" s="1"/>
  <c r="Y1165" i="21"/>
  <c r="Z1165" i="21" s="1" a="1"/>
  <c r="Z1165" i="21" s="1"/>
  <c r="AI1165" i="21" s="1"/>
  <c r="AJ1165" i="21" s="1"/>
  <c r="X1165" i="21"/>
  <c r="AL1164" i="21"/>
  <c r="Y1164" i="21"/>
  <c r="AO1164" i="21"/>
  <c r="AO1163" i="21"/>
  <c r="AL1163" i="21"/>
  <c r="AD1163" i="21"/>
  <c r="AE1163" i="21" s="1"/>
  <c r="Y1163" i="21"/>
  <c r="Z1163" i="21" s="1" a="1"/>
  <c r="Z1163" i="21" s="1"/>
  <c r="AI1163" i="21" s="1"/>
  <c r="AJ1163" i="21" s="1"/>
  <c r="X1163" i="21"/>
  <c r="AO1162" i="21"/>
  <c r="AL1162" i="21"/>
  <c r="AD1162" i="21"/>
  <c r="AE1162" i="21" s="1"/>
  <c r="Y1162" i="21"/>
  <c r="Z1162" i="21" s="1" a="1"/>
  <c r="Z1162" i="21" s="1"/>
  <c r="AI1162" i="21" s="1"/>
  <c r="AJ1162" i="21" s="1"/>
  <c r="X1162" i="21"/>
  <c r="AL1161" i="21"/>
  <c r="AD1161" i="21"/>
  <c r="AE1161" i="21" s="1"/>
  <c r="Y1161" i="21"/>
  <c r="Z1161" i="21" s="1" a="1"/>
  <c r="Z1161" i="21" s="1"/>
  <c r="AI1161" i="21" s="1"/>
  <c r="AJ1161" i="21" s="1"/>
  <c r="X1161" i="21"/>
  <c r="W1161" i="21"/>
  <c r="AQ1161" i="21" s="1"/>
  <c r="V1161" i="21"/>
  <c r="AO1161" i="21"/>
  <c r="AO1160" i="21"/>
  <c r="AL1160" i="21"/>
  <c r="AD1160" i="21"/>
  <c r="AE1160" i="21" s="1"/>
  <c r="Y1160" i="21"/>
  <c r="Z1160" i="21" s="1" a="1"/>
  <c r="Z1160" i="21" s="1"/>
  <c r="AI1160" i="21" s="1"/>
  <c r="AJ1160" i="21" s="1"/>
  <c r="X1160" i="21"/>
  <c r="AO1159" i="21"/>
  <c r="AL1159" i="21"/>
  <c r="AD1159" i="21"/>
  <c r="AE1159" i="21" s="1"/>
  <c r="Y1159" i="21"/>
  <c r="Z1159" i="21" s="1" a="1"/>
  <c r="Z1159" i="21" s="1"/>
  <c r="AI1159" i="21" s="1"/>
  <c r="AJ1159" i="21" s="1"/>
  <c r="X1159" i="21"/>
  <c r="W1159" i="21"/>
  <c r="AQ1159" i="21" s="1"/>
  <c r="V1159" i="21"/>
  <c r="AL1158" i="21"/>
  <c r="AD1158" i="21"/>
  <c r="AE1158" i="21" s="1"/>
  <c r="Y1158" i="21"/>
  <c r="Z1158" i="21" s="1" a="1"/>
  <c r="Z1158" i="21" s="1"/>
  <c r="AI1158" i="21" s="1"/>
  <c r="AJ1158" i="21" s="1"/>
  <c r="X1158" i="21"/>
  <c r="W1158" i="21"/>
  <c r="AQ1158" i="21" s="1"/>
  <c r="V1158" i="21"/>
  <c r="AO1158" i="21"/>
  <c r="AO1157" i="21"/>
  <c r="AL1157" i="21"/>
  <c r="AD1157" i="21"/>
  <c r="AE1157" i="21" s="1"/>
  <c r="Y1157" i="21"/>
  <c r="Z1157" i="21" s="1" a="1"/>
  <c r="Z1157" i="21" s="1"/>
  <c r="AI1157" i="21" s="1"/>
  <c r="AJ1157" i="21" s="1"/>
  <c r="X1157" i="21"/>
  <c r="AO1156" i="21"/>
  <c r="AL1156" i="21"/>
  <c r="AD1156" i="21"/>
  <c r="AE1156" i="21" s="1"/>
  <c r="Y1156" i="21"/>
  <c r="Z1156" i="21" s="1" a="1"/>
  <c r="Z1156" i="21" s="1"/>
  <c r="AI1156" i="21" s="1"/>
  <c r="AJ1156" i="21" s="1"/>
  <c r="X1156" i="21"/>
  <c r="W1156" i="21"/>
  <c r="AQ1156" i="21" s="1"/>
  <c r="V1156" i="21"/>
  <c r="AL1155" i="21"/>
  <c r="AD1155" i="21"/>
  <c r="AE1155" i="21" s="1"/>
  <c r="Y1155" i="21"/>
  <c r="Z1155" i="21" s="1" a="1"/>
  <c r="Z1155" i="21" s="1"/>
  <c r="AI1155" i="21" s="1"/>
  <c r="AJ1155" i="21" s="1"/>
  <c r="X1155" i="21"/>
  <c r="AO1155" i="21"/>
  <c r="AO1154" i="21"/>
  <c r="AL1154" i="21"/>
  <c r="AD1154" i="21"/>
  <c r="AE1154" i="21" s="1"/>
  <c r="Y1154" i="21"/>
  <c r="Z1154" i="21" s="1" a="1"/>
  <c r="Z1154" i="21" s="1"/>
  <c r="AI1154" i="21" s="1"/>
  <c r="AJ1154" i="21" s="1"/>
  <c r="X1154" i="21"/>
  <c r="W1154" i="21"/>
  <c r="AQ1154" i="21" s="1"/>
  <c r="V1154" i="21"/>
  <c r="AO1153" i="21"/>
  <c r="AL1153" i="21"/>
  <c r="AD1153" i="21"/>
  <c r="AE1153" i="21" s="1"/>
  <c r="Y1153" i="21"/>
  <c r="Z1153" i="21" s="1" a="1"/>
  <c r="Z1153" i="21" s="1"/>
  <c r="AI1153" i="21" s="1"/>
  <c r="AJ1153" i="21" s="1"/>
  <c r="X1153" i="21"/>
  <c r="W1153" i="21"/>
  <c r="AQ1153" i="21" s="1"/>
  <c r="V1153" i="21"/>
  <c r="AL1152" i="21"/>
  <c r="AD1152" i="21"/>
  <c r="AE1152" i="21" s="1"/>
  <c r="AL1151" i="21"/>
  <c r="AD1151" i="21"/>
  <c r="AE1151" i="21" s="1"/>
  <c r="AO1150" i="21"/>
  <c r="AL1150" i="21"/>
  <c r="AD1150" i="21"/>
  <c r="AE1150" i="21" s="1"/>
  <c r="Y1150" i="21"/>
  <c r="Z1150" i="21" s="1" a="1"/>
  <c r="Z1150" i="21" s="1"/>
  <c r="AI1150" i="21" s="1"/>
  <c r="AJ1150" i="21" s="1"/>
  <c r="X1150" i="21"/>
  <c r="W1150" i="21"/>
  <c r="AQ1150" i="21" s="1"/>
  <c r="V1150" i="21"/>
  <c r="AO1149" i="21"/>
  <c r="AL1149" i="21"/>
  <c r="AD1149" i="21"/>
  <c r="AE1149" i="21" s="1"/>
  <c r="Y1149" i="21"/>
  <c r="Z1149" i="21" s="1" a="1"/>
  <c r="Z1149" i="21" s="1"/>
  <c r="AI1149" i="21" s="1"/>
  <c r="AJ1149" i="21" s="1"/>
  <c r="X1149" i="21"/>
  <c r="W1149" i="21"/>
  <c r="AQ1149" i="21" s="1"/>
  <c r="V1149" i="21"/>
  <c r="AL1148" i="21"/>
  <c r="AD1148" i="21"/>
  <c r="AE1148" i="21" s="1"/>
  <c r="AL1147" i="21"/>
  <c r="AD1147" i="21"/>
  <c r="AE1147" i="21" s="1"/>
  <c r="AL1146" i="21"/>
  <c r="AD1146" i="21"/>
  <c r="AE1146" i="21" s="1"/>
  <c r="AL1145" i="21"/>
  <c r="AD1145" i="21"/>
  <c r="AE1145" i="21" s="1"/>
  <c r="AL1144" i="21"/>
  <c r="AD1144" i="21"/>
  <c r="AE1144" i="21" s="1"/>
  <c r="AL1143" i="21"/>
  <c r="AD1143" i="21"/>
  <c r="AE1143" i="21" s="1"/>
  <c r="AL1142" i="21"/>
  <c r="AD1142" i="21"/>
  <c r="AE1142" i="21" s="1"/>
  <c r="AL1141" i="21"/>
  <c r="AD1141" i="21"/>
  <c r="AE1141" i="21" s="1"/>
  <c r="AL1140" i="21"/>
  <c r="AD1140" i="21"/>
  <c r="AE1140" i="21" s="1"/>
  <c r="AL1139" i="21"/>
  <c r="AD1139" i="21"/>
  <c r="AE1139" i="21" s="1"/>
  <c r="AL1138" i="21"/>
  <c r="AD1138" i="21"/>
  <c r="AE1138" i="21" s="1"/>
  <c r="AL1137" i="21"/>
  <c r="AD1137" i="21"/>
  <c r="AE1137" i="21" s="1"/>
  <c r="AL1136" i="21"/>
  <c r="AD1136" i="21"/>
  <c r="AE1136" i="21" s="1"/>
  <c r="AL1135" i="21"/>
  <c r="AD1135" i="21"/>
  <c r="AE1135" i="21" s="1"/>
  <c r="AO1134" i="21"/>
  <c r="AL1134" i="21"/>
  <c r="AD1134" i="21"/>
  <c r="AE1134" i="21" s="1"/>
  <c r="Y1134" i="21"/>
  <c r="Z1134" i="21" s="1" a="1"/>
  <c r="Z1134" i="21" s="1"/>
  <c r="AI1134" i="21" s="1"/>
  <c r="AJ1134" i="21" s="1"/>
  <c r="X1134" i="21"/>
  <c r="W1134" i="21"/>
  <c r="AQ1134" i="21" s="1"/>
  <c r="V1134" i="21"/>
  <c r="AO1133" i="21"/>
  <c r="AL1133" i="21"/>
  <c r="AD1133" i="21"/>
  <c r="AE1133" i="21" s="1"/>
  <c r="Y1133" i="21"/>
  <c r="Z1133" i="21" s="1" a="1"/>
  <c r="Z1133" i="21" s="1"/>
  <c r="AI1133" i="21" s="1"/>
  <c r="AJ1133" i="21" s="1"/>
  <c r="X1133" i="21"/>
  <c r="W1133" i="21"/>
  <c r="AQ1133" i="21" s="1"/>
  <c r="V1133" i="21"/>
  <c r="AL1132" i="21"/>
  <c r="AD1132" i="21"/>
  <c r="AE1132" i="21" s="1"/>
  <c r="AL1131" i="21"/>
  <c r="AD1131" i="21"/>
  <c r="AE1131" i="21" s="1"/>
  <c r="AO1130" i="21"/>
  <c r="AL1130" i="21"/>
  <c r="AD1130" i="21"/>
  <c r="AE1130" i="21" s="1"/>
  <c r="Y1130" i="21"/>
  <c r="Z1130" i="21" s="1" a="1"/>
  <c r="Z1130" i="21" s="1"/>
  <c r="AI1130" i="21" s="1"/>
  <c r="AJ1130" i="21" s="1"/>
  <c r="X1130" i="21"/>
  <c r="W1130" i="21"/>
  <c r="AQ1130" i="21" s="1"/>
  <c r="V1130" i="21"/>
  <c r="AO1129" i="21"/>
  <c r="AL1129" i="21"/>
  <c r="AD1129" i="21"/>
  <c r="AE1129" i="21" s="1"/>
  <c r="Y1129" i="21"/>
  <c r="Z1129" i="21" s="1" a="1"/>
  <c r="Z1129" i="21" s="1"/>
  <c r="AI1129" i="21" s="1"/>
  <c r="AJ1129" i="21" s="1"/>
  <c r="X1129" i="21"/>
  <c r="AO1128" i="21"/>
  <c r="AL1128" i="21"/>
  <c r="AD1128" i="21"/>
  <c r="AE1128" i="21" s="1"/>
  <c r="Y1128" i="21"/>
  <c r="Z1128" i="21" s="1" a="1"/>
  <c r="Z1128" i="21" s="1"/>
  <c r="AI1128" i="21" s="1"/>
  <c r="AJ1128" i="21" s="1"/>
  <c r="X1128" i="21"/>
  <c r="AL1127" i="21"/>
  <c r="AD1127" i="21"/>
  <c r="AE1127" i="21" s="1"/>
  <c r="AL1126" i="21"/>
  <c r="AD1126" i="21"/>
  <c r="AE1126" i="21" s="1"/>
  <c r="AL1125" i="21"/>
  <c r="AD1125" i="21"/>
  <c r="AE1125" i="21" s="1"/>
  <c r="AL1124" i="21"/>
  <c r="AD1124" i="21"/>
  <c r="AE1124" i="21" s="1"/>
  <c r="AL1123" i="21"/>
  <c r="AD1123" i="21"/>
  <c r="AE1123" i="21" s="1"/>
  <c r="AL1122" i="21"/>
  <c r="AD1122" i="21"/>
  <c r="AE1122" i="21" s="1"/>
  <c r="AL1121" i="21"/>
  <c r="AD1121" i="21"/>
  <c r="AE1121" i="21" s="1"/>
  <c r="AL1120" i="21"/>
  <c r="AD1120" i="21"/>
  <c r="AE1120" i="21" s="1"/>
  <c r="AL1119" i="21"/>
  <c r="AD1119" i="21"/>
  <c r="AE1119" i="21" s="1"/>
  <c r="AL1118" i="21"/>
  <c r="AD1118" i="21"/>
  <c r="AE1118" i="21" s="1"/>
  <c r="AL1117" i="21"/>
  <c r="AD1117" i="21"/>
  <c r="AE1117" i="21" s="1"/>
  <c r="AO1116" i="21"/>
  <c r="AL1116" i="21"/>
  <c r="AD1116" i="21"/>
  <c r="AE1116" i="21" s="1"/>
  <c r="Y1116" i="21"/>
  <c r="Z1116" i="21" s="1" a="1"/>
  <c r="Z1116" i="21" s="1"/>
  <c r="AI1116" i="21" s="1"/>
  <c r="AJ1116" i="21" s="1"/>
  <c r="X1116" i="21"/>
  <c r="AO1115" i="21"/>
  <c r="AL1115" i="21"/>
  <c r="AD1115" i="21"/>
  <c r="AE1115" i="21" s="1"/>
  <c r="Y1115" i="21"/>
  <c r="Z1115" i="21" s="1" a="1"/>
  <c r="Z1115" i="21" s="1"/>
  <c r="AI1115" i="21" s="1"/>
  <c r="AJ1115" i="21" s="1"/>
  <c r="X1115" i="21"/>
  <c r="W1115" i="21"/>
  <c r="AQ1115" i="21" s="1"/>
  <c r="V1115" i="21"/>
  <c r="AL1114" i="21"/>
  <c r="AD1114" i="21"/>
  <c r="AE1114" i="21" s="1"/>
  <c r="AL1113" i="21"/>
  <c r="AD1113" i="21"/>
  <c r="AE1113" i="21" s="1"/>
  <c r="AL1112" i="21"/>
  <c r="AD1112" i="21"/>
  <c r="AE1112" i="21" s="1"/>
  <c r="AL1111" i="21"/>
  <c r="AD1111" i="21"/>
  <c r="AE1111" i="21" s="1"/>
  <c r="AL1110" i="21"/>
  <c r="AD1110" i="21"/>
  <c r="AE1110" i="21" s="1"/>
  <c r="AD1109" i="21"/>
  <c r="AE1109" i="21" s="1"/>
  <c r="I1109" i="21"/>
  <c r="AM1109" i="21" s="1"/>
  <c r="I1108" i="21"/>
  <c r="AM1108" i="21" s="1"/>
  <c r="I1107" i="21"/>
  <c r="AM1107" i="21" s="1"/>
  <c r="AO1106" i="21"/>
  <c r="AA1106" i="21"/>
  <c r="AD1106" i="21" s="1"/>
  <c r="AE1106" i="21" s="1"/>
  <c r="Y1106" i="21"/>
  <c r="Z1106" i="21" s="1" a="1"/>
  <c r="Z1106" i="21" s="1"/>
  <c r="AI1106" i="21" s="1"/>
  <c r="AJ1106" i="21" s="1"/>
  <c r="X1106" i="21"/>
  <c r="W1106" i="21"/>
  <c r="AQ1106" i="21" s="1"/>
  <c r="V1106" i="21"/>
  <c r="I1106" i="21"/>
  <c r="AM1106" i="21" s="1"/>
  <c r="AO1105" i="21"/>
  <c r="AL1105" i="21"/>
  <c r="AD1105" i="21"/>
  <c r="AE1105" i="21" s="1"/>
  <c r="Y1105" i="21"/>
  <c r="Z1105" i="21" s="1" a="1"/>
  <c r="Z1105" i="21" s="1"/>
  <c r="AI1105" i="21" s="1"/>
  <c r="AJ1105" i="21" s="1"/>
  <c r="X1105" i="21"/>
  <c r="AL1104" i="21"/>
  <c r="AD1104" i="21"/>
  <c r="AE1104" i="21" s="1"/>
  <c r="AL1103" i="21"/>
  <c r="AD1103" i="21"/>
  <c r="AE1103" i="21" s="1"/>
  <c r="AL1102" i="21"/>
  <c r="AD1102" i="21"/>
  <c r="AE1102" i="21" s="1"/>
  <c r="AL1101" i="21"/>
  <c r="AD1101" i="21"/>
  <c r="AE1101" i="21" s="1"/>
  <c r="AL1100" i="21"/>
  <c r="AD1100" i="21"/>
  <c r="AE1100" i="21" s="1"/>
  <c r="AL1099" i="21"/>
  <c r="AD1099" i="21"/>
  <c r="AE1099" i="21" s="1"/>
  <c r="AL1098" i="21"/>
  <c r="AD1098" i="21"/>
  <c r="AE1098" i="21" s="1"/>
  <c r="AL1097" i="21"/>
  <c r="AD1097" i="21"/>
  <c r="AE1097" i="21" s="1"/>
  <c r="AL1096" i="21"/>
  <c r="AD1096" i="21"/>
  <c r="AE1096" i="21" s="1"/>
  <c r="AL1095" i="21"/>
  <c r="AD1095" i="21"/>
  <c r="AE1095" i="21" s="1"/>
  <c r="AL1094" i="21"/>
  <c r="AD1094" i="21"/>
  <c r="AE1094" i="21" s="1"/>
  <c r="AL1093" i="21"/>
  <c r="AD1093" i="21"/>
  <c r="AE1093" i="21" s="1"/>
  <c r="AL1092" i="21"/>
  <c r="AD1092" i="21"/>
  <c r="AE1092" i="21" s="1"/>
  <c r="AL1091" i="21"/>
  <c r="AD1091" i="21"/>
  <c r="AE1091" i="21" s="1"/>
  <c r="AL1090" i="21"/>
  <c r="AD1090" i="21"/>
  <c r="AE1090" i="21" s="1"/>
  <c r="AL1089" i="21"/>
  <c r="AD1089" i="21"/>
  <c r="AE1089" i="21" s="1"/>
  <c r="AL1088" i="21"/>
  <c r="AD1088" i="21"/>
  <c r="AE1088" i="21" s="1"/>
  <c r="AL1087" i="21"/>
  <c r="AD1087" i="21"/>
  <c r="AE1087" i="21" s="1"/>
  <c r="AL1086" i="21"/>
  <c r="AD1086" i="21"/>
  <c r="AE1086" i="21" s="1"/>
  <c r="AL1085" i="21"/>
  <c r="AD1085" i="21"/>
  <c r="AE1085" i="21" s="1"/>
  <c r="AL1084" i="21"/>
  <c r="AD1084" i="21"/>
  <c r="AE1084" i="21" s="1"/>
  <c r="AL1083" i="21"/>
  <c r="AD1083" i="21"/>
  <c r="AE1083" i="21" s="1"/>
  <c r="AL1082" i="21"/>
  <c r="AD1082" i="21"/>
  <c r="AE1082" i="21" s="1"/>
  <c r="AL1081" i="21"/>
  <c r="AD1081" i="21"/>
  <c r="AE1081" i="21" s="1"/>
  <c r="AL1080" i="21"/>
  <c r="AD1080" i="21"/>
  <c r="AE1080" i="21" s="1"/>
  <c r="AL1079" i="21"/>
  <c r="AD1079" i="21"/>
  <c r="AE1079" i="21" s="1"/>
  <c r="AL1078" i="21"/>
  <c r="AD1078" i="21"/>
  <c r="AE1078" i="21" s="1"/>
  <c r="AL1077" i="21"/>
  <c r="AD1077" i="21"/>
  <c r="AE1077" i="21" s="1"/>
  <c r="AL1076" i="21"/>
  <c r="AD1076" i="21"/>
  <c r="AE1076" i="21" s="1"/>
  <c r="AL1075" i="21"/>
  <c r="AD1075" i="21"/>
  <c r="AE1075" i="21" s="1"/>
  <c r="AL1074" i="21"/>
  <c r="AD1074" i="21"/>
  <c r="AE1074" i="21" s="1"/>
  <c r="AL1073" i="21"/>
  <c r="AD1073" i="21"/>
  <c r="AE1073" i="21" s="1"/>
  <c r="AL1072" i="21"/>
  <c r="AD1072" i="21"/>
  <c r="AE1072" i="21" s="1"/>
  <c r="AO1071" i="21"/>
  <c r="AL1071" i="21"/>
  <c r="AD1071" i="21"/>
  <c r="AE1071" i="21" s="1"/>
  <c r="Y1071" i="21"/>
  <c r="Z1071" i="21" s="1" a="1"/>
  <c r="Z1071" i="21" s="1"/>
  <c r="AI1071" i="21" s="1"/>
  <c r="AJ1071" i="21" s="1"/>
  <c r="X1071" i="21"/>
  <c r="W1071" i="21"/>
  <c r="AQ1071" i="21" s="1"/>
  <c r="V1071" i="21"/>
  <c r="AO1070" i="21"/>
  <c r="AL1070" i="21"/>
  <c r="AD1070" i="21"/>
  <c r="AE1070" i="21" s="1"/>
  <c r="Y1070" i="21"/>
  <c r="Z1070" i="21" s="1" a="1"/>
  <c r="Z1070" i="21" s="1"/>
  <c r="AI1070" i="21" s="1"/>
  <c r="AJ1070" i="21" s="1"/>
  <c r="X1070" i="21"/>
  <c r="W1070" i="21"/>
  <c r="AQ1070" i="21" s="1"/>
  <c r="V1070" i="21"/>
  <c r="AO1069" i="21"/>
  <c r="AL1069" i="21"/>
  <c r="AD1069" i="21"/>
  <c r="AE1069" i="21" s="1"/>
  <c r="Y1069" i="21"/>
  <c r="Z1069" i="21" s="1" a="1"/>
  <c r="Z1069" i="21" s="1"/>
  <c r="AI1069" i="21" s="1"/>
  <c r="AJ1069" i="21" s="1"/>
  <c r="X1069" i="21"/>
  <c r="W1069" i="21"/>
  <c r="AQ1069" i="21" s="1"/>
  <c r="V1069" i="21"/>
  <c r="AO1068" i="21"/>
  <c r="AL1068" i="21"/>
  <c r="AD1068" i="21"/>
  <c r="AE1068" i="21" s="1"/>
  <c r="Y1068" i="21"/>
  <c r="Z1068" i="21" s="1" a="1"/>
  <c r="Z1068" i="21" s="1"/>
  <c r="AI1068" i="21" s="1"/>
  <c r="AJ1068" i="21" s="1"/>
  <c r="X1068" i="21"/>
  <c r="W1068" i="21"/>
  <c r="AQ1068" i="21" s="1"/>
  <c r="V1068" i="21"/>
  <c r="AO1067" i="21"/>
  <c r="AL1067" i="21"/>
  <c r="AD1067" i="21"/>
  <c r="AE1067" i="21" s="1"/>
  <c r="Y1067" i="21"/>
  <c r="Z1067" i="21" s="1" a="1"/>
  <c r="Z1067" i="21" s="1"/>
  <c r="AI1067" i="21" s="1"/>
  <c r="AJ1067" i="21" s="1"/>
  <c r="X1067" i="21"/>
  <c r="W1067" i="21"/>
  <c r="AQ1067" i="21" s="1"/>
  <c r="V1067" i="21"/>
  <c r="AO1066" i="21"/>
  <c r="AL1066" i="21"/>
  <c r="AD1066" i="21"/>
  <c r="AE1066" i="21" s="1"/>
  <c r="Y1066" i="21"/>
  <c r="Z1066" i="21" s="1" a="1"/>
  <c r="Z1066" i="21" s="1"/>
  <c r="AI1066" i="21" s="1"/>
  <c r="AJ1066" i="21" s="1"/>
  <c r="X1066" i="21"/>
  <c r="W1066" i="21"/>
  <c r="AQ1066" i="21" s="1"/>
  <c r="V1066" i="21"/>
  <c r="AO1065" i="21"/>
  <c r="AL1065" i="21"/>
  <c r="AD1065" i="21"/>
  <c r="AE1065" i="21" s="1"/>
  <c r="Y1065" i="21"/>
  <c r="Z1065" i="21" s="1" a="1"/>
  <c r="Z1065" i="21" s="1"/>
  <c r="AI1065" i="21" s="1"/>
  <c r="AJ1065" i="21" s="1"/>
  <c r="X1065" i="21"/>
  <c r="W1065" i="21"/>
  <c r="AQ1065" i="21" s="1"/>
  <c r="V1065" i="21"/>
  <c r="AO1064" i="21"/>
  <c r="AL1064" i="21"/>
  <c r="AD1064" i="21"/>
  <c r="AE1064" i="21" s="1"/>
  <c r="Y1064" i="21"/>
  <c r="Z1064" i="21" s="1" a="1"/>
  <c r="Z1064" i="21" s="1"/>
  <c r="AI1064" i="21" s="1"/>
  <c r="AJ1064" i="21" s="1"/>
  <c r="X1064" i="21"/>
  <c r="W1064" i="21"/>
  <c r="AQ1064" i="21" s="1"/>
  <c r="V1064" i="21"/>
  <c r="AO1063" i="21"/>
  <c r="AL1063" i="21"/>
  <c r="AD1063" i="21"/>
  <c r="AE1063" i="21" s="1"/>
  <c r="Y1063" i="21"/>
  <c r="Z1063" i="21" s="1" a="1"/>
  <c r="Z1063" i="21" s="1"/>
  <c r="AI1063" i="21" s="1"/>
  <c r="AJ1063" i="21" s="1"/>
  <c r="X1063" i="21"/>
  <c r="W1063" i="21"/>
  <c r="AQ1063" i="21" s="1"/>
  <c r="V1063" i="21"/>
  <c r="AO1062" i="21"/>
  <c r="AL1062" i="21"/>
  <c r="AD1062" i="21"/>
  <c r="AE1062" i="21" s="1"/>
  <c r="Y1062" i="21"/>
  <c r="Z1062" i="21" s="1" a="1"/>
  <c r="Z1062" i="21" s="1"/>
  <c r="AI1062" i="21" s="1"/>
  <c r="AJ1062" i="21" s="1"/>
  <c r="X1062" i="21"/>
  <c r="W1062" i="21"/>
  <c r="AQ1062" i="21" s="1"/>
  <c r="V1062" i="21"/>
  <c r="AO1061" i="21"/>
  <c r="AL1061" i="21"/>
  <c r="AD1061" i="21"/>
  <c r="AE1061" i="21" s="1"/>
  <c r="Y1061" i="21"/>
  <c r="Z1061" i="21" s="1" a="1"/>
  <c r="Z1061" i="21" s="1"/>
  <c r="AI1061" i="21" s="1"/>
  <c r="AJ1061" i="21" s="1"/>
  <c r="X1061" i="21"/>
  <c r="W1061" i="21"/>
  <c r="AQ1061" i="21" s="1"/>
  <c r="V1061" i="21"/>
  <c r="AO1060" i="21"/>
  <c r="AL1060" i="21"/>
  <c r="AD1060" i="21"/>
  <c r="AE1060" i="21" s="1"/>
  <c r="Y1060" i="21"/>
  <c r="Z1060" i="21" s="1" a="1"/>
  <c r="Z1060" i="21" s="1"/>
  <c r="AI1060" i="21" s="1"/>
  <c r="AJ1060" i="21" s="1"/>
  <c r="X1060" i="21"/>
  <c r="W1060" i="21"/>
  <c r="AQ1060" i="21" s="1"/>
  <c r="V1060" i="21"/>
  <c r="AO1059" i="21"/>
  <c r="AL1059" i="21"/>
  <c r="AD1059" i="21"/>
  <c r="AE1059" i="21" s="1"/>
  <c r="Y1059" i="21"/>
  <c r="Z1059" i="21" s="1" a="1"/>
  <c r="Z1059" i="21" s="1"/>
  <c r="AI1059" i="21" s="1"/>
  <c r="AJ1059" i="21" s="1"/>
  <c r="X1059" i="21"/>
  <c r="W1059" i="21"/>
  <c r="AQ1059" i="21" s="1"/>
  <c r="V1059" i="21"/>
  <c r="AO1058" i="21"/>
  <c r="AL1058" i="21"/>
  <c r="AD1058" i="21"/>
  <c r="AE1058" i="21" s="1"/>
  <c r="Y1058" i="21"/>
  <c r="Z1058" i="21" s="1" a="1"/>
  <c r="Z1058" i="21" s="1"/>
  <c r="AI1058" i="21" s="1"/>
  <c r="AJ1058" i="21" s="1"/>
  <c r="X1058" i="21"/>
  <c r="W1058" i="21"/>
  <c r="AQ1058" i="21" s="1"/>
  <c r="V1058" i="21"/>
  <c r="AO1057" i="21"/>
  <c r="AL1057" i="21"/>
  <c r="AD1057" i="21"/>
  <c r="AE1057" i="21" s="1"/>
  <c r="Y1057" i="21"/>
  <c r="Z1057" i="21" s="1" a="1"/>
  <c r="Z1057" i="21" s="1"/>
  <c r="AI1057" i="21" s="1"/>
  <c r="AJ1057" i="21" s="1"/>
  <c r="X1057" i="21"/>
  <c r="W1057" i="21"/>
  <c r="AQ1057" i="21" s="1"/>
  <c r="V1057" i="21"/>
  <c r="AO1056" i="21"/>
  <c r="AL1056" i="21"/>
  <c r="AD1056" i="21"/>
  <c r="AE1056" i="21" s="1"/>
  <c r="Y1056" i="21"/>
  <c r="Z1056" i="21" s="1" a="1"/>
  <c r="Z1056" i="21" s="1"/>
  <c r="AI1056" i="21" s="1"/>
  <c r="AJ1056" i="21" s="1"/>
  <c r="X1056" i="21"/>
  <c r="W1056" i="21"/>
  <c r="AQ1056" i="21" s="1"/>
  <c r="V1056" i="21"/>
  <c r="AO1055" i="21"/>
  <c r="AL1055" i="21"/>
  <c r="AD1055" i="21"/>
  <c r="AE1055" i="21" s="1"/>
  <c r="Y1055" i="21"/>
  <c r="Z1055" i="21" s="1" a="1"/>
  <c r="Z1055" i="21" s="1"/>
  <c r="AI1055" i="21" s="1"/>
  <c r="AJ1055" i="21" s="1"/>
  <c r="X1055" i="21"/>
  <c r="W1055" i="21"/>
  <c r="AQ1055" i="21" s="1"/>
  <c r="V1055" i="21"/>
  <c r="AO1054" i="21"/>
  <c r="AL1054" i="21"/>
  <c r="AD1054" i="21"/>
  <c r="AE1054" i="21" s="1"/>
  <c r="Y1054" i="21"/>
  <c r="Z1054" i="21" s="1" a="1"/>
  <c r="Z1054" i="21" s="1"/>
  <c r="AI1054" i="21" s="1"/>
  <c r="AJ1054" i="21" s="1"/>
  <c r="X1054" i="21"/>
  <c r="W1054" i="21"/>
  <c r="AQ1054" i="21" s="1"/>
  <c r="V1054" i="21"/>
  <c r="AO1053" i="21"/>
  <c r="AL1053" i="21"/>
  <c r="AD1053" i="21"/>
  <c r="AE1053" i="21" s="1"/>
  <c r="Y1053" i="21"/>
  <c r="Z1053" i="21" s="1" a="1"/>
  <c r="Z1053" i="21" s="1"/>
  <c r="AI1053" i="21" s="1"/>
  <c r="AJ1053" i="21" s="1"/>
  <c r="X1053" i="21"/>
  <c r="W1053" i="21"/>
  <c r="AQ1053" i="21" s="1"/>
  <c r="V1053" i="21"/>
  <c r="AO1052" i="21"/>
  <c r="AL1052" i="21"/>
  <c r="AD1052" i="21"/>
  <c r="AE1052" i="21" s="1"/>
  <c r="Y1052" i="21"/>
  <c r="Z1052" i="21" s="1" a="1"/>
  <c r="Z1052" i="21" s="1"/>
  <c r="AI1052" i="21" s="1"/>
  <c r="AJ1052" i="21" s="1"/>
  <c r="X1052" i="21"/>
  <c r="W1052" i="21"/>
  <c r="AQ1052" i="21" s="1"/>
  <c r="V1052" i="21"/>
  <c r="AO1051" i="21"/>
  <c r="AL1051" i="21"/>
  <c r="AD1051" i="21"/>
  <c r="AE1051" i="21" s="1"/>
  <c r="Y1051" i="21"/>
  <c r="Z1051" i="21" s="1" a="1"/>
  <c r="Z1051" i="21" s="1"/>
  <c r="AI1051" i="21" s="1"/>
  <c r="AJ1051" i="21" s="1"/>
  <c r="X1051" i="21"/>
  <c r="W1051" i="21"/>
  <c r="AQ1051" i="21" s="1"/>
  <c r="V1051" i="21"/>
  <c r="AO1050" i="21"/>
  <c r="AL1050" i="21"/>
  <c r="AD1050" i="21"/>
  <c r="AE1050" i="21" s="1"/>
  <c r="Y1050" i="21"/>
  <c r="Z1050" i="21" s="1" a="1"/>
  <c r="Z1050" i="21" s="1"/>
  <c r="AI1050" i="21" s="1"/>
  <c r="AJ1050" i="21" s="1"/>
  <c r="X1050" i="21"/>
  <c r="W1050" i="21"/>
  <c r="AQ1050" i="21" s="1"/>
  <c r="V1050" i="21"/>
  <c r="AO1049" i="21"/>
  <c r="AL1049" i="21"/>
  <c r="AD1049" i="21"/>
  <c r="AE1049" i="21" s="1"/>
  <c r="Y1049" i="21"/>
  <c r="Z1049" i="21" s="1" a="1"/>
  <c r="Z1049" i="21" s="1"/>
  <c r="AI1049" i="21" s="1"/>
  <c r="AJ1049" i="21" s="1"/>
  <c r="X1049" i="21"/>
  <c r="W1049" i="21"/>
  <c r="AQ1049" i="21" s="1"/>
  <c r="V1049" i="21"/>
  <c r="AO1048" i="21"/>
  <c r="AL1048" i="21"/>
  <c r="AD1048" i="21"/>
  <c r="AE1048" i="21" s="1"/>
  <c r="Y1048" i="21"/>
  <c r="Z1048" i="21" s="1" a="1"/>
  <c r="Z1048" i="21" s="1"/>
  <c r="AI1048" i="21" s="1"/>
  <c r="AJ1048" i="21" s="1"/>
  <c r="X1048" i="21"/>
  <c r="W1048" i="21"/>
  <c r="AQ1048" i="21" s="1"/>
  <c r="V1048" i="21"/>
  <c r="AO1047" i="21"/>
  <c r="AL1047" i="21"/>
  <c r="AD1047" i="21"/>
  <c r="AE1047" i="21" s="1"/>
  <c r="Y1047" i="21"/>
  <c r="Z1047" i="21" s="1" a="1"/>
  <c r="Z1047" i="21" s="1"/>
  <c r="AI1047" i="21" s="1"/>
  <c r="AJ1047" i="21" s="1"/>
  <c r="X1047" i="21"/>
  <c r="W1047" i="21"/>
  <c r="AQ1047" i="21" s="1"/>
  <c r="V1047" i="21"/>
  <c r="AO1046" i="21"/>
  <c r="AL1046" i="21"/>
  <c r="AD1046" i="21"/>
  <c r="AE1046" i="21" s="1"/>
  <c r="Y1046" i="21"/>
  <c r="Z1046" i="21" s="1" a="1"/>
  <c r="Z1046" i="21" s="1"/>
  <c r="AI1046" i="21" s="1"/>
  <c r="AJ1046" i="21" s="1"/>
  <c r="X1046" i="21"/>
  <c r="W1046" i="21"/>
  <c r="AQ1046" i="21" s="1"/>
  <c r="V1046" i="21"/>
  <c r="AO1045" i="21"/>
  <c r="AL1045" i="21"/>
  <c r="AD1045" i="21"/>
  <c r="AE1045" i="21" s="1"/>
  <c r="Y1045" i="21"/>
  <c r="Z1045" i="21" s="1" a="1"/>
  <c r="Z1045" i="21" s="1"/>
  <c r="AI1045" i="21" s="1"/>
  <c r="AJ1045" i="21" s="1"/>
  <c r="X1045" i="21"/>
  <c r="W1045" i="21"/>
  <c r="AQ1045" i="21" s="1"/>
  <c r="V1045" i="21"/>
  <c r="AO1044" i="21"/>
  <c r="AL1044" i="21"/>
  <c r="AD1044" i="21"/>
  <c r="AE1044" i="21" s="1"/>
  <c r="Y1044" i="21"/>
  <c r="Z1044" i="21" s="1" a="1"/>
  <c r="Z1044" i="21" s="1"/>
  <c r="AI1044" i="21" s="1"/>
  <c r="AJ1044" i="21" s="1"/>
  <c r="X1044" i="21"/>
  <c r="W1044" i="21"/>
  <c r="AQ1044" i="21" s="1"/>
  <c r="V1044" i="21"/>
  <c r="AO1043" i="21"/>
  <c r="AL1043" i="21"/>
  <c r="AD1043" i="21"/>
  <c r="AE1043" i="21" s="1"/>
  <c r="Y1043" i="21"/>
  <c r="Z1043" i="21" s="1" a="1"/>
  <c r="Z1043" i="21" s="1"/>
  <c r="AI1043" i="21" s="1"/>
  <c r="AJ1043" i="21" s="1"/>
  <c r="X1043" i="21"/>
  <c r="W1043" i="21"/>
  <c r="AQ1043" i="21" s="1"/>
  <c r="V1043" i="21"/>
  <c r="AO1042" i="21"/>
  <c r="AL1042" i="21"/>
  <c r="AD1042" i="21"/>
  <c r="AE1042" i="21" s="1"/>
  <c r="Y1042" i="21"/>
  <c r="Z1042" i="21" s="1" a="1"/>
  <c r="Z1042" i="21" s="1"/>
  <c r="AI1042" i="21" s="1"/>
  <c r="AJ1042" i="21" s="1"/>
  <c r="X1042" i="21"/>
  <c r="W1042" i="21"/>
  <c r="AQ1042" i="21" s="1"/>
  <c r="V1042" i="21"/>
  <c r="AO1041" i="21"/>
  <c r="AL1041" i="21"/>
  <c r="AD1041" i="21"/>
  <c r="AE1041" i="21" s="1"/>
  <c r="Y1041" i="21"/>
  <c r="Z1041" i="21" s="1" a="1"/>
  <c r="Z1041" i="21" s="1"/>
  <c r="AI1041" i="21" s="1"/>
  <c r="AJ1041" i="21" s="1"/>
  <c r="X1041" i="21"/>
  <c r="W1041" i="21"/>
  <c r="AQ1041" i="21" s="1"/>
  <c r="V1041" i="21"/>
  <c r="AO1040" i="21"/>
  <c r="AL1040" i="21"/>
  <c r="AD1040" i="21"/>
  <c r="AE1040" i="21" s="1"/>
  <c r="Y1040" i="21"/>
  <c r="Z1040" i="21" s="1" a="1"/>
  <c r="Z1040" i="21" s="1"/>
  <c r="AI1040" i="21" s="1"/>
  <c r="AJ1040" i="21" s="1"/>
  <c r="X1040" i="21"/>
  <c r="W1040" i="21"/>
  <c r="AQ1040" i="21" s="1"/>
  <c r="V1040" i="21"/>
  <c r="AO1039" i="21"/>
  <c r="AL1039" i="21"/>
  <c r="AD1039" i="21"/>
  <c r="AE1039" i="21" s="1"/>
  <c r="Y1039" i="21"/>
  <c r="Z1039" i="21" s="1" a="1"/>
  <c r="Z1039" i="21" s="1"/>
  <c r="AI1039" i="21" s="1"/>
  <c r="AJ1039" i="21" s="1"/>
  <c r="X1039" i="21"/>
  <c r="W1039" i="21"/>
  <c r="AQ1039" i="21" s="1"/>
  <c r="V1039" i="21"/>
  <c r="AO1038" i="21"/>
  <c r="AL1038" i="21"/>
  <c r="AD1038" i="21"/>
  <c r="AE1038" i="21" s="1"/>
  <c r="Y1038" i="21"/>
  <c r="Z1038" i="21" s="1" a="1"/>
  <c r="Z1038" i="21" s="1"/>
  <c r="AI1038" i="21" s="1"/>
  <c r="AJ1038" i="21" s="1"/>
  <c r="X1038" i="21"/>
  <c r="W1038" i="21"/>
  <c r="AQ1038" i="21" s="1"/>
  <c r="V1038" i="21"/>
  <c r="AO1037" i="21"/>
  <c r="AL1037" i="21"/>
  <c r="AD1037" i="21"/>
  <c r="AE1037" i="21" s="1"/>
  <c r="Y1037" i="21"/>
  <c r="Z1037" i="21" s="1" a="1"/>
  <c r="Z1037" i="21" s="1"/>
  <c r="AI1037" i="21" s="1"/>
  <c r="AJ1037" i="21" s="1"/>
  <c r="X1037" i="21"/>
  <c r="W1037" i="21"/>
  <c r="AQ1037" i="21" s="1"/>
  <c r="V1037" i="21"/>
  <c r="AO1036" i="21"/>
  <c r="AL1036" i="21"/>
  <c r="AD1036" i="21"/>
  <c r="AE1036" i="21" s="1"/>
  <c r="Y1036" i="21"/>
  <c r="Z1036" i="21" s="1" a="1"/>
  <c r="Z1036" i="21" s="1"/>
  <c r="AI1036" i="21" s="1"/>
  <c r="AJ1036" i="21" s="1"/>
  <c r="X1036" i="21"/>
  <c r="W1036" i="21"/>
  <c r="AQ1036" i="21" s="1"/>
  <c r="V1036" i="21"/>
  <c r="AO1035" i="21"/>
  <c r="AL1035" i="21"/>
  <c r="AD1035" i="21"/>
  <c r="AE1035" i="21" s="1"/>
  <c r="Y1035" i="21"/>
  <c r="Z1035" i="21" s="1" a="1"/>
  <c r="Z1035" i="21" s="1"/>
  <c r="AI1035" i="21" s="1"/>
  <c r="AJ1035" i="21" s="1"/>
  <c r="X1035" i="21"/>
  <c r="W1035" i="21"/>
  <c r="AQ1035" i="21" s="1"/>
  <c r="V1035" i="21"/>
  <c r="AO1034" i="21"/>
  <c r="AL1034" i="21"/>
  <c r="AD1034" i="21"/>
  <c r="AE1034" i="21" s="1"/>
  <c r="Y1034" i="21"/>
  <c r="Z1034" i="21" s="1" a="1"/>
  <c r="Z1034" i="21" s="1"/>
  <c r="AI1034" i="21" s="1"/>
  <c r="AJ1034" i="21" s="1"/>
  <c r="X1034" i="21"/>
  <c r="W1034" i="21"/>
  <c r="AQ1034" i="21" s="1"/>
  <c r="V1034" i="21"/>
  <c r="AO1033" i="21"/>
  <c r="AL1033" i="21"/>
  <c r="AD1033" i="21"/>
  <c r="AE1033" i="21" s="1"/>
  <c r="Y1033" i="21"/>
  <c r="Z1033" i="21" s="1" a="1"/>
  <c r="Z1033" i="21" s="1"/>
  <c r="AI1033" i="21" s="1"/>
  <c r="AJ1033" i="21" s="1"/>
  <c r="X1033" i="21"/>
  <c r="W1033" i="21"/>
  <c r="AQ1033" i="21" s="1"/>
  <c r="V1033" i="21"/>
  <c r="AO1032" i="21"/>
  <c r="AL1032" i="21"/>
  <c r="AD1032" i="21"/>
  <c r="AE1032" i="21" s="1"/>
  <c r="Y1032" i="21"/>
  <c r="Z1032" i="21" s="1" a="1"/>
  <c r="Z1032" i="21" s="1"/>
  <c r="AI1032" i="21" s="1"/>
  <c r="AJ1032" i="21" s="1"/>
  <c r="X1032" i="21"/>
  <c r="W1032" i="21"/>
  <c r="AQ1032" i="21" s="1"/>
  <c r="V1032" i="21"/>
  <c r="AO1031" i="21"/>
  <c r="AL1031" i="21"/>
  <c r="AD1031" i="21"/>
  <c r="AE1031" i="21" s="1"/>
  <c r="Y1031" i="21"/>
  <c r="Z1031" i="21" s="1" a="1"/>
  <c r="Z1031" i="21" s="1"/>
  <c r="AI1031" i="21" s="1"/>
  <c r="AJ1031" i="21" s="1"/>
  <c r="X1031" i="21"/>
  <c r="W1031" i="21"/>
  <c r="AQ1031" i="21" s="1"/>
  <c r="V1031" i="21"/>
  <c r="AO1030" i="21"/>
  <c r="AL1030" i="21"/>
  <c r="AD1030" i="21"/>
  <c r="AE1030" i="21" s="1"/>
  <c r="Y1030" i="21"/>
  <c r="Z1030" i="21" s="1" a="1"/>
  <c r="Z1030" i="21" s="1"/>
  <c r="AI1030" i="21" s="1"/>
  <c r="AJ1030" i="21" s="1"/>
  <c r="X1030" i="21"/>
  <c r="W1030" i="21"/>
  <c r="AQ1030" i="21" s="1"/>
  <c r="V1030" i="21"/>
  <c r="AO1029" i="21"/>
  <c r="AL1029" i="21"/>
  <c r="AD1029" i="21"/>
  <c r="AE1029" i="21" s="1"/>
  <c r="Y1029" i="21"/>
  <c r="Z1029" i="21" s="1" a="1"/>
  <c r="Z1029" i="21" s="1"/>
  <c r="AI1029" i="21" s="1"/>
  <c r="AJ1029" i="21" s="1"/>
  <c r="X1029" i="21"/>
  <c r="W1029" i="21"/>
  <c r="AQ1029" i="21" s="1"/>
  <c r="V1029" i="21"/>
  <c r="AO1028" i="21"/>
  <c r="AL1028" i="21"/>
  <c r="AD1028" i="21"/>
  <c r="AE1028" i="21" s="1"/>
  <c r="Y1028" i="21"/>
  <c r="Z1028" i="21" s="1" a="1"/>
  <c r="Z1028" i="21" s="1"/>
  <c r="AI1028" i="21" s="1"/>
  <c r="AJ1028" i="21" s="1"/>
  <c r="X1028" i="21"/>
  <c r="W1028" i="21"/>
  <c r="AQ1028" i="21" s="1"/>
  <c r="V1028" i="21"/>
  <c r="AO1027" i="21"/>
  <c r="AL1027" i="21"/>
  <c r="AD1027" i="21"/>
  <c r="AE1027" i="21" s="1"/>
  <c r="Y1027" i="21"/>
  <c r="Z1027" i="21" s="1" a="1"/>
  <c r="Z1027" i="21" s="1"/>
  <c r="AI1027" i="21" s="1"/>
  <c r="AJ1027" i="21" s="1"/>
  <c r="X1027" i="21"/>
  <c r="W1027" i="21"/>
  <c r="AQ1027" i="21" s="1"/>
  <c r="V1027" i="21"/>
  <c r="AO1026" i="21"/>
  <c r="AL1026" i="21"/>
  <c r="AD1026" i="21"/>
  <c r="AE1026" i="21" s="1"/>
  <c r="Y1026" i="21"/>
  <c r="Z1026" i="21" s="1" a="1"/>
  <c r="Z1026" i="21" s="1"/>
  <c r="AI1026" i="21" s="1"/>
  <c r="AJ1026" i="21" s="1"/>
  <c r="X1026" i="21"/>
  <c r="W1026" i="21"/>
  <c r="AQ1026" i="21" s="1"/>
  <c r="V1026" i="21"/>
  <c r="AO1025" i="21"/>
  <c r="AL1025" i="21"/>
  <c r="AD1025" i="21"/>
  <c r="AE1025" i="21" s="1"/>
  <c r="Y1025" i="21"/>
  <c r="Z1025" i="21" s="1" a="1"/>
  <c r="Z1025" i="21" s="1"/>
  <c r="AI1025" i="21" s="1"/>
  <c r="AJ1025" i="21" s="1"/>
  <c r="X1025" i="21"/>
  <c r="W1025" i="21"/>
  <c r="AQ1025" i="21" s="1"/>
  <c r="V1025" i="21"/>
  <c r="AO1024" i="21"/>
  <c r="AL1024" i="21"/>
  <c r="AD1024" i="21"/>
  <c r="AE1024" i="21" s="1"/>
  <c r="Y1024" i="21"/>
  <c r="Z1024" i="21" s="1" a="1"/>
  <c r="Z1024" i="21" s="1"/>
  <c r="AI1024" i="21" s="1"/>
  <c r="AJ1024" i="21" s="1"/>
  <c r="X1024" i="21"/>
  <c r="W1024" i="21"/>
  <c r="AQ1024" i="21" s="1"/>
  <c r="V1024" i="21"/>
  <c r="AO1023" i="21"/>
  <c r="AL1023" i="21"/>
  <c r="AD1023" i="21"/>
  <c r="AE1023" i="21" s="1"/>
  <c r="Y1023" i="21"/>
  <c r="Z1023" i="21" s="1" a="1"/>
  <c r="Z1023" i="21" s="1"/>
  <c r="AI1023" i="21" s="1"/>
  <c r="AJ1023" i="21" s="1"/>
  <c r="X1023" i="21"/>
  <c r="W1023" i="21"/>
  <c r="AQ1023" i="21" s="1"/>
  <c r="V1023" i="21"/>
  <c r="AO1022" i="21"/>
  <c r="AL1022" i="21"/>
  <c r="AD1022" i="21"/>
  <c r="AE1022" i="21" s="1"/>
  <c r="Y1022" i="21"/>
  <c r="Z1022" i="21" s="1" a="1"/>
  <c r="Z1022" i="21" s="1"/>
  <c r="AI1022" i="21" s="1"/>
  <c r="AJ1022" i="21" s="1"/>
  <c r="X1022" i="21"/>
  <c r="W1022" i="21"/>
  <c r="AQ1022" i="21" s="1"/>
  <c r="V1022" i="21"/>
  <c r="AO1021" i="21"/>
  <c r="AL1021" i="21"/>
  <c r="AD1021" i="21"/>
  <c r="AE1021" i="21" s="1"/>
  <c r="Y1021" i="21"/>
  <c r="Z1021" i="21" s="1" a="1"/>
  <c r="Z1021" i="21" s="1"/>
  <c r="AI1021" i="21" s="1"/>
  <c r="AJ1021" i="21" s="1"/>
  <c r="X1021" i="21"/>
  <c r="W1021" i="21"/>
  <c r="AQ1021" i="21" s="1"/>
  <c r="V1021" i="21"/>
  <c r="AO1020" i="21"/>
  <c r="AL1020" i="21"/>
  <c r="AD1020" i="21"/>
  <c r="AE1020" i="21" s="1"/>
  <c r="Y1020" i="21"/>
  <c r="Z1020" i="21" s="1" a="1"/>
  <c r="Z1020" i="21" s="1"/>
  <c r="AI1020" i="21" s="1"/>
  <c r="AJ1020" i="21" s="1"/>
  <c r="X1020" i="21"/>
  <c r="W1020" i="21"/>
  <c r="AQ1020" i="21" s="1"/>
  <c r="V1020" i="21"/>
  <c r="AO1019" i="21"/>
  <c r="AL1019" i="21"/>
  <c r="AD1019" i="21"/>
  <c r="AE1019" i="21" s="1"/>
  <c r="Y1019" i="21"/>
  <c r="Z1019" i="21" s="1" a="1"/>
  <c r="Z1019" i="21" s="1"/>
  <c r="AI1019" i="21" s="1"/>
  <c r="AJ1019" i="21" s="1"/>
  <c r="X1019" i="21"/>
  <c r="W1019" i="21"/>
  <c r="AQ1019" i="21" s="1"/>
  <c r="V1019" i="21"/>
  <c r="AO1018" i="21"/>
  <c r="AL1018" i="21"/>
  <c r="AD1018" i="21"/>
  <c r="AE1018" i="21" s="1"/>
  <c r="Y1018" i="21"/>
  <c r="Z1018" i="21" s="1" a="1"/>
  <c r="Z1018" i="21" s="1"/>
  <c r="AI1018" i="21" s="1"/>
  <c r="AJ1018" i="21" s="1"/>
  <c r="X1018" i="21"/>
  <c r="W1018" i="21"/>
  <c r="AQ1018" i="21" s="1"/>
  <c r="V1018" i="21"/>
  <c r="AO1017" i="21"/>
  <c r="AL1017" i="21"/>
  <c r="AD1017" i="21"/>
  <c r="AE1017" i="21" s="1"/>
  <c r="Y1017" i="21"/>
  <c r="Z1017" i="21" s="1" a="1"/>
  <c r="Z1017" i="21" s="1"/>
  <c r="AI1017" i="21" s="1"/>
  <c r="AJ1017" i="21" s="1"/>
  <c r="X1017" i="21"/>
  <c r="W1017" i="21"/>
  <c r="AQ1017" i="21" s="1"/>
  <c r="V1017" i="21"/>
  <c r="AO1016" i="21"/>
  <c r="AL1016" i="21"/>
  <c r="AD1016" i="21"/>
  <c r="AE1016" i="21" s="1"/>
  <c r="Y1016" i="21"/>
  <c r="Z1016" i="21" s="1" a="1"/>
  <c r="Z1016" i="21" s="1"/>
  <c r="AI1016" i="21" s="1"/>
  <c r="AJ1016" i="21" s="1"/>
  <c r="X1016" i="21"/>
  <c r="W1016" i="21"/>
  <c r="AQ1016" i="21" s="1"/>
  <c r="V1016" i="21"/>
  <c r="AO1015" i="21"/>
  <c r="AL1015" i="21"/>
  <c r="AD1015" i="21"/>
  <c r="AE1015" i="21" s="1"/>
  <c r="Y1015" i="21"/>
  <c r="Z1015" i="21" s="1" a="1"/>
  <c r="Z1015" i="21" s="1"/>
  <c r="AI1015" i="21" s="1"/>
  <c r="AJ1015" i="21" s="1"/>
  <c r="X1015" i="21"/>
  <c r="W1015" i="21"/>
  <c r="AQ1015" i="21" s="1"/>
  <c r="V1015" i="21"/>
  <c r="AO1014" i="21"/>
  <c r="AL1014" i="21"/>
  <c r="AD1014" i="21"/>
  <c r="AE1014" i="21" s="1"/>
  <c r="Y1014" i="21"/>
  <c r="Z1014" i="21" s="1" a="1"/>
  <c r="Z1014" i="21" s="1"/>
  <c r="AI1014" i="21" s="1"/>
  <c r="AJ1014" i="21" s="1"/>
  <c r="X1014" i="21"/>
  <c r="W1014" i="21"/>
  <c r="AQ1014" i="21" s="1"/>
  <c r="V1014" i="21"/>
  <c r="AO1013" i="21"/>
  <c r="AL1013" i="21"/>
  <c r="AD1013" i="21"/>
  <c r="AE1013" i="21" s="1"/>
  <c r="Y1013" i="21"/>
  <c r="Z1013" i="21" s="1" a="1"/>
  <c r="Z1013" i="21" s="1"/>
  <c r="AI1013" i="21" s="1"/>
  <c r="AJ1013" i="21" s="1"/>
  <c r="X1013" i="21"/>
  <c r="W1013" i="21"/>
  <c r="AQ1013" i="21" s="1"/>
  <c r="V1013" i="21"/>
  <c r="AO1012" i="21"/>
  <c r="AL1012" i="21"/>
  <c r="AD1012" i="21"/>
  <c r="AE1012" i="21" s="1"/>
  <c r="Y1012" i="21"/>
  <c r="Z1012" i="21" s="1" a="1"/>
  <c r="Z1012" i="21" s="1"/>
  <c r="AI1012" i="21" s="1"/>
  <c r="AJ1012" i="21" s="1"/>
  <c r="X1012" i="21"/>
  <c r="W1012" i="21"/>
  <c r="AQ1012" i="21" s="1"/>
  <c r="V1012" i="21"/>
  <c r="AO1011" i="21"/>
  <c r="AL1011" i="21"/>
  <c r="AD1011" i="21"/>
  <c r="AE1011" i="21" s="1"/>
  <c r="Y1011" i="21"/>
  <c r="Z1011" i="21" s="1" a="1"/>
  <c r="Z1011" i="21" s="1"/>
  <c r="AI1011" i="21" s="1"/>
  <c r="AJ1011" i="21" s="1"/>
  <c r="X1011" i="21"/>
  <c r="W1011" i="21"/>
  <c r="AQ1011" i="21" s="1"/>
  <c r="V1011" i="21"/>
  <c r="AO1010" i="21"/>
  <c r="AL1010" i="21"/>
  <c r="AD1010" i="21"/>
  <c r="AE1010" i="21" s="1"/>
  <c r="Y1010" i="21"/>
  <c r="Z1010" i="21" s="1" a="1"/>
  <c r="Z1010" i="21" s="1"/>
  <c r="AI1010" i="21" s="1"/>
  <c r="AJ1010" i="21" s="1"/>
  <c r="X1010" i="21"/>
  <c r="W1010" i="21"/>
  <c r="AQ1010" i="21" s="1"/>
  <c r="V1010" i="21"/>
  <c r="AO1009" i="21"/>
  <c r="AL1009" i="21"/>
  <c r="AD1009" i="21"/>
  <c r="AE1009" i="21" s="1"/>
  <c r="Y1009" i="21"/>
  <c r="Z1009" i="21" s="1" a="1"/>
  <c r="Z1009" i="21" s="1"/>
  <c r="AI1009" i="21" s="1"/>
  <c r="AJ1009" i="21" s="1"/>
  <c r="X1009" i="21"/>
  <c r="W1009" i="21"/>
  <c r="AQ1009" i="21" s="1"/>
  <c r="V1009" i="21"/>
  <c r="AO1008" i="21"/>
  <c r="AL1008" i="21"/>
  <c r="AD1008" i="21"/>
  <c r="AE1008" i="21" s="1"/>
  <c r="Y1008" i="21"/>
  <c r="Z1008" i="21" s="1" a="1"/>
  <c r="Z1008" i="21" s="1"/>
  <c r="AI1008" i="21" s="1"/>
  <c r="AJ1008" i="21" s="1"/>
  <c r="X1008" i="21"/>
  <c r="W1008" i="21"/>
  <c r="AQ1008" i="21" s="1"/>
  <c r="V1008" i="21"/>
  <c r="AO1007" i="21"/>
  <c r="AL1007" i="21"/>
  <c r="AD1007" i="21"/>
  <c r="AE1007" i="21" s="1"/>
  <c r="Y1007" i="21"/>
  <c r="Z1007" i="21" s="1" a="1"/>
  <c r="Z1007" i="21" s="1"/>
  <c r="AI1007" i="21" s="1"/>
  <c r="AJ1007" i="21" s="1"/>
  <c r="X1007" i="21"/>
  <c r="W1007" i="21"/>
  <c r="AQ1007" i="21" s="1"/>
  <c r="V1007" i="21"/>
  <c r="AO1006" i="21"/>
  <c r="AL1006" i="21"/>
  <c r="AD1006" i="21"/>
  <c r="AE1006" i="21" s="1"/>
  <c r="Y1006" i="21"/>
  <c r="Z1006" i="21" s="1" a="1"/>
  <c r="Z1006" i="21" s="1"/>
  <c r="AI1006" i="21" s="1"/>
  <c r="AJ1006" i="21" s="1"/>
  <c r="X1006" i="21"/>
  <c r="W1006" i="21"/>
  <c r="AQ1006" i="21" s="1"/>
  <c r="V1006" i="21"/>
  <c r="AO1005" i="21"/>
  <c r="AL1005" i="21"/>
  <c r="AD1005" i="21"/>
  <c r="AE1005" i="21" s="1"/>
  <c r="Y1005" i="21"/>
  <c r="Z1005" i="21" s="1" a="1"/>
  <c r="Z1005" i="21" s="1"/>
  <c r="AI1005" i="21" s="1"/>
  <c r="AJ1005" i="21" s="1"/>
  <c r="X1005" i="21"/>
  <c r="W1005" i="21"/>
  <c r="AQ1005" i="21" s="1"/>
  <c r="V1005" i="21"/>
  <c r="AO1004" i="21"/>
  <c r="AL1004" i="21"/>
  <c r="AD1004" i="21"/>
  <c r="AE1004" i="21" s="1"/>
  <c r="Y1004" i="21"/>
  <c r="Z1004" i="21" s="1" a="1"/>
  <c r="Z1004" i="21" s="1"/>
  <c r="AI1004" i="21" s="1"/>
  <c r="AJ1004" i="21" s="1"/>
  <c r="X1004" i="21"/>
  <c r="W1004" i="21"/>
  <c r="AQ1004" i="21" s="1"/>
  <c r="V1004" i="21"/>
  <c r="AO1003" i="21"/>
  <c r="AL1003" i="21"/>
  <c r="AD1003" i="21"/>
  <c r="AE1003" i="21" s="1"/>
  <c r="Y1003" i="21"/>
  <c r="Z1003" i="21" s="1" a="1"/>
  <c r="Z1003" i="21" s="1"/>
  <c r="AI1003" i="21" s="1"/>
  <c r="AJ1003" i="21" s="1"/>
  <c r="X1003" i="21"/>
  <c r="W1003" i="21"/>
  <c r="AQ1003" i="21" s="1"/>
  <c r="V1003" i="21"/>
  <c r="AO1002" i="21"/>
  <c r="AL1002" i="21"/>
  <c r="AD1002" i="21"/>
  <c r="AE1002" i="21" s="1"/>
  <c r="Y1002" i="21"/>
  <c r="Z1002" i="21" s="1" a="1"/>
  <c r="Z1002" i="21" s="1"/>
  <c r="AI1002" i="21" s="1"/>
  <c r="AJ1002" i="21" s="1"/>
  <c r="X1002" i="21"/>
  <c r="W1002" i="21"/>
  <c r="AQ1002" i="21" s="1"/>
  <c r="V1002" i="21"/>
  <c r="AO1001" i="21"/>
  <c r="AL1001" i="21"/>
  <c r="AD1001" i="21"/>
  <c r="AE1001" i="21" s="1"/>
  <c r="Y1001" i="21"/>
  <c r="Z1001" i="21" s="1" a="1"/>
  <c r="Z1001" i="21" s="1"/>
  <c r="AI1001" i="21" s="1"/>
  <c r="AJ1001" i="21" s="1"/>
  <c r="X1001" i="21"/>
  <c r="W1001" i="21"/>
  <c r="AQ1001" i="21" s="1"/>
  <c r="V1001" i="21"/>
  <c r="AO1000" i="21"/>
  <c r="AL1000" i="21"/>
  <c r="AD1000" i="21"/>
  <c r="AE1000" i="21" s="1"/>
  <c r="Y1000" i="21"/>
  <c r="Z1000" i="21" s="1" a="1"/>
  <c r="Z1000" i="21" s="1"/>
  <c r="AI1000" i="21" s="1"/>
  <c r="AJ1000" i="21" s="1"/>
  <c r="X1000" i="21"/>
  <c r="W1000" i="21"/>
  <c r="AQ1000" i="21" s="1"/>
  <c r="V1000" i="21"/>
  <c r="AO999" i="21"/>
  <c r="AL999" i="21"/>
  <c r="AD999" i="21"/>
  <c r="AE999" i="21" s="1"/>
  <c r="Y999" i="21"/>
  <c r="Z999" i="21" s="1" a="1"/>
  <c r="Z999" i="21" s="1"/>
  <c r="AI999" i="21" s="1"/>
  <c r="AJ999" i="21" s="1"/>
  <c r="X999" i="21"/>
  <c r="W999" i="21"/>
  <c r="AQ999" i="21" s="1"/>
  <c r="V999" i="21"/>
  <c r="AO998" i="21"/>
  <c r="AL998" i="21"/>
  <c r="AD998" i="21"/>
  <c r="AE998" i="21" s="1"/>
  <c r="Y998" i="21"/>
  <c r="Z998" i="21" s="1" a="1"/>
  <c r="Z998" i="21" s="1"/>
  <c r="AI998" i="21" s="1"/>
  <c r="AJ998" i="21" s="1"/>
  <c r="X998" i="21"/>
  <c r="W998" i="21"/>
  <c r="AQ998" i="21" s="1"/>
  <c r="V998" i="21"/>
  <c r="AO997" i="21"/>
  <c r="AL997" i="21"/>
  <c r="AD997" i="21"/>
  <c r="AE997" i="21" s="1"/>
  <c r="Y997" i="21"/>
  <c r="Z997" i="21" s="1" a="1"/>
  <c r="Z997" i="21" s="1"/>
  <c r="AI997" i="21" s="1"/>
  <c r="AJ997" i="21" s="1"/>
  <c r="X997" i="21"/>
  <c r="W997" i="21"/>
  <c r="AQ997" i="21" s="1"/>
  <c r="V997" i="21"/>
  <c r="AO996" i="21"/>
  <c r="AL996" i="21"/>
  <c r="AD996" i="21"/>
  <c r="AE996" i="21" s="1"/>
  <c r="Y996" i="21"/>
  <c r="Z996" i="21" s="1" a="1"/>
  <c r="Z996" i="21" s="1"/>
  <c r="AI996" i="21" s="1"/>
  <c r="AJ996" i="21" s="1"/>
  <c r="X996" i="21"/>
  <c r="W996" i="21"/>
  <c r="AQ996" i="21" s="1"/>
  <c r="V996" i="21"/>
  <c r="AO995" i="21"/>
  <c r="AL995" i="21"/>
  <c r="AD995" i="21"/>
  <c r="AE995" i="21" s="1"/>
  <c r="Y995" i="21"/>
  <c r="Z995" i="21" s="1" a="1"/>
  <c r="Z995" i="21" s="1"/>
  <c r="AI995" i="21" s="1"/>
  <c r="AJ995" i="21" s="1"/>
  <c r="X995" i="21"/>
  <c r="W995" i="21"/>
  <c r="AQ995" i="21" s="1"/>
  <c r="V995" i="21"/>
  <c r="AO994" i="21"/>
  <c r="AL994" i="21"/>
  <c r="AD994" i="21"/>
  <c r="AE994" i="21" s="1"/>
  <c r="Y994" i="21"/>
  <c r="Z994" i="21" s="1" a="1"/>
  <c r="Z994" i="21" s="1"/>
  <c r="AI994" i="21" s="1"/>
  <c r="AJ994" i="21" s="1"/>
  <c r="X994" i="21"/>
  <c r="W994" i="21"/>
  <c r="AQ994" i="21" s="1"/>
  <c r="V994" i="21"/>
  <c r="AO993" i="21"/>
  <c r="AL993" i="21"/>
  <c r="AD993" i="21"/>
  <c r="AE993" i="21" s="1"/>
  <c r="Y993" i="21"/>
  <c r="Z993" i="21" s="1" a="1"/>
  <c r="Z993" i="21" s="1"/>
  <c r="AI993" i="21" s="1"/>
  <c r="AJ993" i="21" s="1"/>
  <c r="X993" i="21"/>
  <c r="W993" i="21"/>
  <c r="AQ993" i="21" s="1"/>
  <c r="V993" i="21"/>
  <c r="AO992" i="21"/>
  <c r="AL992" i="21"/>
  <c r="AD992" i="21"/>
  <c r="AE992" i="21" s="1"/>
  <c r="Y992" i="21"/>
  <c r="Z992" i="21" s="1" a="1"/>
  <c r="Z992" i="21" s="1"/>
  <c r="AI992" i="21" s="1"/>
  <c r="AJ992" i="21" s="1"/>
  <c r="X992" i="21"/>
  <c r="W992" i="21"/>
  <c r="AQ992" i="21" s="1"/>
  <c r="V992" i="21"/>
  <c r="AO991" i="21"/>
  <c r="AL991" i="21"/>
  <c r="AD991" i="21"/>
  <c r="AE991" i="21" s="1"/>
  <c r="Y991" i="21"/>
  <c r="Z991" i="21" s="1" a="1"/>
  <c r="Z991" i="21" s="1"/>
  <c r="AI991" i="21" s="1"/>
  <c r="AJ991" i="21" s="1"/>
  <c r="X991" i="21"/>
  <c r="W991" i="21"/>
  <c r="AQ991" i="21" s="1"/>
  <c r="V991" i="21"/>
  <c r="AO990" i="21"/>
  <c r="AL990" i="21"/>
  <c r="AD990" i="21"/>
  <c r="AE990" i="21" s="1"/>
  <c r="Y990" i="21"/>
  <c r="Z990" i="21" s="1" a="1"/>
  <c r="Z990" i="21" s="1"/>
  <c r="AI990" i="21" s="1"/>
  <c r="AJ990" i="21" s="1"/>
  <c r="X990" i="21"/>
  <c r="W990" i="21"/>
  <c r="AQ990" i="21" s="1"/>
  <c r="V990" i="21"/>
  <c r="AO989" i="21"/>
  <c r="AL989" i="21"/>
  <c r="AD989" i="21"/>
  <c r="AE989" i="21" s="1"/>
  <c r="Y989" i="21"/>
  <c r="Z989" i="21" s="1" a="1"/>
  <c r="Z989" i="21" s="1"/>
  <c r="AI989" i="21" s="1"/>
  <c r="AJ989" i="21" s="1"/>
  <c r="X989" i="21"/>
  <c r="W989" i="21"/>
  <c r="AQ989" i="21" s="1"/>
  <c r="V989" i="21"/>
  <c r="AO988" i="21"/>
  <c r="AL988" i="21"/>
  <c r="AD988" i="21"/>
  <c r="AE988" i="21" s="1"/>
  <c r="Y988" i="21"/>
  <c r="Z988" i="21" s="1" a="1"/>
  <c r="Z988" i="21" s="1"/>
  <c r="AI988" i="21" s="1"/>
  <c r="AJ988" i="21" s="1"/>
  <c r="X988" i="21"/>
  <c r="W988" i="21"/>
  <c r="AQ988" i="21" s="1"/>
  <c r="V988" i="21"/>
  <c r="AO987" i="21"/>
  <c r="AL987" i="21"/>
  <c r="AD987" i="21"/>
  <c r="AE987" i="21" s="1"/>
  <c r="Y987" i="21"/>
  <c r="Z987" i="21" s="1" a="1"/>
  <c r="Z987" i="21" s="1"/>
  <c r="AI987" i="21" s="1"/>
  <c r="AJ987" i="21" s="1"/>
  <c r="X987" i="21"/>
  <c r="W987" i="21"/>
  <c r="AQ987" i="21" s="1"/>
  <c r="V987" i="21"/>
  <c r="AO986" i="21"/>
  <c r="AL986" i="21"/>
  <c r="AD986" i="21"/>
  <c r="AE986" i="21" s="1"/>
  <c r="Y986" i="21"/>
  <c r="Z986" i="21" s="1" a="1"/>
  <c r="Z986" i="21" s="1"/>
  <c r="AI986" i="21" s="1"/>
  <c r="AJ986" i="21" s="1"/>
  <c r="X986" i="21"/>
  <c r="W986" i="21"/>
  <c r="AQ986" i="21" s="1"/>
  <c r="V986" i="21"/>
  <c r="AO985" i="21"/>
  <c r="AL985" i="21"/>
  <c r="AD985" i="21"/>
  <c r="AE985" i="21" s="1"/>
  <c r="Y985" i="21"/>
  <c r="Z985" i="21" s="1" a="1"/>
  <c r="Z985" i="21" s="1"/>
  <c r="AI985" i="21" s="1"/>
  <c r="AJ985" i="21" s="1"/>
  <c r="X985" i="21"/>
  <c r="W985" i="21"/>
  <c r="AQ985" i="21" s="1"/>
  <c r="V985" i="21"/>
  <c r="AO984" i="21"/>
  <c r="AL984" i="21"/>
  <c r="AD984" i="21"/>
  <c r="AE984" i="21" s="1"/>
  <c r="Y984" i="21"/>
  <c r="Z984" i="21" s="1" a="1"/>
  <c r="Z984" i="21" s="1"/>
  <c r="AI984" i="21" s="1"/>
  <c r="AJ984" i="21" s="1"/>
  <c r="X984" i="21"/>
  <c r="W984" i="21"/>
  <c r="AQ984" i="21" s="1"/>
  <c r="V984" i="21"/>
  <c r="AO983" i="21"/>
  <c r="AL983" i="21"/>
  <c r="AD983" i="21"/>
  <c r="AE983" i="21" s="1"/>
  <c r="Y983" i="21"/>
  <c r="Z983" i="21" s="1" a="1"/>
  <c r="Z983" i="21" s="1"/>
  <c r="AI983" i="21" s="1"/>
  <c r="AJ983" i="21" s="1"/>
  <c r="X983" i="21"/>
  <c r="W983" i="21"/>
  <c r="AQ983" i="21" s="1"/>
  <c r="V983" i="21"/>
  <c r="AO982" i="21"/>
  <c r="AL982" i="21"/>
  <c r="AD982" i="21"/>
  <c r="AE982" i="21" s="1"/>
  <c r="Y982" i="21"/>
  <c r="Z982" i="21" s="1" a="1"/>
  <c r="Z982" i="21" s="1"/>
  <c r="AI982" i="21" s="1"/>
  <c r="AJ982" i="21" s="1"/>
  <c r="X982" i="21"/>
  <c r="W982" i="21"/>
  <c r="AQ982" i="21" s="1"/>
  <c r="V982" i="21"/>
  <c r="AO981" i="21"/>
  <c r="AL981" i="21"/>
  <c r="AD981" i="21"/>
  <c r="AE981" i="21" s="1"/>
  <c r="Y981" i="21"/>
  <c r="Z981" i="21" s="1" a="1"/>
  <c r="Z981" i="21" s="1"/>
  <c r="AI981" i="21" s="1"/>
  <c r="AJ981" i="21" s="1"/>
  <c r="X981" i="21"/>
  <c r="W981" i="21"/>
  <c r="AQ981" i="21" s="1"/>
  <c r="V981" i="21"/>
  <c r="AO980" i="21"/>
  <c r="AL980" i="21"/>
  <c r="AD980" i="21"/>
  <c r="AE980" i="21" s="1"/>
  <c r="Y980" i="21"/>
  <c r="Z980" i="21" s="1" a="1"/>
  <c r="Z980" i="21" s="1"/>
  <c r="AI980" i="21" s="1"/>
  <c r="AJ980" i="21" s="1"/>
  <c r="X980" i="21"/>
  <c r="W980" i="21"/>
  <c r="AQ980" i="21" s="1"/>
  <c r="V980" i="21"/>
  <c r="AO979" i="21"/>
  <c r="AL979" i="21"/>
  <c r="AD979" i="21"/>
  <c r="AE979" i="21" s="1"/>
  <c r="Y979" i="21"/>
  <c r="Z979" i="21" s="1" a="1"/>
  <c r="Z979" i="21" s="1"/>
  <c r="AI979" i="21" s="1"/>
  <c r="AJ979" i="21" s="1"/>
  <c r="X979" i="21"/>
  <c r="W979" i="21"/>
  <c r="AQ979" i="21" s="1"/>
  <c r="V979" i="21"/>
  <c r="AO978" i="21"/>
  <c r="AL978" i="21"/>
  <c r="AD978" i="21"/>
  <c r="AE978" i="21" s="1"/>
  <c r="Y978" i="21"/>
  <c r="Z978" i="21" s="1" a="1"/>
  <c r="Z978" i="21" s="1"/>
  <c r="AI978" i="21" s="1"/>
  <c r="AJ978" i="21" s="1"/>
  <c r="X978" i="21"/>
  <c r="W978" i="21"/>
  <c r="AQ978" i="21" s="1"/>
  <c r="V978" i="21"/>
  <c r="AO977" i="21"/>
  <c r="AL977" i="21"/>
  <c r="AD977" i="21"/>
  <c r="AE977" i="21" s="1"/>
  <c r="Y977" i="21"/>
  <c r="Z977" i="21" s="1" a="1"/>
  <c r="Z977" i="21" s="1"/>
  <c r="AI977" i="21" s="1"/>
  <c r="AJ977" i="21" s="1"/>
  <c r="X977" i="21"/>
  <c r="W977" i="21"/>
  <c r="AQ977" i="21" s="1"/>
  <c r="V977" i="21"/>
  <c r="AO976" i="21"/>
  <c r="AL976" i="21"/>
  <c r="AD976" i="21"/>
  <c r="AE976" i="21" s="1"/>
  <c r="Y976" i="21"/>
  <c r="Z976" i="21" s="1" a="1"/>
  <c r="Z976" i="21" s="1"/>
  <c r="AI976" i="21" s="1"/>
  <c r="AJ976" i="21" s="1"/>
  <c r="X976" i="21"/>
  <c r="W976" i="21"/>
  <c r="AQ976" i="21" s="1"/>
  <c r="V976" i="21"/>
  <c r="AO975" i="21"/>
  <c r="AL975" i="21"/>
  <c r="AD975" i="21"/>
  <c r="AE975" i="21" s="1"/>
  <c r="Y975" i="21"/>
  <c r="Z975" i="21" s="1" a="1"/>
  <c r="Z975" i="21" s="1"/>
  <c r="AI975" i="21" s="1"/>
  <c r="AJ975" i="21" s="1"/>
  <c r="X975" i="21"/>
  <c r="W975" i="21"/>
  <c r="AQ975" i="21" s="1"/>
  <c r="V975" i="21"/>
  <c r="AO974" i="21"/>
  <c r="AL974" i="21"/>
  <c r="AD974" i="21"/>
  <c r="AE974" i="21" s="1"/>
  <c r="Y974" i="21"/>
  <c r="Z974" i="21" s="1" a="1"/>
  <c r="Z974" i="21" s="1"/>
  <c r="AI974" i="21" s="1"/>
  <c r="AJ974" i="21" s="1"/>
  <c r="X974" i="21"/>
  <c r="W974" i="21"/>
  <c r="AQ974" i="21" s="1"/>
  <c r="V974" i="21"/>
  <c r="AO973" i="21"/>
  <c r="AL973" i="21"/>
  <c r="AD973" i="21"/>
  <c r="AE973" i="21" s="1"/>
  <c r="Y973" i="21"/>
  <c r="Z973" i="21" s="1" a="1"/>
  <c r="Z973" i="21" s="1"/>
  <c r="AI973" i="21" s="1"/>
  <c r="AJ973" i="21" s="1"/>
  <c r="X973" i="21"/>
  <c r="W973" i="21"/>
  <c r="AQ973" i="21" s="1"/>
  <c r="V973" i="21"/>
  <c r="AO972" i="21"/>
  <c r="AL972" i="21"/>
  <c r="AD972" i="21"/>
  <c r="AE972" i="21" s="1"/>
  <c r="Y972" i="21"/>
  <c r="Z972" i="21" s="1" a="1"/>
  <c r="Z972" i="21" s="1"/>
  <c r="AI972" i="21" s="1"/>
  <c r="AJ972" i="21" s="1"/>
  <c r="X972" i="21"/>
  <c r="W972" i="21"/>
  <c r="AQ972" i="21" s="1"/>
  <c r="V972" i="21"/>
  <c r="AO971" i="21"/>
  <c r="AL971" i="21"/>
  <c r="AD971" i="21"/>
  <c r="AE971" i="21" s="1"/>
  <c r="Y971" i="21"/>
  <c r="Z971" i="21" s="1" a="1"/>
  <c r="Z971" i="21" s="1"/>
  <c r="AI971" i="21" s="1"/>
  <c r="AJ971" i="21" s="1"/>
  <c r="X971" i="21"/>
  <c r="W971" i="21"/>
  <c r="AQ971" i="21" s="1"/>
  <c r="V971" i="21"/>
  <c r="AO970" i="21"/>
  <c r="AL970" i="21"/>
  <c r="AD970" i="21"/>
  <c r="AE970" i="21" s="1"/>
  <c r="Y970" i="21"/>
  <c r="Z970" i="21" s="1" a="1"/>
  <c r="Z970" i="21" s="1"/>
  <c r="AI970" i="21" s="1"/>
  <c r="AJ970" i="21" s="1"/>
  <c r="X970" i="21"/>
  <c r="W970" i="21"/>
  <c r="AQ970" i="21" s="1"/>
  <c r="V970" i="21"/>
  <c r="AO969" i="21"/>
  <c r="AL969" i="21"/>
  <c r="AD969" i="21"/>
  <c r="AE969" i="21" s="1"/>
  <c r="Y969" i="21"/>
  <c r="Z969" i="21" s="1" a="1"/>
  <c r="Z969" i="21" s="1"/>
  <c r="AI969" i="21" s="1"/>
  <c r="AJ969" i="21" s="1"/>
  <c r="X969" i="21"/>
  <c r="W969" i="21"/>
  <c r="AQ969" i="21" s="1"/>
  <c r="V969" i="21"/>
  <c r="AO968" i="21"/>
  <c r="AL968" i="21"/>
  <c r="AD968" i="21"/>
  <c r="AE968" i="21" s="1"/>
  <c r="Y968" i="21"/>
  <c r="Z968" i="21" s="1" a="1"/>
  <c r="Z968" i="21" s="1"/>
  <c r="AI968" i="21" s="1"/>
  <c r="AJ968" i="21" s="1"/>
  <c r="X968" i="21"/>
  <c r="W968" i="21"/>
  <c r="AQ968" i="21" s="1"/>
  <c r="V968" i="21"/>
  <c r="AO967" i="21"/>
  <c r="AL967" i="21"/>
  <c r="AD967" i="21"/>
  <c r="AE967" i="21" s="1"/>
  <c r="Y967" i="21"/>
  <c r="Z967" i="21" s="1" a="1"/>
  <c r="Z967" i="21" s="1"/>
  <c r="AI967" i="21" s="1"/>
  <c r="AJ967" i="21" s="1"/>
  <c r="X967" i="21"/>
  <c r="W967" i="21"/>
  <c r="AQ967" i="21" s="1"/>
  <c r="V967" i="21"/>
  <c r="AO966" i="21"/>
  <c r="AL966" i="21"/>
  <c r="AD966" i="21"/>
  <c r="AE966" i="21" s="1"/>
  <c r="Y966" i="21"/>
  <c r="Z966" i="21" s="1" a="1"/>
  <c r="Z966" i="21" s="1"/>
  <c r="AI966" i="21" s="1"/>
  <c r="AJ966" i="21" s="1"/>
  <c r="X966" i="21"/>
  <c r="W966" i="21"/>
  <c r="AQ966" i="21" s="1"/>
  <c r="V966" i="21"/>
  <c r="AO965" i="21"/>
  <c r="AL965" i="21"/>
  <c r="AD965" i="21"/>
  <c r="AE965" i="21" s="1"/>
  <c r="Y965" i="21"/>
  <c r="Z965" i="21" s="1" a="1"/>
  <c r="Z965" i="21" s="1"/>
  <c r="AI965" i="21" s="1"/>
  <c r="AJ965" i="21" s="1"/>
  <c r="X965" i="21"/>
  <c r="W965" i="21"/>
  <c r="AQ965" i="21" s="1"/>
  <c r="V965" i="21"/>
  <c r="AO964" i="21"/>
  <c r="AL964" i="21"/>
  <c r="AD964" i="21"/>
  <c r="AE964" i="21" s="1"/>
  <c r="Y964" i="21"/>
  <c r="Z964" i="21" s="1" a="1"/>
  <c r="Z964" i="21" s="1"/>
  <c r="AI964" i="21" s="1"/>
  <c r="AJ964" i="21" s="1"/>
  <c r="X964" i="21"/>
  <c r="W964" i="21"/>
  <c r="AQ964" i="21" s="1"/>
  <c r="V964" i="21"/>
  <c r="AO963" i="21"/>
  <c r="AL963" i="21"/>
  <c r="AD963" i="21"/>
  <c r="AE963" i="21" s="1"/>
  <c r="Y963" i="21"/>
  <c r="Z963" i="21" s="1" a="1"/>
  <c r="Z963" i="21" s="1"/>
  <c r="AI963" i="21" s="1"/>
  <c r="AJ963" i="21" s="1"/>
  <c r="X963" i="21"/>
  <c r="W963" i="21"/>
  <c r="AQ963" i="21" s="1"/>
  <c r="V963" i="21"/>
  <c r="AO962" i="21"/>
  <c r="AL962" i="21"/>
  <c r="AD962" i="21"/>
  <c r="AE962" i="21" s="1"/>
  <c r="Y962" i="21"/>
  <c r="Z962" i="21" s="1" a="1"/>
  <c r="Z962" i="21" s="1"/>
  <c r="AI962" i="21" s="1"/>
  <c r="AJ962" i="21" s="1"/>
  <c r="X962" i="21"/>
  <c r="W962" i="21"/>
  <c r="AQ962" i="21" s="1"/>
  <c r="V962" i="21"/>
  <c r="AO961" i="21"/>
  <c r="AL961" i="21"/>
  <c r="AD961" i="21"/>
  <c r="AE961" i="21" s="1"/>
  <c r="Y961" i="21"/>
  <c r="Z961" i="21" s="1" a="1"/>
  <c r="Z961" i="21" s="1"/>
  <c r="AI961" i="21" s="1"/>
  <c r="AJ961" i="21" s="1"/>
  <c r="X961" i="21"/>
  <c r="W961" i="21"/>
  <c r="AQ961" i="21" s="1"/>
  <c r="V961" i="21"/>
  <c r="AO960" i="21"/>
  <c r="AL960" i="21"/>
  <c r="AD960" i="21"/>
  <c r="AE960" i="21" s="1"/>
  <c r="Y960" i="21"/>
  <c r="Z960" i="21" s="1" a="1"/>
  <c r="Z960" i="21" s="1"/>
  <c r="AI960" i="21" s="1"/>
  <c r="AJ960" i="21" s="1"/>
  <c r="X960" i="21"/>
  <c r="W960" i="21"/>
  <c r="AQ960" i="21" s="1"/>
  <c r="V960" i="21"/>
  <c r="AO959" i="21"/>
  <c r="AL959" i="21"/>
  <c r="AD959" i="21"/>
  <c r="AE959" i="21" s="1"/>
  <c r="Y959" i="21"/>
  <c r="Z959" i="21" s="1" a="1"/>
  <c r="Z959" i="21" s="1"/>
  <c r="AI959" i="21" s="1"/>
  <c r="AJ959" i="21" s="1"/>
  <c r="X959" i="21"/>
  <c r="W959" i="21"/>
  <c r="AQ959" i="21" s="1"/>
  <c r="V959" i="21"/>
  <c r="AO958" i="21"/>
  <c r="AL958" i="21"/>
  <c r="AD958" i="21"/>
  <c r="AE958" i="21" s="1"/>
  <c r="Y958" i="21"/>
  <c r="Z958" i="21" s="1" a="1"/>
  <c r="Z958" i="21" s="1"/>
  <c r="AI958" i="21" s="1"/>
  <c r="AJ958" i="21" s="1"/>
  <c r="X958" i="21"/>
  <c r="W958" i="21"/>
  <c r="AQ958" i="21" s="1"/>
  <c r="V958" i="21"/>
  <c r="AO957" i="21"/>
  <c r="AL957" i="21"/>
  <c r="AD957" i="21"/>
  <c r="AE957" i="21" s="1"/>
  <c r="Y957" i="21"/>
  <c r="Z957" i="21" s="1" a="1"/>
  <c r="Z957" i="21" s="1"/>
  <c r="AI957" i="21" s="1"/>
  <c r="AJ957" i="21" s="1"/>
  <c r="X957" i="21"/>
  <c r="W957" i="21"/>
  <c r="AQ957" i="21" s="1"/>
  <c r="V957" i="21"/>
  <c r="AO956" i="21"/>
  <c r="AL956" i="21"/>
  <c r="AD956" i="21"/>
  <c r="AE956" i="21" s="1"/>
  <c r="Y956" i="21"/>
  <c r="Z956" i="21" s="1" a="1"/>
  <c r="Z956" i="21" s="1"/>
  <c r="AI956" i="21" s="1"/>
  <c r="AJ956" i="21" s="1"/>
  <c r="X956" i="21"/>
  <c r="W956" i="21"/>
  <c r="AQ956" i="21" s="1"/>
  <c r="V956" i="21"/>
  <c r="AO955" i="21"/>
  <c r="AL955" i="21"/>
  <c r="AD955" i="21"/>
  <c r="AE955" i="21" s="1"/>
  <c r="Y955" i="21"/>
  <c r="Z955" i="21" s="1" a="1"/>
  <c r="Z955" i="21" s="1"/>
  <c r="AI955" i="21" s="1"/>
  <c r="AJ955" i="21" s="1"/>
  <c r="X955" i="21"/>
  <c r="W955" i="21"/>
  <c r="AQ955" i="21" s="1"/>
  <c r="V955" i="21"/>
  <c r="AO954" i="21"/>
  <c r="AL954" i="21"/>
  <c r="AD954" i="21"/>
  <c r="AE954" i="21" s="1"/>
  <c r="Y954" i="21"/>
  <c r="Z954" i="21" s="1" a="1"/>
  <c r="Z954" i="21" s="1"/>
  <c r="AI954" i="21" s="1"/>
  <c r="AJ954" i="21" s="1"/>
  <c r="X954" i="21"/>
  <c r="W954" i="21"/>
  <c r="AQ954" i="21" s="1"/>
  <c r="V954" i="21"/>
  <c r="AO953" i="21"/>
  <c r="AL953" i="21"/>
  <c r="AD953" i="21"/>
  <c r="AE953" i="21" s="1"/>
  <c r="Y953" i="21"/>
  <c r="Z953" i="21" s="1" a="1"/>
  <c r="Z953" i="21" s="1"/>
  <c r="AI953" i="21" s="1"/>
  <c r="AJ953" i="21" s="1"/>
  <c r="X953" i="21"/>
  <c r="W953" i="21"/>
  <c r="AQ953" i="21" s="1"/>
  <c r="V953" i="21"/>
  <c r="AO952" i="21"/>
  <c r="AL952" i="21"/>
  <c r="AD952" i="21"/>
  <c r="AE952" i="21" s="1"/>
  <c r="Y952" i="21"/>
  <c r="Z952" i="21" s="1" a="1"/>
  <c r="Z952" i="21" s="1"/>
  <c r="AI952" i="21" s="1"/>
  <c r="AJ952" i="21" s="1"/>
  <c r="X952" i="21"/>
  <c r="W952" i="21"/>
  <c r="AQ952" i="21" s="1"/>
  <c r="V952" i="21"/>
  <c r="AO951" i="21"/>
  <c r="AL951" i="21"/>
  <c r="AD951" i="21"/>
  <c r="AE951" i="21" s="1"/>
  <c r="Y951" i="21"/>
  <c r="Z951" i="21" s="1" a="1"/>
  <c r="Z951" i="21" s="1"/>
  <c r="AI951" i="21" s="1"/>
  <c r="AJ951" i="21" s="1"/>
  <c r="X951" i="21"/>
  <c r="W951" i="21"/>
  <c r="AQ951" i="21" s="1"/>
  <c r="V951" i="21"/>
  <c r="AO950" i="21"/>
  <c r="AL950" i="21"/>
  <c r="AD950" i="21"/>
  <c r="AE950" i="21" s="1"/>
  <c r="Y950" i="21"/>
  <c r="Z950" i="21" s="1" a="1"/>
  <c r="Z950" i="21" s="1"/>
  <c r="AI950" i="21" s="1"/>
  <c r="AJ950" i="21" s="1"/>
  <c r="X950" i="21"/>
  <c r="W950" i="21"/>
  <c r="AQ950" i="21" s="1"/>
  <c r="V950" i="21"/>
  <c r="AO949" i="21"/>
  <c r="AL949" i="21"/>
  <c r="AD949" i="21"/>
  <c r="AE949" i="21" s="1"/>
  <c r="Y949" i="21"/>
  <c r="Z949" i="21" s="1" a="1"/>
  <c r="Z949" i="21" s="1"/>
  <c r="AI949" i="21" s="1"/>
  <c r="AJ949" i="21" s="1"/>
  <c r="X949" i="21"/>
  <c r="W949" i="21"/>
  <c r="AQ949" i="21" s="1"/>
  <c r="V949" i="21"/>
  <c r="AO948" i="21"/>
  <c r="AL948" i="21"/>
  <c r="AD948" i="21"/>
  <c r="AE948" i="21" s="1"/>
  <c r="Y948" i="21"/>
  <c r="Z948" i="21" s="1" a="1"/>
  <c r="Z948" i="21" s="1"/>
  <c r="AI948" i="21" s="1"/>
  <c r="AJ948" i="21" s="1"/>
  <c r="X948" i="21"/>
  <c r="W948" i="21"/>
  <c r="AQ948" i="21" s="1"/>
  <c r="V948" i="21"/>
  <c r="AO947" i="21"/>
  <c r="AL947" i="21"/>
  <c r="AD947" i="21"/>
  <c r="AE947" i="21" s="1"/>
  <c r="Y947" i="21"/>
  <c r="Z947" i="21" s="1" a="1"/>
  <c r="Z947" i="21" s="1"/>
  <c r="AI947" i="21" s="1"/>
  <c r="AJ947" i="21" s="1"/>
  <c r="X947" i="21"/>
  <c r="W947" i="21"/>
  <c r="AQ947" i="21" s="1"/>
  <c r="V947" i="21"/>
  <c r="AO946" i="21"/>
  <c r="AL946" i="21"/>
  <c r="AD946" i="21"/>
  <c r="AE946" i="21" s="1"/>
  <c r="Y946" i="21"/>
  <c r="Z946" i="21" s="1" a="1"/>
  <c r="Z946" i="21" s="1"/>
  <c r="AI946" i="21" s="1"/>
  <c r="AJ946" i="21" s="1"/>
  <c r="X946" i="21"/>
  <c r="W946" i="21"/>
  <c r="AQ946" i="21" s="1"/>
  <c r="V946" i="21"/>
  <c r="AO945" i="21"/>
  <c r="AL945" i="21"/>
  <c r="AD945" i="21"/>
  <c r="AE945" i="21" s="1"/>
  <c r="Y945" i="21"/>
  <c r="Z945" i="21" s="1" a="1"/>
  <c r="Z945" i="21" s="1"/>
  <c r="AI945" i="21" s="1"/>
  <c r="AJ945" i="21" s="1"/>
  <c r="X945" i="21"/>
  <c r="W945" i="21"/>
  <c r="AQ945" i="21" s="1"/>
  <c r="V945" i="21"/>
  <c r="AO944" i="21"/>
  <c r="AL944" i="21"/>
  <c r="AD944" i="21"/>
  <c r="AE944" i="21" s="1"/>
  <c r="Y944" i="21"/>
  <c r="Z944" i="21" s="1" a="1"/>
  <c r="Z944" i="21" s="1"/>
  <c r="AI944" i="21" s="1"/>
  <c r="AJ944" i="21" s="1"/>
  <c r="X944" i="21"/>
  <c r="W944" i="21"/>
  <c r="AQ944" i="21" s="1"/>
  <c r="V944" i="21"/>
  <c r="AO943" i="21"/>
  <c r="AL943" i="21"/>
  <c r="AD943" i="21"/>
  <c r="AE943" i="21" s="1"/>
  <c r="Y943" i="21"/>
  <c r="Z943" i="21" s="1" a="1"/>
  <c r="Z943" i="21" s="1"/>
  <c r="AI943" i="21" s="1"/>
  <c r="AJ943" i="21" s="1"/>
  <c r="X943" i="21"/>
  <c r="W943" i="21"/>
  <c r="AQ943" i="21" s="1"/>
  <c r="V943" i="21"/>
  <c r="AO942" i="21"/>
  <c r="AL942" i="21"/>
  <c r="AD942" i="21"/>
  <c r="AE942" i="21" s="1"/>
  <c r="Y942" i="21"/>
  <c r="Z942" i="21" s="1" a="1"/>
  <c r="Z942" i="21" s="1"/>
  <c r="AI942" i="21" s="1"/>
  <c r="AJ942" i="21" s="1"/>
  <c r="X942" i="21"/>
  <c r="W942" i="21"/>
  <c r="AQ942" i="21" s="1"/>
  <c r="V942" i="21"/>
  <c r="AO941" i="21"/>
  <c r="AL941" i="21"/>
  <c r="AD941" i="21"/>
  <c r="AE941" i="21" s="1"/>
  <c r="Y941" i="21"/>
  <c r="Z941" i="21" s="1" a="1"/>
  <c r="Z941" i="21" s="1"/>
  <c r="AI941" i="21" s="1"/>
  <c r="AJ941" i="21" s="1"/>
  <c r="X941" i="21"/>
  <c r="W941" i="21"/>
  <c r="AQ941" i="21" s="1"/>
  <c r="V941" i="21"/>
  <c r="AO940" i="21"/>
  <c r="AL940" i="21"/>
  <c r="AD940" i="21"/>
  <c r="AE940" i="21" s="1"/>
  <c r="Y940" i="21"/>
  <c r="Z940" i="21" s="1" a="1"/>
  <c r="Z940" i="21" s="1"/>
  <c r="AI940" i="21" s="1"/>
  <c r="AJ940" i="21" s="1"/>
  <c r="X940" i="21"/>
  <c r="W940" i="21"/>
  <c r="AQ940" i="21" s="1"/>
  <c r="V940" i="21"/>
  <c r="AO939" i="21"/>
  <c r="AL939" i="21"/>
  <c r="AD939" i="21"/>
  <c r="AE939" i="21" s="1"/>
  <c r="Y939" i="21"/>
  <c r="Z939" i="21" s="1" a="1"/>
  <c r="Z939" i="21" s="1"/>
  <c r="AI939" i="21" s="1"/>
  <c r="AJ939" i="21" s="1"/>
  <c r="X939" i="21"/>
  <c r="W939" i="21"/>
  <c r="AQ939" i="21" s="1"/>
  <c r="V939" i="21"/>
  <c r="AO938" i="21"/>
  <c r="AL938" i="21"/>
  <c r="AD938" i="21"/>
  <c r="AE938" i="21" s="1"/>
  <c r="Y938" i="21"/>
  <c r="Z938" i="21" s="1" a="1"/>
  <c r="Z938" i="21" s="1"/>
  <c r="AI938" i="21" s="1"/>
  <c r="AJ938" i="21" s="1"/>
  <c r="X938" i="21"/>
  <c r="W938" i="21"/>
  <c r="AQ938" i="21" s="1"/>
  <c r="V938" i="21"/>
  <c r="AO937" i="21"/>
  <c r="AL937" i="21"/>
  <c r="AD937" i="21"/>
  <c r="AE937" i="21" s="1"/>
  <c r="Y937" i="21"/>
  <c r="Z937" i="21" s="1" a="1"/>
  <c r="Z937" i="21" s="1"/>
  <c r="AI937" i="21" s="1"/>
  <c r="AJ937" i="21" s="1"/>
  <c r="X937" i="21"/>
  <c r="W937" i="21"/>
  <c r="AQ937" i="21" s="1"/>
  <c r="V937" i="21"/>
  <c r="AO936" i="21"/>
  <c r="AL936" i="21"/>
  <c r="AD936" i="21"/>
  <c r="AE936" i="21" s="1"/>
  <c r="Y936" i="21"/>
  <c r="Z936" i="21" s="1" a="1"/>
  <c r="Z936" i="21" s="1"/>
  <c r="AI936" i="21" s="1"/>
  <c r="AJ936" i="21" s="1"/>
  <c r="X936" i="21"/>
  <c r="W936" i="21"/>
  <c r="AQ936" i="21" s="1"/>
  <c r="V936" i="21"/>
  <c r="AO935" i="21"/>
  <c r="AL935" i="21"/>
  <c r="AD935" i="21"/>
  <c r="AE935" i="21" s="1"/>
  <c r="Y935" i="21"/>
  <c r="Z935" i="21" s="1" a="1"/>
  <c r="Z935" i="21" s="1"/>
  <c r="AI935" i="21" s="1"/>
  <c r="AJ935" i="21" s="1"/>
  <c r="X935" i="21"/>
  <c r="W935" i="21"/>
  <c r="AQ935" i="21" s="1"/>
  <c r="V935" i="21"/>
  <c r="AO934" i="21"/>
  <c r="AL934" i="21"/>
  <c r="AD934" i="21"/>
  <c r="AE934" i="21" s="1"/>
  <c r="Y934" i="21"/>
  <c r="Z934" i="21" s="1" a="1"/>
  <c r="Z934" i="21" s="1"/>
  <c r="AI934" i="21" s="1"/>
  <c r="AJ934" i="21" s="1"/>
  <c r="X934" i="21"/>
  <c r="W934" i="21"/>
  <c r="AQ934" i="21" s="1"/>
  <c r="V934" i="21"/>
  <c r="AO933" i="21"/>
  <c r="AL933" i="21"/>
  <c r="AD933" i="21"/>
  <c r="AE933" i="21" s="1"/>
  <c r="Y933" i="21"/>
  <c r="Z933" i="21" s="1" a="1"/>
  <c r="Z933" i="21" s="1"/>
  <c r="AI933" i="21" s="1"/>
  <c r="AJ933" i="21" s="1"/>
  <c r="X933" i="21"/>
  <c r="W933" i="21"/>
  <c r="AQ933" i="21" s="1"/>
  <c r="V933" i="21"/>
  <c r="AO932" i="21"/>
  <c r="AL932" i="21"/>
  <c r="AD932" i="21"/>
  <c r="AE932" i="21" s="1"/>
  <c r="Y932" i="21"/>
  <c r="Z932" i="21" s="1" a="1"/>
  <c r="Z932" i="21" s="1"/>
  <c r="AI932" i="21" s="1"/>
  <c r="AJ932" i="21" s="1"/>
  <c r="X932" i="21"/>
  <c r="W932" i="21"/>
  <c r="AQ932" i="21" s="1"/>
  <c r="V932" i="21"/>
  <c r="AO931" i="21"/>
  <c r="AL931" i="21"/>
  <c r="AD931" i="21"/>
  <c r="AE931" i="21" s="1"/>
  <c r="Y931" i="21"/>
  <c r="Z931" i="21" s="1" a="1"/>
  <c r="Z931" i="21" s="1"/>
  <c r="AI931" i="21" s="1"/>
  <c r="AJ931" i="21" s="1"/>
  <c r="X931" i="21"/>
  <c r="W931" i="21"/>
  <c r="AQ931" i="21" s="1"/>
  <c r="V931" i="21"/>
  <c r="AO930" i="21"/>
  <c r="AL930" i="21"/>
  <c r="AD930" i="21"/>
  <c r="AE930" i="21" s="1"/>
  <c r="Y930" i="21"/>
  <c r="Z930" i="21" s="1" a="1"/>
  <c r="Z930" i="21" s="1"/>
  <c r="AI930" i="21" s="1"/>
  <c r="AJ930" i="21" s="1"/>
  <c r="X930" i="21"/>
  <c r="W930" i="21"/>
  <c r="AQ930" i="21" s="1"/>
  <c r="V930" i="21"/>
  <c r="AO929" i="21"/>
  <c r="AL929" i="21"/>
  <c r="AD929" i="21"/>
  <c r="AE929" i="21" s="1"/>
  <c r="Y929" i="21"/>
  <c r="Z929" i="21" s="1" a="1"/>
  <c r="Z929" i="21" s="1"/>
  <c r="AI929" i="21" s="1"/>
  <c r="AJ929" i="21" s="1"/>
  <c r="X929" i="21"/>
  <c r="W929" i="21"/>
  <c r="AQ929" i="21" s="1"/>
  <c r="V929" i="21"/>
  <c r="AO928" i="21"/>
  <c r="AL928" i="21"/>
  <c r="AD928" i="21"/>
  <c r="AE928" i="21" s="1"/>
  <c r="Y928" i="21"/>
  <c r="Z928" i="21" s="1" a="1"/>
  <c r="Z928" i="21" s="1"/>
  <c r="AI928" i="21" s="1"/>
  <c r="AJ928" i="21" s="1"/>
  <c r="X928" i="21"/>
  <c r="W928" i="21"/>
  <c r="AQ928" i="21" s="1"/>
  <c r="V928" i="21"/>
  <c r="AO927" i="21"/>
  <c r="AL927" i="21"/>
  <c r="AD927" i="21"/>
  <c r="AE927" i="21" s="1"/>
  <c r="Y927" i="21"/>
  <c r="Z927" i="21" s="1" a="1"/>
  <c r="Z927" i="21" s="1"/>
  <c r="AI927" i="21" s="1"/>
  <c r="AJ927" i="21" s="1"/>
  <c r="X927" i="21"/>
  <c r="W927" i="21"/>
  <c r="AQ927" i="21" s="1"/>
  <c r="V927" i="21"/>
  <c r="AO926" i="21"/>
  <c r="AL926" i="21"/>
  <c r="AD926" i="21"/>
  <c r="AE926" i="21" s="1"/>
  <c r="Y926" i="21"/>
  <c r="Z926" i="21" s="1" a="1"/>
  <c r="Z926" i="21" s="1"/>
  <c r="AI926" i="21" s="1"/>
  <c r="AJ926" i="21" s="1"/>
  <c r="X926" i="21"/>
  <c r="W926" i="21"/>
  <c r="AQ926" i="21" s="1"/>
  <c r="V926" i="21"/>
  <c r="AO925" i="21"/>
  <c r="AL925" i="21"/>
  <c r="AD925" i="21"/>
  <c r="AE925" i="21" s="1"/>
  <c r="Y925" i="21"/>
  <c r="Z925" i="21" s="1" a="1"/>
  <c r="Z925" i="21" s="1"/>
  <c r="AI925" i="21" s="1"/>
  <c r="AJ925" i="21" s="1"/>
  <c r="X925" i="21"/>
  <c r="W925" i="21"/>
  <c r="AQ925" i="21" s="1"/>
  <c r="V925" i="21"/>
  <c r="AO924" i="21"/>
  <c r="AL924" i="21"/>
  <c r="AD924" i="21"/>
  <c r="AE924" i="21" s="1"/>
  <c r="Y924" i="21"/>
  <c r="Z924" i="21" s="1" a="1"/>
  <c r="Z924" i="21" s="1"/>
  <c r="AI924" i="21" s="1"/>
  <c r="AJ924" i="21" s="1"/>
  <c r="X924" i="21"/>
  <c r="W924" i="21"/>
  <c r="AQ924" i="21" s="1"/>
  <c r="V924" i="21"/>
  <c r="AO923" i="21"/>
  <c r="AL923" i="21"/>
  <c r="AD923" i="21"/>
  <c r="AE923" i="21" s="1"/>
  <c r="Y923" i="21"/>
  <c r="Z923" i="21" s="1" a="1"/>
  <c r="Z923" i="21" s="1"/>
  <c r="AI923" i="21" s="1"/>
  <c r="AJ923" i="21" s="1"/>
  <c r="X923" i="21"/>
  <c r="AO922" i="21"/>
  <c r="AL922" i="21"/>
  <c r="AD922" i="21"/>
  <c r="AE922" i="21" s="1"/>
  <c r="Y922" i="21"/>
  <c r="Z922" i="21" s="1" a="1"/>
  <c r="Z922" i="21" s="1"/>
  <c r="AI922" i="21" s="1"/>
  <c r="AJ922" i="21" s="1"/>
  <c r="X922" i="21"/>
  <c r="AO921" i="21"/>
  <c r="AL921" i="21"/>
  <c r="AD921" i="21"/>
  <c r="AE921" i="21" s="1"/>
  <c r="Y921" i="21"/>
  <c r="Z921" i="21" s="1" a="1"/>
  <c r="Z921" i="21" s="1"/>
  <c r="AI921" i="21" s="1"/>
  <c r="AJ921" i="21" s="1"/>
  <c r="X921" i="21"/>
  <c r="W921" i="21"/>
  <c r="AQ921" i="21" s="1"/>
  <c r="V921" i="21"/>
  <c r="F921" i="21"/>
  <c r="AO920" i="21"/>
  <c r="AL920" i="21"/>
  <c r="AD920" i="21"/>
  <c r="AE920" i="21" s="1"/>
  <c r="Y920" i="21"/>
  <c r="Z920" i="21" s="1" a="1"/>
  <c r="Z920" i="21" s="1"/>
  <c r="AI920" i="21" s="1"/>
  <c r="AJ920" i="21" s="1"/>
  <c r="X920" i="21"/>
  <c r="W920" i="21"/>
  <c r="AQ920" i="21" s="1"/>
  <c r="V920" i="21"/>
  <c r="F920" i="21"/>
  <c r="AO919" i="21"/>
  <c r="AL919" i="21"/>
  <c r="AD919" i="21"/>
  <c r="AE919" i="21" s="1"/>
  <c r="Y919" i="21"/>
  <c r="Z919" i="21" s="1" a="1"/>
  <c r="Z919" i="21" s="1"/>
  <c r="AI919" i="21" s="1"/>
  <c r="AJ919" i="21" s="1"/>
  <c r="X919" i="21"/>
  <c r="W919" i="21"/>
  <c r="AQ919" i="21" s="1"/>
  <c r="V919" i="21"/>
  <c r="F919" i="21"/>
  <c r="AO918" i="21"/>
  <c r="AL918" i="21"/>
  <c r="AD918" i="21"/>
  <c r="AE918" i="21" s="1"/>
  <c r="Y918" i="21"/>
  <c r="Z918" i="21" s="1" a="1"/>
  <c r="Z918" i="21" s="1"/>
  <c r="AI918" i="21" s="1"/>
  <c r="AJ918" i="21" s="1"/>
  <c r="X918" i="21"/>
  <c r="W918" i="21"/>
  <c r="AQ918" i="21" s="1"/>
  <c r="V918" i="21"/>
  <c r="F918" i="21"/>
  <c r="AO917" i="21"/>
  <c r="AL917" i="21"/>
  <c r="AD917" i="21"/>
  <c r="AE917" i="21" s="1"/>
  <c r="Y917" i="21"/>
  <c r="Z917" i="21" s="1" a="1"/>
  <c r="Z917" i="21" s="1"/>
  <c r="AI917" i="21" s="1"/>
  <c r="AJ917" i="21" s="1"/>
  <c r="X917" i="21"/>
  <c r="W917" i="21"/>
  <c r="AQ917" i="21" s="1"/>
  <c r="V917" i="21"/>
  <c r="F917" i="21"/>
  <c r="AO916" i="21"/>
  <c r="AL916" i="21"/>
  <c r="AD916" i="21"/>
  <c r="AE916" i="21" s="1"/>
  <c r="Y916" i="21"/>
  <c r="Z916" i="21" s="1" a="1"/>
  <c r="Z916" i="21" s="1"/>
  <c r="AI916" i="21" s="1"/>
  <c r="AJ916" i="21" s="1"/>
  <c r="X916" i="21"/>
  <c r="W916" i="21"/>
  <c r="AQ916" i="21" s="1"/>
  <c r="V916" i="21"/>
  <c r="F916" i="21"/>
  <c r="AO915" i="21"/>
  <c r="AL915" i="21"/>
  <c r="AD915" i="21"/>
  <c r="AE915" i="21" s="1"/>
  <c r="Y915" i="21"/>
  <c r="Z915" i="21" s="1" a="1"/>
  <c r="Z915" i="21" s="1"/>
  <c r="AI915" i="21" s="1"/>
  <c r="AJ915" i="21" s="1"/>
  <c r="X915" i="21"/>
  <c r="W915" i="21"/>
  <c r="AQ915" i="21" s="1"/>
  <c r="V915" i="21"/>
  <c r="F915" i="21"/>
  <c r="AO914" i="21"/>
  <c r="AL914" i="21"/>
  <c r="AD914" i="21"/>
  <c r="AE914" i="21" s="1"/>
  <c r="Y914" i="21"/>
  <c r="Z914" i="21" s="1" a="1"/>
  <c r="Z914" i="21" s="1"/>
  <c r="AI914" i="21" s="1"/>
  <c r="AJ914" i="21" s="1"/>
  <c r="X914" i="21"/>
  <c r="W914" i="21"/>
  <c r="AQ914" i="21" s="1"/>
  <c r="V914" i="21"/>
  <c r="F914" i="21"/>
  <c r="AO913" i="21"/>
  <c r="AL913" i="21"/>
  <c r="AD913" i="21"/>
  <c r="AE913" i="21" s="1"/>
  <c r="Y913" i="21"/>
  <c r="Z913" i="21" s="1" a="1"/>
  <c r="Z913" i="21" s="1"/>
  <c r="AI913" i="21" s="1"/>
  <c r="AJ913" i="21" s="1"/>
  <c r="X913" i="21"/>
  <c r="W913" i="21"/>
  <c r="AQ913" i="21" s="1"/>
  <c r="V913" i="21"/>
  <c r="F913" i="21"/>
  <c r="AO912" i="21"/>
  <c r="AL912" i="21"/>
  <c r="AD912" i="21"/>
  <c r="AE912" i="21" s="1"/>
  <c r="Y912" i="21"/>
  <c r="Z912" i="21" s="1" a="1"/>
  <c r="Z912" i="21" s="1"/>
  <c r="AI912" i="21" s="1"/>
  <c r="AJ912" i="21" s="1"/>
  <c r="X912" i="21"/>
  <c r="W912" i="21"/>
  <c r="AQ912" i="21" s="1"/>
  <c r="V912" i="21"/>
  <c r="F912" i="21"/>
  <c r="AO911" i="21"/>
  <c r="AL911" i="21"/>
  <c r="AD911" i="21"/>
  <c r="AE911" i="21" s="1"/>
  <c r="Y911" i="21"/>
  <c r="Z911" i="21" s="1" a="1"/>
  <c r="Z911" i="21" s="1"/>
  <c r="AI911" i="21" s="1"/>
  <c r="AJ911" i="21" s="1"/>
  <c r="X911" i="21"/>
  <c r="W911" i="21"/>
  <c r="AQ911" i="21" s="1"/>
  <c r="V911" i="21"/>
  <c r="F911" i="21"/>
  <c r="AO910" i="21"/>
  <c r="AL910" i="21"/>
  <c r="AD910" i="21"/>
  <c r="AE910" i="21" s="1"/>
  <c r="Y910" i="21"/>
  <c r="Z910" i="21" s="1" a="1"/>
  <c r="Z910" i="21" s="1"/>
  <c r="AI910" i="21" s="1"/>
  <c r="AJ910" i="21" s="1"/>
  <c r="X910" i="21"/>
  <c r="W910" i="21"/>
  <c r="AQ910" i="21" s="1"/>
  <c r="V910" i="21"/>
  <c r="F910" i="21"/>
  <c r="AO909" i="21"/>
  <c r="AL909" i="21"/>
  <c r="AD909" i="21"/>
  <c r="AE909" i="21" s="1"/>
  <c r="Y909" i="21"/>
  <c r="Z909" i="21" s="1" a="1"/>
  <c r="Z909" i="21" s="1"/>
  <c r="AI909" i="21" s="1"/>
  <c r="AJ909" i="21" s="1"/>
  <c r="X909" i="21"/>
  <c r="W909" i="21"/>
  <c r="AQ909" i="21" s="1"/>
  <c r="V909" i="21"/>
  <c r="F909" i="21"/>
  <c r="AO908" i="21"/>
  <c r="AL908" i="21"/>
  <c r="AD908" i="21"/>
  <c r="AE908" i="21" s="1"/>
  <c r="Y908" i="21"/>
  <c r="Z908" i="21" s="1" a="1"/>
  <c r="Z908" i="21" s="1"/>
  <c r="AI908" i="21" s="1"/>
  <c r="AJ908" i="21" s="1"/>
  <c r="X908" i="21"/>
  <c r="W908" i="21"/>
  <c r="AQ908" i="21" s="1"/>
  <c r="V908" i="21"/>
  <c r="F908" i="21"/>
  <c r="AO907" i="21"/>
  <c r="AL907" i="21"/>
  <c r="AD907" i="21"/>
  <c r="AE907" i="21" s="1"/>
  <c r="Y907" i="21"/>
  <c r="Z907" i="21" s="1" a="1"/>
  <c r="Z907" i="21" s="1"/>
  <c r="AI907" i="21" s="1"/>
  <c r="AJ907" i="21" s="1"/>
  <c r="X907" i="21"/>
  <c r="W907" i="21"/>
  <c r="AQ907" i="21" s="1"/>
  <c r="V907" i="21"/>
  <c r="F907" i="21"/>
  <c r="AO906" i="21"/>
  <c r="AL906" i="21"/>
  <c r="AD906" i="21"/>
  <c r="AE906" i="21" s="1"/>
  <c r="Y906" i="21"/>
  <c r="Z906" i="21" s="1" a="1"/>
  <c r="Z906" i="21" s="1"/>
  <c r="AI906" i="21" s="1"/>
  <c r="AJ906" i="21" s="1"/>
  <c r="X906" i="21"/>
  <c r="W906" i="21"/>
  <c r="AQ906" i="21" s="1"/>
  <c r="V906" i="21"/>
  <c r="F906" i="21"/>
  <c r="AO905" i="21"/>
  <c r="AL905" i="21"/>
  <c r="AD905" i="21"/>
  <c r="AE905" i="21" s="1"/>
  <c r="Y905" i="21"/>
  <c r="Z905" i="21" s="1" a="1"/>
  <c r="Z905" i="21" s="1"/>
  <c r="AI905" i="21" s="1"/>
  <c r="AJ905" i="21" s="1"/>
  <c r="X905" i="21"/>
  <c r="W905" i="21"/>
  <c r="AQ905" i="21" s="1"/>
  <c r="V905" i="21"/>
  <c r="F905" i="21"/>
  <c r="AO904" i="21"/>
  <c r="AL904" i="21"/>
  <c r="AD904" i="21"/>
  <c r="AE904" i="21" s="1"/>
  <c r="Y904" i="21"/>
  <c r="Z904" i="21" s="1" a="1"/>
  <c r="Z904" i="21" s="1"/>
  <c r="AI904" i="21" s="1"/>
  <c r="AJ904" i="21" s="1"/>
  <c r="X904" i="21"/>
  <c r="W904" i="21"/>
  <c r="AQ904" i="21" s="1"/>
  <c r="V904" i="21"/>
  <c r="F904" i="21"/>
  <c r="AO903" i="21"/>
  <c r="AL903" i="21"/>
  <c r="AD903" i="21"/>
  <c r="AE903" i="21" s="1"/>
  <c r="Y903" i="21"/>
  <c r="Z903" i="21" s="1" a="1"/>
  <c r="Z903" i="21" s="1"/>
  <c r="AI903" i="21" s="1"/>
  <c r="AJ903" i="21" s="1"/>
  <c r="X903" i="21"/>
  <c r="W903" i="21"/>
  <c r="AQ903" i="21" s="1"/>
  <c r="V903" i="21"/>
  <c r="F903" i="21"/>
  <c r="AO902" i="21"/>
  <c r="AL902" i="21"/>
  <c r="AD902" i="21"/>
  <c r="AE902" i="21" s="1"/>
  <c r="Y902" i="21"/>
  <c r="Z902" i="21" s="1" a="1"/>
  <c r="Z902" i="21" s="1"/>
  <c r="AI902" i="21" s="1"/>
  <c r="AJ902" i="21" s="1"/>
  <c r="X902" i="21"/>
  <c r="W902" i="21"/>
  <c r="AQ902" i="21" s="1"/>
  <c r="V902" i="21"/>
  <c r="F902" i="21"/>
  <c r="AO901" i="21"/>
  <c r="AL901" i="21"/>
  <c r="AD901" i="21"/>
  <c r="AE901" i="21" s="1"/>
  <c r="Y901" i="21"/>
  <c r="Z901" i="21" s="1" a="1"/>
  <c r="Z901" i="21" s="1"/>
  <c r="AI901" i="21" s="1"/>
  <c r="AJ901" i="21" s="1"/>
  <c r="X901" i="21"/>
  <c r="W901" i="21"/>
  <c r="AQ901" i="21" s="1"/>
  <c r="V901" i="21"/>
  <c r="F901" i="21"/>
  <c r="AO900" i="21"/>
  <c r="AL900" i="21"/>
  <c r="AD900" i="21"/>
  <c r="AE900" i="21" s="1"/>
  <c r="Y900" i="21"/>
  <c r="Z900" i="21" s="1" a="1"/>
  <c r="Z900" i="21" s="1"/>
  <c r="AI900" i="21" s="1"/>
  <c r="AJ900" i="21" s="1"/>
  <c r="X900" i="21"/>
  <c r="W900" i="21"/>
  <c r="AQ900" i="21" s="1"/>
  <c r="V900" i="21"/>
  <c r="F900" i="21"/>
  <c r="AO899" i="21"/>
  <c r="AL899" i="21"/>
  <c r="AD899" i="21"/>
  <c r="AE899" i="21" s="1"/>
  <c r="Y899" i="21"/>
  <c r="Z899" i="21" s="1" a="1"/>
  <c r="Z899" i="21" s="1"/>
  <c r="AI899" i="21" s="1"/>
  <c r="AJ899" i="21" s="1"/>
  <c r="X899" i="21"/>
  <c r="W899" i="21"/>
  <c r="AQ899" i="21" s="1"/>
  <c r="V899" i="21"/>
  <c r="AO898" i="21"/>
  <c r="AL898" i="21"/>
  <c r="AD898" i="21"/>
  <c r="AE898" i="21" s="1"/>
  <c r="Y898" i="21"/>
  <c r="Z898" i="21" s="1" a="1"/>
  <c r="Z898" i="21" s="1"/>
  <c r="AI898" i="21" s="1"/>
  <c r="AJ898" i="21" s="1"/>
  <c r="X898" i="21"/>
  <c r="W898" i="21"/>
  <c r="AQ898" i="21" s="1"/>
  <c r="V898" i="21"/>
  <c r="AO897" i="21"/>
  <c r="AL897" i="21"/>
  <c r="AD897" i="21"/>
  <c r="AE897" i="21" s="1"/>
  <c r="Y897" i="21"/>
  <c r="Z897" i="21" s="1" a="1"/>
  <c r="Z897" i="21" s="1"/>
  <c r="AI897" i="21" s="1"/>
  <c r="AJ897" i="21" s="1"/>
  <c r="X897" i="21"/>
  <c r="W897" i="21"/>
  <c r="AQ897" i="21" s="1"/>
  <c r="V897" i="21"/>
  <c r="AO896" i="21"/>
  <c r="AL896" i="21"/>
  <c r="AD896" i="21"/>
  <c r="AE896" i="21" s="1"/>
  <c r="Y896" i="21"/>
  <c r="Z896" i="21" s="1" a="1"/>
  <c r="Z896" i="21" s="1"/>
  <c r="AI896" i="21" s="1"/>
  <c r="AJ896" i="21" s="1"/>
  <c r="X896" i="21"/>
  <c r="W896" i="21"/>
  <c r="AQ896" i="21" s="1"/>
  <c r="V896" i="21"/>
  <c r="AO895" i="21"/>
  <c r="AL895" i="21"/>
  <c r="AD895" i="21"/>
  <c r="AE895" i="21" s="1"/>
  <c r="Y895" i="21"/>
  <c r="Z895" i="21" s="1" a="1"/>
  <c r="Z895" i="21" s="1"/>
  <c r="AI895" i="21" s="1"/>
  <c r="AJ895" i="21" s="1"/>
  <c r="X895" i="21"/>
  <c r="W895" i="21"/>
  <c r="AQ895" i="21" s="1"/>
  <c r="V895" i="21"/>
  <c r="AO894" i="21"/>
  <c r="AL894" i="21"/>
  <c r="AD894" i="21"/>
  <c r="AE894" i="21" s="1"/>
  <c r="Y894" i="21"/>
  <c r="Z894" i="21" s="1" a="1"/>
  <c r="Z894" i="21" s="1"/>
  <c r="AI894" i="21" s="1"/>
  <c r="AJ894" i="21" s="1"/>
  <c r="X894" i="21"/>
  <c r="W894" i="21"/>
  <c r="AQ894" i="21" s="1"/>
  <c r="V894" i="21"/>
  <c r="AO893" i="21"/>
  <c r="AL893" i="21"/>
  <c r="AD893" i="21"/>
  <c r="AE893" i="21" s="1"/>
  <c r="Y893" i="21"/>
  <c r="Z893" i="21" s="1" a="1"/>
  <c r="Z893" i="21" s="1"/>
  <c r="AI893" i="21" s="1"/>
  <c r="AJ893" i="21" s="1"/>
  <c r="X893" i="21"/>
  <c r="W893" i="21"/>
  <c r="AQ893" i="21" s="1"/>
  <c r="V893" i="21"/>
  <c r="AO892" i="21"/>
  <c r="AL892" i="21"/>
  <c r="AD892" i="21"/>
  <c r="AE892" i="21" s="1"/>
  <c r="Y892" i="21"/>
  <c r="Z892" i="21" s="1" a="1"/>
  <c r="Z892" i="21" s="1"/>
  <c r="AI892" i="21" s="1"/>
  <c r="AJ892" i="21" s="1"/>
  <c r="X892" i="21"/>
  <c r="W892" i="21"/>
  <c r="AQ892" i="21" s="1"/>
  <c r="V892" i="21"/>
  <c r="AO891" i="21"/>
  <c r="AL891" i="21"/>
  <c r="AD891" i="21"/>
  <c r="AE891" i="21" s="1"/>
  <c r="Y891" i="21"/>
  <c r="Z891" i="21" s="1" a="1"/>
  <c r="Z891" i="21" s="1"/>
  <c r="AI891" i="21" s="1"/>
  <c r="AJ891" i="21" s="1"/>
  <c r="X891" i="21"/>
  <c r="W891" i="21"/>
  <c r="AQ891" i="21" s="1"/>
  <c r="V891" i="21"/>
  <c r="AO890" i="21"/>
  <c r="AL890" i="21"/>
  <c r="AD890" i="21"/>
  <c r="AE890" i="21" s="1"/>
  <c r="Y890" i="21"/>
  <c r="Z890" i="21" s="1" a="1"/>
  <c r="Z890" i="21" s="1"/>
  <c r="AI890" i="21" s="1"/>
  <c r="AJ890" i="21" s="1"/>
  <c r="X890" i="21"/>
  <c r="W890" i="21"/>
  <c r="AQ890" i="21" s="1"/>
  <c r="V890" i="21"/>
  <c r="AO889" i="21"/>
  <c r="AL889" i="21"/>
  <c r="AD889" i="21"/>
  <c r="AE889" i="21" s="1"/>
  <c r="Y889" i="21"/>
  <c r="Z889" i="21" s="1" a="1"/>
  <c r="Z889" i="21" s="1"/>
  <c r="AI889" i="21" s="1"/>
  <c r="AJ889" i="21" s="1"/>
  <c r="X889" i="21"/>
  <c r="W889" i="21"/>
  <c r="AQ889" i="21" s="1"/>
  <c r="V889" i="21"/>
  <c r="AO888" i="21"/>
  <c r="AL888" i="21"/>
  <c r="AD888" i="21"/>
  <c r="AE888" i="21" s="1"/>
  <c r="Y888" i="21"/>
  <c r="Z888" i="21" s="1" a="1"/>
  <c r="Z888" i="21" s="1"/>
  <c r="AI888" i="21" s="1"/>
  <c r="AJ888" i="21" s="1"/>
  <c r="X888" i="21"/>
  <c r="W888" i="21"/>
  <c r="AQ888" i="21" s="1"/>
  <c r="V888" i="21"/>
  <c r="AO887" i="21"/>
  <c r="AL887" i="21"/>
  <c r="AD887" i="21"/>
  <c r="AE887" i="21" s="1"/>
  <c r="Y887" i="21"/>
  <c r="Z887" i="21" s="1" a="1"/>
  <c r="Z887" i="21" s="1"/>
  <c r="AI887" i="21" s="1"/>
  <c r="AJ887" i="21" s="1"/>
  <c r="X887" i="21"/>
  <c r="W887" i="21"/>
  <c r="AQ887" i="21" s="1"/>
  <c r="V887" i="21"/>
  <c r="AO886" i="21"/>
  <c r="AL886" i="21"/>
  <c r="AD886" i="21"/>
  <c r="AE886" i="21" s="1"/>
  <c r="Y886" i="21"/>
  <c r="Z886" i="21" s="1" a="1"/>
  <c r="Z886" i="21" s="1"/>
  <c r="AI886" i="21" s="1"/>
  <c r="AJ886" i="21" s="1"/>
  <c r="X886" i="21"/>
  <c r="W886" i="21"/>
  <c r="AQ886" i="21" s="1"/>
  <c r="V886" i="21"/>
  <c r="AO885" i="21"/>
  <c r="AL885" i="21"/>
  <c r="AD885" i="21"/>
  <c r="AE885" i="21" s="1"/>
  <c r="Y885" i="21"/>
  <c r="Z885" i="21" s="1" a="1"/>
  <c r="Z885" i="21" s="1"/>
  <c r="AI885" i="21" s="1"/>
  <c r="AJ885" i="21" s="1"/>
  <c r="X885" i="21"/>
  <c r="W885" i="21"/>
  <c r="AQ885" i="21" s="1"/>
  <c r="V885" i="21"/>
  <c r="AO884" i="21"/>
  <c r="AL884" i="21"/>
  <c r="AD884" i="21"/>
  <c r="AE884" i="21" s="1"/>
  <c r="Y884" i="21"/>
  <c r="Z884" i="21" s="1" a="1"/>
  <c r="Z884" i="21" s="1"/>
  <c r="AI884" i="21" s="1"/>
  <c r="AJ884" i="21" s="1"/>
  <c r="X884" i="21"/>
  <c r="W884" i="21"/>
  <c r="AQ884" i="21" s="1"/>
  <c r="V884" i="21"/>
  <c r="AO883" i="21"/>
  <c r="AL883" i="21"/>
  <c r="AD883" i="21"/>
  <c r="AE883" i="21" s="1"/>
  <c r="Y883" i="21"/>
  <c r="Z883" i="21" s="1" a="1"/>
  <c r="Z883" i="21" s="1"/>
  <c r="AI883" i="21" s="1"/>
  <c r="AJ883" i="21" s="1"/>
  <c r="X883" i="21"/>
  <c r="W883" i="21"/>
  <c r="AQ883" i="21" s="1"/>
  <c r="V883" i="21"/>
  <c r="AO882" i="21"/>
  <c r="AL882" i="21"/>
  <c r="AD882" i="21"/>
  <c r="AE882" i="21" s="1"/>
  <c r="Y882" i="21"/>
  <c r="Z882" i="21" s="1" a="1"/>
  <c r="Z882" i="21" s="1"/>
  <c r="AI882" i="21" s="1"/>
  <c r="AJ882" i="21" s="1"/>
  <c r="X882" i="21"/>
  <c r="W882" i="21"/>
  <c r="AQ882" i="21" s="1"/>
  <c r="V882" i="21"/>
  <c r="AO881" i="21"/>
  <c r="AL881" i="21"/>
  <c r="AD881" i="21"/>
  <c r="AE881" i="21" s="1"/>
  <c r="Y881" i="21"/>
  <c r="Z881" i="21" s="1" a="1"/>
  <c r="Z881" i="21" s="1"/>
  <c r="AI881" i="21" s="1"/>
  <c r="AJ881" i="21" s="1"/>
  <c r="X881" i="21"/>
  <c r="W881" i="21"/>
  <c r="AQ881" i="21" s="1"/>
  <c r="V881" i="21"/>
  <c r="AO880" i="21"/>
  <c r="AL880" i="21"/>
  <c r="AD880" i="21"/>
  <c r="AE880" i="21" s="1"/>
  <c r="Y880" i="21"/>
  <c r="Z880" i="21" s="1" a="1"/>
  <c r="Z880" i="21" s="1"/>
  <c r="AI880" i="21" s="1"/>
  <c r="AJ880" i="21" s="1"/>
  <c r="X880" i="21"/>
  <c r="W880" i="21"/>
  <c r="AQ880" i="21" s="1"/>
  <c r="V880" i="21"/>
  <c r="AO879" i="21"/>
  <c r="AL879" i="21"/>
  <c r="AD879" i="21"/>
  <c r="AE879" i="21" s="1"/>
  <c r="Y879" i="21"/>
  <c r="Z879" i="21" s="1" a="1"/>
  <c r="Z879" i="21" s="1"/>
  <c r="AI879" i="21" s="1"/>
  <c r="AJ879" i="21" s="1"/>
  <c r="X879" i="21"/>
  <c r="W879" i="21"/>
  <c r="AQ879" i="21" s="1"/>
  <c r="V879" i="21"/>
  <c r="AO878" i="21"/>
  <c r="AL878" i="21"/>
  <c r="AD878" i="21"/>
  <c r="AE878" i="21" s="1"/>
  <c r="Y878" i="21"/>
  <c r="Z878" i="21" s="1" a="1"/>
  <c r="Z878" i="21" s="1"/>
  <c r="AI878" i="21" s="1"/>
  <c r="AJ878" i="21" s="1"/>
  <c r="X878" i="21"/>
  <c r="W878" i="21"/>
  <c r="AQ878" i="21" s="1"/>
  <c r="V878" i="21"/>
  <c r="AO877" i="21"/>
  <c r="AL877" i="21"/>
  <c r="AD877" i="21"/>
  <c r="AE877" i="21" s="1"/>
  <c r="Y877" i="21"/>
  <c r="Z877" i="21" s="1" a="1"/>
  <c r="Z877" i="21" s="1"/>
  <c r="AI877" i="21" s="1"/>
  <c r="AJ877" i="21" s="1"/>
  <c r="X877" i="21"/>
  <c r="W877" i="21"/>
  <c r="AQ877" i="21" s="1"/>
  <c r="V877" i="21"/>
  <c r="AO876" i="21"/>
  <c r="AL876" i="21"/>
  <c r="AD876" i="21"/>
  <c r="AE876" i="21" s="1"/>
  <c r="Y876" i="21"/>
  <c r="Z876" i="21" s="1" a="1"/>
  <c r="Z876" i="21" s="1"/>
  <c r="AI876" i="21" s="1"/>
  <c r="AJ876" i="21" s="1"/>
  <c r="X876" i="21"/>
  <c r="W876" i="21"/>
  <c r="AQ876" i="21" s="1"/>
  <c r="V876" i="21"/>
  <c r="AO875" i="21"/>
  <c r="AL875" i="21"/>
  <c r="AD875" i="21"/>
  <c r="AE875" i="21" s="1"/>
  <c r="Y875" i="21"/>
  <c r="Z875" i="21" s="1" a="1"/>
  <c r="Z875" i="21" s="1"/>
  <c r="AI875" i="21" s="1"/>
  <c r="AJ875" i="21" s="1"/>
  <c r="X875" i="21"/>
  <c r="W875" i="21"/>
  <c r="AQ875" i="21" s="1"/>
  <c r="V875" i="21"/>
  <c r="AO874" i="21"/>
  <c r="AL874" i="21"/>
  <c r="AD874" i="21"/>
  <c r="AE874" i="21" s="1"/>
  <c r="Y874" i="21"/>
  <c r="Z874" i="21" s="1" a="1"/>
  <c r="Z874" i="21" s="1"/>
  <c r="AI874" i="21" s="1"/>
  <c r="AJ874" i="21" s="1"/>
  <c r="X874" i="21"/>
  <c r="W874" i="21"/>
  <c r="AQ874" i="21" s="1"/>
  <c r="V874" i="21"/>
  <c r="AO873" i="21"/>
  <c r="AL873" i="21"/>
  <c r="AD873" i="21"/>
  <c r="AE873" i="21" s="1"/>
  <c r="Y873" i="21"/>
  <c r="Z873" i="21" s="1" a="1"/>
  <c r="Z873" i="21" s="1"/>
  <c r="AI873" i="21" s="1"/>
  <c r="AJ873" i="21" s="1"/>
  <c r="X873" i="21"/>
  <c r="W873" i="21"/>
  <c r="AQ873" i="21" s="1"/>
  <c r="V873" i="21"/>
  <c r="AO872" i="21"/>
  <c r="AL872" i="21"/>
  <c r="AD872" i="21"/>
  <c r="AE872" i="21" s="1"/>
  <c r="Y872" i="21"/>
  <c r="Z872" i="21" s="1" a="1"/>
  <c r="Z872" i="21" s="1"/>
  <c r="AI872" i="21" s="1"/>
  <c r="AJ872" i="21" s="1"/>
  <c r="X872" i="21"/>
  <c r="W872" i="21"/>
  <c r="AQ872" i="21" s="1"/>
  <c r="V872" i="21"/>
  <c r="AO871" i="21"/>
  <c r="AL871" i="21"/>
  <c r="AD871" i="21"/>
  <c r="AE871" i="21" s="1"/>
  <c r="Y871" i="21"/>
  <c r="Z871" i="21" s="1" a="1"/>
  <c r="Z871" i="21" s="1"/>
  <c r="AI871" i="21" s="1"/>
  <c r="AJ871" i="21" s="1"/>
  <c r="X871" i="21"/>
  <c r="W871" i="21"/>
  <c r="AQ871" i="21" s="1"/>
  <c r="V871" i="21"/>
  <c r="AO870" i="21"/>
  <c r="AL870" i="21"/>
  <c r="AD870" i="21"/>
  <c r="AE870" i="21" s="1"/>
  <c r="Y870" i="21"/>
  <c r="Z870" i="21" s="1" a="1"/>
  <c r="Z870" i="21" s="1"/>
  <c r="AI870" i="21" s="1"/>
  <c r="AJ870" i="21" s="1"/>
  <c r="X870" i="21"/>
  <c r="W870" i="21"/>
  <c r="AQ870" i="21" s="1"/>
  <c r="V870" i="21"/>
  <c r="AO869" i="21"/>
  <c r="AL869" i="21"/>
  <c r="AD869" i="21"/>
  <c r="AE869" i="21" s="1"/>
  <c r="Y869" i="21"/>
  <c r="Z869" i="21" s="1" a="1"/>
  <c r="Z869" i="21" s="1"/>
  <c r="AI869" i="21" s="1"/>
  <c r="AJ869" i="21" s="1"/>
  <c r="X869" i="21"/>
  <c r="W869" i="21"/>
  <c r="AQ869" i="21" s="1"/>
  <c r="V869" i="21"/>
  <c r="F869" i="21"/>
  <c r="AO868" i="21"/>
  <c r="AL868" i="21"/>
  <c r="AD868" i="21"/>
  <c r="AE868" i="21" s="1"/>
  <c r="Y868" i="21"/>
  <c r="Z868" i="21" s="1" a="1"/>
  <c r="Z868" i="21" s="1"/>
  <c r="AI868" i="21" s="1"/>
  <c r="AJ868" i="21" s="1"/>
  <c r="X868" i="21"/>
  <c r="W868" i="21"/>
  <c r="AQ868" i="21" s="1"/>
  <c r="V868" i="21"/>
  <c r="F868" i="21"/>
  <c r="AO867" i="21"/>
  <c r="AL867" i="21"/>
  <c r="AD867" i="21"/>
  <c r="AE867" i="21" s="1"/>
  <c r="Y867" i="21"/>
  <c r="Z867" i="21" s="1" a="1"/>
  <c r="Z867" i="21" s="1"/>
  <c r="AI867" i="21" s="1"/>
  <c r="AJ867" i="21" s="1"/>
  <c r="X867" i="21"/>
  <c r="W867" i="21"/>
  <c r="AQ867" i="21" s="1"/>
  <c r="V867" i="21"/>
  <c r="F867" i="21"/>
  <c r="AO866" i="21"/>
  <c r="AL866" i="21"/>
  <c r="AD866" i="21"/>
  <c r="AE866" i="21" s="1"/>
  <c r="Y866" i="21"/>
  <c r="Z866" i="21" s="1" a="1"/>
  <c r="Z866" i="21" s="1"/>
  <c r="AI866" i="21" s="1"/>
  <c r="AJ866" i="21" s="1"/>
  <c r="X866" i="21"/>
  <c r="W866" i="21"/>
  <c r="AQ866" i="21" s="1"/>
  <c r="V866" i="21"/>
  <c r="F866" i="21"/>
  <c r="AO865" i="21"/>
  <c r="AL865" i="21"/>
  <c r="AD865" i="21"/>
  <c r="AE865" i="21" s="1"/>
  <c r="Y865" i="21"/>
  <c r="Z865" i="21" s="1" a="1"/>
  <c r="Z865" i="21" s="1"/>
  <c r="AI865" i="21" s="1"/>
  <c r="AJ865" i="21" s="1"/>
  <c r="X865" i="21"/>
  <c r="W865" i="21"/>
  <c r="AQ865" i="21" s="1"/>
  <c r="V865" i="21"/>
  <c r="F865" i="21"/>
  <c r="AO864" i="21"/>
  <c r="AL864" i="21"/>
  <c r="AD864" i="21"/>
  <c r="AE864" i="21" s="1"/>
  <c r="Y864" i="21"/>
  <c r="Z864" i="21" s="1" a="1"/>
  <c r="Z864" i="21" s="1"/>
  <c r="AI864" i="21" s="1"/>
  <c r="AJ864" i="21" s="1"/>
  <c r="X864" i="21"/>
  <c r="W864" i="21"/>
  <c r="AQ864" i="21" s="1"/>
  <c r="V864" i="21"/>
  <c r="F864" i="21"/>
  <c r="AO863" i="21"/>
  <c r="AL863" i="21"/>
  <c r="AD863" i="21"/>
  <c r="AE863" i="21" s="1"/>
  <c r="Y863" i="21"/>
  <c r="Z863" i="21" s="1" a="1"/>
  <c r="Z863" i="21" s="1"/>
  <c r="AI863" i="21" s="1"/>
  <c r="AJ863" i="21" s="1"/>
  <c r="X863" i="21"/>
  <c r="W863" i="21"/>
  <c r="AQ863" i="21" s="1"/>
  <c r="V863" i="21"/>
  <c r="F863" i="21"/>
  <c r="AO862" i="21"/>
  <c r="AL862" i="21"/>
  <c r="AD862" i="21"/>
  <c r="AE862" i="21" s="1"/>
  <c r="Y862" i="21"/>
  <c r="Z862" i="21" s="1" a="1"/>
  <c r="Z862" i="21" s="1"/>
  <c r="AI862" i="21" s="1"/>
  <c r="AJ862" i="21" s="1"/>
  <c r="X862" i="21"/>
  <c r="W862" i="21"/>
  <c r="AQ862" i="21" s="1"/>
  <c r="V862" i="21"/>
  <c r="F862" i="21"/>
  <c r="A862" i="21"/>
  <c r="AO861" i="21"/>
  <c r="AL861" i="21"/>
  <c r="AD861" i="21"/>
  <c r="AE861" i="21" s="1"/>
  <c r="Y861" i="21"/>
  <c r="Z861" i="21" s="1" a="1"/>
  <c r="Z861" i="21" s="1"/>
  <c r="AI861" i="21" s="1"/>
  <c r="AJ861" i="21" s="1"/>
  <c r="X861" i="21"/>
  <c r="W861" i="21"/>
  <c r="AQ861" i="21" s="1"/>
  <c r="V861" i="21"/>
  <c r="AO860" i="21"/>
  <c r="AL860" i="21"/>
  <c r="AD860" i="21"/>
  <c r="AE860" i="21" s="1"/>
  <c r="Y860" i="21"/>
  <c r="Z860" i="21" s="1" a="1"/>
  <c r="Z860" i="21" s="1"/>
  <c r="AI860" i="21" s="1"/>
  <c r="AJ860" i="21" s="1"/>
  <c r="X860" i="21"/>
  <c r="W860" i="21"/>
  <c r="AQ860" i="21" s="1"/>
  <c r="V860" i="21"/>
  <c r="AO859" i="21"/>
  <c r="AL859" i="21"/>
  <c r="AD859" i="21"/>
  <c r="AE859" i="21" s="1"/>
  <c r="Y859" i="21"/>
  <c r="Z859" i="21" s="1" a="1"/>
  <c r="Z859" i="21" s="1"/>
  <c r="AI859" i="21" s="1"/>
  <c r="AJ859" i="21" s="1"/>
  <c r="X859" i="21"/>
  <c r="W859" i="21"/>
  <c r="AQ859" i="21" s="1"/>
  <c r="V859" i="21"/>
  <c r="AO858" i="21"/>
  <c r="AL858" i="21"/>
  <c r="AD858" i="21"/>
  <c r="AE858" i="21" s="1"/>
  <c r="Y858" i="21"/>
  <c r="Z858" i="21" s="1" a="1"/>
  <c r="Z858" i="21" s="1"/>
  <c r="AI858" i="21" s="1"/>
  <c r="AJ858" i="21" s="1"/>
  <c r="X858" i="21"/>
  <c r="W858" i="21"/>
  <c r="AQ858" i="21" s="1"/>
  <c r="V858" i="21"/>
  <c r="AO857" i="21"/>
  <c r="AL857" i="21"/>
  <c r="AD857" i="21"/>
  <c r="AE857" i="21" s="1"/>
  <c r="Y857" i="21"/>
  <c r="Z857" i="21" s="1" a="1"/>
  <c r="Z857" i="21" s="1"/>
  <c r="AI857" i="21" s="1"/>
  <c r="AJ857" i="21" s="1"/>
  <c r="X857" i="21"/>
  <c r="W857" i="21"/>
  <c r="AQ857" i="21" s="1"/>
  <c r="V857" i="21"/>
  <c r="AO856" i="21"/>
  <c r="AL856" i="21"/>
  <c r="AD856" i="21"/>
  <c r="AE856" i="21" s="1"/>
  <c r="Y856" i="21"/>
  <c r="Z856" i="21" s="1" a="1"/>
  <c r="Z856" i="21" s="1"/>
  <c r="AI856" i="21" s="1"/>
  <c r="AJ856" i="21" s="1"/>
  <c r="X856" i="21"/>
  <c r="W856" i="21"/>
  <c r="AQ856" i="21" s="1"/>
  <c r="V856" i="21"/>
  <c r="AO855" i="21"/>
  <c r="AL855" i="21"/>
  <c r="AD855" i="21"/>
  <c r="AE855" i="21" s="1"/>
  <c r="Y855" i="21"/>
  <c r="Z855" i="21" s="1" a="1"/>
  <c r="Z855" i="21" s="1"/>
  <c r="AI855" i="21" s="1"/>
  <c r="AJ855" i="21" s="1"/>
  <c r="X855" i="21"/>
  <c r="W855" i="21"/>
  <c r="AQ855" i="21" s="1"/>
  <c r="V855" i="21"/>
  <c r="AO854" i="21"/>
  <c r="AL854" i="21"/>
  <c r="AD854" i="21"/>
  <c r="AE854" i="21" s="1"/>
  <c r="Y854" i="21"/>
  <c r="Z854" i="21" s="1" a="1"/>
  <c r="Z854" i="21" s="1"/>
  <c r="AI854" i="21" s="1"/>
  <c r="AJ854" i="21" s="1"/>
  <c r="X854" i="21"/>
  <c r="W854" i="21"/>
  <c r="AQ854" i="21" s="1"/>
  <c r="V854" i="21"/>
  <c r="AO853" i="21"/>
  <c r="AL853" i="21"/>
  <c r="AD853" i="21"/>
  <c r="AE853" i="21" s="1"/>
  <c r="Y853" i="21"/>
  <c r="Z853" i="21" s="1" a="1"/>
  <c r="Z853" i="21" s="1"/>
  <c r="AI853" i="21" s="1"/>
  <c r="AJ853" i="21" s="1"/>
  <c r="X853" i="21"/>
  <c r="W853" i="21"/>
  <c r="AQ853" i="21" s="1"/>
  <c r="V853" i="21"/>
  <c r="AO852" i="21"/>
  <c r="AL852" i="21"/>
  <c r="AD852" i="21"/>
  <c r="AE852" i="21" s="1"/>
  <c r="Y852" i="21"/>
  <c r="Z852" i="21" s="1" a="1"/>
  <c r="Z852" i="21" s="1"/>
  <c r="AI852" i="21" s="1"/>
  <c r="AJ852" i="21" s="1"/>
  <c r="X852" i="21"/>
  <c r="W852" i="21"/>
  <c r="AQ852" i="21" s="1"/>
  <c r="V852" i="21"/>
  <c r="AO851" i="21"/>
  <c r="AL851" i="21"/>
  <c r="AD851" i="21"/>
  <c r="AE851" i="21" s="1"/>
  <c r="Y851" i="21"/>
  <c r="Z851" i="21" s="1" a="1"/>
  <c r="Z851" i="21" s="1"/>
  <c r="AI851" i="21" s="1"/>
  <c r="AJ851" i="21" s="1"/>
  <c r="X851" i="21"/>
  <c r="W851" i="21"/>
  <c r="AQ851" i="21" s="1"/>
  <c r="V851" i="21"/>
  <c r="AO850" i="21"/>
  <c r="AL850" i="21"/>
  <c r="AD850" i="21"/>
  <c r="AE850" i="21" s="1"/>
  <c r="Y850" i="21"/>
  <c r="Z850" i="21" s="1" a="1"/>
  <c r="Z850" i="21" s="1"/>
  <c r="AI850" i="21" s="1"/>
  <c r="AJ850" i="21" s="1"/>
  <c r="X850" i="21"/>
  <c r="W850" i="21"/>
  <c r="AQ850" i="21" s="1"/>
  <c r="V850" i="21"/>
  <c r="AO849" i="21"/>
  <c r="AL849" i="21"/>
  <c r="AD849" i="21"/>
  <c r="AE849" i="21" s="1"/>
  <c r="Y849" i="21"/>
  <c r="Z849" i="21" s="1" a="1"/>
  <c r="Z849" i="21" s="1"/>
  <c r="AI849" i="21" s="1"/>
  <c r="AJ849" i="21" s="1"/>
  <c r="X849" i="21"/>
  <c r="W849" i="21"/>
  <c r="AQ849" i="21" s="1"/>
  <c r="V849" i="21"/>
  <c r="AO848" i="21"/>
  <c r="AL848" i="21"/>
  <c r="AD848" i="21"/>
  <c r="AE848" i="21" s="1"/>
  <c r="Y848" i="21"/>
  <c r="Z848" i="21" s="1" a="1"/>
  <c r="Z848" i="21" s="1"/>
  <c r="AI848" i="21" s="1"/>
  <c r="AJ848" i="21" s="1"/>
  <c r="X848" i="21"/>
  <c r="W848" i="21"/>
  <c r="AQ848" i="21" s="1"/>
  <c r="V848" i="21"/>
  <c r="AO847" i="21"/>
  <c r="AL847" i="21"/>
  <c r="AD847" i="21"/>
  <c r="AE847" i="21" s="1"/>
  <c r="Y847" i="21"/>
  <c r="Z847" i="21" s="1" a="1"/>
  <c r="Z847" i="21" s="1"/>
  <c r="AI847" i="21" s="1"/>
  <c r="AJ847" i="21" s="1"/>
  <c r="X847" i="21"/>
  <c r="W847" i="21"/>
  <c r="AQ847" i="21" s="1"/>
  <c r="V847" i="21"/>
  <c r="AO846" i="21"/>
  <c r="AL846" i="21"/>
  <c r="AD846" i="21"/>
  <c r="AE846" i="21" s="1"/>
  <c r="Y846" i="21"/>
  <c r="Z846" i="21" s="1" a="1"/>
  <c r="Z846" i="21" s="1"/>
  <c r="AI846" i="21" s="1"/>
  <c r="AJ846" i="21" s="1"/>
  <c r="X846" i="21"/>
  <c r="W846" i="21"/>
  <c r="AQ846" i="21" s="1"/>
  <c r="V846" i="21"/>
  <c r="AO845" i="21"/>
  <c r="AL845" i="21"/>
  <c r="AD845" i="21"/>
  <c r="AE845" i="21" s="1"/>
  <c r="Y845" i="21"/>
  <c r="Z845" i="21" s="1" a="1"/>
  <c r="Z845" i="21" s="1"/>
  <c r="AI845" i="21" s="1"/>
  <c r="AJ845" i="21" s="1"/>
  <c r="X845" i="21"/>
  <c r="W845" i="21"/>
  <c r="AQ845" i="21" s="1"/>
  <c r="V845" i="21"/>
  <c r="AO844" i="21"/>
  <c r="AL844" i="21"/>
  <c r="AD844" i="21"/>
  <c r="AE844" i="21" s="1"/>
  <c r="Y844" i="21"/>
  <c r="Z844" i="21" s="1" a="1"/>
  <c r="Z844" i="21" s="1"/>
  <c r="AI844" i="21" s="1"/>
  <c r="AJ844" i="21" s="1"/>
  <c r="X844" i="21"/>
  <c r="W844" i="21"/>
  <c r="AQ844" i="21" s="1"/>
  <c r="V844" i="21"/>
  <c r="AO843" i="21"/>
  <c r="AL843" i="21"/>
  <c r="AD843" i="21"/>
  <c r="AE843" i="21" s="1"/>
  <c r="Y843" i="21"/>
  <c r="Z843" i="21" s="1" a="1"/>
  <c r="Z843" i="21" s="1"/>
  <c r="AI843" i="21" s="1"/>
  <c r="AJ843" i="21" s="1"/>
  <c r="X843" i="21"/>
  <c r="W843" i="21"/>
  <c r="AQ843" i="21" s="1"/>
  <c r="V843" i="21"/>
  <c r="AO842" i="21"/>
  <c r="AL842" i="21"/>
  <c r="AD842" i="21"/>
  <c r="AE842" i="21" s="1"/>
  <c r="Y842" i="21"/>
  <c r="Z842" i="21" s="1" a="1"/>
  <c r="Z842" i="21" s="1"/>
  <c r="AI842" i="21" s="1"/>
  <c r="AJ842" i="21" s="1"/>
  <c r="X842" i="21"/>
  <c r="W842" i="21"/>
  <c r="AQ842" i="21" s="1"/>
  <c r="V842" i="21"/>
  <c r="AO841" i="21"/>
  <c r="AL841" i="21"/>
  <c r="AD841" i="21"/>
  <c r="AE841" i="21" s="1"/>
  <c r="Y841" i="21"/>
  <c r="Z841" i="21" s="1" a="1"/>
  <c r="Z841" i="21" s="1"/>
  <c r="AI841" i="21" s="1"/>
  <c r="AJ841" i="21" s="1"/>
  <c r="X841" i="21"/>
  <c r="W841" i="21"/>
  <c r="AQ841" i="21" s="1"/>
  <c r="V841" i="21"/>
  <c r="AO840" i="21"/>
  <c r="AL840" i="21"/>
  <c r="AD840" i="21"/>
  <c r="AE840" i="21" s="1"/>
  <c r="Y840" i="21"/>
  <c r="Z840" i="21" s="1" a="1"/>
  <c r="Z840" i="21" s="1"/>
  <c r="AI840" i="21" s="1"/>
  <c r="AJ840" i="21" s="1"/>
  <c r="X840" i="21"/>
  <c r="W840" i="21"/>
  <c r="AQ840" i="21" s="1"/>
  <c r="V840" i="21"/>
  <c r="AO839" i="21"/>
  <c r="AL839" i="21"/>
  <c r="AD839" i="21"/>
  <c r="AE839" i="21" s="1"/>
  <c r="Y839" i="21"/>
  <c r="Z839" i="21" s="1" a="1"/>
  <c r="Z839" i="21" s="1"/>
  <c r="AI839" i="21" s="1"/>
  <c r="AJ839" i="21" s="1"/>
  <c r="X839" i="21"/>
  <c r="W839" i="21"/>
  <c r="AQ839" i="21" s="1"/>
  <c r="V839" i="21"/>
  <c r="AO838" i="21"/>
  <c r="AL838" i="21"/>
  <c r="AD838" i="21"/>
  <c r="AE838" i="21" s="1"/>
  <c r="Y838" i="21"/>
  <c r="Z838" i="21" s="1" a="1"/>
  <c r="Z838" i="21" s="1"/>
  <c r="AI838" i="21" s="1"/>
  <c r="AJ838" i="21" s="1"/>
  <c r="X838" i="21"/>
  <c r="W838" i="21"/>
  <c r="AQ838" i="21" s="1"/>
  <c r="V838" i="21"/>
  <c r="AO837" i="21"/>
  <c r="AL837" i="21"/>
  <c r="AD837" i="21"/>
  <c r="AE837" i="21" s="1"/>
  <c r="Y837" i="21"/>
  <c r="Z837" i="21" s="1" a="1"/>
  <c r="Z837" i="21" s="1"/>
  <c r="AI837" i="21" s="1"/>
  <c r="AJ837" i="21" s="1"/>
  <c r="X837" i="21"/>
  <c r="W837" i="21"/>
  <c r="AQ837" i="21" s="1"/>
  <c r="V837" i="21"/>
  <c r="AO836" i="21"/>
  <c r="AL836" i="21"/>
  <c r="AD836" i="21"/>
  <c r="AE836" i="21" s="1"/>
  <c r="Y836" i="21"/>
  <c r="Z836" i="21" s="1" a="1"/>
  <c r="Z836" i="21" s="1"/>
  <c r="AI836" i="21" s="1"/>
  <c r="AJ836" i="21" s="1"/>
  <c r="X836" i="21"/>
  <c r="W836" i="21"/>
  <c r="AQ836" i="21" s="1"/>
  <c r="V836" i="21"/>
  <c r="AO835" i="21"/>
  <c r="AL835" i="21"/>
  <c r="AA835" i="21"/>
  <c r="AD835" i="21" s="1"/>
  <c r="AE835" i="21" s="1"/>
  <c r="Y835" i="21"/>
  <c r="Z835" i="21" s="1" a="1"/>
  <c r="Z835" i="21" s="1"/>
  <c r="AI835" i="21" s="1"/>
  <c r="AJ835" i="21" s="1"/>
  <c r="X835" i="21"/>
  <c r="W835" i="21"/>
  <c r="AQ835" i="21" s="1"/>
  <c r="V835" i="21"/>
  <c r="AO834" i="21"/>
  <c r="AL834" i="21"/>
  <c r="AA834" i="21"/>
  <c r="AD834" i="21" s="1"/>
  <c r="AE834" i="21" s="1"/>
  <c r="Y834" i="21"/>
  <c r="Z834" i="21" s="1" a="1"/>
  <c r="Z834" i="21" s="1"/>
  <c r="AI834" i="21" s="1"/>
  <c r="AJ834" i="21" s="1"/>
  <c r="X834" i="21"/>
  <c r="W834" i="21"/>
  <c r="AQ834" i="21" s="1"/>
  <c r="V834" i="21"/>
  <c r="AO833" i="21"/>
  <c r="AL833" i="21"/>
  <c r="AA833" i="21"/>
  <c r="AD833" i="21" s="1"/>
  <c r="AE833" i="21" s="1"/>
  <c r="Y833" i="21"/>
  <c r="Z833" i="21" s="1" a="1"/>
  <c r="Z833" i="21" s="1"/>
  <c r="AI833" i="21" s="1"/>
  <c r="AJ833" i="21" s="1"/>
  <c r="X833" i="21"/>
  <c r="W833" i="21"/>
  <c r="AQ833" i="21" s="1"/>
  <c r="V833" i="21"/>
  <c r="AO832" i="21"/>
  <c r="AL832" i="21"/>
  <c r="AA832" i="21"/>
  <c r="AD832" i="21" s="1"/>
  <c r="AE832" i="21" s="1"/>
  <c r="Y832" i="21"/>
  <c r="Z832" i="21" s="1" a="1"/>
  <c r="Z832" i="21" s="1"/>
  <c r="AI832" i="21" s="1"/>
  <c r="AJ832" i="21" s="1"/>
  <c r="X832" i="21"/>
  <c r="W832" i="21"/>
  <c r="AQ832" i="21" s="1"/>
  <c r="V832" i="21"/>
  <c r="AO831" i="21"/>
  <c r="AL831" i="21"/>
  <c r="AA831" i="21"/>
  <c r="AD831" i="21" s="1"/>
  <c r="AE831" i="21" s="1"/>
  <c r="Y831" i="21"/>
  <c r="Z831" i="21" s="1" a="1"/>
  <c r="Z831" i="21" s="1"/>
  <c r="AI831" i="21" s="1"/>
  <c r="AJ831" i="21" s="1"/>
  <c r="X831" i="21"/>
  <c r="W831" i="21"/>
  <c r="AQ831" i="21" s="1"/>
  <c r="V831" i="21"/>
  <c r="AO830" i="21"/>
  <c r="AL830" i="21"/>
  <c r="AA830" i="21"/>
  <c r="AD830" i="21" s="1"/>
  <c r="AE830" i="21" s="1"/>
  <c r="Y830" i="21"/>
  <c r="Z830" i="21" s="1" a="1"/>
  <c r="Z830" i="21" s="1"/>
  <c r="AI830" i="21" s="1"/>
  <c r="AJ830" i="21" s="1"/>
  <c r="X830" i="21"/>
  <c r="W830" i="21"/>
  <c r="AQ830" i="21" s="1"/>
  <c r="V830" i="21"/>
  <c r="AO829" i="21"/>
  <c r="AL829" i="21"/>
  <c r="AA829" i="21"/>
  <c r="AD829" i="21" s="1"/>
  <c r="AE829" i="21" s="1"/>
  <c r="Y829" i="21"/>
  <c r="Z829" i="21" s="1" a="1"/>
  <c r="Z829" i="21" s="1"/>
  <c r="AI829" i="21" s="1"/>
  <c r="AJ829" i="21" s="1"/>
  <c r="X829" i="21"/>
  <c r="W829" i="21"/>
  <c r="AQ829" i="21" s="1"/>
  <c r="V829" i="21"/>
  <c r="AO828" i="21"/>
  <c r="AL828" i="21"/>
  <c r="AD828" i="21"/>
  <c r="AE828" i="21" s="1"/>
  <c r="Y828" i="21"/>
  <c r="Z828" i="21" s="1" a="1"/>
  <c r="Z828" i="21" s="1"/>
  <c r="AI828" i="21" s="1"/>
  <c r="AJ828" i="21" s="1"/>
  <c r="X828" i="21"/>
  <c r="W828" i="21"/>
  <c r="AQ828" i="21" s="1"/>
  <c r="V828" i="21"/>
  <c r="AO827" i="21"/>
  <c r="AL827" i="21"/>
  <c r="AD827" i="21"/>
  <c r="AE827" i="21" s="1"/>
  <c r="Y827" i="21"/>
  <c r="Z827" i="21" s="1" a="1"/>
  <c r="Z827" i="21" s="1"/>
  <c r="AI827" i="21" s="1"/>
  <c r="AJ827" i="21" s="1"/>
  <c r="X827" i="21"/>
  <c r="W827" i="21"/>
  <c r="AQ827" i="21" s="1"/>
  <c r="V827" i="21"/>
  <c r="AO826" i="21"/>
  <c r="AL826" i="21"/>
  <c r="AD826" i="21"/>
  <c r="AE826" i="21" s="1"/>
  <c r="Y826" i="21"/>
  <c r="Z826" i="21" s="1" a="1"/>
  <c r="Z826" i="21" s="1"/>
  <c r="AI826" i="21" s="1"/>
  <c r="AJ826" i="21" s="1"/>
  <c r="X826" i="21"/>
  <c r="W826" i="21"/>
  <c r="AQ826" i="21" s="1"/>
  <c r="V826" i="21"/>
  <c r="AO825" i="21"/>
  <c r="AL825" i="21"/>
  <c r="AD825" i="21"/>
  <c r="AE825" i="21" s="1"/>
  <c r="Y825" i="21"/>
  <c r="Z825" i="21" s="1" a="1"/>
  <c r="Z825" i="21" s="1"/>
  <c r="AI825" i="21" s="1"/>
  <c r="AJ825" i="21" s="1"/>
  <c r="X825" i="21"/>
  <c r="W825" i="21"/>
  <c r="AQ825" i="21" s="1"/>
  <c r="V825" i="21"/>
  <c r="AO824" i="21"/>
  <c r="AL824" i="21"/>
  <c r="AD824" i="21"/>
  <c r="AE824" i="21" s="1"/>
  <c r="Y824" i="21"/>
  <c r="Z824" i="21" s="1" a="1"/>
  <c r="Z824" i="21" s="1"/>
  <c r="AI824" i="21" s="1"/>
  <c r="AJ824" i="21" s="1"/>
  <c r="X824" i="21"/>
  <c r="W824" i="21"/>
  <c r="AQ824" i="21" s="1"/>
  <c r="V824" i="21"/>
  <c r="AO823" i="21"/>
  <c r="AL823" i="21"/>
  <c r="AD823" i="21"/>
  <c r="AE823" i="21" s="1"/>
  <c r="Y823" i="21"/>
  <c r="Z823" i="21" s="1" a="1"/>
  <c r="Z823" i="21" s="1"/>
  <c r="AI823" i="21" s="1"/>
  <c r="AJ823" i="21" s="1"/>
  <c r="X823" i="21"/>
  <c r="W823" i="21"/>
  <c r="AQ823" i="21" s="1"/>
  <c r="V823" i="21"/>
  <c r="AO822" i="21"/>
  <c r="AL822" i="21"/>
  <c r="AD822" i="21"/>
  <c r="AE822" i="21" s="1"/>
  <c r="Y822" i="21"/>
  <c r="Z822" i="21" s="1" a="1"/>
  <c r="Z822" i="21" s="1"/>
  <c r="AI822" i="21" s="1"/>
  <c r="AJ822" i="21" s="1"/>
  <c r="X822" i="21"/>
  <c r="W822" i="21"/>
  <c r="AQ822" i="21" s="1"/>
  <c r="V822" i="21"/>
  <c r="AO821" i="21"/>
  <c r="AL821" i="21"/>
  <c r="AD821" i="21"/>
  <c r="AE821" i="21" s="1"/>
  <c r="Y821" i="21"/>
  <c r="Z821" i="21" s="1" a="1"/>
  <c r="Z821" i="21" s="1"/>
  <c r="AI821" i="21" s="1"/>
  <c r="AJ821" i="21" s="1"/>
  <c r="X821" i="21"/>
  <c r="W821" i="21"/>
  <c r="AQ821" i="21" s="1"/>
  <c r="V821" i="21"/>
  <c r="AO820" i="21"/>
  <c r="AL820" i="21"/>
  <c r="AD820" i="21"/>
  <c r="AE820" i="21" s="1"/>
  <c r="Y820" i="21"/>
  <c r="Z820" i="21" s="1" a="1"/>
  <c r="Z820" i="21" s="1"/>
  <c r="AI820" i="21" s="1"/>
  <c r="AJ820" i="21" s="1"/>
  <c r="X820" i="21"/>
  <c r="W820" i="21"/>
  <c r="AQ820" i="21" s="1"/>
  <c r="V820" i="21"/>
  <c r="AO819" i="21"/>
  <c r="AL819" i="21"/>
  <c r="AD819" i="21"/>
  <c r="AE819" i="21" s="1"/>
  <c r="Y819" i="21"/>
  <c r="Z819" i="21" s="1" a="1"/>
  <c r="Z819" i="21" s="1"/>
  <c r="AI819" i="21" s="1"/>
  <c r="AJ819" i="21" s="1"/>
  <c r="X819" i="21"/>
  <c r="W819" i="21"/>
  <c r="AQ819" i="21" s="1"/>
  <c r="V819" i="21"/>
  <c r="AO818" i="21"/>
  <c r="AL818" i="21"/>
  <c r="AD818" i="21"/>
  <c r="AE818" i="21" s="1"/>
  <c r="Y818" i="21"/>
  <c r="Z818" i="21" s="1" a="1"/>
  <c r="Z818" i="21" s="1"/>
  <c r="AI818" i="21" s="1"/>
  <c r="AJ818" i="21" s="1"/>
  <c r="X818" i="21"/>
  <c r="W818" i="21"/>
  <c r="AQ818" i="21" s="1"/>
  <c r="V818" i="21"/>
  <c r="AO817" i="21"/>
  <c r="AL817" i="21"/>
  <c r="AD817" i="21"/>
  <c r="AE817" i="21" s="1"/>
  <c r="Y817" i="21"/>
  <c r="Z817" i="21" s="1" a="1"/>
  <c r="Z817" i="21" s="1"/>
  <c r="AI817" i="21" s="1"/>
  <c r="AJ817" i="21" s="1"/>
  <c r="X817" i="21"/>
  <c r="W817" i="21"/>
  <c r="AQ817" i="21" s="1"/>
  <c r="V817" i="21"/>
  <c r="AO816" i="21"/>
  <c r="AL816" i="21"/>
  <c r="AD816" i="21"/>
  <c r="AE816" i="21" s="1"/>
  <c r="Y816" i="21"/>
  <c r="Z816" i="21" s="1" a="1"/>
  <c r="Z816" i="21" s="1"/>
  <c r="AI816" i="21" s="1"/>
  <c r="AJ816" i="21" s="1"/>
  <c r="X816" i="21"/>
  <c r="W816" i="21"/>
  <c r="AQ816" i="21" s="1"/>
  <c r="V816" i="21"/>
  <c r="AO815" i="21"/>
  <c r="AL815" i="21"/>
  <c r="AD815" i="21"/>
  <c r="AE815" i="21" s="1"/>
  <c r="Y815" i="21"/>
  <c r="Z815" i="21" s="1" a="1"/>
  <c r="Z815" i="21" s="1"/>
  <c r="AI815" i="21" s="1"/>
  <c r="AJ815" i="21" s="1"/>
  <c r="X815" i="21"/>
  <c r="W815" i="21"/>
  <c r="AQ815" i="21" s="1"/>
  <c r="V815" i="21"/>
  <c r="AO814" i="21"/>
  <c r="AL814" i="21"/>
  <c r="AD814" i="21"/>
  <c r="AE814" i="21" s="1"/>
  <c r="Y814" i="21"/>
  <c r="Z814" i="21" s="1" a="1"/>
  <c r="Z814" i="21" s="1"/>
  <c r="AI814" i="21" s="1"/>
  <c r="AJ814" i="21" s="1"/>
  <c r="X814" i="21"/>
  <c r="W814" i="21"/>
  <c r="AQ814" i="21" s="1"/>
  <c r="V814" i="21"/>
  <c r="AO813" i="21"/>
  <c r="AL813" i="21"/>
  <c r="AD813" i="21"/>
  <c r="AE813" i="21" s="1"/>
  <c r="Y813" i="21"/>
  <c r="Z813" i="21" s="1" a="1"/>
  <c r="Z813" i="21" s="1"/>
  <c r="AI813" i="21" s="1"/>
  <c r="AJ813" i="21" s="1"/>
  <c r="X813" i="21"/>
  <c r="W813" i="21"/>
  <c r="AQ813" i="21" s="1"/>
  <c r="V813" i="21"/>
  <c r="AO812" i="21"/>
  <c r="AL812" i="21"/>
  <c r="AD812" i="21"/>
  <c r="AE812" i="21" s="1"/>
  <c r="Y812" i="21"/>
  <c r="Z812" i="21" s="1" a="1"/>
  <c r="Z812" i="21" s="1"/>
  <c r="AI812" i="21" s="1"/>
  <c r="AJ812" i="21" s="1"/>
  <c r="X812" i="21"/>
  <c r="W812" i="21"/>
  <c r="AQ812" i="21" s="1"/>
  <c r="V812" i="21"/>
  <c r="AO811" i="21"/>
  <c r="AL811" i="21"/>
  <c r="AD811" i="21"/>
  <c r="AE811" i="21" s="1"/>
  <c r="Y811" i="21"/>
  <c r="Z811" i="21" s="1" a="1"/>
  <c r="Z811" i="21" s="1"/>
  <c r="AI811" i="21" s="1"/>
  <c r="AJ811" i="21" s="1"/>
  <c r="X811" i="21"/>
  <c r="W811" i="21"/>
  <c r="AQ811" i="21" s="1"/>
  <c r="V811" i="21"/>
  <c r="AO810" i="21"/>
  <c r="AL810" i="21"/>
  <c r="AD810" i="21"/>
  <c r="AE810" i="21" s="1"/>
  <c r="Y810" i="21"/>
  <c r="Z810" i="21" s="1" a="1"/>
  <c r="Z810" i="21" s="1"/>
  <c r="AI810" i="21" s="1"/>
  <c r="AJ810" i="21" s="1"/>
  <c r="X810" i="21"/>
  <c r="W810" i="21"/>
  <c r="AQ810" i="21" s="1"/>
  <c r="V810" i="21"/>
  <c r="AO809" i="21"/>
  <c r="AL809" i="21"/>
  <c r="AD809" i="21"/>
  <c r="AE809" i="21" s="1"/>
  <c r="Y809" i="21"/>
  <c r="Z809" i="21" s="1" a="1"/>
  <c r="Z809" i="21" s="1"/>
  <c r="AI809" i="21" s="1"/>
  <c r="AJ809" i="21" s="1"/>
  <c r="X809" i="21"/>
  <c r="W809" i="21"/>
  <c r="AQ809" i="21" s="1"/>
  <c r="V809" i="21"/>
  <c r="AO808" i="21"/>
  <c r="AL808" i="21"/>
  <c r="AD808" i="21"/>
  <c r="AE808" i="21" s="1"/>
  <c r="Y808" i="21"/>
  <c r="Z808" i="21" s="1" a="1"/>
  <c r="Z808" i="21" s="1"/>
  <c r="AI808" i="21" s="1"/>
  <c r="AJ808" i="21" s="1"/>
  <c r="X808" i="21"/>
  <c r="W808" i="21"/>
  <c r="AQ808" i="21" s="1"/>
  <c r="V808" i="21"/>
  <c r="F808" i="21"/>
  <c r="AO807" i="21"/>
  <c r="AL807" i="21"/>
  <c r="AD807" i="21"/>
  <c r="AE807" i="21" s="1"/>
  <c r="Y807" i="21"/>
  <c r="Z807" i="21" s="1" a="1"/>
  <c r="Z807" i="21" s="1"/>
  <c r="AI807" i="21" s="1"/>
  <c r="AJ807" i="21" s="1"/>
  <c r="X807" i="21"/>
  <c r="W807" i="21"/>
  <c r="AQ807" i="21" s="1"/>
  <c r="V807" i="21"/>
  <c r="F807" i="21"/>
  <c r="AO806" i="21"/>
  <c r="AL806" i="21"/>
  <c r="AD806" i="21"/>
  <c r="AE806" i="21" s="1"/>
  <c r="Y806" i="21"/>
  <c r="Z806" i="21" s="1" a="1"/>
  <c r="Z806" i="21" s="1"/>
  <c r="AI806" i="21" s="1"/>
  <c r="AJ806" i="21" s="1"/>
  <c r="X806" i="21"/>
  <c r="W806" i="21"/>
  <c r="AQ806" i="21" s="1"/>
  <c r="V806" i="21"/>
  <c r="F806" i="21"/>
  <c r="A806" i="21"/>
  <c r="AO805" i="21"/>
  <c r="AL805" i="21"/>
  <c r="AD805" i="21"/>
  <c r="AE805" i="21" s="1"/>
  <c r="Y805" i="21"/>
  <c r="Z805" i="21" s="1" a="1"/>
  <c r="Z805" i="21" s="1"/>
  <c r="AI805" i="21" s="1"/>
  <c r="AJ805" i="21" s="1"/>
  <c r="X805" i="21"/>
  <c r="W805" i="21"/>
  <c r="AQ805" i="21" s="1"/>
  <c r="V805" i="21"/>
  <c r="AO804" i="21"/>
  <c r="AL804" i="21"/>
  <c r="AD804" i="21"/>
  <c r="AE804" i="21" s="1"/>
  <c r="Y804" i="21"/>
  <c r="Z804" i="21" s="1" a="1"/>
  <c r="Z804" i="21" s="1"/>
  <c r="AI804" i="21" s="1"/>
  <c r="AJ804" i="21" s="1"/>
  <c r="X804" i="21"/>
  <c r="W804" i="21"/>
  <c r="AQ804" i="21" s="1"/>
  <c r="V804" i="21"/>
  <c r="F804" i="21"/>
  <c r="AO803" i="21"/>
  <c r="AL803" i="21"/>
  <c r="AD803" i="21"/>
  <c r="AE803" i="21" s="1"/>
  <c r="Y803" i="21"/>
  <c r="Z803" i="21" s="1" a="1"/>
  <c r="Z803" i="21" s="1"/>
  <c r="AI803" i="21" s="1"/>
  <c r="AJ803" i="21" s="1"/>
  <c r="X803" i="21"/>
  <c r="W803" i="21"/>
  <c r="AQ803" i="21" s="1"/>
  <c r="V803" i="21"/>
  <c r="F803" i="21"/>
  <c r="AO802" i="21"/>
  <c r="AL802" i="21"/>
  <c r="AD802" i="21"/>
  <c r="AE802" i="21" s="1"/>
  <c r="Y802" i="21"/>
  <c r="Z802" i="21" s="1" a="1"/>
  <c r="Z802" i="21" s="1"/>
  <c r="AI802" i="21" s="1"/>
  <c r="AJ802" i="21" s="1"/>
  <c r="X802" i="21"/>
  <c r="W802" i="21"/>
  <c r="AQ802" i="21" s="1"/>
  <c r="V802" i="21"/>
  <c r="F802" i="21"/>
  <c r="AO801" i="21"/>
  <c r="AL801" i="21"/>
  <c r="AD801" i="21"/>
  <c r="AE801" i="21" s="1"/>
  <c r="Y801" i="21"/>
  <c r="Z801" i="21" s="1" a="1"/>
  <c r="Z801" i="21" s="1"/>
  <c r="AI801" i="21" s="1"/>
  <c r="AJ801" i="21" s="1"/>
  <c r="X801" i="21"/>
  <c r="W801" i="21"/>
  <c r="AQ801" i="21" s="1"/>
  <c r="V801" i="21"/>
  <c r="F801" i="21"/>
  <c r="AO800" i="21"/>
  <c r="AL800" i="21"/>
  <c r="AD800" i="21"/>
  <c r="AE800" i="21" s="1"/>
  <c r="Y800" i="21"/>
  <c r="Z800" i="21" s="1" a="1"/>
  <c r="Z800" i="21" s="1"/>
  <c r="AI800" i="21" s="1"/>
  <c r="AJ800" i="21" s="1"/>
  <c r="X800" i="21"/>
  <c r="W800" i="21"/>
  <c r="AQ800" i="21" s="1"/>
  <c r="V800" i="21"/>
  <c r="F800" i="21"/>
  <c r="AO799" i="21"/>
  <c r="AL799" i="21"/>
  <c r="AD799" i="21"/>
  <c r="AE799" i="21" s="1"/>
  <c r="Y799" i="21"/>
  <c r="Z799" i="21" s="1" a="1"/>
  <c r="Z799" i="21" s="1"/>
  <c r="AI799" i="21" s="1"/>
  <c r="AJ799" i="21" s="1"/>
  <c r="X799" i="21"/>
  <c r="W799" i="21"/>
  <c r="AQ799" i="21" s="1"/>
  <c r="V799" i="21"/>
  <c r="F799" i="21"/>
  <c r="AO798" i="21"/>
  <c r="AL798" i="21"/>
  <c r="AD798" i="21"/>
  <c r="AE798" i="21" s="1"/>
  <c r="Y798" i="21"/>
  <c r="Z798" i="21" s="1" a="1"/>
  <c r="Z798" i="21" s="1"/>
  <c r="AI798" i="21" s="1"/>
  <c r="AJ798" i="21" s="1"/>
  <c r="X798" i="21"/>
  <c r="W798" i="21"/>
  <c r="AQ798" i="21" s="1"/>
  <c r="V798" i="21"/>
  <c r="F798" i="21"/>
  <c r="AO797" i="21"/>
  <c r="AL797" i="21"/>
  <c r="AD797" i="21"/>
  <c r="AE797" i="21" s="1"/>
  <c r="Y797" i="21"/>
  <c r="Z797" i="21" s="1" a="1"/>
  <c r="Z797" i="21" s="1"/>
  <c r="AI797" i="21" s="1"/>
  <c r="AJ797" i="21" s="1"/>
  <c r="X797" i="21"/>
  <c r="W797" i="21"/>
  <c r="AQ797" i="21" s="1"/>
  <c r="V797" i="21"/>
  <c r="F797" i="21"/>
  <c r="AO796" i="21"/>
  <c r="AL796" i="21"/>
  <c r="AD796" i="21"/>
  <c r="AE796" i="21" s="1"/>
  <c r="Y796" i="21"/>
  <c r="Z796" i="21" s="1" a="1"/>
  <c r="Z796" i="21" s="1"/>
  <c r="AI796" i="21" s="1"/>
  <c r="AJ796" i="21" s="1"/>
  <c r="X796" i="21"/>
  <c r="W796" i="21"/>
  <c r="AQ796" i="21" s="1"/>
  <c r="V796" i="21"/>
  <c r="F796" i="21"/>
  <c r="AO795" i="21"/>
  <c r="AL795" i="21"/>
  <c r="AD795" i="21"/>
  <c r="AE795" i="21" s="1"/>
  <c r="Y795" i="21"/>
  <c r="Z795" i="21" s="1" a="1"/>
  <c r="Z795" i="21" s="1"/>
  <c r="AI795" i="21" s="1"/>
  <c r="AJ795" i="21" s="1"/>
  <c r="X795" i="21"/>
  <c r="W795" i="21"/>
  <c r="AQ795" i="21" s="1"/>
  <c r="V795" i="21"/>
  <c r="F795" i="21"/>
  <c r="AO794" i="21"/>
  <c r="AL794" i="21"/>
  <c r="AD794" i="21"/>
  <c r="AE794" i="21" s="1"/>
  <c r="Y794" i="21"/>
  <c r="Z794" i="21" s="1" a="1"/>
  <c r="Z794" i="21" s="1"/>
  <c r="AI794" i="21" s="1"/>
  <c r="AJ794" i="21" s="1"/>
  <c r="X794" i="21"/>
  <c r="W794" i="21"/>
  <c r="AQ794" i="21" s="1"/>
  <c r="V794" i="21"/>
  <c r="F794" i="21"/>
  <c r="AO793" i="21"/>
  <c r="AL793" i="21"/>
  <c r="AD793" i="21"/>
  <c r="AE793" i="21" s="1"/>
  <c r="Y793" i="21"/>
  <c r="Z793" i="21" s="1" a="1"/>
  <c r="Z793" i="21" s="1"/>
  <c r="AI793" i="21" s="1"/>
  <c r="AJ793" i="21" s="1"/>
  <c r="X793" i="21"/>
  <c r="W793" i="21"/>
  <c r="AQ793" i="21" s="1"/>
  <c r="V793" i="21"/>
  <c r="F793" i="21"/>
  <c r="AO792" i="21"/>
  <c r="AL792" i="21"/>
  <c r="AD792" i="21"/>
  <c r="AE792" i="21" s="1"/>
  <c r="Y792" i="21"/>
  <c r="Z792" i="21" s="1" a="1"/>
  <c r="Z792" i="21" s="1"/>
  <c r="AI792" i="21" s="1"/>
  <c r="AJ792" i="21" s="1"/>
  <c r="X792" i="21"/>
  <c r="W792" i="21"/>
  <c r="AQ792" i="21" s="1"/>
  <c r="V792" i="21"/>
  <c r="F792" i="21"/>
  <c r="AO791" i="21"/>
  <c r="AL791" i="21"/>
  <c r="AD791" i="21"/>
  <c r="AE791" i="21" s="1"/>
  <c r="Y791" i="21"/>
  <c r="Z791" i="21" s="1" a="1"/>
  <c r="Z791" i="21" s="1"/>
  <c r="AI791" i="21" s="1"/>
  <c r="AJ791" i="21" s="1"/>
  <c r="X791" i="21"/>
  <c r="W791" i="21"/>
  <c r="AQ791" i="21" s="1"/>
  <c r="V791" i="21"/>
  <c r="F791" i="21"/>
  <c r="AO790" i="21"/>
  <c r="AL790" i="21"/>
  <c r="AD790" i="21"/>
  <c r="AE790" i="21" s="1"/>
  <c r="Y790" i="21"/>
  <c r="Z790" i="21" s="1" a="1"/>
  <c r="Z790" i="21" s="1"/>
  <c r="AI790" i="21" s="1"/>
  <c r="AJ790" i="21" s="1"/>
  <c r="X790" i="21"/>
  <c r="W790" i="21"/>
  <c r="AQ790" i="21" s="1"/>
  <c r="V790" i="21"/>
  <c r="F790" i="21"/>
  <c r="AO789" i="21"/>
  <c r="AL789" i="21"/>
  <c r="AD789" i="21"/>
  <c r="AE789" i="21" s="1"/>
  <c r="Y789" i="21"/>
  <c r="Z789" i="21" s="1" a="1"/>
  <c r="Z789" i="21" s="1"/>
  <c r="AI789" i="21" s="1"/>
  <c r="AJ789" i="21" s="1"/>
  <c r="X789" i="21"/>
  <c r="W789" i="21"/>
  <c r="AQ789" i="21" s="1"/>
  <c r="V789" i="21"/>
  <c r="F789" i="21"/>
  <c r="AO788" i="21"/>
  <c r="AL788" i="21"/>
  <c r="AD788" i="21"/>
  <c r="AE788" i="21" s="1"/>
  <c r="Y788" i="21"/>
  <c r="Z788" i="21" s="1" a="1"/>
  <c r="Z788" i="21" s="1"/>
  <c r="AI788" i="21" s="1"/>
  <c r="AJ788" i="21" s="1"/>
  <c r="X788" i="21"/>
  <c r="W788" i="21"/>
  <c r="AQ788" i="21" s="1"/>
  <c r="V788" i="21"/>
  <c r="F788" i="21"/>
  <c r="AO787" i="21"/>
  <c r="AL787" i="21"/>
  <c r="AD787" i="21"/>
  <c r="AE787" i="21" s="1"/>
  <c r="Y787" i="21"/>
  <c r="Z787" i="21" s="1" a="1"/>
  <c r="Z787" i="21" s="1"/>
  <c r="AI787" i="21" s="1"/>
  <c r="AJ787" i="21" s="1"/>
  <c r="X787" i="21"/>
  <c r="W787" i="21"/>
  <c r="AQ787" i="21" s="1"/>
  <c r="V787" i="21"/>
  <c r="F787" i="21"/>
  <c r="AO786" i="21"/>
  <c r="AL786" i="21"/>
  <c r="AD786" i="21"/>
  <c r="AE786" i="21" s="1"/>
  <c r="Y786" i="21"/>
  <c r="Z786" i="21" s="1" a="1"/>
  <c r="Z786" i="21" s="1"/>
  <c r="AI786" i="21" s="1"/>
  <c r="AJ786" i="21" s="1"/>
  <c r="X786" i="21"/>
  <c r="W786" i="21"/>
  <c r="AQ786" i="21" s="1"/>
  <c r="V786" i="21"/>
  <c r="F786" i="21"/>
  <c r="AO785" i="21"/>
  <c r="AL785" i="21"/>
  <c r="AD785" i="21"/>
  <c r="AE785" i="21" s="1"/>
  <c r="Y785" i="21"/>
  <c r="Z785" i="21" s="1" a="1"/>
  <c r="Z785" i="21" s="1"/>
  <c r="AI785" i="21" s="1"/>
  <c r="AJ785" i="21" s="1"/>
  <c r="X785" i="21"/>
  <c r="W785" i="21"/>
  <c r="AQ785" i="21" s="1"/>
  <c r="V785" i="21"/>
  <c r="F785" i="21"/>
  <c r="AO784" i="21"/>
  <c r="AL784" i="21"/>
  <c r="AD784" i="21"/>
  <c r="AE784" i="21" s="1"/>
  <c r="Y784" i="21"/>
  <c r="Z784" i="21" s="1" a="1"/>
  <c r="Z784" i="21" s="1"/>
  <c r="AI784" i="21" s="1"/>
  <c r="AJ784" i="21" s="1"/>
  <c r="X784" i="21"/>
  <c r="W784" i="21"/>
  <c r="AQ784" i="21" s="1"/>
  <c r="V784" i="21"/>
  <c r="F784" i="21"/>
  <c r="AO783" i="21"/>
  <c r="AL783" i="21"/>
  <c r="AD783" i="21"/>
  <c r="AE783" i="21" s="1"/>
  <c r="Y783" i="21"/>
  <c r="Z783" i="21" s="1" a="1"/>
  <c r="Z783" i="21" s="1"/>
  <c r="AI783" i="21" s="1"/>
  <c r="AJ783" i="21" s="1"/>
  <c r="X783" i="21"/>
  <c r="W783" i="21"/>
  <c r="AQ783" i="21" s="1"/>
  <c r="V783" i="21"/>
  <c r="F783" i="21"/>
  <c r="AO782" i="21"/>
  <c r="AL782" i="21"/>
  <c r="AD782" i="21"/>
  <c r="AE782" i="21" s="1"/>
  <c r="Y782" i="21"/>
  <c r="Z782" i="21" s="1" a="1"/>
  <c r="Z782" i="21" s="1"/>
  <c r="AI782" i="21" s="1"/>
  <c r="AJ782" i="21" s="1"/>
  <c r="X782" i="21"/>
  <c r="W782" i="21"/>
  <c r="AQ782" i="21" s="1"/>
  <c r="V782" i="21"/>
  <c r="F782" i="21"/>
  <c r="AO781" i="21"/>
  <c r="AL781" i="21"/>
  <c r="AD781" i="21"/>
  <c r="AE781" i="21" s="1"/>
  <c r="Y781" i="21"/>
  <c r="Z781" i="21" s="1" a="1"/>
  <c r="Z781" i="21" s="1"/>
  <c r="AI781" i="21" s="1"/>
  <c r="AJ781" i="21" s="1"/>
  <c r="X781" i="21"/>
  <c r="W781" i="21"/>
  <c r="AQ781" i="21" s="1"/>
  <c r="V781" i="21"/>
  <c r="F781" i="21"/>
  <c r="AO780" i="21"/>
  <c r="AL780" i="21"/>
  <c r="AD780" i="21"/>
  <c r="AE780" i="21" s="1"/>
  <c r="Y780" i="21"/>
  <c r="Z780" i="21" s="1" a="1"/>
  <c r="Z780" i="21" s="1"/>
  <c r="AI780" i="21" s="1"/>
  <c r="AJ780" i="21" s="1"/>
  <c r="X780" i="21"/>
  <c r="W780" i="21"/>
  <c r="AQ780" i="21" s="1"/>
  <c r="V780" i="21"/>
  <c r="F780" i="21"/>
  <c r="AO779" i="21"/>
  <c r="AL779" i="21"/>
  <c r="AD779" i="21"/>
  <c r="AE779" i="21" s="1"/>
  <c r="Y779" i="21"/>
  <c r="Z779" i="21" s="1" a="1"/>
  <c r="Z779" i="21" s="1"/>
  <c r="AI779" i="21" s="1"/>
  <c r="AJ779" i="21" s="1"/>
  <c r="X779" i="21"/>
  <c r="W779" i="21"/>
  <c r="AQ779" i="21" s="1"/>
  <c r="V779" i="21"/>
  <c r="F779" i="21"/>
  <c r="AO778" i="21"/>
  <c r="AL778" i="21"/>
  <c r="AD778" i="21"/>
  <c r="AE778" i="21" s="1"/>
  <c r="Y778" i="21"/>
  <c r="Z778" i="21" s="1" a="1"/>
  <c r="Z778" i="21" s="1"/>
  <c r="AI778" i="21" s="1"/>
  <c r="AJ778" i="21" s="1"/>
  <c r="X778" i="21"/>
  <c r="W778" i="21"/>
  <c r="AQ778" i="21" s="1"/>
  <c r="V778" i="21"/>
  <c r="F778" i="21"/>
  <c r="AO777" i="21"/>
  <c r="AL777" i="21"/>
  <c r="AD777" i="21"/>
  <c r="AE777" i="21" s="1"/>
  <c r="Y777" i="21"/>
  <c r="Z777" i="21" s="1" a="1"/>
  <c r="Z777" i="21" s="1"/>
  <c r="AI777" i="21" s="1"/>
  <c r="AJ777" i="21" s="1"/>
  <c r="X777" i="21"/>
  <c r="W777" i="21"/>
  <c r="AQ777" i="21" s="1"/>
  <c r="V777" i="21"/>
  <c r="F777" i="21"/>
  <c r="AO776" i="21"/>
  <c r="AL776" i="21"/>
  <c r="AD776" i="21"/>
  <c r="AE776" i="21" s="1"/>
  <c r="Y776" i="21"/>
  <c r="Z776" i="21" s="1" a="1"/>
  <c r="Z776" i="21" s="1"/>
  <c r="AI776" i="21" s="1"/>
  <c r="AJ776" i="21" s="1"/>
  <c r="X776" i="21"/>
  <c r="W776" i="21"/>
  <c r="AQ776" i="21" s="1"/>
  <c r="V776" i="21"/>
  <c r="F776" i="21"/>
  <c r="AO775" i="21"/>
  <c r="AL775" i="21"/>
  <c r="AD775" i="21"/>
  <c r="AE775" i="21" s="1"/>
  <c r="Y775" i="21"/>
  <c r="Z775" i="21" s="1" a="1"/>
  <c r="Z775" i="21" s="1"/>
  <c r="AI775" i="21" s="1"/>
  <c r="AJ775" i="21" s="1"/>
  <c r="X775" i="21"/>
  <c r="W775" i="21"/>
  <c r="AQ775" i="21" s="1"/>
  <c r="V775" i="21"/>
  <c r="F775" i="21"/>
  <c r="AO774" i="21"/>
  <c r="AL774" i="21"/>
  <c r="AD774" i="21"/>
  <c r="AE774" i="21" s="1"/>
  <c r="Y774" i="21"/>
  <c r="Z774" i="21" s="1" a="1"/>
  <c r="Z774" i="21" s="1"/>
  <c r="AI774" i="21" s="1"/>
  <c r="AJ774" i="21" s="1"/>
  <c r="X774" i="21"/>
  <c r="W774" i="21"/>
  <c r="AQ774" i="21" s="1"/>
  <c r="V774" i="21"/>
  <c r="F774" i="21"/>
  <c r="AO773" i="21"/>
  <c r="AL773" i="21"/>
  <c r="AD773" i="21"/>
  <c r="AE773" i="21" s="1"/>
  <c r="Y773" i="21"/>
  <c r="Z773" i="21" s="1" a="1"/>
  <c r="Z773" i="21" s="1"/>
  <c r="AI773" i="21" s="1"/>
  <c r="AJ773" i="21" s="1"/>
  <c r="X773" i="21"/>
  <c r="W773" i="21"/>
  <c r="AQ773" i="21" s="1"/>
  <c r="V773" i="21"/>
  <c r="F773" i="21"/>
  <c r="AO772" i="21"/>
  <c r="AL772" i="21"/>
  <c r="AD772" i="21"/>
  <c r="AE772" i="21" s="1"/>
  <c r="Y772" i="21"/>
  <c r="Z772" i="21" s="1" a="1"/>
  <c r="Z772" i="21" s="1"/>
  <c r="AI772" i="21" s="1"/>
  <c r="AJ772" i="21" s="1"/>
  <c r="X772" i="21"/>
  <c r="W772" i="21"/>
  <c r="AQ772" i="21" s="1"/>
  <c r="V772" i="21"/>
  <c r="F772" i="21"/>
  <c r="AO771" i="21"/>
  <c r="AL771" i="21"/>
  <c r="AD771" i="21"/>
  <c r="AE771" i="21" s="1"/>
  <c r="Y771" i="21"/>
  <c r="Z771" i="21" s="1" a="1"/>
  <c r="Z771" i="21" s="1"/>
  <c r="AI771" i="21" s="1"/>
  <c r="AJ771" i="21" s="1"/>
  <c r="X771" i="21"/>
  <c r="W771" i="21"/>
  <c r="AQ771" i="21" s="1"/>
  <c r="V771" i="21"/>
  <c r="F771" i="21"/>
  <c r="AO770" i="21"/>
  <c r="AL770" i="21"/>
  <c r="AD770" i="21"/>
  <c r="AE770" i="21" s="1"/>
  <c r="Y770" i="21"/>
  <c r="Z770" i="21" s="1" a="1"/>
  <c r="Z770" i="21" s="1"/>
  <c r="AI770" i="21" s="1"/>
  <c r="AJ770" i="21" s="1"/>
  <c r="X770" i="21"/>
  <c r="W770" i="21"/>
  <c r="AQ770" i="21" s="1"/>
  <c r="V770" i="21"/>
  <c r="F770" i="21"/>
  <c r="AO769" i="21"/>
  <c r="AL769" i="21"/>
  <c r="AD769" i="21"/>
  <c r="AE769" i="21" s="1"/>
  <c r="Y769" i="21"/>
  <c r="Z769" i="21" s="1" a="1"/>
  <c r="Z769" i="21" s="1"/>
  <c r="AI769" i="21" s="1"/>
  <c r="AJ769" i="21" s="1"/>
  <c r="X769" i="21"/>
  <c r="W769" i="21"/>
  <c r="AQ769" i="21" s="1"/>
  <c r="V769" i="21"/>
  <c r="F769" i="21"/>
  <c r="AO768" i="21"/>
  <c r="AL768" i="21"/>
  <c r="AD768" i="21"/>
  <c r="AE768" i="21" s="1"/>
  <c r="Y768" i="21"/>
  <c r="Z768" i="21" s="1" a="1"/>
  <c r="Z768" i="21" s="1"/>
  <c r="AI768" i="21" s="1"/>
  <c r="AJ768" i="21" s="1"/>
  <c r="X768" i="21"/>
  <c r="W768" i="21"/>
  <c r="AQ768" i="21" s="1"/>
  <c r="V768" i="21"/>
  <c r="F768" i="21"/>
  <c r="AO767" i="21"/>
  <c r="AL767" i="21"/>
  <c r="AD767" i="21"/>
  <c r="AE767" i="21" s="1"/>
  <c r="Y767" i="21"/>
  <c r="Z767" i="21" s="1" a="1"/>
  <c r="Z767" i="21" s="1"/>
  <c r="AI767" i="21" s="1"/>
  <c r="AJ767" i="21" s="1"/>
  <c r="X767" i="21"/>
  <c r="W767" i="21"/>
  <c r="AQ767" i="21" s="1"/>
  <c r="V767" i="21"/>
  <c r="F767" i="21"/>
  <c r="AO766" i="21"/>
  <c r="AL766" i="21"/>
  <c r="AD766" i="21"/>
  <c r="AE766" i="21" s="1"/>
  <c r="Y766" i="21"/>
  <c r="Z766" i="21" s="1" a="1"/>
  <c r="Z766" i="21" s="1"/>
  <c r="AI766" i="21" s="1"/>
  <c r="AJ766" i="21" s="1"/>
  <c r="X766" i="21"/>
  <c r="W766" i="21"/>
  <c r="AQ766" i="21" s="1"/>
  <c r="V766" i="21"/>
  <c r="F766" i="21"/>
  <c r="AO765" i="21"/>
  <c r="AL765" i="21"/>
  <c r="AD765" i="21"/>
  <c r="AE765" i="21" s="1"/>
  <c r="Y765" i="21"/>
  <c r="Z765" i="21" s="1" a="1"/>
  <c r="Z765" i="21" s="1"/>
  <c r="AI765" i="21" s="1"/>
  <c r="AJ765" i="21" s="1"/>
  <c r="X765" i="21"/>
  <c r="W765" i="21"/>
  <c r="AQ765" i="21" s="1"/>
  <c r="V765" i="21"/>
  <c r="F765" i="21"/>
  <c r="AO764" i="21"/>
  <c r="AL764" i="21"/>
  <c r="AD764" i="21"/>
  <c r="AE764" i="21" s="1"/>
  <c r="Y764" i="21"/>
  <c r="Z764" i="21" s="1" a="1"/>
  <c r="Z764" i="21" s="1"/>
  <c r="AI764" i="21" s="1"/>
  <c r="AJ764" i="21" s="1"/>
  <c r="X764" i="21"/>
  <c r="W764" i="21"/>
  <c r="AQ764" i="21" s="1"/>
  <c r="V764" i="21"/>
  <c r="F764" i="21"/>
  <c r="AO763" i="21"/>
  <c r="AL763" i="21"/>
  <c r="AD763" i="21"/>
  <c r="AE763" i="21" s="1"/>
  <c r="Y763" i="21"/>
  <c r="Z763" i="21" s="1" a="1"/>
  <c r="Z763" i="21" s="1"/>
  <c r="AI763" i="21" s="1"/>
  <c r="AJ763" i="21" s="1"/>
  <c r="X763" i="21"/>
  <c r="W763" i="21"/>
  <c r="AQ763" i="21" s="1"/>
  <c r="V763" i="21"/>
  <c r="F763" i="21"/>
  <c r="AO762" i="21"/>
  <c r="AL762" i="21"/>
  <c r="AA762" i="21"/>
  <c r="Y762" i="21"/>
  <c r="F762" i="21"/>
  <c r="AO761" i="21"/>
  <c r="AL761" i="21"/>
  <c r="AA761" i="21"/>
  <c r="Y761" i="21"/>
  <c r="F761" i="21"/>
  <c r="AO760" i="21"/>
  <c r="AL760" i="21"/>
  <c r="Y760" i="21"/>
  <c r="U760" i="21"/>
  <c r="F760" i="21"/>
  <c r="AO759" i="21"/>
  <c r="AL759" i="21"/>
  <c r="AD759" i="21"/>
  <c r="AE759" i="21" s="1"/>
  <c r="Y759" i="21"/>
  <c r="Z759" i="21" s="1" a="1"/>
  <c r="Z759" i="21" s="1"/>
  <c r="AI759" i="21" s="1"/>
  <c r="AJ759" i="21" s="1"/>
  <c r="X759" i="21"/>
  <c r="W759" i="21"/>
  <c r="AQ759" i="21" s="1"/>
  <c r="V759" i="21"/>
  <c r="AO758" i="21"/>
  <c r="AD758" i="21"/>
  <c r="AE758" i="21" s="1"/>
  <c r="Y758" i="21"/>
  <c r="Z758" i="21" s="1" a="1"/>
  <c r="Z758" i="21" s="1"/>
  <c r="AI758" i="21" s="1"/>
  <c r="AJ758" i="21" s="1"/>
  <c r="X758" i="21"/>
  <c r="W758" i="21"/>
  <c r="AQ758" i="21" s="1"/>
  <c r="V758" i="21"/>
  <c r="H758" i="21"/>
  <c r="I758" i="21" s="1"/>
  <c r="AM758" i="21" s="1"/>
  <c r="AO757" i="21"/>
  <c r="AD757" i="21"/>
  <c r="AE757" i="21" s="1"/>
  <c r="Y757" i="21"/>
  <c r="Z757" i="21" s="1" a="1"/>
  <c r="Z757" i="21" s="1"/>
  <c r="AI757" i="21" s="1"/>
  <c r="AJ757" i="21" s="1"/>
  <c r="X757" i="21"/>
  <c r="W757" i="21"/>
  <c r="AQ757" i="21" s="1"/>
  <c r="V757" i="21"/>
  <c r="H757" i="21"/>
  <c r="I757" i="21" s="1"/>
  <c r="AM757" i="21" s="1"/>
  <c r="AO756" i="21"/>
  <c r="AD756" i="21"/>
  <c r="AE756" i="21" s="1"/>
  <c r="Y756" i="21"/>
  <c r="Z756" i="21" s="1" a="1"/>
  <c r="Z756" i="21" s="1"/>
  <c r="AI756" i="21" s="1"/>
  <c r="AJ756" i="21" s="1"/>
  <c r="X756" i="21"/>
  <c r="W756" i="21"/>
  <c r="AQ756" i="21" s="1"/>
  <c r="V756" i="21"/>
  <c r="H756" i="21"/>
  <c r="I756" i="21" s="1"/>
  <c r="AM756" i="21" s="1"/>
  <c r="AO755" i="21"/>
  <c r="AL755" i="21"/>
  <c r="AD755" i="21"/>
  <c r="AE755" i="21" s="1"/>
  <c r="Y755" i="21"/>
  <c r="Z755" i="21" s="1" a="1"/>
  <c r="Z755" i="21" s="1"/>
  <c r="AI755" i="21" s="1"/>
  <c r="AJ755" i="21" s="1"/>
  <c r="X755" i="21"/>
  <c r="W755" i="21"/>
  <c r="AQ755" i="21" s="1"/>
  <c r="V755" i="21"/>
  <c r="AO754" i="21"/>
  <c r="AL754" i="21"/>
  <c r="AD754" i="21"/>
  <c r="AE754" i="21" s="1"/>
  <c r="Y754" i="21"/>
  <c r="Z754" i="21" s="1" a="1"/>
  <c r="Z754" i="21" s="1"/>
  <c r="AI754" i="21" s="1"/>
  <c r="AJ754" i="21" s="1"/>
  <c r="X754" i="21"/>
  <c r="W754" i="21"/>
  <c r="AQ754" i="21" s="1"/>
  <c r="V754" i="21"/>
  <c r="AO753" i="21"/>
  <c r="AL753" i="21"/>
  <c r="AD753" i="21"/>
  <c r="AE753" i="21" s="1"/>
  <c r="Y753" i="21"/>
  <c r="Z753" i="21" s="1" a="1"/>
  <c r="Z753" i="21" s="1"/>
  <c r="AI753" i="21" s="1"/>
  <c r="AJ753" i="21" s="1"/>
  <c r="X753" i="21"/>
  <c r="W753" i="21"/>
  <c r="AQ753" i="21" s="1"/>
  <c r="V753" i="21"/>
  <c r="AO752" i="21"/>
  <c r="AL752" i="21"/>
  <c r="AD752" i="21"/>
  <c r="AE752" i="21" s="1"/>
  <c r="Y752" i="21"/>
  <c r="Z752" i="21" s="1" a="1"/>
  <c r="Z752" i="21" s="1"/>
  <c r="AI752" i="21" s="1"/>
  <c r="AJ752" i="21" s="1"/>
  <c r="X752" i="21"/>
  <c r="W752" i="21"/>
  <c r="AQ752" i="21" s="1"/>
  <c r="V752" i="21"/>
  <c r="AO751" i="21"/>
  <c r="AL751" i="21"/>
  <c r="AD751" i="21"/>
  <c r="AE751" i="21" s="1"/>
  <c r="Y751" i="21"/>
  <c r="Z751" i="21" s="1" a="1"/>
  <c r="Z751" i="21" s="1"/>
  <c r="AI751" i="21" s="1"/>
  <c r="AJ751" i="21" s="1"/>
  <c r="X751" i="21"/>
  <c r="W751" i="21"/>
  <c r="AQ751" i="21" s="1"/>
  <c r="V751" i="21"/>
  <c r="AO750" i="21"/>
  <c r="AL750" i="21"/>
  <c r="AD750" i="21"/>
  <c r="AE750" i="21" s="1"/>
  <c r="Y750" i="21"/>
  <c r="Z750" i="21" s="1" a="1"/>
  <c r="Z750" i="21" s="1"/>
  <c r="AI750" i="21" s="1"/>
  <c r="AJ750" i="21" s="1"/>
  <c r="X750" i="21"/>
  <c r="W750" i="21"/>
  <c r="AQ750" i="21" s="1"/>
  <c r="V750" i="21"/>
  <c r="AO749" i="21"/>
  <c r="AL749" i="21"/>
  <c r="AD749" i="21"/>
  <c r="AE749" i="21" s="1"/>
  <c r="Y749" i="21"/>
  <c r="Z749" i="21" s="1" a="1"/>
  <c r="Z749" i="21" s="1"/>
  <c r="AI749" i="21" s="1"/>
  <c r="AJ749" i="21" s="1"/>
  <c r="X749" i="21"/>
  <c r="W749" i="21"/>
  <c r="AQ749" i="21" s="1"/>
  <c r="V749" i="21"/>
  <c r="AO748" i="21"/>
  <c r="AL748" i="21"/>
  <c r="AD748" i="21"/>
  <c r="AE748" i="21" s="1"/>
  <c r="Y748" i="21"/>
  <c r="Z748" i="21" s="1" a="1"/>
  <c r="Z748" i="21" s="1"/>
  <c r="AI748" i="21" s="1"/>
  <c r="AJ748" i="21" s="1"/>
  <c r="X748" i="21"/>
  <c r="W748" i="21"/>
  <c r="AQ748" i="21" s="1"/>
  <c r="V748" i="21"/>
  <c r="AO747" i="21"/>
  <c r="AL747" i="21"/>
  <c r="AD747" i="21"/>
  <c r="AE747" i="21" s="1"/>
  <c r="Y747" i="21"/>
  <c r="Z747" i="21" s="1" a="1"/>
  <c r="Z747" i="21" s="1"/>
  <c r="AI747" i="21" s="1"/>
  <c r="AJ747" i="21" s="1"/>
  <c r="X747" i="21"/>
  <c r="W747" i="21"/>
  <c r="AQ747" i="21" s="1"/>
  <c r="V747" i="21"/>
  <c r="AO746" i="21"/>
  <c r="AL746" i="21"/>
  <c r="AD746" i="21"/>
  <c r="AE746" i="21" s="1"/>
  <c r="Y746" i="21"/>
  <c r="Z746" i="21" s="1" a="1"/>
  <c r="Z746" i="21" s="1"/>
  <c r="AI746" i="21" s="1"/>
  <c r="AJ746" i="21" s="1"/>
  <c r="X746" i="21"/>
  <c r="W746" i="21"/>
  <c r="AQ746" i="21" s="1"/>
  <c r="V746" i="21"/>
  <c r="AO745" i="21"/>
  <c r="AL745" i="21"/>
  <c r="AD745" i="21"/>
  <c r="AE745" i="21" s="1"/>
  <c r="Y745" i="21"/>
  <c r="Z745" i="21" s="1" a="1"/>
  <c r="Z745" i="21" s="1"/>
  <c r="AI745" i="21" s="1"/>
  <c r="AJ745" i="21" s="1"/>
  <c r="X745" i="21"/>
  <c r="W745" i="21"/>
  <c r="AQ745" i="21" s="1"/>
  <c r="V745" i="21"/>
  <c r="AO744" i="21"/>
  <c r="AL744" i="21"/>
  <c r="AD744" i="21"/>
  <c r="AE744" i="21" s="1"/>
  <c r="Y744" i="21"/>
  <c r="Z744" i="21" s="1" a="1"/>
  <c r="Z744" i="21" s="1"/>
  <c r="AI744" i="21" s="1"/>
  <c r="AJ744" i="21" s="1"/>
  <c r="X744" i="21"/>
  <c r="W744" i="21"/>
  <c r="AQ744" i="21" s="1"/>
  <c r="V744" i="21"/>
  <c r="AO743" i="21"/>
  <c r="AL743" i="21"/>
  <c r="AD743" i="21"/>
  <c r="AE743" i="21" s="1"/>
  <c r="Y743" i="21"/>
  <c r="Z743" i="21" s="1" a="1"/>
  <c r="Z743" i="21" s="1"/>
  <c r="AI743" i="21" s="1"/>
  <c r="AJ743" i="21" s="1"/>
  <c r="X743" i="21"/>
  <c r="W743" i="21"/>
  <c r="AQ743" i="21" s="1"/>
  <c r="V743" i="21"/>
  <c r="AO742" i="21"/>
  <c r="AL742" i="21"/>
  <c r="AD742" i="21"/>
  <c r="AE742" i="21" s="1"/>
  <c r="Y742" i="21"/>
  <c r="Z742" i="21" s="1" a="1"/>
  <c r="Z742" i="21" s="1"/>
  <c r="AI742" i="21" s="1"/>
  <c r="AJ742" i="21" s="1"/>
  <c r="X742" i="21"/>
  <c r="W742" i="21"/>
  <c r="AQ742" i="21" s="1"/>
  <c r="V742" i="21"/>
  <c r="AO741" i="21"/>
  <c r="AL741" i="21"/>
  <c r="AD741" i="21"/>
  <c r="AE741" i="21" s="1"/>
  <c r="Y741" i="21"/>
  <c r="Z741" i="21" s="1" a="1"/>
  <c r="Z741" i="21" s="1"/>
  <c r="AI741" i="21" s="1"/>
  <c r="AJ741" i="21" s="1"/>
  <c r="X741" i="21"/>
  <c r="W741" i="21"/>
  <c r="AQ741" i="21" s="1"/>
  <c r="V741" i="21"/>
  <c r="AO740" i="21"/>
  <c r="AL740" i="21"/>
  <c r="AD740" i="21"/>
  <c r="AE740" i="21" s="1"/>
  <c r="Y740" i="21"/>
  <c r="Z740" i="21" s="1" a="1"/>
  <c r="Z740" i="21" s="1"/>
  <c r="AI740" i="21" s="1"/>
  <c r="AJ740" i="21" s="1"/>
  <c r="X740" i="21"/>
  <c r="W740" i="21"/>
  <c r="AQ740" i="21" s="1"/>
  <c r="V740" i="21"/>
  <c r="AO739" i="21"/>
  <c r="AL739" i="21"/>
  <c r="AD739" i="21"/>
  <c r="AE739" i="21" s="1"/>
  <c r="Y739" i="21"/>
  <c r="Z739" i="21" s="1" a="1"/>
  <c r="Z739" i="21" s="1"/>
  <c r="AI739" i="21" s="1"/>
  <c r="AJ739" i="21" s="1"/>
  <c r="X739" i="21"/>
  <c r="W739" i="21"/>
  <c r="AQ739" i="21" s="1"/>
  <c r="V739" i="21"/>
  <c r="AO738" i="21"/>
  <c r="AL738" i="21"/>
  <c r="AD738" i="21"/>
  <c r="AE738" i="21" s="1"/>
  <c r="Y738" i="21"/>
  <c r="Z738" i="21" s="1" a="1"/>
  <c r="Z738" i="21" s="1"/>
  <c r="AI738" i="21" s="1"/>
  <c r="AJ738" i="21" s="1"/>
  <c r="X738" i="21"/>
  <c r="W738" i="21"/>
  <c r="AQ738" i="21" s="1"/>
  <c r="V738" i="21"/>
  <c r="AO737" i="21"/>
  <c r="AL737" i="21"/>
  <c r="AD737" i="21"/>
  <c r="AE737" i="21" s="1"/>
  <c r="Y737" i="21"/>
  <c r="Z737" i="21" s="1" a="1"/>
  <c r="Z737" i="21" s="1"/>
  <c r="AI737" i="21" s="1"/>
  <c r="AJ737" i="21" s="1"/>
  <c r="X737" i="21"/>
  <c r="W737" i="21"/>
  <c r="AQ737" i="21" s="1"/>
  <c r="V737" i="21"/>
  <c r="AO736" i="21"/>
  <c r="AL736" i="21"/>
  <c r="AD736" i="21"/>
  <c r="AE736" i="21" s="1"/>
  <c r="Y736" i="21"/>
  <c r="Z736" i="21" s="1" a="1"/>
  <c r="Z736" i="21" s="1"/>
  <c r="AI736" i="21" s="1"/>
  <c r="AJ736" i="21" s="1"/>
  <c r="X736" i="21"/>
  <c r="W736" i="21"/>
  <c r="AQ736" i="21" s="1"/>
  <c r="V736" i="21"/>
  <c r="AO735" i="21"/>
  <c r="AL735" i="21"/>
  <c r="AD735" i="21"/>
  <c r="AE735" i="21" s="1"/>
  <c r="Y735" i="21"/>
  <c r="Z735" i="21" s="1" a="1"/>
  <c r="Z735" i="21" s="1"/>
  <c r="AI735" i="21" s="1"/>
  <c r="AJ735" i="21" s="1"/>
  <c r="X735" i="21"/>
  <c r="W735" i="21"/>
  <c r="AQ735" i="21" s="1"/>
  <c r="V735" i="21"/>
  <c r="AO734" i="21"/>
  <c r="AL734" i="21"/>
  <c r="AD734" i="21"/>
  <c r="AE734" i="21" s="1"/>
  <c r="Y734" i="21"/>
  <c r="Z734" i="21" s="1" a="1"/>
  <c r="Z734" i="21" s="1"/>
  <c r="AI734" i="21" s="1"/>
  <c r="AJ734" i="21" s="1"/>
  <c r="X734" i="21"/>
  <c r="W734" i="21"/>
  <c r="AQ734" i="21" s="1"/>
  <c r="V734" i="21"/>
  <c r="AO733" i="21"/>
  <c r="AL733" i="21"/>
  <c r="AD733" i="21"/>
  <c r="AE733" i="21" s="1"/>
  <c r="Y733" i="21"/>
  <c r="Z733" i="21" s="1" a="1"/>
  <c r="Z733" i="21" s="1"/>
  <c r="AI733" i="21" s="1"/>
  <c r="AJ733" i="21" s="1"/>
  <c r="X733" i="21"/>
  <c r="W733" i="21"/>
  <c r="AQ733" i="21" s="1"/>
  <c r="V733" i="21"/>
  <c r="AO732" i="21"/>
  <c r="AL732" i="21"/>
  <c r="AD732" i="21"/>
  <c r="AE732" i="21" s="1"/>
  <c r="Y732" i="21"/>
  <c r="Z732" i="21" s="1" a="1"/>
  <c r="Z732" i="21" s="1"/>
  <c r="AI732" i="21" s="1"/>
  <c r="AJ732" i="21" s="1"/>
  <c r="X732" i="21"/>
  <c r="W732" i="21"/>
  <c r="AQ732" i="21" s="1"/>
  <c r="V732" i="21"/>
  <c r="AO731" i="21"/>
  <c r="AL731" i="21"/>
  <c r="AD731" i="21"/>
  <c r="AE731" i="21" s="1"/>
  <c r="Y731" i="21"/>
  <c r="Z731" i="21" s="1" a="1"/>
  <c r="Z731" i="21" s="1"/>
  <c r="AI731" i="21" s="1"/>
  <c r="AJ731" i="21" s="1"/>
  <c r="X731" i="21"/>
  <c r="W731" i="21"/>
  <c r="AQ731" i="21" s="1"/>
  <c r="V731" i="21"/>
  <c r="AO730" i="21"/>
  <c r="AL730" i="21"/>
  <c r="AD730" i="21"/>
  <c r="AE730" i="21" s="1"/>
  <c r="Y730" i="21"/>
  <c r="Z730" i="21" s="1" a="1"/>
  <c r="Z730" i="21" s="1"/>
  <c r="AI730" i="21" s="1"/>
  <c r="AJ730" i="21" s="1"/>
  <c r="X730" i="21"/>
  <c r="W730" i="21"/>
  <c r="AQ730" i="21" s="1"/>
  <c r="V730" i="21"/>
  <c r="AO729" i="21"/>
  <c r="AL729" i="21"/>
  <c r="AD729" i="21"/>
  <c r="AE729" i="21" s="1"/>
  <c r="Y729" i="21"/>
  <c r="Z729" i="21" s="1" a="1"/>
  <c r="Z729" i="21" s="1"/>
  <c r="AI729" i="21" s="1"/>
  <c r="AJ729" i="21" s="1"/>
  <c r="X729" i="21"/>
  <c r="W729" i="21"/>
  <c r="AQ729" i="21" s="1"/>
  <c r="V729" i="21"/>
  <c r="AO728" i="21"/>
  <c r="AL728" i="21"/>
  <c r="AD728" i="21"/>
  <c r="AE728" i="21" s="1"/>
  <c r="Y728" i="21"/>
  <c r="Z728" i="21" s="1" a="1"/>
  <c r="Z728" i="21" s="1"/>
  <c r="AI728" i="21" s="1"/>
  <c r="AJ728" i="21" s="1"/>
  <c r="X728" i="21"/>
  <c r="W728" i="21"/>
  <c r="AQ728" i="21" s="1"/>
  <c r="V728" i="21"/>
  <c r="AO727" i="21"/>
  <c r="AL727" i="21"/>
  <c r="AD727" i="21"/>
  <c r="AE727" i="21" s="1"/>
  <c r="Y727" i="21"/>
  <c r="Z727" i="21" s="1" a="1"/>
  <c r="Z727" i="21" s="1"/>
  <c r="AI727" i="21" s="1"/>
  <c r="AJ727" i="21" s="1"/>
  <c r="X727" i="21"/>
  <c r="W727" i="21"/>
  <c r="AQ727" i="21" s="1"/>
  <c r="V727" i="21"/>
  <c r="AO726" i="21"/>
  <c r="AL726" i="21"/>
  <c r="AD726" i="21"/>
  <c r="AE726" i="21" s="1"/>
  <c r="Y726" i="21"/>
  <c r="Z726" i="21" s="1" a="1"/>
  <c r="Z726" i="21" s="1"/>
  <c r="AI726" i="21" s="1"/>
  <c r="AJ726" i="21" s="1"/>
  <c r="X726" i="21"/>
  <c r="W726" i="21"/>
  <c r="AQ726" i="21" s="1"/>
  <c r="V726" i="21"/>
  <c r="AO725" i="21"/>
  <c r="AL725" i="21"/>
  <c r="AD725" i="21"/>
  <c r="AE725" i="21" s="1"/>
  <c r="Y725" i="21"/>
  <c r="Z725" i="21" s="1" a="1"/>
  <c r="Z725" i="21" s="1"/>
  <c r="AI725" i="21" s="1"/>
  <c r="AJ725" i="21" s="1"/>
  <c r="X725" i="21"/>
  <c r="W725" i="21"/>
  <c r="AQ725" i="21" s="1"/>
  <c r="V725" i="21"/>
  <c r="AO724" i="21"/>
  <c r="AL724" i="21"/>
  <c r="AD724" i="21"/>
  <c r="AE724" i="21" s="1"/>
  <c r="Y724" i="21"/>
  <c r="Z724" i="21" s="1" a="1"/>
  <c r="Z724" i="21" s="1"/>
  <c r="AI724" i="21" s="1"/>
  <c r="AJ724" i="21" s="1"/>
  <c r="X724" i="21"/>
  <c r="W724" i="21"/>
  <c r="AQ724" i="21" s="1"/>
  <c r="V724" i="21"/>
  <c r="AO723" i="21"/>
  <c r="AD723" i="21"/>
  <c r="AE723" i="21" s="1"/>
  <c r="Y723" i="21"/>
  <c r="Z723" i="21" s="1" a="1"/>
  <c r="Z723" i="21" s="1"/>
  <c r="AI723" i="21" s="1"/>
  <c r="AJ723" i="21" s="1"/>
  <c r="X723" i="21"/>
  <c r="W723" i="21"/>
  <c r="AQ723" i="21" s="1"/>
  <c r="V723" i="21"/>
  <c r="H723" i="21"/>
  <c r="I723" i="21" s="1"/>
  <c r="AM723" i="21" s="1"/>
  <c r="AO722" i="21"/>
  <c r="AD722" i="21"/>
  <c r="AE722" i="21" s="1"/>
  <c r="Y722" i="21"/>
  <c r="Z722" i="21" s="1" a="1"/>
  <c r="Z722" i="21" s="1"/>
  <c r="AI722" i="21" s="1"/>
  <c r="AJ722" i="21" s="1"/>
  <c r="X722" i="21"/>
  <c r="W722" i="21"/>
  <c r="AQ722" i="21" s="1"/>
  <c r="V722" i="21"/>
  <c r="H722" i="21"/>
  <c r="I722" i="21" s="1"/>
  <c r="AM722" i="21" s="1"/>
  <c r="AO721" i="21"/>
  <c r="AD721" i="21"/>
  <c r="AE721" i="21" s="1"/>
  <c r="Y721" i="21"/>
  <c r="Z721" i="21" s="1" a="1"/>
  <c r="Z721" i="21" s="1"/>
  <c r="AI721" i="21" s="1"/>
  <c r="AJ721" i="21" s="1"/>
  <c r="X721" i="21"/>
  <c r="W721" i="21"/>
  <c r="AQ721" i="21" s="1"/>
  <c r="V721" i="21"/>
  <c r="H721" i="21"/>
  <c r="I721" i="21" s="1"/>
  <c r="AM721" i="21" s="1"/>
  <c r="AO720" i="21"/>
  <c r="AD720" i="21"/>
  <c r="AE720" i="21" s="1"/>
  <c r="Y720" i="21"/>
  <c r="Z720" i="21" s="1" a="1"/>
  <c r="Z720" i="21" s="1"/>
  <c r="AI720" i="21" s="1"/>
  <c r="AJ720" i="21" s="1"/>
  <c r="X720" i="21"/>
  <c r="W720" i="21"/>
  <c r="AQ720" i="21" s="1"/>
  <c r="V720" i="21"/>
  <c r="H720" i="21"/>
  <c r="I720" i="21" s="1"/>
  <c r="AM720" i="21" s="1"/>
  <c r="AO719" i="21"/>
  <c r="AD719" i="21"/>
  <c r="AE719" i="21" s="1"/>
  <c r="Y719" i="21"/>
  <c r="Z719" i="21" s="1" a="1"/>
  <c r="Z719" i="21" s="1"/>
  <c r="AI719" i="21" s="1"/>
  <c r="AJ719" i="21" s="1"/>
  <c r="X719" i="21"/>
  <c r="W719" i="21"/>
  <c r="AQ719" i="21" s="1"/>
  <c r="V719" i="21"/>
  <c r="H719" i="21"/>
  <c r="I719" i="21" s="1"/>
  <c r="AM719" i="21" s="1"/>
  <c r="AO718" i="21"/>
  <c r="AL718" i="21"/>
  <c r="AD718" i="21"/>
  <c r="AE718" i="21" s="1"/>
  <c r="Y718" i="21"/>
  <c r="Z718" i="21" s="1" a="1"/>
  <c r="Z718" i="21" s="1"/>
  <c r="AI718" i="21" s="1"/>
  <c r="AJ718" i="21" s="1"/>
  <c r="X718" i="21"/>
  <c r="W718" i="21"/>
  <c r="AQ718" i="21" s="1"/>
  <c r="V718" i="21"/>
  <c r="AO717" i="21"/>
  <c r="AD717" i="21"/>
  <c r="AE717" i="21" s="1"/>
  <c r="Y717" i="21"/>
  <c r="Z717" i="21" s="1" a="1"/>
  <c r="Z717" i="21" s="1"/>
  <c r="AI717" i="21" s="1"/>
  <c r="AJ717" i="21" s="1"/>
  <c r="X717" i="21"/>
  <c r="W717" i="21"/>
  <c r="AQ717" i="21" s="1"/>
  <c r="V717" i="21"/>
  <c r="H717" i="21"/>
  <c r="I717" i="21" s="1"/>
  <c r="AM717" i="21" s="1"/>
  <c r="AO716" i="21"/>
  <c r="AD716" i="21"/>
  <c r="AE716" i="21" s="1"/>
  <c r="Y716" i="21"/>
  <c r="Z716" i="21" s="1" a="1"/>
  <c r="Z716" i="21" s="1"/>
  <c r="AI716" i="21" s="1"/>
  <c r="AJ716" i="21" s="1"/>
  <c r="X716" i="21"/>
  <c r="W716" i="21"/>
  <c r="AQ716" i="21" s="1"/>
  <c r="V716" i="21"/>
  <c r="H716" i="21"/>
  <c r="I716" i="21" s="1"/>
  <c r="AM716" i="21" s="1"/>
  <c r="AO715" i="21"/>
  <c r="AD715" i="21"/>
  <c r="AE715" i="21" s="1"/>
  <c r="Y715" i="21"/>
  <c r="Z715" i="21" s="1" a="1"/>
  <c r="Z715" i="21" s="1"/>
  <c r="AI715" i="21" s="1"/>
  <c r="AJ715" i="21" s="1"/>
  <c r="X715" i="21"/>
  <c r="W715" i="21"/>
  <c r="AQ715" i="21" s="1"/>
  <c r="V715" i="21"/>
  <c r="H715" i="21"/>
  <c r="I715" i="21" s="1"/>
  <c r="AM715" i="21" s="1"/>
  <c r="AO714" i="21"/>
  <c r="AD714" i="21"/>
  <c r="AE714" i="21" s="1"/>
  <c r="Y714" i="21"/>
  <c r="Z714" i="21" s="1" a="1"/>
  <c r="Z714" i="21" s="1"/>
  <c r="AI714" i="21" s="1"/>
  <c r="AJ714" i="21" s="1"/>
  <c r="X714" i="21"/>
  <c r="W714" i="21"/>
  <c r="AQ714" i="21" s="1"/>
  <c r="V714" i="21"/>
  <c r="H714" i="21"/>
  <c r="I714" i="21" s="1"/>
  <c r="AM714" i="21" s="1"/>
  <c r="AO713" i="21"/>
  <c r="AD713" i="21"/>
  <c r="AE713" i="21" s="1"/>
  <c r="Y713" i="21"/>
  <c r="Z713" i="21" s="1" a="1"/>
  <c r="Z713" i="21" s="1"/>
  <c r="AI713" i="21" s="1"/>
  <c r="AJ713" i="21" s="1"/>
  <c r="X713" i="21"/>
  <c r="W713" i="21"/>
  <c r="AQ713" i="21" s="1"/>
  <c r="V713" i="21"/>
  <c r="H713" i="21"/>
  <c r="I713" i="21" s="1"/>
  <c r="AM713" i="21" s="1"/>
  <c r="AO712" i="21"/>
  <c r="AD712" i="21"/>
  <c r="AE712" i="21" s="1"/>
  <c r="Y712" i="21"/>
  <c r="Z712" i="21" s="1" a="1"/>
  <c r="Z712" i="21" s="1"/>
  <c r="AI712" i="21" s="1"/>
  <c r="AJ712" i="21" s="1"/>
  <c r="X712" i="21"/>
  <c r="W712" i="21"/>
  <c r="AQ712" i="21" s="1"/>
  <c r="V712" i="21"/>
  <c r="H712" i="21"/>
  <c r="I712" i="21" s="1"/>
  <c r="AM712" i="21" s="1"/>
  <c r="AO711" i="21"/>
  <c r="AD711" i="21"/>
  <c r="AE711" i="21" s="1"/>
  <c r="Y711" i="21"/>
  <c r="Z711" i="21" s="1" a="1"/>
  <c r="Z711" i="21" s="1"/>
  <c r="AI711" i="21" s="1"/>
  <c r="AJ711" i="21" s="1"/>
  <c r="X711" i="21"/>
  <c r="W711" i="21"/>
  <c r="AQ711" i="21" s="1"/>
  <c r="V711" i="21"/>
  <c r="H711" i="21"/>
  <c r="I711" i="21" s="1"/>
  <c r="AM711" i="21" s="1"/>
  <c r="AO710" i="21"/>
  <c r="AD710" i="21"/>
  <c r="AE710" i="21" s="1"/>
  <c r="Y710" i="21"/>
  <c r="Z710" i="21" s="1" a="1"/>
  <c r="Z710" i="21" s="1"/>
  <c r="AI710" i="21" s="1"/>
  <c r="AJ710" i="21" s="1"/>
  <c r="X710" i="21"/>
  <c r="W710" i="21"/>
  <c r="AQ710" i="21" s="1"/>
  <c r="V710" i="21"/>
  <c r="H710" i="21"/>
  <c r="I710" i="21" s="1"/>
  <c r="AM710" i="21" s="1"/>
  <c r="AO709" i="21"/>
  <c r="AD709" i="21"/>
  <c r="AE709" i="21" s="1"/>
  <c r="Y709" i="21"/>
  <c r="Z709" i="21" s="1" a="1"/>
  <c r="Z709" i="21" s="1"/>
  <c r="AI709" i="21" s="1"/>
  <c r="AJ709" i="21" s="1"/>
  <c r="X709" i="21"/>
  <c r="W709" i="21"/>
  <c r="AQ709" i="21" s="1"/>
  <c r="V709" i="21"/>
  <c r="H709" i="21"/>
  <c r="I709" i="21" s="1"/>
  <c r="AM709" i="21" s="1"/>
  <c r="AO708" i="21"/>
  <c r="AL708" i="21"/>
  <c r="AD708" i="21"/>
  <c r="AE708" i="21" s="1"/>
  <c r="Y708" i="21"/>
  <c r="Z708" i="21" s="1" a="1"/>
  <c r="Z708" i="21" s="1"/>
  <c r="AI708" i="21" s="1"/>
  <c r="AJ708" i="21" s="1"/>
  <c r="X708" i="21"/>
  <c r="W708" i="21"/>
  <c r="AQ708" i="21" s="1"/>
  <c r="V708" i="21"/>
  <c r="AO707" i="21"/>
  <c r="AL707" i="21"/>
  <c r="AD707" i="21"/>
  <c r="AE707" i="21" s="1"/>
  <c r="Y707" i="21"/>
  <c r="Z707" i="21" s="1" a="1"/>
  <c r="Z707" i="21" s="1"/>
  <c r="AI707" i="21" s="1"/>
  <c r="AJ707" i="21" s="1"/>
  <c r="X707" i="21"/>
  <c r="W707" i="21"/>
  <c r="AQ707" i="21" s="1"/>
  <c r="V707" i="21"/>
  <c r="AO706" i="21"/>
  <c r="AL706" i="21"/>
  <c r="AD706" i="21"/>
  <c r="AE706" i="21" s="1"/>
  <c r="Y706" i="21"/>
  <c r="Z706" i="21" s="1" a="1"/>
  <c r="Z706" i="21" s="1"/>
  <c r="AI706" i="21" s="1"/>
  <c r="AJ706" i="21" s="1"/>
  <c r="X706" i="21"/>
  <c r="W706" i="21"/>
  <c r="AQ706" i="21" s="1"/>
  <c r="V706" i="21"/>
  <c r="AO705" i="21"/>
  <c r="AL705" i="21"/>
  <c r="AD705" i="21"/>
  <c r="AE705" i="21" s="1"/>
  <c r="Y705" i="21"/>
  <c r="Z705" i="21" s="1" a="1"/>
  <c r="Z705" i="21" s="1"/>
  <c r="AI705" i="21" s="1"/>
  <c r="AJ705" i="21" s="1"/>
  <c r="X705" i="21"/>
  <c r="W705" i="21"/>
  <c r="AQ705" i="21" s="1"/>
  <c r="V705" i="21"/>
  <c r="AO704" i="21"/>
  <c r="AL704" i="21"/>
  <c r="AD704" i="21"/>
  <c r="AE704" i="21" s="1"/>
  <c r="Y704" i="21"/>
  <c r="Z704" i="21" s="1" a="1"/>
  <c r="Z704" i="21" s="1"/>
  <c r="AI704" i="21" s="1"/>
  <c r="AJ704" i="21" s="1"/>
  <c r="X704" i="21"/>
  <c r="W704" i="21"/>
  <c r="AQ704" i="21" s="1"/>
  <c r="V704" i="21"/>
  <c r="AO703" i="21"/>
  <c r="AL703" i="21"/>
  <c r="AD703" i="21"/>
  <c r="AE703" i="21" s="1"/>
  <c r="Y703" i="21"/>
  <c r="Z703" i="21" s="1" a="1"/>
  <c r="Z703" i="21" s="1"/>
  <c r="AI703" i="21" s="1"/>
  <c r="AJ703" i="21" s="1"/>
  <c r="X703" i="21"/>
  <c r="W703" i="21"/>
  <c r="AQ703" i="21" s="1"/>
  <c r="V703" i="21"/>
  <c r="AO702" i="21"/>
  <c r="AL702" i="21"/>
  <c r="AD702" i="21"/>
  <c r="AE702" i="21" s="1"/>
  <c r="Y702" i="21"/>
  <c r="Z702" i="21" s="1" a="1"/>
  <c r="Z702" i="21" s="1"/>
  <c r="AI702" i="21" s="1"/>
  <c r="AJ702" i="21" s="1"/>
  <c r="X702" i="21"/>
  <c r="W702" i="21"/>
  <c r="AQ702" i="21" s="1"/>
  <c r="V702" i="21"/>
  <c r="AO701" i="21"/>
  <c r="AL701" i="21"/>
  <c r="AD701" i="21"/>
  <c r="AE701" i="21" s="1"/>
  <c r="Y701" i="21"/>
  <c r="Z701" i="21" s="1" a="1"/>
  <c r="Z701" i="21" s="1"/>
  <c r="AI701" i="21" s="1"/>
  <c r="AJ701" i="21" s="1"/>
  <c r="X701" i="21"/>
  <c r="W701" i="21"/>
  <c r="AQ701" i="21" s="1"/>
  <c r="V701" i="21"/>
  <c r="AO700" i="21"/>
  <c r="AL700" i="21"/>
  <c r="AD700" i="21"/>
  <c r="AE700" i="21" s="1"/>
  <c r="Y700" i="21"/>
  <c r="Z700" i="21" s="1" a="1"/>
  <c r="Z700" i="21" s="1"/>
  <c r="AI700" i="21" s="1"/>
  <c r="AJ700" i="21" s="1"/>
  <c r="X700" i="21"/>
  <c r="W700" i="21"/>
  <c r="AQ700" i="21" s="1"/>
  <c r="V700" i="21"/>
  <c r="AO699" i="21"/>
  <c r="AL699" i="21"/>
  <c r="AD699" i="21"/>
  <c r="AE699" i="21" s="1"/>
  <c r="Y699" i="21"/>
  <c r="Z699" i="21" s="1" a="1"/>
  <c r="Z699" i="21" s="1"/>
  <c r="AI699" i="21" s="1"/>
  <c r="AJ699" i="21" s="1"/>
  <c r="X699" i="21"/>
  <c r="W699" i="21"/>
  <c r="AQ699" i="21" s="1"/>
  <c r="V699" i="21"/>
  <c r="AO698" i="21"/>
  <c r="AL698" i="21"/>
  <c r="AD698" i="21"/>
  <c r="AE698" i="21" s="1"/>
  <c r="Y698" i="21"/>
  <c r="Z698" i="21" s="1" a="1"/>
  <c r="Z698" i="21" s="1"/>
  <c r="AI698" i="21" s="1"/>
  <c r="AJ698" i="21" s="1"/>
  <c r="X698" i="21"/>
  <c r="W698" i="21"/>
  <c r="AQ698" i="21" s="1"/>
  <c r="V698" i="21"/>
  <c r="H698" i="21"/>
  <c r="AO697" i="21"/>
  <c r="AL697" i="21"/>
  <c r="AD697" i="21"/>
  <c r="AE697" i="21" s="1"/>
  <c r="Y697" i="21"/>
  <c r="Z697" i="21" s="1" a="1"/>
  <c r="Z697" i="21" s="1"/>
  <c r="AI697" i="21" s="1"/>
  <c r="AJ697" i="21" s="1"/>
  <c r="X697" i="21"/>
  <c r="W697" i="21"/>
  <c r="AQ697" i="21" s="1"/>
  <c r="V697" i="21"/>
  <c r="AO696" i="21"/>
  <c r="AL696" i="21"/>
  <c r="AD696" i="21"/>
  <c r="AE696" i="21" s="1"/>
  <c r="Y696" i="21"/>
  <c r="Z696" i="21" s="1" a="1"/>
  <c r="Z696" i="21" s="1"/>
  <c r="AI696" i="21" s="1"/>
  <c r="AJ696" i="21" s="1"/>
  <c r="X696" i="21"/>
  <c r="W696" i="21"/>
  <c r="AQ696" i="21" s="1"/>
  <c r="V696" i="21"/>
  <c r="F696" i="21"/>
  <c r="AO695" i="21"/>
  <c r="AL695" i="21"/>
  <c r="AD695" i="21"/>
  <c r="AE695" i="21" s="1"/>
  <c r="Y695" i="21"/>
  <c r="Z695" i="21" s="1" a="1"/>
  <c r="Z695" i="21" s="1"/>
  <c r="AI695" i="21" s="1"/>
  <c r="AJ695" i="21" s="1"/>
  <c r="X695" i="21"/>
  <c r="W695" i="21"/>
  <c r="AQ695" i="21" s="1"/>
  <c r="V695" i="21"/>
  <c r="F695" i="21"/>
  <c r="AO694" i="21"/>
  <c r="AL694" i="21"/>
  <c r="AD694" i="21"/>
  <c r="AE694" i="21" s="1"/>
  <c r="Y694" i="21"/>
  <c r="Z694" i="21" s="1" a="1"/>
  <c r="Z694" i="21" s="1"/>
  <c r="AI694" i="21" s="1"/>
  <c r="AJ694" i="21" s="1"/>
  <c r="X694" i="21"/>
  <c r="W694" i="21"/>
  <c r="AQ694" i="21" s="1"/>
  <c r="V694" i="21"/>
  <c r="F694" i="21"/>
  <c r="AO693" i="21"/>
  <c r="AL693" i="21"/>
  <c r="AD693" i="21"/>
  <c r="AE693" i="21" s="1"/>
  <c r="Y693" i="21"/>
  <c r="Z693" i="21" s="1" a="1"/>
  <c r="Z693" i="21" s="1"/>
  <c r="AI693" i="21" s="1"/>
  <c r="AJ693" i="21" s="1"/>
  <c r="X693" i="21"/>
  <c r="W693" i="21"/>
  <c r="AQ693" i="21" s="1"/>
  <c r="V693" i="21"/>
  <c r="F693" i="21"/>
  <c r="AO692" i="21"/>
  <c r="AL692" i="21"/>
  <c r="AD692" i="21"/>
  <c r="AE692" i="21" s="1"/>
  <c r="Y692" i="21"/>
  <c r="Z692" i="21" s="1" a="1"/>
  <c r="Z692" i="21" s="1"/>
  <c r="AI692" i="21" s="1"/>
  <c r="AJ692" i="21" s="1"/>
  <c r="X692" i="21"/>
  <c r="W692" i="21"/>
  <c r="AQ692" i="21" s="1"/>
  <c r="V692" i="21"/>
  <c r="F692" i="21"/>
  <c r="AO691" i="21"/>
  <c r="AL691" i="21"/>
  <c r="AD691" i="21"/>
  <c r="AE691" i="21" s="1"/>
  <c r="Y691" i="21"/>
  <c r="Z691" i="21" s="1" a="1"/>
  <c r="Z691" i="21" s="1"/>
  <c r="AI691" i="21" s="1"/>
  <c r="AJ691" i="21" s="1"/>
  <c r="X691" i="21"/>
  <c r="W691" i="21"/>
  <c r="AQ691" i="21" s="1"/>
  <c r="V691" i="21"/>
  <c r="F691" i="21"/>
  <c r="AO690" i="21"/>
  <c r="AL690" i="21"/>
  <c r="AD690" i="21"/>
  <c r="AE690" i="21" s="1"/>
  <c r="Y690" i="21"/>
  <c r="Z690" i="21" s="1" a="1"/>
  <c r="Z690" i="21" s="1"/>
  <c r="AI690" i="21" s="1"/>
  <c r="AJ690" i="21" s="1"/>
  <c r="X690" i="21"/>
  <c r="W690" i="21"/>
  <c r="AQ690" i="21" s="1"/>
  <c r="V690" i="21"/>
  <c r="F690" i="21"/>
  <c r="AO689" i="21"/>
  <c r="AL689" i="21"/>
  <c r="AD689" i="21"/>
  <c r="AE689" i="21" s="1"/>
  <c r="Y689" i="21"/>
  <c r="Z689" i="21" s="1" a="1"/>
  <c r="Z689" i="21" s="1"/>
  <c r="AI689" i="21" s="1"/>
  <c r="AJ689" i="21" s="1"/>
  <c r="X689" i="21"/>
  <c r="W689" i="21"/>
  <c r="AQ689" i="21" s="1"/>
  <c r="V689" i="21"/>
  <c r="AO688" i="21"/>
  <c r="AL688" i="21"/>
  <c r="AD688" i="21"/>
  <c r="AE688" i="21" s="1"/>
  <c r="Y688" i="21"/>
  <c r="Z688" i="21" s="1" a="1"/>
  <c r="Z688" i="21" s="1"/>
  <c r="AI688" i="21" s="1"/>
  <c r="AJ688" i="21" s="1"/>
  <c r="X688" i="21"/>
  <c r="W688" i="21"/>
  <c r="AQ688" i="21" s="1"/>
  <c r="V688" i="21"/>
  <c r="F688" i="21"/>
  <c r="AO687" i="21"/>
  <c r="AL687" i="21"/>
  <c r="AD687" i="21"/>
  <c r="AE687" i="21" s="1"/>
  <c r="Y687" i="21"/>
  <c r="Z687" i="21" s="1" a="1"/>
  <c r="Z687" i="21" s="1"/>
  <c r="AI687" i="21" s="1"/>
  <c r="AJ687" i="21" s="1"/>
  <c r="X687" i="21"/>
  <c r="W687" i="21"/>
  <c r="AQ687" i="21" s="1"/>
  <c r="V687" i="21"/>
  <c r="F687" i="21"/>
  <c r="AO686" i="21"/>
  <c r="AL686" i="21"/>
  <c r="AD686" i="21"/>
  <c r="AE686" i="21" s="1"/>
  <c r="Y686" i="21"/>
  <c r="Z686" i="21" s="1" a="1"/>
  <c r="Z686" i="21" s="1"/>
  <c r="AI686" i="21" s="1"/>
  <c r="AJ686" i="21" s="1"/>
  <c r="X686" i="21"/>
  <c r="W686" i="21"/>
  <c r="AQ686" i="21" s="1"/>
  <c r="V686" i="21"/>
  <c r="F686" i="21"/>
  <c r="AO685" i="21"/>
  <c r="AL685" i="21"/>
  <c r="AD685" i="21"/>
  <c r="AE685" i="21" s="1"/>
  <c r="Y685" i="21"/>
  <c r="Z685" i="21" s="1" a="1"/>
  <c r="Z685" i="21" s="1"/>
  <c r="AI685" i="21" s="1"/>
  <c r="AJ685" i="21" s="1"/>
  <c r="X685" i="21"/>
  <c r="W685" i="21"/>
  <c r="AQ685" i="21" s="1"/>
  <c r="V685" i="21"/>
  <c r="F685" i="21"/>
  <c r="AO684" i="21"/>
  <c r="AL684" i="21"/>
  <c r="AD684" i="21"/>
  <c r="AE684" i="21" s="1"/>
  <c r="Y684" i="21"/>
  <c r="Z684" i="21" s="1" a="1"/>
  <c r="Z684" i="21" s="1"/>
  <c r="AI684" i="21" s="1"/>
  <c r="AJ684" i="21" s="1"/>
  <c r="X684" i="21"/>
  <c r="W684" i="21"/>
  <c r="AQ684" i="21" s="1"/>
  <c r="V684" i="21"/>
  <c r="F684" i="21"/>
  <c r="AO683" i="21"/>
  <c r="AL683" i="21"/>
  <c r="AD683" i="21"/>
  <c r="AE683" i="21" s="1"/>
  <c r="Y683" i="21"/>
  <c r="Z683" i="21" s="1" a="1"/>
  <c r="Z683" i="21" s="1"/>
  <c r="AI683" i="21" s="1"/>
  <c r="AJ683" i="21" s="1"/>
  <c r="X683" i="21"/>
  <c r="W683" i="21"/>
  <c r="AQ683" i="21" s="1"/>
  <c r="V683" i="21"/>
  <c r="F683" i="21"/>
  <c r="AO682" i="21"/>
  <c r="AL682" i="21"/>
  <c r="AD682" i="21"/>
  <c r="AE682" i="21" s="1"/>
  <c r="Y682" i="21"/>
  <c r="Z682" i="21" s="1" a="1"/>
  <c r="Z682" i="21" s="1"/>
  <c r="AI682" i="21" s="1"/>
  <c r="AJ682" i="21" s="1"/>
  <c r="X682" i="21"/>
  <c r="W682" i="21"/>
  <c r="AQ682" i="21" s="1"/>
  <c r="V682" i="21"/>
  <c r="F682" i="21"/>
  <c r="AO681" i="21"/>
  <c r="AL681" i="21"/>
  <c r="AD681" i="21"/>
  <c r="AE681" i="21" s="1"/>
  <c r="Y681" i="21"/>
  <c r="Z681" i="21" s="1" a="1"/>
  <c r="Z681" i="21" s="1"/>
  <c r="AI681" i="21" s="1"/>
  <c r="AJ681" i="21" s="1"/>
  <c r="X681" i="21"/>
  <c r="W681" i="21"/>
  <c r="AQ681" i="21" s="1"/>
  <c r="V681" i="21"/>
  <c r="F681" i="21"/>
  <c r="AO680" i="21"/>
  <c r="AL680" i="21"/>
  <c r="AD680" i="21"/>
  <c r="AE680" i="21" s="1"/>
  <c r="Y680" i="21"/>
  <c r="Z680" i="21" s="1" a="1"/>
  <c r="Z680" i="21" s="1"/>
  <c r="AI680" i="21" s="1"/>
  <c r="AJ680" i="21" s="1"/>
  <c r="X680" i="21"/>
  <c r="AO679" i="21"/>
  <c r="AL679" i="21"/>
  <c r="AD679" i="21"/>
  <c r="AE679" i="21" s="1"/>
  <c r="Y679" i="21"/>
  <c r="Z679" i="21" s="1" a="1"/>
  <c r="Z679" i="21" s="1"/>
  <c r="AI679" i="21" s="1"/>
  <c r="AJ679" i="21" s="1"/>
  <c r="X679" i="21"/>
  <c r="AO678" i="21"/>
  <c r="AL678" i="21"/>
  <c r="AD678" i="21"/>
  <c r="AE678" i="21" s="1"/>
  <c r="Y678" i="21"/>
  <c r="Z678" i="21" s="1" a="1"/>
  <c r="Z678" i="21" s="1"/>
  <c r="AI678" i="21" s="1"/>
  <c r="AJ678" i="21" s="1"/>
  <c r="X678" i="21"/>
  <c r="AO677" i="21"/>
  <c r="AL677" i="21"/>
  <c r="AD677" i="21"/>
  <c r="AE677" i="21" s="1"/>
  <c r="Y677" i="21"/>
  <c r="Z677" i="21" s="1" a="1"/>
  <c r="Z677" i="21" s="1"/>
  <c r="AI677" i="21" s="1"/>
  <c r="AJ677" i="21" s="1"/>
  <c r="X677" i="21"/>
  <c r="AO676" i="21"/>
  <c r="AL676" i="21"/>
  <c r="AD676" i="21"/>
  <c r="AE676" i="21" s="1"/>
  <c r="Y676" i="21"/>
  <c r="Z676" i="21" s="1" a="1"/>
  <c r="Z676" i="21" s="1"/>
  <c r="AI676" i="21" s="1"/>
  <c r="AJ676" i="21" s="1"/>
  <c r="X676" i="21"/>
  <c r="AL675" i="21"/>
  <c r="AD675" i="21"/>
  <c r="AE675" i="21" s="1"/>
  <c r="AL674" i="21"/>
  <c r="AD674" i="21"/>
  <c r="AE674" i="21" s="1"/>
  <c r="AL673" i="21"/>
  <c r="AD673" i="21"/>
  <c r="AE673" i="21" s="1"/>
  <c r="AL672" i="21"/>
  <c r="AD672" i="21"/>
  <c r="AE672" i="21" s="1"/>
  <c r="AL671" i="21"/>
  <c r="AD671" i="21"/>
  <c r="AE671" i="21" s="1"/>
  <c r="AL670" i="21"/>
  <c r="AD670" i="21"/>
  <c r="AE670" i="21" s="1"/>
  <c r="AO669" i="21"/>
  <c r="AL669" i="21"/>
  <c r="AD669" i="21"/>
  <c r="AE669" i="21" s="1"/>
  <c r="Y669" i="21"/>
  <c r="Z669" i="21" s="1" a="1"/>
  <c r="Z669" i="21" s="1"/>
  <c r="AI669" i="21" s="1"/>
  <c r="AJ669" i="21" s="1"/>
  <c r="X669" i="21"/>
  <c r="A669" i="21"/>
  <c r="AO668" i="21"/>
  <c r="AL668" i="21"/>
  <c r="AD668" i="21"/>
  <c r="AE668" i="21" s="1"/>
  <c r="Y668" i="21"/>
  <c r="Z668" i="21" s="1" a="1"/>
  <c r="Z668" i="21" s="1"/>
  <c r="AI668" i="21" s="1"/>
  <c r="AJ668" i="21" s="1"/>
  <c r="X668" i="21"/>
  <c r="AO667" i="21"/>
  <c r="AL667" i="21"/>
  <c r="AD667" i="21"/>
  <c r="AE667" i="21" s="1"/>
  <c r="Y667" i="21"/>
  <c r="Z667" i="21" s="1" a="1"/>
  <c r="Z667" i="21" s="1"/>
  <c r="AI667" i="21" s="1"/>
  <c r="AJ667" i="21" s="1"/>
  <c r="X667" i="21"/>
  <c r="AL666" i="21"/>
  <c r="AD666" i="21"/>
  <c r="AE666" i="21" s="1"/>
  <c r="AL665" i="21"/>
  <c r="AD665" i="21"/>
  <c r="AE665" i="21" s="1"/>
  <c r="AL664" i="21"/>
  <c r="AD664" i="21"/>
  <c r="AE664" i="21" s="1"/>
  <c r="AL663" i="21"/>
  <c r="AD663" i="21"/>
  <c r="AE663" i="21" s="1"/>
  <c r="AL662" i="21"/>
  <c r="AD662" i="21"/>
  <c r="AE662" i="21" s="1"/>
  <c r="AL661" i="21"/>
  <c r="AD661" i="21"/>
  <c r="AE661" i="21" s="1"/>
  <c r="AL660" i="21"/>
  <c r="AD660" i="21"/>
  <c r="AE660" i="21" s="1"/>
  <c r="AL659" i="21"/>
  <c r="AD659" i="21"/>
  <c r="AE659" i="21" s="1"/>
  <c r="AL658" i="21"/>
  <c r="AD658" i="21"/>
  <c r="AE658" i="21" s="1"/>
  <c r="AL657" i="21"/>
  <c r="AD657" i="21"/>
  <c r="AE657" i="21" s="1"/>
  <c r="AL656" i="21"/>
  <c r="AD656" i="21"/>
  <c r="AE656" i="21" s="1"/>
  <c r="AL655" i="21"/>
  <c r="AD655" i="21"/>
  <c r="AE655" i="21" s="1"/>
  <c r="AL654" i="21"/>
  <c r="AD654" i="21"/>
  <c r="AE654" i="21" s="1"/>
  <c r="AL653" i="21"/>
  <c r="AD653" i="21"/>
  <c r="AE653" i="21" s="1"/>
  <c r="AO652" i="21"/>
  <c r="AL652" i="21"/>
  <c r="AD652" i="21"/>
  <c r="AE652" i="21" s="1"/>
  <c r="Y652" i="21"/>
  <c r="Z652" i="21" s="1" a="1"/>
  <c r="Z652" i="21" s="1"/>
  <c r="AI652" i="21" s="1"/>
  <c r="AJ652" i="21" s="1"/>
  <c r="X652" i="21"/>
  <c r="A652" i="21"/>
  <c r="AO651" i="21"/>
  <c r="AL651" i="21"/>
  <c r="AD651" i="21"/>
  <c r="AE651" i="21" s="1"/>
  <c r="Y651" i="21"/>
  <c r="Z651" i="21" s="1" a="1"/>
  <c r="Z651" i="21" s="1"/>
  <c r="AI651" i="21" s="1"/>
  <c r="AJ651" i="21" s="1"/>
  <c r="X651" i="21"/>
  <c r="AO650" i="21"/>
  <c r="AL650" i="21"/>
  <c r="AD650" i="21"/>
  <c r="AE650" i="21" s="1"/>
  <c r="Y650" i="21"/>
  <c r="Z650" i="21" s="1" a="1"/>
  <c r="Z650" i="21" s="1"/>
  <c r="AI650" i="21" s="1"/>
  <c r="AJ650" i="21" s="1"/>
  <c r="X650" i="21"/>
  <c r="AL649" i="21"/>
  <c r="AD649" i="21"/>
  <c r="AE649" i="21" s="1"/>
  <c r="AL648" i="21"/>
  <c r="AD648" i="21"/>
  <c r="AE648" i="21" s="1"/>
  <c r="AL647" i="21"/>
  <c r="AD647" i="21"/>
  <c r="AE647" i="21" s="1"/>
  <c r="AL646" i="21"/>
  <c r="AD646" i="21"/>
  <c r="AE646" i="21" s="1"/>
  <c r="AL645" i="21"/>
  <c r="AD645" i="21"/>
  <c r="AE645" i="21" s="1"/>
  <c r="AL644" i="21"/>
  <c r="AD644" i="21"/>
  <c r="AE644" i="21" s="1"/>
  <c r="AL643" i="21"/>
  <c r="AD643" i="21"/>
  <c r="AE643" i="21" s="1"/>
  <c r="AL642" i="21"/>
  <c r="AD642" i="21"/>
  <c r="AE642" i="21" s="1"/>
  <c r="AL641" i="21"/>
  <c r="AD641" i="21"/>
  <c r="AE641" i="21" s="1"/>
  <c r="AL640" i="21"/>
  <c r="AD640" i="21"/>
  <c r="AE640" i="21" s="1"/>
  <c r="AL639" i="21"/>
  <c r="AD639" i="21"/>
  <c r="AE639" i="21" s="1"/>
  <c r="AL638" i="21"/>
  <c r="AD638" i="21"/>
  <c r="AE638" i="21" s="1"/>
  <c r="AL637" i="21"/>
  <c r="AD637" i="21"/>
  <c r="AE637" i="21" s="1"/>
  <c r="AL636" i="21"/>
  <c r="AD636" i="21"/>
  <c r="AE636" i="21" s="1"/>
  <c r="AL635" i="21"/>
  <c r="AD635" i="21"/>
  <c r="AE635" i="21" s="1"/>
  <c r="AL634" i="21"/>
  <c r="AD634" i="21"/>
  <c r="AE634" i="21" s="1"/>
  <c r="AL633" i="21"/>
  <c r="AD633" i="21"/>
  <c r="AE633" i="21" s="1"/>
  <c r="AL632" i="21"/>
  <c r="AD632" i="21"/>
  <c r="AE632" i="21" s="1"/>
  <c r="AO631" i="21"/>
  <c r="AL631" i="21"/>
  <c r="AD631" i="21"/>
  <c r="AE631" i="21" s="1"/>
  <c r="Z631" i="21" a="1"/>
  <c r="Z631" i="21" s="1"/>
  <c r="AI631" i="21" s="1"/>
  <c r="AJ631" i="21" s="1"/>
  <c r="X631" i="21"/>
  <c r="A631" i="21"/>
  <c r="AO630" i="21"/>
  <c r="AL630" i="21"/>
  <c r="AD630" i="21"/>
  <c r="AE630" i="21" s="1"/>
  <c r="Z630" i="21" a="1"/>
  <c r="Z630" i="21" s="1"/>
  <c r="AI630" i="21" s="1"/>
  <c r="AJ630" i="21" s="1"/>
  <c r="X630" i="21"/>
  <c r="AL629" i="21"/>
  <c r="AD629" i="21"/>
  <c r="AE629" i="21" s="1"/>
  <c r="Z629" i="21" a="1"/>
  <c r="Z629" i="21" s="1"/>
  <c r="AI629" i="21" s="1"/>
  <c r="AJ629" i="21" s="1"/>
  <c r="X629" i="21"/>
  <c r="AL628" i="21"/>
  <c r="AD628" i="21"/>
  <c r="AE628" i="21" s="1"/>
  <c r="AO627" i="21"/>
  <c r="AL627" i="21"/>
  <c r="AD627" i="21"/>
  <c r="AE627" i="21" s="1"/>
  <c r="Y627" i="21"/>
  <c r="Z627" i="21" s="1" a="1"/>
  <c r="Z627" i="21" s="1"/>
  <c r="AI627" i="21" s="1"/>
  <c r="AJ627" i="21" s="1"/>
  <c r="X627" i="21"/>
  <c r="W627" i="21"/>
  <c r="AQ627" i="21" s="1"/>
  <c r="V627" i="21"/>
  <c r="AO626" i="21"/>
  <c r="AL626" i="21"/>
  <c r="AD626" i="21"/>
  <c r="AE626" i="21" s="1"/>
  <c r="Z626" i="21" a="1"/>
  <c r="Z626" i="21" s="1"/>
  <c r="AI626" i="21" s="1"/>
  <c r="AJ626" i="21" s="1"/>
  <c r="X626" i="21"/>
  <c r="AO625" i="21"/>
  <c r="AL625" i="21"/>
  <c r="AD625" i="21"/>
  <c r="AE625" i="21" s="1"/>
  <c r="Y625" i="21"/>
  <c r="Z625" i="21" s="1" a="1"/>
  <c r="Z625" i="21" s="1"/>
  <c r="AI625" i="21" s="1"/>
  <c r="AJ625" i="21" s="1"/>
  <c r="X625" i="21"/>
  <c r="W625" i="21"/>
  <c r="AQ625" i="21" s="1"/>
  <c r="V625" i="21"/>
  <c r="AO624" i="21"/>
  <c r="AL624" i="21"/>
  <c r="AD624" i="21"/>
  <c r="AE624" i="21" s="1"/>
  <c r="Y624" i="21"/>
  <c r="Z624" i="21" s="1" a="1"/>
  <c r="Z624" i="21" s="1"/>
  <c r="AI624" i="21" s="1"/>
  <c r="AJ624" i="21" s="1"/>
  <c r="X624" i="21"/>
  <c r="W624" i="21"/>
  <c r="AQ624" i="21" s="1"/>
  <c r="V624" i="21"/>
  <c r="AO623" i="21"/>
  <c r="AL623" i="21"/>
  <c r="AD623" i="21"/>
  <c r="AE623" i="21" s="1"/>
  <c r="Y623" i="21"/>
  <c r="Z623" i="21" s="1" a="1"/>
  <c r="Z623" i="21" s="1"/>
  <c r="AI623" i="21" s="1"/>
  <c r="AJ623" i="21" s="1"/>
  <c r="X623" i="21"/>
  <c r="W623" i="21"/>
  <c r="AQ623" i="21" s="1"/>
  <c r="V623" i="21"/>
  <c r="AO622" i="21"/>
  <c r="AL622" i="21"/>
  <c r="AD622" i="21"/>
  <c r="AE622" i="21" s="1"/>
  <c r="Y622" i="21"/>
  <c r="Z622" i="21" s="1" a="1"/>
  <c r="Z622" i="21" s="1"/>
  <c r="AI622" i="21" s="1"/>
  <c r="AJ622" i="21" s="1"/>
  <c r="X622" i="21"/>
  <c r="W622" i="21"/>
  <c r="AQ622" i="21" s="1"/>
  <c r="V622" i="21"/>
  <c r="AO621" i="21"/>
  <c r="AL621" i="21"/>
  <c r="AD621" i="21"/>
  <c r="AE621" i="21" s="1"/>
  <c r="Y621" i="21"/>
  <c r="Z621" i="21" s="1" a="1"/>
  <c r="Z621" i="21" s="1"/>
  <c r="AI621" i="21" s="1"/>
  <c r="AJ621" i="21" s="1"/>
  <c r="X621" i="21"/>
  <c r="W621" i="21"/>
  <c r="AQ621" i="21" s="1"/>
  <c r="V621" i="21"/>
  <c r="A621" i="21"/>
  <c r="AO620" i="21"/>
  <c r="AL620" i="21"/>
  <c r="AD620" i="21"/>
  <c r="AE620" i="21" s="1"/>
  <c r="Y620" i="21"/>
  <c r="Z620" i="21" s="1" a="1"/>
  <c r="Z620" i="21" s="1"/>
  <c r="AI620" i="21" s="1"/>
  <c r="AJ620" i="21" s="1"/>
  <c r="X620" i="21"/>
  <c r="W620" i="21"/>
  <c r="AQ620" i="21" s="1"/>
  <c r="V620" i="21"/>
  <c r="AO619" i="21"/>
  <c r="AL619" i="21"/>
  <c r="AA619" i="21"/>
  <c r="AD619" i="21" s="1"/>
  <c r="AE619" i="21" s="1"/>
  <c r="Y619" i="21"/>
  <c r="Z619" i="21" s="1" a="1"/>
  <c r="Z619" i="21" s="1"/>
  <c r="AI619" i="21" s="1"/>
  <c r="AJ619" i="21" s="1"/>
  <c r="X619" i="21"/>
  <c r="W619" i="21"/>
  <c r="AQ619" i="21" s="1"/>
  <c r="V619" i="21"/>
  <c r="AO618" i="21"/>
  <c r="AL618" i="21"/>
  <c r="AA618" i="21"/>
  <c r="AD618" i="21" s="1"/>
  <c r="AE618" i="21" s="1"/>
  <c r="Y618" i="21"/>
  <c r="Z618" i="21" s="1" a="1"/>
  <c r="Z618" i="21" s="1"/>
  <c r="AI618" i="21" s="1"/>
  <c r="AJ618" i="21" s="1"/>
  <c r="X618" i="21"/>
  <c r="W618" i="21"/>
  <c r="AQ618" i="21" s="1"/>
  <c r="V618" i="21"/>
  <c r="AO617" i="21"/>
  <c r="AL617" i="21"/>
  <c r="AA617" i="21"/>
  <c r="AD617" i="21" s="1"/>
  <c r="AE617" i="21" s="1"/>
  <c r="Y617" i="21"/>
  <c r="Z617" i="21" s="1" a="1"/>
  <c r="Z617" i="21" s="1"/>
  <c r="AI617" i="21" s="1"/>
  <c r="AJ617" i="21" s="1"/>
  <c r="X617" i="21"/>
  <c r="W617" i="21"/>
  <c r="AQ617" i="21" s="1"/>
  <c r="V617" i="21"/>
  <c r="AO616" i="21"/>
  <c r="AL616" i="21"/>
  <c r="AA616" i="21"/>
  <c r="AD616" i="21" s="1"/>
  <c r="AE616" i="21" s="1"/>
  <c r="Y616" i="21"/>
  <c r="Z616" i="21" s="1" a="1"/>
  <c r="Z616" i="21" s="1"/>
  <c r="AI616" i="21" s="1"/>
  <c r="AJ616" i="21" s="1"/>
  <c r="X616" i="21"/>
  <c r="W616" i="21"/>
  <c r="AQ616" i="21" s="1"/>
  <c r="V616" i="21"/>
  <c r="AO615" i="21"/>
  <c r="AL615" i="21"/>
  <c r="AA615" i="21"/>
  <c r="AD615" i="21" s="1"/>
  <c r="AE615" i="21" s="1"/>
  <c r="Y615" i="21"/>
  <c r="Z615" i="21" s="1" a="1"/>
  <c r="Z615" i="21" s="1"/>
  <c r="AI615" i="21" s="1"/>
  <c r="AJ615" i="21" s="1"/>
  <c r="X615" i="21"/>
  <c r="W615" i="21"/>
  <c r="AQ615" i="21" s="1"/>
  <c r="V615" i="21"/>
  <c r="AO614" i="21"/>
  <c r="AL614" i="21"/>
  <c r="AD614" i="21"/>
  <c r="AE614" i="21" s="1"/>
  <c r="Y614" i="21"/>
  <c r="Z614" i="21" s="1" a="1"/>
  <c r="Z614" i="21" s="1"/>
  <c r="AI614" i="21" s="1"/>
  <c r="AJ614" i="21" s="1"/>
  <c r="X614" i="21"/>
  <c r="W614" i="21"/>
  <c r="AQ614" i="21" s="1"/>
  <c r="V614" i="21"/>
  <c r="AO613" i="21"/>
  <c r="AL613" i="21"/>
  <c r="AD613" i="21"/>
  <c r="AE613" i="21" s="1"/>
  <c r="Z613" i="21" a="1"/>
  <c r="Z613" i="21" s="1"/>
  <c r="AI613" i="21" s="1"/>
  <c r="AJ613" i="21" s="1"/>
  <c r="X613" i="21"/>
  <c r="AO612" i="21"/>
  <c r="AL612" i="21"/>
  <c r="AD612" i="21"/>
  <c r="AE612" i="21" s="1"/>
  <c r="Z612" i="21" a="1"/>
  <c r="Z612" i="21" s="1"/>
  <c r="AI612" i="21" s="1"/>
  <c r="AJ612" i="21" s="1"/>
  <c r="X612" i="21"/>
  <c r="AO611" i="21"/>
  <c r="AL611" i="21"/>
  <c r="AD611" i="21"/>
  <c r="AE611" i="21" s="1"/>
  <c r="Y611" i="21"/>
  <c r="Z611" i="21" s="1" a="1"/>
  <c r="Z611" i="21" s="1"/>
  <c r="AI611" i="21" s="1"/>
  <c r="AJ611" i="21" s="1"/>
  <c r="X611" i="21"/>
  <c r="W611" i="21"/>
  <c r="AQ611" i="21" s="1"/>
  <c r="V611" i="21"/>
  <c r="AO610" i="21"/>
  <c r="AL610" i="21"/>
  <c r="AD610" i="21"/>
  <c r="AE610" i="21" s="1"/>
  <c r="Y610" i="21"/>
  <c r="Z610" i="21" s="1" a="1"/>
  <c r="Z610" i="21" s="1"/>
  <c r="AI610" i="21" s="1"/>
  <c r="AJ610" i="21" s="1"/>
  <c r="X610" i="21"/>
  <c r="W610" i="21"/>
  <c r="AQ610" i="21" s="1"/>
  <c r="V610" i="21"/>
  <c r="AO609" i="21"/>
  <c r="AL609" i="21"/>
  <c r="AD609" i="21"/>
  <c r="AE609" i="21" s="1"/>
  <c r="Y609" i="21"/>
  <c r="Z609" i="21" s="1" a="1"/>
  <c r="Z609" i="21" s="1"/>
  <c r="AI609" i="21" s="1"/>
  <c r="AJ609" i="21" s="1"/>
  <c r="X609" i="21"/>
  <c r="W609" i="21"/>
  <c r="AQ609" i="21" s="1"/>
  <c r="V609" i="21"/>
  <c r="AO608" i="21"/>
  <c r="AL608" i="21"/>
  <c r="AA608" i="21"/>
  <c r="AD608" i="21" s="1"/>
  <c r="AE608" i="21" s="1"/>
  <c r="Y608" i="21"/>
  <c r="Z608" i="21" s="1" a="1"/>
  <c r="Z608" i="21" s="1"/>
  <c r="AI608" i="21" s="1"/>
  <c r="AJ608" i="21" s="1"/>
  <c r="X608" i="21"/>
  <c r="W608" i="21"/>
  <c r="AQ608" i="21" s="1"/>
  <c r="V608" i="21"/>
  <c r="AO607" i="21"/>
  <c r="AL607" i="21"/>
  <c r="AA607" i="21"/>
  <c r="AD607" i="21" s="1"/>
  <c r="AE607" i="21" s="1"/>
  <c r="Y607" i="21"/>
  <c r="Z607" i="21" s="1" a="1"/>
  <c r="Z607" i="21" s="1"/>
  <c r="AI607" i="21" s="1"/>
  <c r="AJ607" i="21" s="1"/>
  <c r="X607" i="21"/>
  <c r="W607" i="21"/>
  <c r="AQ607" i="21" s="1"/>
  <c r="V607" i="21"/>
  <c r="AO606" i="21"/>
  <c r="AL606" i="21"/>
  <c r="AD606" i="21"/>
  <c r="AE606" i="21" s="1"/>
  <c r="Y606" i="21"/>
  <c r="Z606" i="21" s="1" a="1"/>
  <c r="Z606" i="21" s="1"/>
  <c r="AI606" i="21" s="1"/>
  <c r="AJ606" i="21" s="1"/>
  <c r="X606" i="21"/>
  <c r="W606" i="21"/>
  <c r="AQ606" i="21" s="1"/>
  <c r="V606" i="21"/>
  <c r="AO605" i="21"/>
  <c r="AL605" i="21"/>
  <c r="AD605" i="21"/>
  <c r="AE605" i="21" s="1"/>
  <c r="Y605" i="21"/>
  <c r="Z605" i="21" s="1" a="1"/>
  <c r="Z605" i="21" s="1"/>
  <c r="AI605" i="21" s="1"/>
  <c r="AJ605" i="21" s="1"/>
  <c r="X605" i="21"/>
  <c r="W605" i="21"/>
  <c r="AQ605" i="21" s="1"/>
  <c r="V605" i="21"/>
  <c r="AO604" i="21"/>
  <c r="AL604" i="21"/>
  <c r="AD604" i="21"/>
  <c r="AE604" i="21" s="1"/>
  <c r="Y604" i="21"/>
  <c r="Z604" i="21" s="1" a="1"/>
  <c r="Z604" i="21" s="1"/>
  <c r="AI604" i="21" s="1"/>
  <c r="AJ604" i="21" s="1"/>
  <c r="X604" i="21"/>
  <c r="W604" i="21"/>
  <c r="AQ604" i="21" s="1"/>
  <c r="V604" i="21"/>
  <c r="AO603" i="21"/>
  <c r="AL603" i="21"/>
  <c r="AD603" i="21"/>
  <c r="AE603" i="21" s="1"/>
  <c r="Y603" i="21"/>
  <c r="Z603" i="21" s="1" a="1"/>
  <c r="Z603" i="21" s="1"/>
  <c r="AI603" i="21" s="1"/>
  <c r="AJ603" i="21" s="1"/>
  <c r="X603" i="21"/>
  <c r="W603" i="21"/>
  <c r="AQ603" i="21" s="1"/>
  <c r="V603" i="21"/>
  <c r="AO602" i="21"/>
  <c r="AL602" i="21"/>
  <c r="AD602" i="21"/>
  <c r="AE602" i="21" s="1"/>
  <c r="Y602" i="21"/>
  <c r="Z602" i="21" s="1" a="1"/>
  <c r="Z602" i="21" s="1"/>
  <c r="AI602" i="21" s="1"/>
  <c r="AJ602" i="21" s="1"/>
  <c r="X602" i="21"/>
  <c r="W602" i="21"/>
  <c r="AQ602" i="21" s="1"/>
  <c r="V602" i="21"/>
  <c r="AO601" i="21"/>
  <c r="AL601" i="21"/>
  <c r="AD601" i="21"/>
  <c r="AE601" i="21" s="1"/>
  <c r="Y601" i="21"/>
  <c r="Z601" i="21" s="1" a="1"/>
  <c r="Z601" i="21" s="1"/>
  <c r="AI601" i="21" s="1"/>
  <c r="AJ601" i="21" s="1"/>
  <c r="X601" i="21"/>
  <c r="W601" i="21"/>
  <c r="AQ601" i="21" s="1"/>
  <c r="V601" i="21"/>
  <c r="AO600" i="21"/>
  <c r="AL600" i="21"/>
  <c r="AD600" i="21"/>
  <c r="AE600" i="21" s="1"/>
  <c r="Y600" i="21"/>
  <c r="Z600" i="21" s="1" a="1"/>
  <c r="Z600" i="21" s="1"/>
  <c r="AI600" i="21" s="1"/>
  <c r="AJ600" i="21" s="1"/>
  <c r="X600" i="21"/>
  <c r="W600" i="21"/>
  <c r="AQ600" i="21" s="1"/>
  <c r="V600" i="21"/>
  <c r="AO599" i="21"/>
  <c r="AL599" i="21"/>
  <c r="AD599" i="21"/>
  <c r="AE599" i="21" s="1"/>
  <c r="Y599" i="21"/>
  <c r="Z599" i="21" s="1" a="1"/>
  <c r="Z599" i="21" s="1"/>
  <c r="AI599" i="21" s="1"/>
  <c r="AJ599" i="21" s="1"/>
  <c r="X599" i="21"/>
  <c r="W599" i="21"/>
  <c r="AQ599" i="21" s="1"/>
  <c r="V599" i="21"/>
  <c r="AO598" i="21"/>
  <c r="AL598" i="21"/>
  <c r="AD598" i="21"/>
  <c r="AE598" i="21" s="1"/>
  <c r="Y598" i="21"/>
  <c r="Z598" i="21" s="1" a="1"/>
  <c r="Z598" i="21" s="1"/>
  <c r="AI598" i="21" s="1"/>
  <c r="AJ598" i="21" s="1"/>
  <c r="X598" i="21"/>
  <c r="W598" i="21"/>
  <c r="AQ598" i="21" s="1"/>
  <c r="V598" i="21"/>
  <c r="AO597" i="21"/>
  <c r="AL597" i="21"/>
  <c r="AD597" i="21"/>
  <c r="AE597" i="21" s="1"/>
  <c r="Y597" i="21"/>
  <c r="Z597" i="21" s="1" a="1"/>
  <c r="Z597" i="21" s="1"/>
  <c r="AI597" i="21" s="1"/>
  <c r="AJ597" i="21" s="1"/>
  <c r="X597" i="21"/>
  <c r="W597" i="21"/>
  <c r="AQ597" i="21" s="1"/>
  <c r="V597" i="21"/>
  <c r="AO596" i="21"/>
  <c r="AL596" i="21"/>
  <c r="AD596" i="21"/>
  <c r="AE596" i="21" s="1"/>
  <c r="Y596" i="21"/>
  <c r="Z596" i="21" s="1" a="1"/>
  <c r="Z596" i="21" s="1"/>
  <c r="AI596" i="21" s="1"/>
  <c r="AJ596" i="21" s="1"/>
  <c r="X596" i="21"/>
  <c r="W596" i="21"/>
  <c r="AQ596" i="21" s="1"/>
  <c r="V596" i="21"/>
  <c r="AO595" i="21"/>
  <c r="AL595" i="21"/>
  <c r="AD595" i="21"/>
  <c r="AE595" i="21" s="1"/>
  <c r="Y595" i="21"/>
  <c r="Z595" i="21" s="1" a="1"/>
  <c r="Z595" i="21" s="1"/>
  <c r="AI595" i="21" s="1"/>
  <c r="AJ595" i="21" s="1"/>
  <c r="X595" i="21"/>
  <c r="W595" i="21"/>
  <c r="AQ595" i="21" s="1"/>
  <c r="V595" i="21"/>
  <c r="AO594" i="21"/>
  <c r="AL594" i="21"/>
  <c r="AD594" i="21"/>
  <c r="AE594" i="21" s="1"/>
  <c r="Y594" i="21"/>
  <c r="Z594" i="21" s="1" a="1"/>
  <c r="Z594" i="21" s="1"/>
  <c r="AI594" i="21" s="1"/>
  <c r="AJ594" i="21" s="1"/>
  <c r="X594" i="21"/>
  <c r="W594" i="21"/>
  <c r="AQ594" i="21" s="1"/>
  <c r="V594" i="21"/>
  <c r="AO593" i="21"/>
  <c r="AL593" i="21"/>
  <c r="AD593" i="21"/>
  <c r="AE593" i="21" s="1"/>
  <c r="Y593" i="21"/>
  <c r="Z593" i="21" s="1" a="1"/>
  <c r="Z593" i="21" s="1"/>
  <c r="AI593" i="21" s="1"/>
  <c r="AJ593" i="21" s="1"/>
  <c r="X593" i="21"/>
  <c r="W593" i="21"/>
  <c r="AQ593" i="21" s="1"/>
  <c r="V593" i="21"/>
  <c r="AO592" i="21"/>
  <c r="AL592" i="21"/>
  <c r="AD592" i="21"/>
  <c r="AE592" i="21" s="1"/>
  <c r="Y592" i="21"/>
  <c r="Z592" i="21" s="1" a="1"/>
  <c r="Z592" i="21" s="1"/>
  <c r="AI592" i="21" s="1"/>
  <c r="AJ592" i="21" s="1"/>
  <c r="X592" i="21"/>
  <c r="W592" i="21"/>
  <c r="AQ592" i="21" s="1"/>
  <c r="V592" i="21"/>
  <c r="AO591" i="21"/>
  <c r="AL591" i="21"/>
  <c r="AD591" i="21"/>
  <c r="AE591" i="21" s="1"/>
  <c r="Y591" i="21"/>
  <c r="Z591" i="21" s="1" a="1"/>
  <c r="Z591" i="21" s="1"/>
  <c r="AI591" i="21" s="1"/>
  <c r="AJ591" i="21" s="1"/>
  <c r="X591" i="21"/>
  <c r="W591" i="21"/>
  <c r="AQ591" i="21" s="1"/>
  <c r="V591" i="21"/>
  <c r="AO590" i="21"/>
  <c r="AL590" i="21"/>
  <c r="AA590" i="21"/>
  <c r="AD590" i="21" s="1"/>
  <c r="AE590" i="21" s="1"/>
  <c r="Y590" i="21"/>
  <c r="Z590" i="21" s="1" a="1"/>
  <c r="Z590" i="21" s="1"/>
  <c r="AI590" i="21" s="1"/>
  <c r="AJ590" i="21" s="1"/>
  <c r="X590" i="21"/>
  <c r="W590" i="21"/>
  <c r="AQ590" i="21" s="1"/>
  <c r="V590" i="21"/>
  <c r="AO589" i="21"/>
  <c r="AL589" i="21"/>
  <c r="AD589" i="21"/>
  <c r="AE589" i="21" s="1"/>
  <c r="Y589" i="21"/>
  <c r="Z589" i="21" s="1" a="1"/>
  <c r="Z589" i="21" s="1"/>
  <c r="AI589" i="21" s="1"/>
  <c r="AJ589" i="21" s="1"/>
  <c r="X589" i="21"/>
  <c r="W589" i="21"/>
  <c r="AQ589" i="21" s="1"/>
  <c r="V589" i="21"/>
  <c r="AO588" i="21"/>
  <c r="AL588" i="21"/>
  <c r="AD588" i="21"/>
  <c r="AE588" i="21" s="1"/>
  <c r="Y588" i="21"/>
  <c r="Z588" i="21" s="1" a="1"/>
  <c r="Z588" i="21" s="1"/>
  <c r="AI588" i="21" s="1"/>
  <c r="AJ588" i="21" s="1"/>
  <c r="X588" i="21"/>
  <c r="W588" i="21"/>
  <c r="AQ588" i="21" s="1"/>
  <c r="V588" i="21"/>
  <c r="AO587" i="21"/>
  <c r="AL587" i="21"/>
  <c r="AA587" i="21"/>
  <c r="AD587" i="21" s="1"/>
  <c r="AE587" i="21" s="1"/>
  <c r="Y587" i="21"/>
  <c r="Z587" i="21" s="1" a="1"/>
  <c r="Z587" i="21" s="1"/>
  <c r="AI587" i="21" s="1"/>
  <c r="AJ587" i="21" s="1"/>
  <c r="X587" i="21"/>
  <c r="W587" i="21"/>
  <c r="AQ587" i="21" s="1"/>
  <c r="V587" i="21"/>
  <c r="AO586" i="21"/>
  <c r="AL586" i="21"/>
  <c r="AD586" i="21"/>
  <c r="AE586" i="21" s="1"/>
  <c r="Y586" i="21"/>
  <c r="Z586" i="21" s="1" a="1"/>
  <c r="Z586" i="21" s="1"/>
  <c r="AI586" i="21" s="1"/>
  <c r="AJ586" i="21" s="1"/>
  <c r="X586" i="21"/>
  <c r="W586" i="21"/>
  <c r="AQ586" i="21" s="1"/>
  <c r="V586" i="21"/>
  <c r="M586" i="21"/>
  <c r="AO585" i="21"/>
  <c r="AL585" i="21"/>
  <c r="AD585" i="21"/>
  <c r="AE585" i="21" s="1"/>
  <c r="Y585" i="21"/>
  <c r="Z585" i="21" s="1" a="1"/>
  <c r="Z585" i="21" s="1"/>
  <c r="AI585" i="21" s="1"/>
  <c r="AJ585" i="21" s="1"/>
  <c r="X585" i="21"/>
  <c r="W585" i="21"/>
  <c r="AQ585" i="21" s="1"/>
  <c r="V585" i="21"/>
  <c r="M585" i="21"/>
  <c r="AO584" i="21"/>
  <c r="AL584" i="21"/>
  <c r="AD584" i="21"/>
  <c r="AE584" i="21" s="1"/>
  <c r="Y584" i="21"/>
  <c r="Z584" i="21" s="1" a="1"/>
  <c r="Z584" i="21" s="1"/>
  <c r="AI584" i="21" s="1"/>
  <c r="AJ584" i="21" s="1"/>
  <c r="X584" i="21"/>
  <c r="W584" i="21"/>
  <c r="AQ584" i="21" s="1"/>
  <c r="V584" i="21"/>
  <c r="M584" i="21"/>
  <c r="AO583" i="21"/>
  <c r="AL583" i="21"/>
  <c r="AC583" i="21"/>
  <c r="Y583" i="21"/>
  <c r="M583" i="21"/>
  <c r="AA583" i="21" s="1"/>
  <c r="AD583" i="21" s="1"/>
  <c r="AO582" i="21"/>
  <c r="AL582" i="21"/>
  <c r="Y582" i="21"/>
  <c r="S582" i="21"/>
  <c r="M582" i="21"/>
  <c r="AO581" i="21"/>
  <c r="AL581" i="21"/>
  <c r="Y581" i="21"/>
  <c r="S581" i="21"/>
  <c r="M581" i="21"/>
  <c r="AO580" i="21"/>
  <c r="AL580" i="21"/>
  <c r="Y580" i="21"/>
  <c r="S580" i="21"/>
  <c r="M580" i="21"/>
  <c r="AO579" i="21"/>
  <c r="AL579" i="21"/>
  <c r="Y579" i="21"/>
  <c r="S579" i="21"/>
  <c r="M579" i="21"/>
  <c r="AO578" i="21"/>
  <c r="AL578" i="21"/>
  <c r="Y578" i="21"/>
  <c r="S578" i="21"/>
  <c r="M578" i="21"/>
  <c r="AO577" i="21"/>
  <c r="AL577" i="21"/>
  <c r="Y577" i="21"/>
  <c r="S577" i="21"/>
  <c r="M577" i="21"/>
  <c r="AO576" i="21"/>
  <c r="AL576" i="21"/>
  <c r="Y576" i="21"/>
  <c r="S576" i="21"/>
  <c r="M576" i="21"/>
  <c r="AO575" i="21"/>
  <c r="AL575" i="21"/>
  <c r="Y575" i="21"/>
  <c r="S575" i="21"/>
  <c r="M575" i="21"/>
  <c r="AO574" i="21"/>
  <c r="AL574" i="21"/>
  <c r="Y574" i="21"/>
  <c r="S574" i="21"/>
  <c r="M574" i="21"/>
  <c r="AO573" i="21"/>
  <c r="AL573" i="21"/>
  <c r="Y573" i="21"/>
  <c r="S573" i="21"/>
  <c r="M573" i="21"/>
  <c r="AO572" i="21"/>
  <c r="AL572" i="21"/>
  <c r="Y572" i="21"/>
  <c r="S572" i="21"/>
  <c r="M572" i="21"/>
  <c r="AO571" i="21"/>
  <c r="AL571" i="21"/>
  <c r="Y571" i="21"/>
  <c r="S571" i="21"/>
  <c r="M571" i="21"/>
  <c r="AO570" i="21"/>
  <c r="AL570" i="21"/>
  <c r="Y570" i="21"/>
  <c r="S570" i="21"/>
  <c r="M570" i="21"/>
  <c r="AO569" i="21"/>
  <c r="AL569" i="21"/>
  <c r="Y569" i="21"/>
  <c r="S569" i="21"/>
  <c r="M569" i="21"/>
  <c r="AO568" i="21"/>
  <c r="AL568" i="21"/>
  <c r="Y568" i="21"/>
  <c r="S568" i="21"/>
  <c r="M568" i="21"/>
  <c r="AO567" i="21"/>
  <c r="AL567" i="21"/>
  <c r="Y567" i="21"/>
  <c r="S567" i="21"/>
  <c r="M567" i="21"/>
  <c r="AO566" i="21"/>
  <c r="AL566" i="21"/>
  <c r="Y566" i="21"/>
  <c r="S566" i="21"/>
  <c r="M566" i="21"/>
  <c r="AO565" i="21"/>
  <c r="AL565" i="21"/>
  <c r="Y565" i="21"/>
  <c r="S565" i="21"/>
  <c r="M565" i="21"/>
  <c r="AO564" i="21"/>
  <c r="AL564" i="21"/>
  <c r="Y564" i="21"/>
  <c r="S564" i="21"/>
  <c r="M564" i="21"/>
  <c r="AO563" i="21"/>
  <c r="AL563" i="21"/>
  <c r="Y563" i="21"/>
  <c r="S563" i="21"/>
  <c r="M563" i="21"/>
  <c r="AO562" i="21"/>
  <c r="AL562" i="21"/>
  <c r="Y562" i="21"/>
  <c r="S562" i="21"/>
  <c r="M562" i="21"/>
  <c r="AO561" i="21"/>
  <c r="AL561" i="21"/>
  <c r="Y561" i="21"/>
  <c r="S561" i="21"/>
  <c r="M561" i="21"/>
  <c r="AO560" i="21"/>
  <c r="AL560" i="21"/>
  <c r="Y560" i="21"/>
  <c r="S560" i="21"/>
  <c r="M560" i="21"/>
  <c r="AO559" i="21"/>
  <c r="AL559" i="21"/>
  <c r="Y559" i="21"/>
  <c r="S559" i="21"/>
  <c r="M559" i="21"/>
  <c r="AO558" i="21"/>
  <c r="AL558" i="21"/>
  <c r="Y558" i="21"/>
  <c r="S558" i="21"/>
  <c r="M558" i="21"/>
  <c r="AO557" i="21"/>
  <c r="AL557" i="21"/>
  <c r="Y557" i="21"/>
  <c r="S557" i="21"/>
  <c r="M557" i="21"/>
  <c r="AO556" i="21"/>
  <c r="AL556" i="21"/>
  <c r="Y556" i="21"/>
  <c r="S556" i="21"/>
  <c r="M556" i="21"/>
  <c r="AO555" i="21"/>
  <c r="AL555" i="21"/>
  <c r="Y555" i="21"/>
  <c r="S555" i="21"/>
  <c r="M555" i="21"/>
  <c r="AO554" i="21"/>
  <c r="AL554" i="21"/>
  <c r="Y554" i="21"/>
  <c r="S554" i="21"/>
  <c r="M554" i="21"/>
  <c r="AO553" i="21"/>
  <c r="AL553" i="21"/>
  <c r="Y553" i="21"/>
  <c r="S553" i="21"/>
  <c r="M553" i="21"/>
  <c r="AO552" i="21"/>
  <c r="AL552" i="21"/>
  <c r="Y552" i="21"/>
  <c r="S552" i="21"/>
  <c r="M552" i="21"/>
  <c r="AO551" i="21"/>
  <c r="AL551" i="21"/>
  <c r="Y551" i="21"/>
  <c r="S551" i="21"/>
  <c r="M551" i="21"/>
  <c r="AO550" i="21"/>
  <c r="AL550" i="21"/>
  <c r="Y550" i="21"/>
  <c r="S550" i="21"/>
  <c r="M550" i="21"/>
  <c r="AO549" i="21"/>
  <c r="AL549" i="21"/>
  <c r="Y549" i="21"/>
  <c r="S549" i="21"/>
  <c r="M549" i="21"/>
  <c r="AO548" i="21"/>
  <c r="AL548" i="21"/>
  <c r="Y548" i="21"/>
  <c r="S548" i="21"/>
  <c r="M548" i="21"/>
  <c r="AO547" i="21"/>
  <c r="AL547" i="21"/>
  <c r="Y547" i="21"/>
  <c r="S547" i="21"/>
  <c r="M547" i="21"/>
  <c r="AO546" i="21"/>
  <c r="AL546" i="21"/>
  <c r="Y546" i="21"/>
  <c r="S546" i="21"/>
  <c r="M546" i="21"/>
  <c r="AO545" i="21"/>
  <c r="AL545" i="21"/>
  <c r="Y545" i="21"/>
  <c r="S545" i="21"/>
  <c r="M545" i="21"/>
  <c r="AO544" i="21"/>
  <c r="AL544" i="21"/>
  <c r="Y544" i="21"/>
  <c r="S544" i="21"/>
  <c r="M544" i="21"/>
  <c r="AO543" i="21"/>
  <c r="AL543" i="21"/>
  <c r="Y543" i="21"/>
  <c r="S543" i="21"/>
  <c r="M543" i="21"/>
  <c r="AO542" i="21"/>
  <c r="AL542" i="21"/>
  <c r="Y542" i="21"/>
  <c r="S542" i="21"/>
  <c r="M542" i="21"/>
  <c r="AO541" i="21"/>
  <c r="AL541" i="21"/>
  <c r="Y541" i="21"/>
  <c r="S541" i="21"/>
  <c r="M541" i="21"/>
  <c r="AO540" i="21"/>
  <c r="AL540" i="21"/>
  <c r="Y540" i="21"/>
  <c r="S540" i="21"/>
  <c r="M540" i="21"/>
  <c r="AO539" i="21"/>
  <c r="AL539" i="21"/>
  <c r="Y539" i="21"/>
  <c r="S539" i="21"/>
  <c r="M539" i="21"/>
  <c r="AO538" i="21"/>
  <c r="AL538" i="21"/>
  <c r="Y538" i="21"/>
  <c r="S538" i="21"/>
  <c r="M538" i="21"/>
  <c r="AO537" i="21"/>
  <c r="AL537" i="21"/>
  <c r="Y537" i="21"/>
  <c r="S537" i="21"/>
  <c r="M537" i="21"/>
  <c r="AO536" i="21"/>
  <c r="AL536" i="21"/>
  <c r="Y536" i="21"/>
  <c r="S536" i="21"/>
  <c r="M536" i="21"/>
  <c r="AO535" i="21"/>
  <c r="AL535" i="21"/>
  <c r="Y535" i="21"/>
  <c r="S535" i="21"/>
  <c r="M535" i="21"/>
  <c r="AO534" i="21"/>
  <c r="AL534" i="21"/>
  <c r="Y534" i="21"/>
  <c r="S534" i="21"/>
  <c r="M534" i="21"/>
  <c r="AO533" i="21"/>
  <c r="AL533" i="21"/>
  <c r="Y533" i="21"/>
  <c r="S533" i="21"/>
  <c r="M533" i="21"/>
  <c r="AO532" i="21"/>
  <c r="AL532" i="21"/>
  <c r="Y532" i="21"/>
  <c r="S532" i="21"/>
  <c r="M532" i="21"/>
  <c r="AO531" i="21"/>
  <c r="AL531" i="21"/>
  <c r="Y531" i="21"/>
  <c r="S531" i="21"/>
  <c r="M531" i="21"/>
  <c r="AO530" i="21"/>
  <c r="AL530" i="21"/>
  <c r="Y530" i="21"/>
  <c r="S530" i="21"/>
  <c r="M530" i="21"/>
  <c r="AO529" i="21"/>
  <c r="AL529" i="21"/>
  <c r="Y529" i="21"/>
  <c r="S529" i="21"/>
  <c r="M529" i="21"/>
  <c r="AO528" i="21"/>
  <c r="AL528" i="21"/>
  <c r="Y528" i="21"/>
  <c r="S528" i="21"/>
  <c r="M528" i="21"/>
  <c r="AO527" i="21"/>
  <c r="AL527" i="21"/>
  <c r="Y527" i="21"/>
  <c r="S527" i="21"/>
  <c r="M527" i="21"/>
  <c r="AO526" i="21"/>
  <c r="AL526" i="21"/>
  <c r="Y526" i="21"/>
  <c r="S526" i="21"/>
  <c r="M526" i="21"/>
  <c r="AO525" i="21"/>
  <c r="AL525" i="21"/>
  <c r="AD525" i="21"/>
  <c r="AE525" i="21" s="1"/>
  <c r="Y525" i="21"/>
  <c r="Z525" i="21" s="1" a="1"/>
  <c r="Z525" i="21" s="1"/>
  <c r="AI525" i="21" s="1"/>
  <c r="AJ525" i="21" s="1"/>
  <c r="X525" i="21"/>
  <c r="W525" i="21"/>
  <c r="AQ525" i="21" s="1"/>
  <c r="V525" i="21"/>
  <c r="M525" i="21"/>
  <c r="AO524" i="21"/>
  <c r="AL524" i="21"/>
  <c r="AD524" i="21"/>
  <c r="AE524" i="21" s="1"/>
  <c r="Y524" i="21"/>
  <c r="Z524" i="21" s="1" a="1"/>
  <c r="Z524" i="21" s="1"/>
  <c r="AI524" i="21" s="1"/>
  <c r="AJ524" i="21" s="1"/>
  <c r="X524" i="21"/>
  <c r="W524" i="21"/>
  <c r="AQ524" i="21" s="1"/>
  <c r="V524" i="21"/>
  <c r="M524" i="21"/>
  <c r="AO523" i="21"/>
  <c r="AL523" i="21"/>
  <c r="AD523" i="21"/>
  <c r="AE523" i="21" s="1"/>
  <c r="Y523" i="21"/>
  <c r="Z523" i="21" s="1" a="1"/>
  <c r="Z523" i="21" s="1"/>
  <c r="AI523" i="21" s="1"/>
  <c r="AJ523" i="21" s="1"/>
  <c r="X523" i="21"/>
  <c r="W523" i="21"/>
  <c r="AQ523" i="21" s="1"/>
  <c r="V523" i="21"/>
  <c r="M523" i="21"/>
  <c r="AO522" i="21"/>
  <c r="AL522" i="21"/>
  <c r="AD522" i="21"/>
  <c r="AE522" i="21" s="1"/>
  <c r="Y522" i="21"/>
  <c r="Z522" i="21" s="1" a="1"/>
  <c r="Z522" i="21" s="1"/>
  <c r="AI522" i="21" s="1"/>
  <c r="AJ522" i="21" s="1"/>
  <c r="X522" i="21"/>
  <c r="W522" i="21"/>
  <c r="AQ522" i="21" s="1"/>
  <c r="V522" i="21"/>
  <c r="M522" i="21"/>
  <c r="AO521" i="21"/>
  <c r="AL521" i="21"/>
  <c r="AD521" i="21"/>
  <c r="AE521" i="21" s="1"/>
  <c r="Y521" i="21"/>
  <c r="Z521" i="21" s="1" a="1"/>
  <c r="Z521" i="21" s="1"/>
  <c r="AI521" i="21" s="1"/>
  <c r="AJ521" i="21" s="1"/>
  <c r="X521" i="21"/>
  <c r="W521" i="21"/>
  <c r="AQ521" i="21" s="1"/>
  <c r="V521" i="21"/>
  <c r="M521" i="21"/>
  <c r="AO520" i="21"/>
  <c r="AL520" i="21"/>
  <c r="AD520" i="21"/>
  <c r="AE520" i="21" s="1"/>
  <c r="Y520" i="21"/>
  <c r="Z520" i="21" s="1" a="1"/>
  <c r="Z520" i="21" s="1"/>
  <c r="AI520" i="21" s="1"/>
  <c r="AJ520" i="21" s="1"/>
  <c r="X520" i="21"/>
  <c r="W520" i="21"/>
  <c r="AQ520" i="21" s="1"/>
  <c r="V520" i="21"/>
  <c r="M520" i="21"/>
  <c r="AO519" i="21"/>
  <c r="AL519" i="21"/>
  <c r="AD519" i="21"/>
  <c r="AE519" i="21" s="1"/>
  <c r="Y519" i="21"/>
  <c r="Z519" i="21" s="1" a="1"/>
  <c r="Z519" i="21" s="1"/>
  <c r="AI519" i="21" s="1"/>
  <c r="AJ519" i="21" s="1"/>
  <c r="X519" i="21"/>
  <c r="W519" i="21"/>
  <c r="AQ519" i="21" s="1"/>
  <c r="V519" i="21"/>
  <c r="M519" i="21"/>
  <c r="AO518" i="21"/>
  <c r="AL518" i="21"/>
  <c r="AD518" i="21"/>
  <c r="AE518" i="21" s="1"/>
  <c r="Y518" i="21"/>
  <c r="Z518" i="21" s="1" a="1"/>
  <c r="Z518" i="21" s="1"/>
  <c r="AI518" i="21" s="1"/>
  <c r="AJ518" i="21" s="1"/>
  <c r="X518" i="21"/>
  <c r="W518" i="21"/>
  <c r="AQ518" i="21" s="1"/>
  <c r="V518" i="21"/>
  <c r="M518" i="21"/>
  <c r="AO517" i="21"/>
  <c r="AL517" i="21"/>
  <c r="AD517" i="21"/>
  <c r="AE517" i="21" s="1"/>
  <c r="Y517" i="21"/>
  <c r="Z517" i="21" s="1" a="1"/>
  <c r="Z517" i="21" s="1"/>
  <c r="AI517" i="21" s="1"/>
  <c r="AJ517" i="21" s="1"/>
  <c r="X517" i="21"/>
  <c r="W517" i="21"/>
  <c r="AQ517" i="21" s="1"/>
  <c r="V517" i="21"/>
  <c r="M517" i="21"/>
  <c r="AO516" i="21"/>
  <c r="AL516" i="21"/>
  <c r="AD516" i="21"/>
  <c r="AE516" i="21" s="1"/>
  <c r="Y516" i="21"/>
  <c r="Z516" i="21" s="1" a="1"/>
  <c r="Z516" i="21" s="1"/>
  <c r="AI516" i="21" s="1"/>
  <c r="AJ516" i="21" s="1"/>
  <c r="X516" i="21"/>
  <c r="W516" i="21"/>
  <c r="AQ516" i="21" s="1"/>
  <c r="V516" i="21"/>
  <c r="M516" i="21"/>
  <c r="AO515" i="21"/>
  <c r="AL515" i="21"/>
  <c r="AD515" i="21"/>
  <c r="AE515" i="21" s="1"/>
  <c r="Y515" i="21"/>
  <c r="Z515" i="21" s="1" a="1"/>
  <c r="Z515" i="21" s="1"/>
  <c r="AI515" i="21" s="1"/>
  <c r="AJ515" i="21" s="1"/>
  <c r="X515" i="21"/>
  <c r="W515" i="21"/>
  <c r="AQ515" i="21" s="1"/>
  <c r="V515" i="21"/>
  <c r="M515" i="21"/>
  <c r="AO514" i="21"/>
  <c r="AL514" i="21"/>
  <c r="AD514" i="21"/>
  <c r="AE514" i="21" s="1"/>
  <c r="Y514" i="21"/>
  <c r="Z514" i="21" s="1" a="1"/>
  <c r="Z514" i="21" s="1"/>
  <c r="AI514" i="21" s="1"/>
  <c r="AJ514" i="21" s="1"/>
  <c r="X514" i="21"/>
  <c r="W514" i="21"/>
  <c r="AQ514" i="21" s="1"/>
  <c r="V514" i="21"/>
  <c r="M514" i="21"/>
  <c r="AO513" i="21"/>
  <c r="AL513" i="21"/>
  <c r="Y513" i="21"/>
  <c r="M513" i="21"/>
  <c r="AA513" i="21" s="1"/>
  <c r="AO512" i="21"/>
  <c r="AL512" i="21"/>
  <c r="AD512" i="21"/>
  <c r="AE512" i="21" s="1"/>
  <c r="Y512" i="21"/>
  <c r="Z512" i="21" s="1" a="1"/>
  <c r="Z512" i="21" s="1"/>
  <c r="AI512" i="21" s="1"/>
  <c r="AJ512" i="21" s="1"/>
  <c r="X512" i="21"/>
  <c r="W512" i="21"/>
  <c r="AQ512" i="21" s="1"/>
  <c r="V512" i="21"/>
  <c r="AO511" i="21"/>
  <c r="AL511" i="21"/>
  <c r="AD511" i="21"/>
  <c r="AE511" i="21" s="1"/>
  <c r="Y511" i="21"/>
  <c r="Z511" i="21" s="1" a="1"/>
  <c r="Z511" i="21" s="1"/>
  <c r="AI511" i="21" s="1"/>
  <c r="AJ511" i="21" s="1"/>
  <c r="X511" i="21"/>
  <c r="W511" i="21"/>
  <c r="AQ511" i="21" s="1"/>
  <c r="V511" i="21"/>
  <c r="AO510" i="21"/>
  <c r="AL510" i="21"/>
  <c r="AD510" i="21"/>
  <c r="AE510" i="21" s="1"/>
  <c r="Y510" i="21"/>
  <c r="Z510" i="21" s="1" a="1"/>
  <c r="Z510" i="21" s="1"/>
  <c r="AI510" i="21" s="1"/>
  <c r="AJ510" i="21" s="1"/>
  <c r="X510" i="21"/>
  <c r="W510" i="21"/>
  <c r="AQ510" i="21" s="1"/>
  <c r="V510" i="21"/>
  <c r="AO509" i="21"/>
  <c r="AL509" i="21"/>
  <c r="AD509" i="21"/>
  <c r="AE509" i="21" s="1"/>
  <c r="Y509" i="21"/>
  <c r="Z509" i="21" s="1" a="1"/>
  <c r="Z509" i="21" s="1"/>
  <c r="AI509" i="21" s="1"/>
  <c r="AJ509" i="21" s="1"/>
  <c r="X509" i="21"/>
  <c r="W509" i="21"/>
  <c r="AQ509" i="21" s="1"/>
  <c r="V509" i="21"/>
  <c r="AO508" i="21"/>
  <c r="AL508" i="21"/>
  <c r="AD508" i="21"/>
  <c r="AE508" i="21" s="1"/>
  <c r="Y508" i="21"/>
  <c r="Z508" i="21" s="1" a="1"/>
  <c r="Z508" i="21" s="1"/>
  <c r="AI508" i="21" s="1"/>
  <c r="AJ508" i="21" s="1"/>
  <c r="X508" i="21"/>
  <c r="W508" i="21"/>
  <c r="AQ508" i="21" s="1"/>
  <c r="V508" i="21"/>
  <c r="AO507" i="21"/>
  <c r="AL507" i="21"/>
  <c r="AD507" i="21"/>
  <c r="AE507" i="21" s="1"/>
  <c r="Y507" i="21"/>
  <c r="Z507" i="21" s="1" a="1"/>
  <c r="Z507" i="21" s="1"/>
  <c r="AI507" i="21" s="1"/>
  <c r="AJ507" i="21" s="1"/>
  <c r="X507" i="21"/>
  <c r="W507" i="21"/>
  <c r="AQ507" i="21" s="1"/>
  <c r="V507" i="21"/>
  <c r="AO506" i="21"/>
  <c r="AL506" i="21"/>
  <c r="AD506" i="21"/>
  <c r="AE506" i="21" s="1"/>
  <c r="Y506" i="21"/>
  <c r="Z506" i="21" s="1" a="1"/>
  <c r="Z506" i="21" s="1"/>
  <c r="AI506" i="21" s="1"/>
  <c r="AJ506" i="21" s="1"/>
  <c r="X506" i="21"/>
  <c r="W506" i="21"/>
  <c r="AQ506" i="21" s="1"/>
  <c r="V506" i="21"/>
  <c r="AO505" i="21"/>
  <c r="AL505" i="21"/>
  <c r="AD505" i="21"/>
  <c r="AE505" i="21" s="1"/>
  <c r="Y505" i="21"/>
  <c r="Z505" i="21" s="1" a="1"/>
  <c r="Z505" i="21" s="1"/>
  <c r="AI505" i="21" s="1"/>
  <c r="AJ505" i="21" s="1"/>
  <c r="X505" i="21"/>
  <c r="W505" i="21"/>
  <c r="AQ505" i="21" s="1"/>
  <c r="V505" i="21"/>
  <c r="AO504" i="21"/>
  <c r="AL504" i="21"/>
  <c r="AD504" i="21"/>
  <c r="AE504" i="21" s="1"/>
  <c r="Y504" i="21"/>
  <c r="Z504" i="21" s="1" a="1"/>
  <c r="Z504" i="21" s="1"/>
  <c r="AI504" i="21" s="1"/>
  <c r="AJ504" i="21" s="1"/>
  <c r="X504" i="21"/>
  <c r="W504" i="21"/>
  <c r="AQ504" i="21" s="1"/>
  <c r="V504" i="21"/>
  <c r="AO503" i="21"/>
  <c r="AL503" i="21"/>
  <c r="AD503" i="21"/>
  <c r="AE503" i="21" s="1"/>
  <c r="Y503" i="21"/>
  <c r="Z503" i="21" s="1" a="1"/>
  <c r="Z503" i="21" s="1"/>
  <c r="AI503" i="21" s="1"/>
  <c r="AJ503" i="21" s="1"/>
  <c r="X503" i="21"/>
  <c r="W503" i="21"/>
  <c r="AQ503" i="21" s="1"/>
  <c r="V503" i="21"/>
  <c r="AO502" i="21"/>
  <c r="AL502" i="21"/>
  <c r="AD502" i="21"/>
  <c r="AE502" i="21" s="1"/>
  <c r="Y502" i="21"/>
  <c r="Z502" i="21" s="1" a="1"/>
  <c r="Z502" i="21" s="1"/>
  <c r="AI502" i="21" s="1"/>
  <c r="AJ502" i="21" s="1"/>
  <c r="X502" i="21"/>
  <c r="W502" i="21"/>
  <c r="AQ502" i="21" s="1"/>
  <c r="V502" i="21"/>
  <c r="AO501" i="21"/>
  <c r="AL501" i="21"/>
  <c r="AD501" i="21"/>
  <c r="AE501" i="21" s="1"/>
  <c r="Y501" i="21"/>
  <c r="Z501" i="21" s="1" a="1"/>
  <c r="Z501" i="21" s="1"/>
  <c r="AI501" i="21" s="1"/>
  <c r="AJ501" i="21" s="1"/>
  <c r="X501" i="21"/>
  <c r="W501" i="21"/>
  <c r="AQ501" i="21" s="1"/>
  <c r="V501" i="21"/>
  <c r="AO500" i="21"/>
  <c r="AL500" i="21"/>
  <c r="AD500" i="21"/>
  <c r="AE500" i="21" s="1"/>
  <c r="Y500" i="21"/>
  <c r="Z500" i="21" s="1" a="1"/>
  <c r="Z500" i="21" s="1"/>
  <c r="AI500" i="21" s="1"/>
  <c r="AJ500" i="21" s="1"/>
  <c r="X500" i="21"/>
  <c r="W500" i="21"/>
  <c r="AQ500" i="21" s="1"/>
  <c r="V500" i="21"/>
  <c r="AO499" i="21"/>
  <c r="AL499" i="21"/>
  <c r="AD499" i="21"/>
  <c r="AE499" i="21" s="1"/>
  <c r="Y499" i="21"/>
  <c r="Z499" i="21" s="1" a="1"/>
  <c r="Z499" i="21" s="1"/>
  <c r="AI499" i="21" s="1"/>
  <c r="AJ499" i="21" s="1"/>
  <c r="X499" i="21"/>
  <c r="W499" i="21"/>
  <c r="AQ499" i="21" s="1"/>
  <c r="V499" i="21"/>
  <c r="AO498" i="21"/>
  <c r="AL498" i="21"/>
  <c r="AD498" i="21"/>
  <c r="AE498" i="21" s="1"/>
  <c r="Y498" i="21"/>
  <c r="Z498" i="21" s="1" a="1"/>
  <c r="Z498" i="21" s="1"/>
  <c r="AI498" i="21" s="1"/>
  <c r="AJ498" i="21" s="1"/>
  <c r="X498" i="21"/>
  <c r="W498" i="21"/>
  <c r="AQ498" i="21" s="1"/>
  <c r="V498" i="21"/>
  <c r="AO497" i="21"/>
  <c r="AL497" i="21"/>
  <c r="AD497" i="21"/>
  <c r="AE497" i="21" s="1"/>
  <c r="Y497" i="21"/>
  <c r="Z497" i="21" s="1" a="1"/>
  <c r="Z497" i="21" s="1"/>
  <c r="AI497" i="21" s="1"/>
  <c r="AJ497" i="21" s="1"/>
  <c r="X497" i="21"/>
  <c r="W497" i="21"/>
  <c r="AQ497" i="21" s="1"/>
  <c r="V497" i="21"/>
  <c r="AO496" i="21"/>
  <c r="AL496" i="21"/>
  <c r="AD496" i="21"/>
  <c r="AE496" i="21" s="1"/>
  <c r="Y496" i="21"/>
  <c r="Z496" i="21" s="1" a="1"/>
  <c r="Z496" i="21" s="1"/>
  <c r="AI496" i="21" s="1"/>
  <c r="AJ496" i="21" s="1"/>
  <c r="X496" i="21"/>
  <c r="W496" i="21"/>
  <c r="AQ496" i="21" s="1"/>
  <c r="V496" i="21"/>
  <c r="AO495" i="21"/>
  <c r="AL495" i="21"/>
  <c r="AD495" i="21"/>
  <c r="AE495" i="21" s="1"/>
  <c r="Y495" i="21"/>
  <c r="Z495" i="21" s="1" a="1"/>
  <c r="Z495" i="21" s="1"/>
  <c r="AI495" i="21" s="1"/>
  <c r="AJ495" i="21" s="1"/>
  <c r="X495" i="21"/>
  <c r="W495" i="21"/>
  <c r="AQ495" i="21" s="1"/>
  <c r="V495" i="21"/>
  <c r="AO494" i="21"/>
  <c r="AL494" i="21"/>
  <c r="AD494" i="21"/>
  <c r="AE494" i="21" s="1"/>
  <c r="Y494" i="21"/>
  <c r="Z494" i="21" s="1" a="1"/>
  <c r="Z494" i="21" s="1"/>
  <c r="AI494" i="21" s="1"/>
  <c r="AJ494" i="21" s="1"/>
  <c r="X494" i="21"/>
  <c r="W494" i="21"/>
  <c r="AQ494" i="21" s="1"/>
  <c r="V494" i="21"/>
  <c r="AO493" i="21"/>
  <c r="AL493" i="21"/>
  <c r="AD493" i="21"/>
  <c r="AE493" i="21" s="1"/>
  <c r="Y493" i="21"/>
  <c r="Z493" i="21" s="1" a="1"/>
  <c r="Z493" i="21" s="1"/>
  <c r="AI493" i="21" s="1"/>
  <c r="AJ493" i="21" s="1"/>
  <c r="X493" i="21"/>
  <c r="W493" i="21"/>
  <c r="AQ493" i="21" s="1"/>
  <c r="V493" i="21"/>
  <c r="AO492" i="21"/>
  <c r="AL492" i="21"/>
  <c r="AD492" i="21"/>
  <c r="AE492" i="21" s="1"/>
  <c r="Y492" i="21"/>
  <c r="Z492" i="21" s="1" a="1"/>
  <c r="Z492" i="21" s="1"/>
  <c r="AI492" i="21" s="1"/>
  <c r="AJ492" i="21" s="1"/>
  <c r="X492" i="21"/>
  <c r="W492" i="21"/>
  <c r="AQ492" i="21" s="1"/>
  <c r="V492" i="21"/>
  <c r="AO491" i="21"/>
  <c r="AL491" i="21"/>
  <c r="AD491" i="21"/>
  <c r="AE491" i="21" s="1"/>
  <c r="Y491" i="21"/>
  <c r="Z491" i="21" s="1" a="1"/>
  <c r="Z491" i="21" s="1"/>
  <c r="AI491" i="21" s="1"/>
  <c r="AJ491" i="21" s="1"/>
  <c r="X491" i="21"/>
  <c r="W491" i="21"/>
  <c r="AQ491" i="21" s="1"/>
  <c r="V491" i="21"/>
  <c r="AO490" i="21"/>
  <c r="AL490" i="21"/>
  <c r="AD490" i="21"/>
  <c r="AE490" i="21" s="1"/>
  <c r="Y490" i="21"/>
  <c r="Z490" i="21" s="1" a="1"/>
  <c r="Z490" i="21" s="1"/>
  <c r="AI490" i="21" s="1"/>
  <c r="AJ490" i="21" s="1"/>
  <c r="X490" i="21"/>
  <c r="W490" i="21"/>
  <c r="AQ490" i="21" s="1"/>
  <c r="V490" i="21"/>
  <c r="AO489" i="21"/>
  <c r="AL489" i="21"/>
  <c r="AD489" i="21"/>
  <c r="AE489" i="21" s="1"/>
  <c r="Y489" i="21"/>
  <c r="Z489" i="21" s="1" a="1"/>
  <c r="Z489" i="21" s="1"/>
  <c r="AI489" i="21" s="1"/>
  <c r="AJ489" i="21" s="1"/>
  <c r="X489" i="21"/>
  <c r="W489" i="21"/>
  <c r="AQ489" i="21" s="1"/>
  <c r="V489" i="21"/>
  <c r="AO488" i="21"/>
  <c r="AL488" i="21"/>
  <c r="AD488" i="21"/>
  <c r="AE488" i="21" s="1"/>
  <c r="Y488" i="21"/>
  <c r="Z488" i="21" s="1" a="1"/>
  <c r="Z488" i="21" s="1"/>
  <c r="AI488" i="21" s="1"/>
  <c r="AJ488" i="21" s="1"/>
  <c r="X488" i="21"/>
  <c r="W488" i="21"/>
  <c r="AQ488" i="21" s="1"/>
  <c r="V488" i="21"/>
  <c r="AO487" i="21"/>
  <c r="AL487" i="21"/>
  <c r="AD487" i="21"/>
  <c r="AE487" i="21" s="1"/>
  <c r="Y487" i="21"/>
  <c r="Z487" i="21" s="1" a="1"/>
  <c r="Z487" i="21" s="1"/>
  <c r="AI487" i="21" s="1"/>
  <c r="AJ487" i="21" s="1"/>
  <c r="X487" i="21"/>
  <c r="W487" i="21"/>
  <c r="AQ487" i="21" s="1"/>
  <c r="V487" i="21"/>
  <c r="AO486" i="21"/>
  <c r="AL486" i="21"/>
  <c r="AD486" i="21"/>
  <c r="AE486" i="21" s="1"/>
  <c r="Y486" i="21"/>
  <c r="Z486" i="21" s="1" a="1"/>
  <c r="Z486" i="21" s="1"/>
  <c r="AI486" i="21" s="1"/>
  <c r="AJ486" i="21" s="1"/>
  <c r="X486" i="21"/>
  <c r="W486" i="21"/>
  <c r="AQ486" i="21" s="1"/>
  <c r="V486" i="21"/>
  <c r="AO485" i="21"/>
  <c r="AL485" i="21"/>
  <c r="AD485" i="21"/>
  <c r="AE485" i="21" s="1"/>
  <c r="Y485" i="21"/>
  <c r="Z485" i="21" s="1" a="1"/>
  <c r="Z485" i="21" s="1"/>
  <c r="AI485" i="21" s="1"/>
  <c r="AJ485" i="21" s="1"/>
  <c r="X485" i="21"/>
  <c r="W485" i="21"/>
  <c r="AQ485" i="21" s="1"/>
  <c r="V485" i="21"/>
  <c r="AO484" i="21"/>
  <c r="AL484" i="21"/>
  <c r="AD484" i="21"/>
  <c r="AE484" i="21" s="1"/>
  <c r="Y484" i="21"/>
  <c r="Z484" i="21" s="1" a="1"/>
  <c r="Z484" i="21" s="1"/>
  <c r="AI484" i="21" s="1"/>
  <c r="AJ484" i="21" s="1"/>
  <c r="X484" i="21"/>
  <c r="W484" i="21"/>
  <c r="AQ484" i="21" s="1"/>
  <c r="V484" i="21"/>
  <c r="AO483" i="21"/>
  <c r="AL483" i="21"/>
  <c r="AD483" i="21"/>
  <c r="AE483" i="21" s="1"/>
  <c r="Y483" i="21"/>
  <c r="Z483" i="21" s="1" a="1"/>
  <c r="Z483" i="21" s="1"/>
  <c r="AI483" i="21" s="1"/>
  <c r="AJ483" i="21" s="1"/>
  <c r="X483" i="21"/>
  <c r="W483" i="21"/>
  <c r="AQ483" i="21" s="1"/>
  <c r="V483" i="21"/>
  <c r="AO482" i="21"/>
  <c r="AL482" i="21"/>
  <c r="AD482" i="21"/>
  <c r="AE482" i="21" s="1"/>
  <c r="Y482" i="21"/>
  <c r="Z482" i="21" s="1" a="1"/>
  <c r="Z482" i="21" s="1"/>
  <c r="AI482" i="21" s="1"/>
  <c r="AJ482" i="21" s="1"/>
  <c r="X482" i="21"/>
  <c r="W482" i="21"/>
  <c r="AQ482" i="21" s="1"/>
  <c r="V482" i="21"/>
  <c r="AO481" i="21"/>
  <c r="AL481" i="21"/>
  <c r="AD481" i="21"/>
  <c r="AE481" i="21" s="1"/>
  <c r="Y481" i="21"/>
  <c r="Z481" i="21" s="1" a="1"/>
  <c r="Z481" i="21" s="1"/>
  <c r="AI481" i="21" s="1"/>
  <c r="AJ481" i="21" s="1"/>
  <c r="X481" i="21"/>
  <c r="W481" i="21"/>
  <c r="AQ481" i="21" s="1"/>
  <c r="V481" i="21"/>
  <c r="AO480" i="21"/>
  <c r="AL480" i="21"/>
  <c r="AD480" i="21"/>
  <c r="AE480" i="21" s="1"/>
  <c r="Y480" i="21"/>
  <c r="Z480" i="21" s="1" a="1"/>
  <c r="Z480" i="21" s="1"/>
  <c r="AI480" i="21" s="1"/>
  <c r="AJ480" i="21" s="1"/>
  <c r="X480" i="21"/>
  <c r="W480" i="21"/>
  <c r="AQ480" i="21" s="1"/>
  <c r="V480" i="21"/>
  <c r="AO479" i="21"/>
  <c r="AL479" i="21"/>
  <c r="AD479" i="21"/>
  <c r="AE479" i="21" s="1"/>
  <c r="Y479" i="21"/>
  <c r="Z479" i="21" s="1" a="1"/>
  <c r="Z479" i="21" s="1"/>
  <c r="AI479" i="21" s="1"/>
  <c r="AJ479" i="21" s="1"/>
  <c r="X479" i="21"/>
  <c r="W479" i="21"/>
  <c r="AQ479" i="21" s="1"/>
  <c r="V479" i="21"/>
  <c r="AO478" i="21"/>
  <c r="AL478" i="21"/>
  <c r="AD478" i="21"/>
  <c r="AE478" i="21" s="1"/>
  <c r="Y478" i="21"/>
  <c r="Z478" i="21" s="1" a="1"/>
  <c r="Z478" i="21" s="1"/>
  <c r="AI478" i="21" s="1"/>
  <c r="AJ478" i="21" s="1"/>
  <c r="X478" i="21"/>
  <c r="W478" i="21"/>
  <c r="AQ478" i="21" s="1"/>
  <c r="V478" i="21"/>
  <c r="AO477" i="21"/>
  <c r="AL477" i="21"/>
  <c r="AD477" i="21"/>
  <c r="AE477" i="21" s="1"/>
  <c r="Y477" i="21"/>
  <c r="Z477" i="21" s="1" a="1"/>
  <c r="Z477" i="21" s="1"/>
  <c r="AI477" i="21" s="1"/>
  <c r="AJ477" i="21" s="1"/>
  <c r="X477" i="21"/>
  <c r="W477" i="21"/>
  <c r="AQ477" i="21" s="1"/>
  <c r="V477" i="21"/>
  <c r="AO476" i="21"/>
  <c r="AL476" i="21"/>
  <c r="AD476" i="21"/>
  <c r="AE476" i="21" s="1"/>
  <c r="Y476" i="21"/>
  <c r="Z476" i="21" s="1" a="1"/>
  <c r="Z476" i="21" s="1"/>
  <c r="AI476" i="21" s="1"/>
  <c r="AJ476" i="21" s="1"/>
  <c r="X476" i="21"/>
  <c r="W476" i="21"/>
  <c r="AQ476" i="21" s="1"/>
  <c r="V476" i="21"/>
  <c r="AO475" i="21"/>
  <c r="AL475" i="21"/>
  <c r="AD475" i="21"/>
  <c r="AE475" i="21" s="1"/>
  <c r="Y475" i="21"/>
  <c r="Z475" i="21" s="1" a="1"/>
  <c r="Z475" i="21" s="1"/>
  <c r="AI475" i="21" s="1"/>
  <c r="AJ475" i="21" s="1"/>
  <c r="X475" i="21"/>
  <c r="W475" i="21"/>
  <c r="AQ475" i="21" s="1"/>
  <c r="V475" i="21"/>
  <c r="AO474" i="21"/>
  <c r="AL474" i="21"/>
  <c r="AD474" i="21"/>
  <c r="AE474" i="21" s="1"/>
  <c r="Y474" i="21"/>
  <c r="Z474" i="21" s="1" a="1"/>
  <c r="Z474" i="21" s="1"/>
  <c r="AI474" i="21" s="1"/>
  <c r="AJ474" i="21" s="1"/>
  <c r="X474" i="21"/>
  <c r="W474" i="21"/>
  <c r="AQ474" i="21" s="1"/>
  <c r="V474" i="21"/>
  <c r="AO473" i="21"/>
  <c r="AL473" i="21"/>
  <c r="AD473" i="21"/>
  <c r="AE473" i="21" s="1"/>
  <c r="Y473" i="21"/>
  <c r="Z473" i="21" s="1" a="1"/>
  <c r="Z473" i="21" s="1"/>
  <c r="AI473" i="21" s="1"/>
  <c r="AJ473" i="21" s="1"/>
  <c r="X473" i="21"/>
  <c r="W473" i="21"/>
  <c r="AQ473" i="21" s="1"/>
  <c r="V473" i="21"/>
  <c r="AO472" i="21"/>
  <c r="AL472" i="21"/>
  <c r="AD472" i="21"/>
  <c r="AE472" i="21" s="1"/>
  <c r="Y472" i="21"/>
  <c r="Z472" i="21" s="1" a="1"/>
  <c r="Z472" i="21" s="1"/>
  <c r="AI472" i="21" s="1"/>
  <c r="AJ472" i="21" s="1"/>
  <c r="X472" i="21"/>
  <c r="W472" i="21"/>
  <c r="AQ472" i="21" s="1"/>
  <c r="V472" i="21"/>
  <c r="AO471" i="21"/>
  <c r="AL471" i="21"/>
  <c r="AD471" i="21"/>
  <c r="AE471" i="21" s="1"/>
  <c r="Y471" i="21"/>
  <c r="Z471" i="21" s="1" a="1"/>
  <c r="Z471" i="21" s="1"/>
  <c r="AI471" i="21" s="1"/>
  <c r="AJ471" i="21" s="1"/>
  <c r="X471" i="21"/>
  <c r="W471" i="21"/>
  <c r="AQ471" i="21" s="1"/>
  <c r="V471" i="21"/>
  <c r="AO470" i="21"/>
  <c r="AL470" i="21"/>
  <c r="AD470" i="21"/>
  <c r="AE470" i="21" s="1"/>
  <c r="Y470" i="21"/>
  <c r="Z470" i="21" s="1" a="1"/>
  <c r="Z470" i="21" s="1"/>
  <c r="AI470" i="21" s="1"/>
  <c r="AJ470" i="21" s="1"/>
  <c r="X470" i="21"/>
  <c r="W470" i="21"/>
  <c r="AQ470" i="21" s="1"/>
  <c r="V470" i="21"/>
  <c r="AO469" i="21"/>
  <c r="AL469" i="21"/>
  <c r="AD469" i="21"/>
  <c r="AE469" i="21" s="1"/>
  <c r="Y469" i="21"/>
  <c r="Z469" i="21" s="1" a="1"/>
  <c r="Z469" i="21" s="1"/>
  <c r="AI469" i="21" s="1"/>
  <c r="AJ469" i="21" s="1"/>
  <c r="X469" i="21"/>
  <c r="W469" i="21"/>
  <c r="AQ469" i="21" s="1"/>
  <c r="V469" i="21"/>
  <c r="AO468" i="21"/>
  <c r="AL468" i="21"/>
  <c r="AD468" i="21"/>
  <c r="AE468" i="21" s="1"/>
  <c r="Y468" i="21"/>
  <c r="Z468" i="21" s="1" a="1"/>
  <c r="Z468" i="21" s="1"/>
  <c r="AI468" i="21" s="1"/>
  <c r="AJ468" i="21" s="1"/>
  <c r="X468" i="21"/>
  <c r="W468" i="21"/>
  <c r="AQ468" i="21" s="1"/>
  <c r="V468" i="21"/>
  <c r="AO467" i="21"/>
  <c r="AL467" i="21"/>
  <c r="AD467" i="21"/>
  <c r="AE467" i="21" s="1"/>
  <c r="Y467" i="21"/>
  <c r="Z467" i="21" s="1" a="1"/>
  <c r="Z467" i="21" s="1"/>
  <c r="AI467" i="21" s="1"/>
  <c r="AJ467" i="21" s="1"/>
  <c r="X467" i="21"/>
  <c r="W467" i="21"/>
  <c r="AQ467" i="21" s="1"/>
  <c r="V467" i="21"/>
  <c r="AO466" i="21"/>
  <c r="AL466" i="21"/>
  <c r="AD466" i="21"/>
  <c r="AE466" i="21" s="1"/>
  <c r="Y466" i="21"/>
  <c r="Z466" i="21" s="1" a="1"/>
  <c r="Z466" i="21" s="1"/>
  <c r="AI466" i="21" s="1"/>
  <c r="AJ466" i="21" s="1"/>
  <c r="X466" i="21"/>
  <c r="W466" i="21"/>
  <c r="AQ466" i="21" s="1"/>
  <c r="V466" i="21"/>
  <c r="AO465" i="21"/>
  <c r="AL465" i="21"/>
  <c r="AD465" i="21"/>
  <c r="AE465" i="21" s="1"/>
  <c r="Y465" i="21"/>
  <c r="Z465" i="21" s="1" a="1"/>
  <c r="Z465" i="21" s="1"/>
  <c r="AI465" i="21" s="1"/>
  <c r="AJ465" i="21" s="1"/>
  <c r="X465" i="21"/>
  <c r="W465" i="21"/>
  <c r="AQ465" i="21" s="1"/>
  <c r="V465" i="21"/>
  <c r="AO464" i="21"/>
  <c r="AL464" i="21"/>
  <c r="AD464" i="21"/>
  <c r="AE464" i="21" s="1"/>
  <c r="Y464" i="21"/>
  <c r="Z464" i="21" s="1" a="1"/>
  <c r="Z464" i="21" s="1"/>
  <c r="AI464" i="21" s="1"/>
  <c r="AJ464" i="21" s="1"/>
  <c r="X464" i="21"/>
  <c r="W464" i="21"/>
  <c r="AQ464" i="21" s="1"/>
  <c r="V464" i="21"/>
  <c r="AO463" i="21"/>
  <c r="AL463" i="21"/>
  <c r="AD463" i="21"/>
  <c r="AE463" i="21" s="1"/>
  <c r="Y463" i="21"/>
  <c r="Z463" i="21" s="1" a="1"/>
  <c r="Z463" i="21" s="1"/>
  <c r="AI463" i="21" s="1"/>
  <c r="AJ463" i="21" s="1"/>
  <c r="X463" i="21"/>
  <c r="W463" i="21"/>
  <c r="AQ463" i="21" s="1"/>
  <c r="V463" i="21"/>
  <c r="AO462" i="21"/>
  <c r="AL462" i="21"/>
  <c r="AD462" i="21"/>
  <c r="AE462" i="21" s="1"/>
  <c r="Y462" i="21"/>
  <c r="Z462" i="21" s="1" a="1"/>
  <c r="Z462" i="21" s="1"/>
  <c r="AI462" i="21" s="1"/>
  <c r="AJ462" i="21" s="1"/>
  <c r="X462" i="21"/>
  <c r="W462" i="21"/>
  <c r="AQ462" i="21" s="1"/>
  <c r="V462" i="21"/>
  <c r="AO461" i="21"/>
  <c r="AL461" i="21"/>
  <c r="AD461" i="21"/>
  <c r="AE461" i="21" s="1"/>
  <c r="Y461" i="21"/>
  <c r="Z461" i="21" s="1" a="1"/>
  <c r="Z461" i="21" s="1"/>
  <c r="AI461" i="21" s="1"/>
  <c r="AJ461" i="21" s="1"/>
  <c r="X461" i="21"/>
  <c r="W461" i="21"/>
  <c r="AQ461" i="21" s="1"/>
  <c r="V461" i="21"/>
  <c r="AO460" i="21"/>
  <c r="AL460" i="21"/>
  <c r="AD460" i="21"/>
  <c r="AE460" i="21" s="1"/>
  <c r="Y460" i="21"/>
  <c r="Z460" i="21" s="1" a="1"/>
  <c r="Z460" i="21" s="1"/>
  <c r="AI460" i="21" s="1"/>
  <c r="AJ460" i="21" s="1"/>
  <c r="X460" i="21"/>
  <c r="W460" i="21"/>
  <c r="AQ460" i="21" s="1"/>
  <c r="V460" i="21"/>
  <c r="AO459" i="21"/>
  <c r="AL459" i="21"/>
  <c r="AD459" i="21"/>
  <c r="AE459" i="21" s="1"/>
  <c r="Y459" i="21"/>
  <c r="Z459" i="21" s="1" a="1"/>
  <c r="Z459" i="21" s="1"/>
  <c r="AI459" i="21" s="1"/>
  <c r="AJ459" i="21" s="1"/>
  <c r="X459" i="21"/>
  <c r="W459" i="21"/>
  <c r="AQ459" i="21" s="1"/>
  <c r="V459" i="21"/>
  <c r="AO458" i="21"/>
  <c r="AL458" i="21"/>
  <c r="AD458" i="21"/>
  <c r="AE458" i="21" s="1"/>
  <c r="Y458" i="21"/>
  <c r="Z458" i="21" s="1" a="1"/>
  <c r="Z458" i="21" s="1"/>
  <c r="AI458" i="21" s="1"/>
  <c r="AJ458" i="21" s="1"/>
  <c r="X458" i="21"/>
  <c r="W458" i="21"/>
  <c r="AQ458" i="21" s="1"/>
  <c r="V458" i="21"/>
  <c r="AO457" i="21"/>
  <c r="AL457" i="21"/>
  <c r="AD457" i="21"/>
  <c r="AE457" i="21" s="1"/>
  <c r="Y457" i="21"/>
  <c r="Z457" i="21" s="1" a="1"/>
  <c r="Z457" i="21" s="1"/>
  <c r="AI457" i="21" s="1"/>
  <c r="AJ457" i="21" s="1"/>
  <c r="X457" i="21"/>
  <c r="W457" i="21"/>
  <c r="AQ457" i="21" s="1"/>
  <c r="V457" i="21"/>
  <c r="AO456" i="21"/>
  <c r="AL456" i="21"/>
  <c r="AD456" i="21"/>
  <c r="AE456" i="21" s="1"/>
  <c r="Y456" i="21"/>
  <c r="Z456" i="21" s="1" a="1"/>
  <c r="Z456" i="21" s="1"/>
  <c r="AI456" i="21" s="1"/>
  <c r="AJ456" i="21" s="1"/>
  <c r="X456" i="21"/>
  <c r="W456" i="21"/>
  <c r="AQ456" i="21" s="1"/>
  <c r="V456" i="21"/>
  <c r="AO455" i="21"/>
  <c r="AL455" i="21"/>
  <c r="AD455" i="21"/>
  <c r="AE455" i="21" s="1"/>
  <c r="Y455" i="21"/>
  <c r="Z455" i="21" s="1" a="1"/>
  <c r="Z455" i="21" s="1"/>
  <c r="AI455" i="21" s="1"/>
  <c r="AJ455" i="21" s="1"/>
  <c r="X455" i="21"/>
  <c r="W455" i="21"/>
  <c r="AQ455" i="21" s="1"/>
  <c r="V455" i="21"/>
  <c r="AO454" i="21"/>
  <c r="AL454" i="21"/>
  <c r="AD454" i="21"/>
  <c r="AE454" i="21" s="1"/>
  <c r="Y454" i="21"/>
  <c r="Z454" i="21" s="1" a="1"/>
  <c r="Z454" i="21" s="1"/>
  <c r="AI454" i="21" s="1"/>
  <c r="AJ454" i="21" s="1"/>
  <c r="X454" i="21"/>
  <c r="W454" i="21"/>
  <c r="AQ454" i="21" s="1"/>
  <c r="V454" i="21"/>
  <c r="AO453" i="21"/>
  <c r="AL453" i="21"/>
  <c r="AD453" i="21"/>
  <c r="AE453" i="21" s="1"/>
  <c r="Y453" i="21"/>
  <c r="Z453" i="21" s="1" a="1"/>
  <c r="Z453" i="21" s="1"/>
  <c r="AI453" i="21" s="1"/>
  <c r="AJ453" i="21" s="1"/>
  <c r="X453" i="21"/>
  <c r="W453" i="21"/>
  <c r="AQ453" i="21" s="1"/>
  <c r="V453" i="21"/>
  <c r="AO452" i="21"/>
  <c r="AL452" i="21"/>
  <c r="AD452" i="21"/>
  <c r="AE452" i="21" s="1"/>
  <c r="Y452" i="21"/>
  <c r="Z452" i="21" s="1" a="1"/>
  <c r="Z452" i="21" s="1"/>
  <c r="AI452" i="21" s="1"/>
  <c r="AJ452" i="21" s="1"/>
  <c r="X452" i="21"/>
  <c r="W452" i="21"/>
  <c r="AQ452" i="21" s="1"/>
  <c r="V452" i="21"/>
  <c r="AO451" i="21"/>
  <c r="AL451" i="21"/>
  <c r="AD451" i="21"/>
  <c r="AE451" i="21" s="1"/>
  <c r="Y451" i="21"/>
  <c r="Z451" i="21" s="1" a="1"/>
  <c r="Z451" i="21" s="1"/>
  <c r="AI451" i="21" s="1"/>
  <c r="AJ451" i="21" s="1"/>
  <c r="X451" i="21"/>
  <c r="W451" i="21"/>
  <c r="AQ451" i="21" s="1"/>
  <c r="V451" i="21"/>
  <c r="AO450" i="21"/>
  <c r="AL450" i="21"/>
  <c r="AD450" i="21"/>
  <c r="AE450" i="21" s="1"/>
  <c r="Y450" i="21"/>
  <c r="Z450" i="21" s="1" a="1"/>
  <c r="Z450" i="21" s="1"/>
  <c r="AI450" i="21" s="1"/>
  <c r="AJ450" i="21" s="1"/>
  <c r="X450" i="21"/>
  <c r="W450" i="21"/>
  <c r="AQ450" i="21" s="1"/>
  <c r="V450" i="21"/>
  <c r="AO449" i="21"/>
  <c r="AL449" i="21"/>
  <c r="AD449" i="21"/>
  <c r="AE449" i="21" s="1"/>
  <c r="Y449" i="21"/>
  <c r="Z449" i="21" s="1" a="1"/>
  <c r="Z449" i="21" s="1"/>
  <c r="AI449" i="21" s="1"/>
  <c r="AJ449" i="21" s="1"/>
  <c r="X449" i="21"/>
  <c r="W449" i="21"/>
  <c r="AQ449" i="21" s="1"/>
  <c r="V449" i="21"/>
  <c r="AO448" i="21"/>
  <c r="AL448" i="21"/>
  <c r="AD448" i="21"/>
  <c r="AE448" i="21" s="1"/>
  <c r="Y448" i="21"/>
  <c r="Z448" i="21" s="1" a="1"/>
  <c r="Z448" i="21" s="1"/>
  <c r="AI448" i="21" s="1"/>
  <c r="AJ448" i="21" s="1"/>
  <c r="X448" i="21"/>
  <c r="W448" i="21"/>
  <c r="AQ448" i="21" s="1"/>
  <c r="V448" i="21"/>
  <c r="AO447" i="21"/>
  <c r="AL447" i="21"/>
  <c r="AD447" i="21"/>
  <c r="AE447" i="21" s="1"/>
  <c r="Y447" i="21"/>
  <c r="Z447" i="21" s="1" a="1"/>
  <c r="Z447" i="21" s="1"/>
  <c r="AI447" i="21" s="1"/>
  <c r="AJ447" i="21" s="1"/>
  <c r="X447" i="21"/>
  <c r="W447" i="21"/>
  <c r="AQ447" i="21" s="1"/>
  <c r="V447" i="21"/>
  <c r="AO446" i="21"/>
  <c r="AL446" i="21"/>
  <c r="AD446" i="21"/>
  <c r="AE446" i="21" s="1"/>
  <c r="Y446" i="21"/>
  <c r="Z446" i="21" s="1" a="1"/>
  <c r="Z446" i="21" s="1"/>
  <c r="AI446" i="21" s="1"/>
  <c r="AJ446" i="21" s="1"/>
  <c r="X446" i="21"/>
  <c r="W446" i="21"/>
  <c r="AQ446" i="21" s="1"/>
  <c r="V446" i="21"/>
  <c r="AO445" i="21"/>
  <c r="AL445" i="21"/>
  <c r="AD445" i="21"/>
  <c r="AE445" i="21" s="1"/>
  <c r="Y445" i="21"/>
  <c r="Z445" i="21" s="1" a="1"/>
  <c r="Z445" i="21" s="1"/>
  <c r="AI445" i="21" s="1"/>
  <c r="AJ445" i="21" s="1"/>
  <c r="X445" i="21"/>
  <c r="W445" i="21"/>
  <c r="AQ445" i="21" s="1"/>
  <c r="V445" i="21"/>
  <c r="AO444" i="21"/>
  <c r="AL444" i="21"/>
  <c r="AD444" i="21"/>
  <c r="AE444" i="21" s="1"/>
  <c r="Y444" i="21"/>
  <c r="Z444" i="21" s="1" a="1"/>
  <c r="Z444" i="21" s="1"/>
  <c r="AI444" i="21" s="1"/>
  <c r="AJ444" i="21" s="1"/>
  <c r="X444" i="21"/>
  <c r="W444" i="21"/>
  <c r="AQ444" i="21" s="1"/>
  <c r="V444" i="21"/>
  <c r="AO443" i="21"/>
  <c r="AL443" i="21"/>
  <c r="AD443" i="21"/>
  <c r="AE443" i="21" s="1"/>
  <c r="Y443" i="21"/>
  <c r="Z443" i="21" s="1" a="1"/>
  <c r="Z443" i="21" s="1"/>
  <c r="AI443" i="21" s="1"/>
  <c r="AJ443" i="21" s="1"/>
  <c r="X443" i="21"/>
  <c r="W443" i="21"/>
  <c r="AQ443" i="21" s="1"/>
  <c r="V443" i="21"/>
  <c r="AO442" i="21"/>
  <c r="AL442" i="21"/>
  <c r="AD442" i="21"/>
  <c r="AE442" i="21" s="1"/>
  <c r="Y442" i="21"/>
  <c r="Z442" i="21" s="1" a="1"/>
  <c r="Z442" i="21" s="1"/>
  <c r="AI442" i="21" s="1"/>
  <c r="AJ442" i="21" s="1"/>
  <c r="X442" i="21"/>
  <c r="W442" i="21"/>
  <c r="AQ442" i="21" s="1"/>
  <c r="V442" i="21"/>
  <c r="AO441" i="21"/>
  <c r="AL441" i="21"/>
  <c r="AD441" i="21"/>
  <c r="AE441" i="21" s="1"/>
  <c r="Y441" i="21"/>
  <c r="Z441" i="21" s="1" a="1"/>
  <c r="Z441" i="21" s="1"/>
  <c r="AI441" i="21" s="1"/>
  <c r="AJ441" i="21" s="1"/>
  <c r="X441" i="21"/>
  <c r="W441" i="21"/>
  <c r="AQ441" i="21" s="1"/>
  <c r="V441" i="21"/>
  <c r="AO440" i="21"/>
  <c r="AL440" i="21"/>
  <c r="AD440" i="21"/>
  <c r="AE440" i="21" s="1"/>
  <c r="Y440" i="21"/>
  <c r="Z440" i="21" s="1" a="1"/>
  <c r="Z440" i="21" s="1"/>
  <c r="AI440" i="21" s="1"/>
  <c r="AJ440" i="21" s="1"/>
  <c r="X440" i="21"/>
  <c r="W440" i="21"/>
  <c r="AQ440" i="21" s="1"/>
  <c r="V440" i="21"/>
  <c r="AO439" i="21"/>
  <c r="AL439" i="21"/>
  <c r="AD439" i="21"/>
  <c r="AE439" i="21" s="1"/>
  <c r="Y439" i="21"/>
  <c r="Z439" i="21" s="1" a="1"/>
  <c r="Z439" i="21" s="1"/>
  <c r="AI439" i="21" s="1"/>
  <c r="AJ439" i="21" s="1"/>
  <c r="X439" i="21"/>
  <c r="W439" i="21"/>
  <c r="AQ439" i="21" s="1"/>
  <c r="V439" i="21"/>
  <c r="AO438" i="21"/>
  <c r="AL438" i="21"/>
  <c r="AD438" i="21"/>
  <c r="AE438" i="21" s="1"/>
  <c r="Y438" i="21"/>
  <c r="Z438" i="21" s="1" a="1"/>
  <c r="Z438" i="21" s="1"/>
  <c r="AI438" i="21" s="1"/>
  <c r="AJ438" i="21" s="1"/>
  <c r="X438" i="21"/>
  <c r="W438" i="21"/>
  <c r="AQ438" i="21" s="1"/>
  <c r="V438" i="21"/>
  <c r="AO437" i="21"/>
  <c r="AL437" i="21"/>
  <c r="AD437" i="21"/>
  <c r="AE437" i="21" s="1"/>
  <c r="Y437" i="21"/>
  <c r="Z437" i="21" s="1" a="1"/>
  <c r="Z437" i="21" s="1"/>
  <c r="AI437" i="21" s="1"/>
  <c r="AJ437" i="21" s="1"/>
  <c r="X437" i="21"/>
  <c r="W437" i="21"/>
  <c r="AQ437" i="21" s="1"/>
  <c r="V437" i="21"/>
  <c r="AO436" i="21"/>
  <c r="AL436" i="21"/>
  <c r="AD436" i="21"/>
  <c r="AE436" i="21" s="1"/>
  <c r="Y436" i="21"/>
  <c r="Z436" i="21" s="1" a="1"/>
  <c r="Z436" i="21" s="1"/>
  <c r="AI436" i="21" s="1"/>
  <c r="AJ436" i="21" s="1"/>
  <c r="X436" i="21"/>
  <c r="W436" i="21"/>
  <c r="AQ436" i="21" s="1"/>
  <c r="V436" i="21"/>
  <c r="AO435" i="21"/>
  <c r="AL435" i="21"/>
  <c r="AD435" i="21"/>
  <c r="AE435" i="21" s="1"/>
  <c r="Y435" i="21"/>
  <c r="Z435" i="21" s="1" a="1"/>
  <c r="Z435" i="21" s="1"/>
  <c r="AI435" i="21" s="1"/>
  <c r="AJ435" i="21" s="1"/>
  <c r="X435" i="21"/>
  <c r="W435" i="21"/>
  <c r="AQ435" i="21" s="1"/>
  <c r="V435" i="21"/>
  <c r="AO434" i="21"/>
  <c r="AL434" i="21"/>
  <c r="AD434" i="21"/>
  <c r="AE434" i="21" s="1"/>
  <c r="Y434" i="21"/>
  <c r="Z434" i="21" s="1" a="1"/>
  <c r="Z434" i="21" s="1"/>
  <c r="AI434" i="21" s="1"/>
  <c r="AJ434" i="21" s="1"/>
  <c r="X434" i="21"/>
  <c r="W434" i="21"/>
  <c r="AQ434" i="21" s="1"/>
  <c r="V434" i="21"/>
  <c r="AO433" i="21"/>
  <c r="AL433" i="21"/>
  <c r="AD433" i="21"/>
  <c r="AE433" i="21" s="1"/>
  <c r="Y433" i="21"/>
  <c r="Z433" i="21" s="1" a="1"/>
  <c r="Z433" i="21" s="1"/>
  <c r="AI433" i="21" s="1"/>
  <c r="AJ433" i="21" s="1"/>
  <c r="X433" i="21"/>
  <c r="W433" i="21"/>
  <c r="AQ433" i="21" s="1"/>
  <c r="V433" i="21"/>
  <c r="AO432" i="21"/>
  <c r="AL432" i="21"/>
  <c r="AD432" i="21"/>
  <c r="AE432" i="21" s="1"/>
  <c r="Y432" i="21"/>
  <c r="Z432" i="21" s="1" a="1"/>
  <c r="Z432" i="21" s="1"/>
  <c r="AI432" i="21" s="1"/>
  <c r="AJ432" i="21" s="1"/>
  <c r="X432" i="21"/>
  <c r="W432" i="21"/>
  <c r="AQ432" i="21" s="1"/>
  <c r="V432" i="21"/>
  <c r="AO431" i="21"/>
  <c r="AL431" i="21"/>
  <c r="AD431" i="21"/>
  <c r="AE431" i="21" s="1"/>
  <c r="Y431" i="21"/>
  <c r="Z431" i="21" s="1" a="1"/>
  <c r="Z431" i="21" s="1"/>
  <c r="AI431" i="21" s="1"/>
  <c r="AJ431" i="21" s="1"/>
  <c r="X431" i="21"/>
  <c r="W431" i="21"/>
  <c r="AQ431" i="21" s="1"/>
  <c r="V431" i="21"/>
  <c r="AO430" i="21"/>
  <c r="AL430" i="21"/>
  <c r="AD430" i="21"/>
  <c r="AE430" i="21" s="1"/>
  <c r="Y430" i="21"/>
  <c r="Z430" i="21" s="1" a="1"/>
  <c r="Z430" i="21" s="1"/>
  <c r="AI430" i="21" s="1"/>
  <c r="AJ430" i="21" s="1"/>
  <c r="X430" i="21"/>
  <c r="W430" i="21"/>
  <c r="AQ430" i="21" s="1"/>
  <c r="V430" i="21"/>
  <c r="AO429" i="21"/>
  <c r="AL429" i="21"/>
  <c r="AD429" i="21"/>
  <c r="AE429" i="21" s="1"/>
  <c r="Y429" i="21"/>
  <c r="Z429" i="21" s="1" a="1"/>
  <c r="Z429" i="21" s="1"/>
  <c r="AI429" i="21" s="1"/>
  <c r="AJ429" i="21" s="1"/>
  <c r="X429" i="21"/>
  <c r="W429" i="21"/>
  <c r="AQ429" i="21" s="1"/>
  <c r="V429" i="21"/>
  <c r="AO428" i="21"/>
  <c r="AL428" i="21"/>
  <c r="AD428" i="21"/>
  <c r="AE428" i="21" s="1"/>
  <c r="Y428" i="21"/>
  <c r="Z428" i="21" s="1" a="1"/>
  <c r="Z428" i="21" s="1"/>
  <c r="AI428" i="21" s="1"/>
  <c r="AJ428" i="21" s="1"/>
  <c r="X428" i="21"/>
  <c r="W428" i="21"/>
  <c r="AQ428" i="21" s="1"/>
  <c r="V428" i="21"/>
  <c r="AO427" i="21"/>
  <c r="AL427" i="21"/>
  <c r="AD427" i="21"/>
  <c r="AE427" i="21" s="1"/>
  <c r="Y427" i="21"/>
  <c r="Z427" i="21" s="1" a="1"/>
  <c r="Z427" i="21" s="1"/>
  <c r="AI427" i="21" s="1"/>
  <c r="AJ427" i="21" s="1"/>
  <c r="X427" i="21"/>
  <c r="W427" i="21"/>
  <c r="AQ427" i="21" s="1"/>
  <c r="V427" i="21"/>
  <c r="AO426" i="21"/>
  <c r="AL426" i="21"/>
  <c r="AD426" i="21"/>
  <c r="AE426" i="21" s="1"/>
  <c r="Y426" i="21"/>
  <c r="Z426" i="21" s="1" a="1"/>
  <c r="Z426" i="21" s="1"/>
  <c r="AI426" i="21" s="1"/>
  <c r="AJ426" i="21" s="1"/>
  <c r="X426" i="21"/>
  <c r="W426" i="21"/>
  <c r="AQ426" i="21" s="1"/>
  <c r="V426" i="21"/>
  <c r="AO425" i="21"/>
  <c r="AL425" i="21"/>
  <c r="AD425" i="21"/>
  <c r="AE425" i="21" s="1"/>
  <c r="Y425" i="21"/>
  <c r="Z425" i="21" s="1" a="1"/>
  <c r="Z425" i="21" s="1"/>
  <c r="AI425" i="21" s="1"/>
  <c r="AJ425" i="21" s="1"/>
  <c r="X425" i="21"/>
  <c r="W425" i="21"/>
  <c r="AQ425" i="21" s="1"/>
  <c r="V425" i="21"/>
  <c r="AO424" i="21"/>
  <c r="AL424" i="21"/>
  <c r="AD424" i="21"/>
  <c r="AE424" i="21" s="1"/>
  <c r="Y424" i="21"/>
  <c r="Z424" i="21" s="1" a="1"/>
  <c r="Z424" i="21" s="1"/>
  <c r="AI424" i="21" s="1"/>
  <c r="AJ424" i="21" s="1"/>
  <c r="X424" i="21"/>
  <c r="W424" i="21"/>
  <c r="AQ424" i="21" s="1"/>
  <c r="V424" i="21"/>
  <c r="AO423" i="21"/>
  <c r="AL423" i="21"/>
  <c r="AD423" i="21"/>
  <c r="AE423" i="21" s="1"/>
  <c r="Y423" i="21"/>
  <c r="Z423" i="21" s="1" a="1"/>
  <c r="Z423" i="21" s="1"/>
  <c r="AI423" i="21" s="1"/>
  <c r="AJ423" i="21" s="1"/>
  <c r="X423" i="21"/>
  <c r="W423" i="21"/>
  <c r="AQ423" i="21" s="1"/>
  <c r="V423" i="21"/>
  <c r="AO422" i="21"/>
  <c r="AL422" i="21"/>
  <c r="AD422" i="21"/>
  <c r="AE422" i="21" s="1"/>
  <c r="Y422" i="21"/>
  <c r="Z422" i="21" s="1" a="1"/>
  <c r="Z422" i="21" s="1"/>
  <c r="AI422" i="21" s="1"/>
  <c r="AJ422" i="21" s="1"/>
  <c r="X422" i="21"/>
  <c r="W422" i="21"/>
  <c r="AQ422" i="21" s="1"/>
  <c r="V422" i="21"/>
  <c r="AO421" i="21"/>
  <c r="AL421" i="21"/>
  <c r="AD421" i="21"/>
  <c r="AE421" i="21" s="1"/>
  <c r="Y421" i="21"/>
  <c r="Z421" i="21" s="1" a="1"/>
  <c r="Z421" i="21" s="1"/>
  <c r="AI421" i="21" s="1"/>
  <c r="AJ421" i="21" s="1"/>
  <c r="X421" i="21"/>
  <c r="W421" i="21"/>
  <c r="AQ421" i="21" s="1"/>
  <c r="V421" i="21"/>
  <c r="AO420" i="21"/>
  <c r="AL420" i="21"/>
  <c r="AD420" i="21"/>
  <c r="AE420" i="21" s="1"/>
  <c r="Y420" i="21"/>
  <c r="Z420" i="21" s="1" a="1"/>
  <c r="Z420" i="21" s="1"/>
  <c r="AI420" i="21" s="1"/>
  <c r="AJ420" i="21" s="1"/>
  <c r="X420" i="21"/>
  <c r="W420" i="21"/>
  <c r="AQ420" i="21" s="1"/>
  <c r="V420" i="21"/>
  <c r="AO419" i="21"/>
  <c r="AL419" i="21"/>
  <c r="AD419" i="21"/>
  <c r="AE419" i="21" s="1"/>
  <c r="Y419" i="21"/>
  <c r="Z419" i="21" s="1" a="1"/>
  <c r="Z419" i="21" s="1"/>
  <c r="AI419" i="21" s="1"/>
  <c r="AJ419" i="21" s="1"/>
  <c r="X419" i="21"/>
  <c r="W419" i="21"/>
  <c r="AQ419" i="21" s="1"/>
  <c r="V419" i="21"/>
  <c r="AO418" i="21"/>
  <c r="AL418" i="21"/>
  <c r="AD418" i="21"/>
  <c r="AE418" i="21" s="1"/>
  <c r="Y418" i="21"/>
  <c r="Z418" i="21" s="1" a="1"/>
  <c r="Z418" i="21" s="1"/>
  <c r="AI418" i="21" s="1"/>
  <c r="AJ418" i="21" s="1"/>
  <c r="X418" i="21"/>
  <c r="W418" i="21"/>
  <c r="AQ418" i="21" s="1"/>
  <c r="V418" i="21"/>
  <c r="AO417" i="21"/>
  <c r="AL417" i="21"/>
  <c r="AD417" i="21"/>
  <c r="AE417" i="21" s="1"/>
  <c r="Y417" i="21"/>
  <c r="Z417" i="21" s="1" a="1"/>
  <c r="Z417" i="21" s="1"/>
  <c r="AI417" i="21" s="1"/>
  <c r="AJ417" i="21" s="1"/>
  <c r="X417" i="21"/>
  <c r="W417" i="21"/>
  <c r="AQ417" i="21" s="1"/>
  <c r="V417" i="21"/>
  <c r="AO416" i="21"/>
  <c r="AL416" i="21"/>
  <c r="AD416" i="21"/>
  <c r="AE416" i="21" s="1"/>
  <c r="Y416" i="21"/>
  <c r="Z416" i="21" s="1" a="1"/>
  <c r="Z416" i="21" s="1"/>
  <c r="AI416" i="21" s="1"/>
  <c r="AJ416" i="21" s="1"/>
  <c r="X416" i="21"/>
  <c r="W416" i="21"/>
  <c r="AQ416" i="21" s="1"/>
  <c r="V416" i="21"/>
  <c r="AO415" i="21"/>
  <c r="AL415" i="21"/>
  <c r="AD415" i="21"/>
  <c r="AE415" i="21" s="1"/>
  <c r="Y415" i="21"/>
  <c r="Z415" i="21" s="1" a="1"/>
  <c r="Z415" i="21" s="1"/>
  <c r="AI415" i="21" s="1"/>
  <c r="AJ415" i="21" s="1"/>
  <c r="X415" i="21"/>
  <c r="W415" i="21"/>
  <c r="AQ415" i="21" s="1"/>
  <c r="V415" i="21"/>
  <c r="AO414" i="21"/>
  <c r="AL414" i="21"/>
  <c r="AD414" i="21"/>
  <c r="AE414" i="21" s="1"/>
  <c r="Y414" i="21"/>
  <c r="Z414" i="21" s="1" a="1"/>
  <c r="Z414" i="21" s="1"/>
  <c r="AI414" i="21" s="1"/>
  <c r="AJ414" i="21" s="1"/>
  <c r="X414" i="21"/>
  <c r="W414" i="21"/>
  <c r="AQ414" i="21" s="1"/>
  <c r="V414" i="21"/>
  <c r="AO413" i="21"/>
  <c r="AL413" i="21"/>
  <c r="AD413" i="21"/>
  <c r="AE413" i="21" s="1"/>
  <c r="Y413" i="21"/>
  <c r="Z413" i="21" s="1" a="1"/>
  <c r="Z413" i="21" s="1"/>
  <c r="AI413" i="21" s="1"/>
  <c r="AJ413" i="21" s="1"/>
  <c r="X413" i="21"/>
  <c r="W413" i="21"/>
  <c r="AQ413" i="21" s="1"/>
  <c r="V413" i="21"/>
  <c r="AO412" i="21"/>
  <c r="AL412" i="21"/>
  <c r="AD412" i="21"/>
  <c r="AE412" i="21" s="1"/>
  <c r="Y412" i="21"/>
  <c r="Z412" i="21" s="1" a="1"/>
  <c r="Z412" i="21" s="1"/>
  <c r="AI412" i="21" s="1"/>
  <c r="AJ412" i="21" s="1"/>
  <c r="X412" i="21"/>
  <c r="W412" i="21"/>
  <c r="AQ412" i="21" s="1"/>
  <c r="V412" i="21"/>
  <c r="AO411" i="21"/>
  <c r="AL411" i="21"/>
  <c r="AD411" i="21"/>
  <c r="AE411" i="21" s="1"/>
  <c r="Y411" i="21"/>
  <c r="Z411" i="21" s="1" a="1"/>
  <c r="Z411" i="21" s="1"/>
  <c r="AI411" i="21" s="1"/>
  <c r="AJ411" i="21" s="1"/>
  <c r="X411" i="21"/>
  <c r="W411" i="21"/>
  <c r="AQ411" i="21" s="1"/>
  <c r="V411" i="21"/>
  <c r="AO410" i="21"/>
  <c r="AL410" i="21"/>
  <c r="AD410" i="21"/>
  <c r="AE410" i="21" s="1"/>
  <c r="Y410" i="21"/>
  <c r="Z410" i="21" s="1" a="1"/>
  <c r="Z410" i="21" s="1"/>
  <c r="AI410" i="21" s="1"/>
  <c r="AJ410" i="21" s="1"/>
  <c r="X410" i="21"/>
  <c r="W410" i="21"/>
  <c r="AQ410" i="21" s="1"/>
  <c r="V410" i="21"/>
  <c r="AO409" i="21"/>
  <c r="AL409" i="21"/>
  <c r="AD409" i="21"/>
  <c r="AE409" i="21" s="1"/>
  <c r="Y409" i="21"/>
  <c r="Z409" i="21" s="1" a="1"/>
  <c r="Z409" i="21" s="1"/>
  <c r="AI409" i="21" s="1"/>
  <c r="AJ409" i="21" s="1"/>
  <c r="X409" i="21"/>
  <c r="W409" i="21"/>
  <c r="AQ409" i="21" s="1"/>
  <c r="V409" i="21"/>
  <c r="AO408" i="21"/>
  <c r="AL408" i="21"/>
  <c r="AD408" i="21"/>
  <c r="AE408" i="21" s="1"/>
  <c r="Y408" i="21"/>
  <c r="Z408" i="21" s="1" a="1"/>
  <c r="Z408" i="21" s="1"/>
  <c r="AI408" i="21" s="1"/>
  <c r="AJ408" i="21" s="1"/>
  <c r="X408" i="21"/>
  <c r="W408" i="21"/>
  <c r="AQ408" i="21" s="1"/>
  <c r="V408" i="21"/>
  <c r="AO407" i="21"/>
  <c r="AL407" i="21"/>
  <c r="AD407" i="21"/>
  <c r="AE407" i="21" s="1"/>
  <c r="Y407" i="21"/>
  <c r="Z407" i="21" s="1" a="1"/>
  <c r="Z407" i="21" s="1"/>
  <c r="AI407" i="21" s="1"/>
  <c r="AJ407" i="21" s="1"/>
  <c r="X407" i="21"/>
  <c r="W407" i="21"/>
  <c r="AQ407" i="21" s="1"/>
  <c r="V407" i="21"/>
  <c r="AO406" i="21"/>
  <c r="AL406" i="21"/>
  <c r="AD406" i="21"/>
  <c r="AE406" i="21" s="1"/>
  <c r="Y406" i="21"/>
  <c r="Z406" i="21" s="1" a="1"/>
  <c r="Z406" i="21" s="1"/>
  <c r="AI406" i="21" s="1"/>
  <c r="AJ406" i="21" s="1"/>
  <c r="X406" i="21"/>
  <c r="W406" i="21"/>
  <c r="AQ406" i="21" s="1"/>
  <c r="V406" i="21"/>
  <c r="AO405" i="21"/>
  <c r="AL405" i="21"/>
  <c r="AD405" i="21"/>
  <c r="AE405" i="21" s="1"/>
  <c r="Y405" i="21"/>
  <c r="Z405" i="21" s="1" a="1"/>
  <c r="Z405" i="21" s="1"/>
  <c r="AI405" i="21" s="1"/>
  <c r="AJ405" i="21" s="1"/>
  <c r="X405" i="21"/>
  <c r="W405" i="21"/>
  <c r="AQ405" i="21" s="1"/>
  <c r="V405" i="21"/>
  <c r="AO404" i="21"/>
  <c r="AL404" i="21"/>
  <c r="AD404" i="21"/>
  <c r="AE404" i="21" s="1"/>
  <c r="Y404" i="21"/>
  <c r="Z404" i="21" s="1" a="1"/>
  <c r="Z404" i="21" s="1"/>
  <c r="AI404" i="21" s="1"/>
  <c r="AJ404" i="21" s="1"/>
  <c r="X404" i="21"/>
  <c r="W404" i="21"/>
  <c r="AQ404" i="21" s="1"/>
  <c r="V404" i="21"/>
  <c r="AO403" i="21"/>
  <c r="AL403" i="21"/>
  <c r="AD403" i="21"/>
  <c r="AE403" i="21" s="1"/>
  <c r="Y403" i="21"/>
  <c r="Z403" i="21" s="1" a="1"/>
  <c r="Z403" i="21" s="1"/>
  <c r="AI403" i="21" s="1"/>
  <c r="AJ403" i="21" s="1"/>
  <c r="X403" i="21"/>
  <c r="W403" i="21"/>
  <c r="AQ403" i="21" s="1"/>
  <c r="V403" i="21"/>
  <c r="AO402" i="21"/>
  <c r="AL402" i="21"/>
  <c r="AA402" i="21"/>
  <c r="AD402" i="21" s="1"/>
  <c r="AE402" i="21" s="1"/>
  <c r="Y402" i="21"/>
  <c r="Z402" i="21" s="1" a="1"/>
  <c r="Z402" i="21" s="1"/>
  <c r="AI402" i="21" s="1"/>
  <c r="AJ402" i="21" s="1"/>
  <c r="X402" i="21"/>
  <c r="W402" i="21"/>
  <c r="AQ402" i="21" s="1"/>
  <c r="V402" i="21"/>
  <c r="AO401" i="21"/>
  <c r="AL401" i="21"/>
  <c r="AA401" i="21"/>
  <c r="AD401" i="21" s="1"/>
  <c r="AE401" i="21" s="1"/>
  <c r="Y401" i="21"/>
  <c r="Z401" i="21" s="1" a="1"/>
  <c r="Z401" i="21" s="1"/>
  <c r="AI401" i="21" s="1"/>
  <c r="AJ401" i="21" s="1"/>
  <c r="X401" i="21"/>
  <c r="W401" i="21"/>
  <c r="AQ401" i="21" s="1"/>
  <c r="V401" i="21"/>
  <c r="AO400" i="21"/>
  <c r="AL400" i="21"/>
  <c r="AD400" i="21"/>
  <c r="AE400" i="21" s="1"/>
  <c r="Y400" i="21"/>
  <c r="Z400" i="21" s="1" a="1"/>
  <c r="Z400" i="21" s="1"/>
  <c r="AI400" i="21" s="1"/>
  <c r="AJ400" i="21" s="1"/>
  <c r="X400" i="21"/>
  <c r="W400" i="21"/>
  <c r="AQ400" i="21" s="1"/>
  <c r="V400" i="21"/>
  <c r="AO399" i="21"/>
  <c r="AL399" i="21"/>
  <c r="AD399" i="21"/>
  <c r="AE399" i="21" s="1"/>
  <c r="Y399" i="21"/>
  <c r="Z399" i="21" s="1" a="1"/>
  <c r="Z399" i="21" s="1"/>
  <c r="AI399" i="21" s="1"/>
  <c r="AJ399" i="21" s="1"/>
  <c r="X399" i="21"/>
  <c r="W399" i="21"/>
  <c r="AQ399" i="21" s="1"/>
  <c r="V399" i="21"/>
  <c r="AO398" i="21"/>
  <c r="AL398" i="21"/>
  <c r="AC398" i="21"/>
  <c r="AA398" i="21"/>
  <c r="AD398" i="21" s="1"/>
  <c r="AE398" i="21" s="1"/>
  <c r="Y398" i="21"/>
  <c r="Z398" i="21" s="1" a="1"/>
  <c r="Z398" i="21" s="1"/>
  <c r="AI398" i="21" s="1"/>
  <c r="AJ398" i="21" s="1"/>
  <c r="X398" i="21"/>
  <c r="W398" i="21"/>
  <c r="AQ398" i="21" s="1"/>
  <c r="V398" i="21"/>
  <c r="AO397" i="21"/>
  <c r="AL397" i="21"/>
  <c r="AD397" i="21"/>
  <c r="AE397" i="21" s="1"/>
  <c r="Y397" i="21"/>
  <c r="Z397" i="21" s="1" a="1"/>
  <c r="Z397" i="21" s="1"/>
  <c r="AI397" i="21" s="1"/>
  <c r="AJ397" i="21" s="1"/>
  <c r="X397" i="21"/>
  <c r="W397" i="21"/>
  <c r="AQ397" i="21" s="1"/>
  <c r="V397" i="21"/>
  <c r="AO396" i="21"/>
  <c r="AL396" i="21"/>
  <c r="AD396" i="21"/>
  <c r="AE396" i="21" s="1"/>
  <c r="Y396" i="21"/>
  <c r="Z396" i="21" s="1" a="1"/>
  <c r="Z396" i="21" s="1"/>
  <c r="AI396" i="21" s="1"/>
  <c r="AJ396" i="21" s="1"/>
  <c r="X396" i="21"/>
  <c r="W396" i="21"/>
  <c r="AQ396" i="21" s="1"/>
  <c r="V396" i="21"/>
  <c r="AO395" i="21"/>
  <c r="AL395" i="21"/>
  <c r="AD395" i="21"/>
  <c r="AE395" i="21" s="1"/>
  <c r="Y395" i="21"/>
  <c r="Z395" i="21" s="1" a="1"/>
  <c r="Z395" i="21" s="1"/>
  <c r="AI395" i="21" s="1"/>
  <c r="AJ395" i="21" s="1"/>
  <c r="X395" i="21"/>
  <c r="W395" i="21"/>
  <c r="AQ395" i="21" s="1"/>
  <c r="V395" i="21"/>
  <c r="AO394" i="21"/>
  <c r="AL394" i="21"/>
  <c r="AD394" i="21"/>
  <c r="AE394" i="21" s="1"/>
  <c r="Y394" i="21"/>
  <c r="Z394" i="21" s="1" a="1"/>
  <c r="Z394" i="21" s="1"/>
  <c r="AI394" i="21" s="1"/>
  <c r="AJ394" i="21" s="1"/>
  <c r="X394" i="21"/>
  <c r="W394" i="21"/>
  <c r="AQ394" i="21" s="1"/>
  <c r="V394" i="21"/>
  <c r="AO393" i="21"/>
  <c r="AL393" i="21"/>
  <c r="AD393" i="21"/>
  <c r="AE393" i="21" s="1"/>
  <c r="Y393" i="21"/>
  <c r="Z393" i="21" s="1" a="1"/>
  <c r="Z393" i="21" s="1"/>
  <c r="AI393" i="21" s="1"/>
  <c r="AJ393" i="21" s="1"/>
  <c r="X393" i="21"/>
  <c r="W393" i="21"/>
  <c r="AQ393" i="21" s="1"/>
  <c r="V393" i="21"/>
  <c r="AO392" i="21"/>
  <c r="AL392" i="21"/>
  <c r="AD392" i="21"/>
  <c r="AE392" i="21" s="1"/>
  <c r="Y392" i="21"/>
  <c r="Z392" i="21" s="1" a="1"/>
  <c r="Z392" i="21" s="1"/>
  <c r="AI392" i="21" s="1"/>
  <c r="AJ392" i="21" s="1"/>
  <c r="X392" i="21"/>
  <c r="W392" i="21"/>
  <c r="AQ392" i="21" s="1"/>
  <c r="V392" i="21"/>
  <c r="AO391" i="21"/>
  <c r="AL391" i="21"/>
  <c r="AD391" i="21"/>
  <c r="AE391" i="21" s="1"/>
  <c r="Y391" i="21"/>
  <c r="Z391" i="21" s="1" a="1"/>
  <c r="Z391" i="21" s="1"/>
  <c r="AI391" i="21" s="1"/>
  <c r="AJ391" i="21" s="1"/>
  <c r="X391" i="21"/>
  <c r="W391" i="21"/>
  <c r="AQ391" i="21" s="1"/>
  <c r="V391" i="21"/>
  <c r="AO390" i="21"/>
  <c r="AL390" i="21"/>
  <c r="AD390" i="21"/>
  <c r="AE390" i="21" s="1"/>
  <c r="Y390" i="21"/>
  <c r="Z390" i="21" s="1" a="1"/>
  <c r="Z390" i="21" s="1"/>
  <c r="AI390" i="21" s="1"/>
  <c r="AJ390" i="21" s="1"/>
  <c r="X390" i="21"/>
  <c r="W390" i="21"/>
  <c r="AQ390" i="21" s="1"/>
  <c r="V390" i="21"/>
  <c r="AO389" i="21"/>
  <c r="AL389" i="21"/>
  <c r="AD389" i="21"/>
  <c r="AE389" i="21" s="1"/>
  <c r="Y389" i="21"/>
  <c r="Z389" i="21" s="1" a="1"/>
  <c r="Z389" i="21" s="1"/>
  <c r="AI389" i="21" s="1"/>
  <c r="AJ389" i="21" s="1"/>
  <c r="X389" i="21"/>
  <c r="W389" i="21"/>
  <c r="AQ389" i="21" s="1"/>
  <c r="V389" i="21"/>
  <c r="AO388" i="21"/>
  <c r="AL388" i="21"/>
  <c r="AA388" i="21"/>
  <c r="Y388" i="21"/>
  <c r="AO387" i="21"/>
  <c r="AL387" i="21"/>
  <c r="AD387" i="21"/>
  <c r="AE387" i="21" s="1"/>
  <c r="Y387" i="21"/>
  <c r="Z387" i="21" s="1" a="1"/>
  <c r="Z387" i="21" s="1"/>
  <c r="AI387" i="21" s="1"/>
  <c r="AJ387" i="21" s="1"/>
  <c r="X387" i="21"/>
  <c r="AO386" i="21"/>
  <c r="AL386" i="21"/>
  <c r="AD386" i="21"/>
  <c r="AE386" i="21" s="1"/>
  <c r="Y386" i="21"/>
  <c r="Z386" i="21" s="1" a="1"/>
  <c r="Z386" i="21" s="1"/>
  <c r="AI386" i="21" s="1"/>
  <c r="AJ386" i="21" s="1"/>
  <c r="X386" i="21"/>
  <c r="W386" i="21"/>
  <c r="AQ386" i="21" s="1"/>
  <c r="V386" i="21"/>
  <c r="AO385" i="21"/>
  <c r="AL385" i="21"/>
  <c r="AA385" i="21"/>
  <c r="Y385" i="21"/>
  <c r="AO384" i="21"/>
  <c r="AL384" i="21"/>
  <c r="AD384" i="21"/>
  <c r="AE384" i="21" s="1"/>
  <c r="Y384" i="21"/>
  <c r="Z384" i="21" s="1" a="1"/>
  <c r="Z384" i="21" s="1"/>
  <c r="AI384" i="21" s="1"/>
  <c r="AJ384" i="21" s="1"/>
  <c r="X384" i="21"/>
  <c r="W384" i="21"/>
  <c r="AQ384" i="21" s="1"/>
  <c r="V384" i="21"/>
  <c r="AO383" i="21"/>
  <c r="AL383" i="21"/>
  <c r="AA383" i="21"/>
  <c r="Y383" i="21"/>
  <c r="AO382" i="21"/>
  <c r="AL382" i="21"/>
  <c r="AD382" i="21"/>
  <c r="AE382" i="21" s="1"/>
  <c r="Y382" i="21"/>
  <c r="Z382" i="21" s="1" a="1"/>
  <c r="Z382" i="21" s="1"/>
  <c r="AI382" i="21" s="1"/>
  <c r="AJ382" i="21" s="1"/>
  <c r="X382" i="21"/>
  <c r="W382" i="21"/>
  <c r="AQ382" i="21" s="1"/>
  <c r="V382" i="21"/>
  <c r="AO381" i="21"/>
  <c r="AL381" i="21"/>
  <c r="AD381" i="21"/>
  <c r="AE381" i="21" s="1"/>
  <c r="Y381" i="21"/>
  <c r="Z381" i="21" s="1" a="1"/>
  <c r="Z381" i="21" s="1"/>
  <c r="AI381" i="21" s="1"/>
  <c r="AJ381" i="21" s="1"/>
  <c r="X381" i="21"/>
  <c r="W381" i="21"/>
  <c r="AQ381" i="21" s="1"/>
  <c r="V381" i="21"/>
  <c r="AO380" i="21"/>
  <c r="AL380" i="21"/>
  <c r="AA380" i="21"/>
  <c r="Y380" i="21"/>
  <c r="AO379" i="21"/>
  <c r="AL379" i="21"/>
  <c r="AA379" i="21"/>
  <c r="Y379" i="21"/>
  <c r="AO378" i="21"/>
  <c r="AL378" i="21"/>
  <c r="AD378" i="21"/>
  <c r="AE378" i="21" s="1"/>
  <c r="Y378" i="21"/>
  <c r="Z378" i="21" s="1" a="1"/>
  <c r="Z378" i="21" s="1"/>
  <c r="AI378" i="21" s="1"/>
  <c r="AJ378" i="21" s="1"/>
  <c r="X378" i="21"/>
  <c r="W378" i="21"/>
  <c r="AQ378" i="21" s="1"/>
  <c r="V378" i="21"/>
  <c r="AO377" i="21"/>
  <c r="AL377" i="21"/>
  <c r="AD377" i="21"/>
  <c r="AE377" i="21" s="1"/>
  <c r="Y377" i="21"/>
  <c r="Z377" i="21" s="1" a="1"/>
  <c r="Z377" i="21" s="1"/>
  <c r="AI377" i="21" s="1"/>
  <c r="AJ377" i="21" s="1"/>
  <c r="X377" i="21"/>
  <c r="W377" i="21"/>
  <c r="AQ377" i="21" s="1"/>
  <c r="V377" i="21"/>
  <c r="S377" i="21"/>
  <c r="AO376" i="21"/>
  <c r="AL376" i="21"/>
  <c r="AA376" i="21"/>
  <c r="AD376" i="21" s="1"/>
  <c r="AE376" i="21" s="1"/>
  <c r="U376" i="21"/>
  <c r="Y376" i="21" s="1"/>
  <c r="Z376" i="21" s="1" a="1"/>
  <c r="Z376" i="21" s="1"/>
  <c r="S376" i="21"/>
  <c r="AO375" i="21"/>
  <c r="AL375" i="21"/>
  <c r="AA375" i="21"/>
  <c r="AD375" i="21" s="1"/>
  <c r="AE375" i="21" s="1"/>
  <c r="U375" i="21"/>
  <c r="Y375" i="21" s="1"/>
  <c r="Z375" i="21" s="1" a="1"/>
  <c r="Z375" i="21" s="1"/>
  <c r="S375" i="21"/>
  <c r="AO374" i="21"/>
  <c r="AL374" i="21"/>
  <c r="AD374" i="21"/>
  <c r="AE374" i="21" s="1"/>
  <c r="Y374" i="21"/>
  <c r="Z374" i="21" s="1" a="1"/>
  <c r="Z374" i="21" s="1"/>
  <c r="AI374" i="21" s="1"/>
  <c r="AJ374" i="21" s="1"/>
  <c r="X374" i="21"/>
  <c r="W374" i="21"/>
  <c r="AQ374" i="21" s="1"/>
  <c r="V374" i="21"/>
  <c r="U374" i="21"/>
  <c r="S374" i="21"/>
  <c r="AO373" i="21"/>
  <c r="AL373" i="21"/>
  <c r="AD373" i="21"/>
  <c r="AE373" i="21" s="1"/>
  <c r="Y373" i="21"/>
  <c r="Z373" i="21" s="1" a="1"/>
  <c r="Z373" i="21" s="1"/>
  <c r="AI373" i="21" s="1"/>
  <c r="AJ373" i="21" s="1"/>
  <c r="X373" i="21"/>
  <c r="W373" i="21"/>
  <c r="AQ373" i="21" s="1"/>
  <c r="V373" i="21"/>
  <c r="U373" i="21"/>
  <c r="S373" i="21"/>
  <c r="AO372" i="21"/>
  <c r="AL372" i="21"/>
  <c r="AD372" i="21"/>
  <c r="AE372" i="21" s="1"/>
  <c r="Y372" i="21"/>
  <c r="Z372" i="21" s="1" a="1"/>
  <c r="Z372" i="21" s="1"/>
  <c r="AI372" i="21" s="1"/>
  <c r="AJ372" i="21" s="1"/>
  <c r="X372" i="21"/>
  <c r="W372" i="21"/>
  <c r="AQ372" i="21" s="1"/>
  <c r="V372" i="21"/>
  <c r="U372" i="21"/>
  <c r="S372" i="21"/>
  <c r="AO371" i="21"/>
  <c r="AL371" i="21"/>
  <c r="AD371" i="21"/>
  <c r="AE371" i="21" s="1"/>
  <c r="Y371" i="21"/>
  <c r="Z371" i="21" s="1" a="1"/>
  <c r="Z371" i="21" s="1"/>
  <c r="AI371" i="21" s="1"/>
  <c r="AJ371" i="21" s="1"/>
  <c r="X371" i="21"/>
  <c r="W371" i="21"/>
  <c r="AQ371" i="21" s="1"/>
  <c r="V371" i="21"/>
  <c r="U371" i="21"/>
  <c r="S371" i="21"/>
  <c r="AO370" i="21"/>
  <c r="AL370" i="21"/>
  <c r="AD370" i="21"/>
  <c r="AE370" i="21" s="1"/>
  <c r="Y370" i="21"/>
  <c r="Z370" i="21" s="1" a="1"/>
  <c r="Z370" i="21" s="1"/>
  <c r="AI370" i="21" s="1"/>
  <c r="AJ370" i="21" s="1"/>
  <c r="X370" i="21"/>
  <c r="W370" i="21"/>
  <c r="AQ370" i="21" s="1"/>
  <c r="V370" i="21"/>
  <c r="U370" i="21"/>
  <c r="S370" i="21"/>
  <c r="AO369" i="21"/>
  <c r="AL369" i="21"/>
  <c r="AD369" i="21"/>
  <c r="AE369" i="21" s="1"/>
  <c r="Y369" i="21"/>
  <c r="Z369" i="21" s="1" a="1"/>
  <c r="Z369" i="21" s="1"/>
  <c r="AI369" i="21" s="1"/>
  <c r="AJ369" i="21" s="1"/>
  <c r="X369" i="21"/>
  <c r="W369" i="21"/>
  <c r="AQ369" i="21" s="1"/>
  <c r="V369" i="21"/>
  <c r="U369" i="21"/>
  <c r="S369" i="21"/>
  <c r="AO368" i="21"/>
  <c r="AL368" i="21"/>
  <c r="AD368" i="21"/>
  <c r="AE368" i="21" s="1"/>
  <c r="Y368" i="21"/>
  <c r="Z368" i="21" s="1" a="1"/>
  <c r="Z368" i="21" s="1"/>
  <c r="AI368" i="21" s="1"/>
  <c r="AJ368" i="21" s="1"/>
  <c r="X368" i="21"/>
  <c r="W368" i="21"/>
  <c r="AQ368" i="21" s="1"/>
  <c r="V368" i="21"/>
  <c r="U368" i="21"/>
  <c r="S368" i="21"/>
  <c r="AO367" i="21"/>
  <c r="AL367" i="21"/>
  <c r="AD367" i="21"/>
  <c r="AE367" i="21" s="1"/>
  <c r="Y367" i="21"/>
  <c r="Z367" i="21" s="1" a="1"/>
  <c r="Z367" i="21" s="1"/>
  <c r="AI367" i="21" s="1"/>
  <c r="AJ367" i="21" s="1"/>
  <c r="X367" i="21"/>
  <c r="W367" i="21"/>
  <c r="AQ367" i="21" s="1"/>
  <c r="V367" i="21"/>
  <c r="U367" i="21"/>
  <c r="S367" i="21"/>
  <c r="AO366" i="21"/>
  <c r="AL366" i="21"/>
  <c r="AD366" i="21"/>
  <c r="AE366" i="21" s="1"/>
  <c r="Y366" i="21"/>
  <c r="Z366" i="21" s="1" a="1"/>
  <c r="Z366" i="21" s="1"/>
  <c r="AI366" i="21" s="1"/>
  <c r="AJ366" i="21" s="1"/>
  <c r="X366" i="21"/>
  <c r="W366" i="21"/>
  <c r="AQ366" i="21" s="1"/>
  <c r="V366" i="21"/>
  <c r="U366" i="21"/>
  <c r="S366" i="21"/>
  <c r="AO365" i="21"/>
  <c r="AL365" i="21"/>
  <c r="AD365" i="21"/>
  <c r="AE365" i="21" s="1"/>
  <c r="Y365" i="21"/>
  <c r="Z365" i="21" s="1" a="1"/>
  <c r="Z365" i="21" s="1"/>
  <c r="AI365" i="21" s="1"/>
  <c r="AJ365" i="21" s="1"/>
  <c r="X365" i="21"/>
  <c r="W365" i="21"/>
  <c r="AQ365" i="21" s="1"/>
  <c r="V365" i="21"/>
  <c r="U365" i="21"/>
  <c r="S365" i="21"/>
  <c r="AO364" i="21"/>
  <c r="AL364" i="21"/>
  <c r="AD364" i="21"/>
  <c r="AE364" i="21" s="1"/>
  <c r="Y364" i="21"/>
  <c r="Z364" i="21" s="1" a="1"/>
  <c r="Z364" i="21" s="1"/>
  <c r="AI364" i="21" s="1"/>
  <c r="AJ364" i="21" s="1"/>
  <c r="X364" i="21"/>
  <c r="W364" i="21"/>
  <c r="AQ364" i="21" s="1"/>
  <c r="V364" i="21"/>
  <c r="U364" i="21"/>
  <c r="S364" i="21"/>
  <c r="AO363" i="21"/>
  <c r="AL363" i="21"/>
  <c r="AD363" i="21"/>
  <c r="AE363" i="21" s="1"/>
  <c r="Y363" i="21"/>
  <c r="Z363" i="21" s="1" a="1"/>
  <c r="Z363" i="21" s="1"/>
  <c r="AI363" i="21" s="1"/>
  <c r="AJ363" i="21" s="1"/>
  <c r="X363" i="21"/>
  <c r="W363" i="21"/>
  <c r="AQ363" i="21" s="1"/>
  <c r="V363" i="21"/>
  <c r="U363" i="21"/>
  <c r="S363" i="21"/>
  <c r="AO362" i="21"/>
  <c r="AL362" i="21"/>
  <c r="AD362" i="21"/>
  <c r="AE362" i="21" s="1"/>
  <c r="Y362" i="21"/>
  <c r="Z362" i="21" s="1" a="1"/>
  <c r="Z362" i="21" s="1"/>
  <c r="AI362" i="21" s="1"/>
  <c r="AJ362" i="21" s="1"/>
  <c r="X362" i="21"/>
  <c r="W362" i="21"/>
  <c r="AQ362" i="21" s="1"/>
  <c r="V362" i="21"/>
  <c r="U362" i="21"/>
  <c r="S362" i="21"/>
  <c r="AO361" i="21"/>
  <c r="AL361" i="21"/>
  <c r="AD361" i="21"/>
  <c r="AE361" i="21" s="1"/>
  <c r="Y361" i="21"/>
  <c r="Z361" i="21" s="1" a="1"/>
  <c r="Z361" i="21" s="1"/>
  <c r="AI361" i="21" s="1"/>
  <c r="AJ361" i="21" s="1"/>
  <c r="X361" i="21"/>
  <c r="W361" i="21"/>
  <c r="AQ361" i="21" s="1"/>
  <c r="V361" i="21"/>
  <c r="U361" i="21"/>
  <c r="S361" i="21"/>
  <c r="AO360" i="21"/>
  <c r="AL360" i="21"/>
  <c r="AD360" i="21"/>
  <c r="AE360" i="21" s="1"/>
  <c r="Y360" i="21"/>
  <c r="Z360" i="21" s="1" a="1"/>
  <c r="Z360" i="21" s="1"/>
  <c r="AI360" i="21" s="1"/>
  <c r="AJ360" i="21" s="1"/>
  <c r="X360" i="21"/>
  <c r="W360" i="21"/>
  <c r="AQ360" i="21" s="1"/>
  <c r="V360" i="21"/>
  <c r="U360" i="21"/>
  <c r="S360" i="21"/>
  <c r="AO359" i="21"/>
  <c r="AL359" i="21"/>
  <c r="AD359" i="21"/>
  <c r="AE359" i="21" s="1"/>
  <c r="Y359" i="21"/>
  <c r="Z359" i="21" s="1" a="1"/>
  <c r="Z359" i="21" s="1"/>
  <c r="AI359" i="21" s="1"/>
  <c r="AJ359" i="21" s="1"/>
  <c r="X359" i="21"/>
  <c r="W359" i="21"/>
  <c r="AQ359" i="21" s="1"/>
  <c r="V359" i="21"/>
  <c r="U359" i="21"/>
  <c r="S359" i="21"/>
  <c r="AO358" i="21"/>
  <c r="AL358" i="21"/>
  <c r="AD358" i="21"/>
  <c r="AE358" i="21" s="1"/>
  <c r="Y358" i="21"/>
  <c r="Z358" i="21" s="1" a="1"/>
  <c r="Z358" i="21" s="1"/>
  <c r="AI358" i="21" s="1"/>
  <c r="AJ358" i="21" s="1"/>
  <c r="X358" i="21"/>
  <c r="W358" i="21"/>
  <c r="AQ358" i="21" s="1"/>
  <c r="V358" i="21"/>
  <c r="U358" i="21"/>
  <c r="S358" i="21"/>
  <c r="AO357" i="21"/>
  <c r="AL357" i="21"/>
  <c r="AD357" i="21"/>
  <c r="AE357" i="21" s="1"/>
  <c r="Y357" i="21"/>
  <c r="Z357" i="21" s="1" a="1"/>
  <c r="Z357" i="21" s="1"/>
  <c r="AI357" i="21" s="1"/>
  <c r="AJ357" i="21" s="1"/>
  <c r="X357" i="21"/>
  <c r="W357" i="21"/>
  <c r="AQ357" i="21" s="1"/>
  <c r="V357" i="21"/>
  <c r="U357" i="21"/>
  <c r="S357" i="21"/>
  <c r="AO356" i="21"/>
  <c r="AL356" i="21"/>
  <c r="AA356" i="21"/>
  <c r="AD356" i="21" s="1"/>
  <c r="AE356" i="21" s="1"/>
  <c r="Y356" i="21"/>
  <c r="Z356" i="21" s="1" a="1"/>
  <c r="Z356" i="21" s="1"/>
  <c r="AI356" i="21" s="1"/>
  <c r="AJ356" i="21" s="1"/>
  <c r="X356" i="21"/>
  <c r="W356" i="21"/>
  <c r="AQ356" i="21" s="1"/>
  <c r="V356" i="21"/>
  <c r="U356" i="21"/>
  <c r="S356" i="21"/>
  <c r="AO355" i="21"/>
  <c r="AL355" i="21"/>
  <c r="AA355" i="21"/>
  <c r="Y355" i="21"/>
  <c r="U355" i="21"/>
  <c r="AO354" i="21"/>
  <c r="AL354" i="21"/>
  <c r="AA354" i="21"/>
  <c r="AD354" i="21" s="1"/>
  <c r="AE354" i="21" s="1"/>
  <c r="Y354" i="21"/>
  <c r="Z354" i="21" s="1" a="1"/>
  <c r="Z354" i="21" s="1"/>
  <c r="AI354" i="21" s="1"/>
  <c r="AJ354" i="21" s="1"/>
  <c r="X354" i="21"/>
  <c r="W354" i="21"/>
  <c r="AQ354" i="21" s="1"/>
  <c r="V354" i="21"/>
  <c r="U354" i="21"/>
  <c r="AO353" i="21"/>
  <c r="AL353" i="21"/>
  <c r="AA353" i="21"/>
  <c r="AD353" i="21" s="1"/>
  <c r="AE353" i="21" s="1"/>
  <c r="Y353" i="21"/>
  <c r="Z353" i="21" s="1" a="1"/>
  <c r="Z353" i="21" s="1"/>
  <c r="AI353" i="21" s="1"/>
  <c r="AJ353" i="21" s="1"/>
  <c r="X353" i="21"/>
  <c r="W353" i="21"/>
  <c r="AQ353" i="21" s="1"/>
  <c r="V353" i="21"/>
  <c r="U353" i="21"/>
  <c r="AO352" i="21"/>
  <c r="AL352" i="21"/>
  <c r="Y352" i="21"/>
  <c r="U352" i="21"/>
  <c r="S352" i="21"/>
  <c r="AA352" i="21" s="1"/>
  <c r="AD352" i="21" s="1"/>
  <c r="AO351" i="21"/>
  <c r="AL351" i="21"/>
  <c r="Y351" i="21"/>
  <c r="U351" i="21"/>
  <c r="S351" i="21"/>
  <c r="AA351" i="21" s="1"/>
  <c r="AD351" i="21" s="1"/>
  <c r="AO350" i="21"/>
  <c r="AL350" i="21"/>
  <c r="Y350" i="21"/>
  <c r="U350" i="21"/>
  <c r="S350" i="21"/>
  <c r="AA350" i="21" s="1"/>
  <c r="AD350" i="21" s="1"/>
  <c r="AO349" i="21"/>
  <c r="AL349" i="21"/>
  <c r="Y349" i="21"/>
  <c r="U349" i="21"/>
  <c r="S349" i="21"/>
  <c r="AA349" i="21" s="1"/>
  <c r="AD349" i="21" s="1"/>
  <c r="AO348" i="21"/>
  <c r="AL348" i="21"/>
  <c r="Y348" i="21"/>
  <c r="U348" i="21"/>
  <c r="S348" i="21"/>
  <c r="AA348" i="21" s="1"/>
  <c r="AD348" i="21" s="1"/>
  <c r="AO347" i="21"/>
  <c r="AL347" i="21"/>
  <c r="Y347" i="21"/>
  <c r="U347" i="21"/>
  <c r="S347" i="21"/>
  <c r="AA347" i="21" s="1"/>
  <c r="AD347" i="21" s="1"/>
  <c r="AO346" i="21"/>
  <c r="AL346" i="21"/>
  <c r="Y346" i="21"/>
  <c r="U346" i="21"/>
  <c r="S346" i="21"/>
  <c r="AA346" i="21" s="1"/>
  <c r="AD346" i="21" s="1"/>
  <c r="AO345" i="21"/>
  <c r="AL345" i="21"/>
  <c r="Y345" i="21"/>
  <c r="U345" i="21"/>
  <c r="S345" i="21"/>
  <c r="AA345" i="21" s="1"/>
  <c r="AD345" i="21" s="1"/>
  <c r="AO344" i="21"/>
  <c r="AL344" i="21"/>
  <c r="Y344" i="21"/>
  <c r="U344" i="21"/>
  <c r="S344" i="21"/>
  <c r="AA344" i="21" s="1"/>
  <c r="AD344" i="21" s="1"/>
  <c r="AO343" i="21"/>
  <c r="AL343" i="21"/>
  <c r="Y343" i="21"/>
  <c r="U343" i="21"/>
  <c r="S343" i="21"/>
  <c r="AA343" i="21" s="1"/>
  <c r="AD343" i="21" s="1"/>
  <c r="AO342" i="21"/>
  <c r="AL342" i="21"/>
  <c r="Y342" i="21"/>
  <c r="U342" i="21"/>
  <c r="S342" i="21"/>
  <c r="AA342" i="21" s="1"/>
  <c r="AD342" i="21" s="1"/>
  <c r="AO341" i="21"/>
  <c r="AL341" i="21"/>
  <c r="Y341" i="21"/>
  <c r="U341" i="21"/>
  <c r="S341" i="21"/>
  <c r="AA341" i="21" s="1"/>
  <c r="AD341" i="21" s="1"/>
  <c r="AO340" i="21"/>
  <c r="AL340" i="21"/>
  <c r="Y340" i="21"/>
  <c r="U340" i="21"/>
  <c r="S340" i="21"/>
  <c r="AA340" i="21" s="1"/>
  <c r="AD340" i="21" s="1"/>
  <c r="AO339" i="21"/>
  <c r="AL339" i="21"/>
  <c r="Y339" i="21"/>
  <c r="U339" i="21"/>
  <c r="S339" i="21"/>
  <c r="AA339" i="21" s="1"/>
  <c r="AD339" i="21" s="1"/>
  <c r="AO338" i="21"/>
  <c r="AL338" i="21"/>
  <c r="Y338" i="21"/>
  <c r="U338" i="21"/>
  <c r="S338" i="21"/>
  <c r="AA338" i="21" s="1"/>
  <c r="AD338" i="21" s="1"/>
  <c r="AO337" i="21"/>
  <c r="AL337" i="21"/>
  <c r="Y337" i="21"/>
  <c r="U337" i="21"/>
  <c r="S337" i="21"/>
  <c r="AA337" i="21" s="1"/>
  <c r="AD337" i="21" s="1"/>
  <c r="AO336" i="21"/>
  <c r="AL336" i="21"/>
  <c r="Y336" i="21"/>
  <c r="U336" i="21"/>
  <c r="S336" i="21"/>
  <c r="AA336" i="21" s="1"/>
  <c r="AD336" i="21" s="1"/>
  <c r="AO335" i="21"/>
  <c r="AL335" i="21"/>
  <c r="Y335" i="21"/>
  <c r="U335" i="21"/>
  <c r="S335" i="21"/>
  <c r="AA335" i="21" s="1"/>
  <c r="AD335" i="21" s="1"/>
  <c r="AO334" i="21"/>
  <c r="AL334" i="21"/>
  <c r="AC334" i="21"/>
  <c r="Y334" i="21"/>
  <c r="U334" i="21"/>
  <c r="S334" i="21"/>
  <c r="AA334" i="21" s="1"/>
  <c r="AD334" i="21" s="1"/>
  <c r="AO333" i="21"/>
  <c r="AL333" i="21"/>
  <c r="Y333" i="21"/>
  <c r="U333" i="21"/>
  <c r="S333" i="21"/>
  <c r="AA333" i="21" s="1"/>
  <c r="AO332" i="21"/>
  <c r="AL332" i="21"/>
  <c r="Y332" i="21"/>
  <c r="U332" i="21"/>
  <c r="S332" i="21"/>
  <c r="AA332" i="21" s="1"/>
  <c r="AO331" i="21"/>
  <c r="AL331" i="21"/>
  <c r="Y331" i="21"/>
  <c r="U331" i="21"/>
  <c r="S331" i="21"/>
  <c r="AA331" i="21" s="1"/>
  <c r="AO330" i="21"/>
  <c r="AL330" i="21"/>
  <c r="Y330" i="21"/>
  <c r="U330" i="21"/>
  <c r="S330" i="21"/>
  <c r="AA330" i="21" s="1"/>
  <c r="AO329" i="21"/>
  <c r="AL329" i="21"/>
  <c r="AA329" i="21"/>
  <c r="Y329" i="21"/>
  <c r="U329" i="21"/>
  <c r="S329" i="21"/>
  <c r="AO328" i="21"/>
  <c r="AL328" i="21"/>
  <c r="AA328" i="21"/>
  <c r="Y328" i="21"/>
  <c r="U328" i="21"/>
  <c r="S328" i="21"/>
  <c r="AO327" i="21"/>
  <c r="AL327" i="21"/>
  <c r="AD327" i="21"/>
  <c r="AE327" i="21" s="1"/>
  <c r="Y327" i="21"/>
  <c r="Z327" i="21" s="1" a="1"/>
  <c r="Z327" i="21" s="1"/>
  <c r="AI327" i="21" s="1"/>
  <c r="AJ327" i="21" s="1"/>
  <c r="X327" i="21"/>
  <c r="W327" i="21"/>
  <c r="AQ327" i="21" s="1"/>
  <c r="V327" i="21"/>
  <c r="U327" i="21"/>
  <c r="S327" i="21"/>
  <c r="AO326" i="21"/>
  <c r="AL326" i="21"/>
  <c r="AD326" i="21"/>
  <c r="AE326" i="21" s="1"/>
  <c r="Y326" i="21"/>
  <c r="Z326" i="21" s="1" a="1"/>
  <c r="Z326" i="21" s="1"/>
  <c r="AI326" i="21" s="1"/>
  <c r="AJ326" i="21" s="1"/>
  <c r="X326" i="21"/>
  <c r="W326" i="21"/>
  <c r="AQ326" i="21" s="1"/>
  <c r="V326" i="21"/>
  <c r="U326" i="21"/>
  <c r="S326" i="21"/>
  <c r="AO325" i="21"/>
  <c r="AL325" i="21"/>
  <c r="AD325" i="21"/>
  <c r="AE325" i="21" s="1"/>
  <c r="Y325" i="21"/>
  <c r="Z325" i="21" s="1" a="1"/>
  <c r="Z325" i="21" s="1"/>
  <c r="AI325" i="21" s="1"/>
  <c r="AJ325" i="21" s="1"/>
  <c r="X325" i="21"/>
  <c r="W325" i="21"/>
  <c r="AQ325" i="21" s="1"/>
  <c r="V325" i="21"/>
  <c r="U325" i="21"/>
  <c r="S325" i="21"/>
  <c r="AO324" i="21"/>
  <c r="AL324" i="21"/>
  <c r="AD324" i="21"/>
  <c r="AE324" i="21" s="1"/>
  <c r="Y324" i="21"/>
  <c r="Z324" i="21" s="1" a="1"/>
  <c r="Z324" i="21" s="1"/>
  <c r="AI324" i="21" s="1"/>
  <c r="AJ324" i="21" s="1"/>
  <c r="X324" i="21"/>
  <c r="W324" i="21"/>
  <c r="AQ324" i="21" s="1"/>
  <c r="V324" i="21"/>
  <c r="U324" i="21"/>
  <c r="S324" i="21"/>
  <c r="AO323" i="21"/>
  <c r="AL323" i="21"/>
  <c r="AD323" i="21"/>
  <c r="AE323" i="21" s="1"/>
  <c r="Y323" i="21"/>
  <c r="Z323" i="21" s="1" a="1"/>
  <c r="Z323" i="21" s="1"/>
  <c r="AI323" i="21" s="1"/>
  <c r="AJ323" i="21" s="1"/>
  <c r="X323" i="21"/>
  <c r="W323" i="21"/>
  <c r="AQ323" i="21" s="1"/>
  <c r="V323" i="21"/>
  <c r="U323" i="21"/>
  <c r="S323" i="21"/>
  <c r="AO322" i="21"/>
  <c r="AL322" i="21"/>
  <c r="AD322" i="21"/>
  <c r="AE322" i="21" s="1"/>
  <c r="Y322" i="21"/>
  <c r="Z322" i="21" s="1" a="1"/>
  <c r="Z322" i="21" s="1"/>
  <c r="AI322" i="21" s="1"/>
  <c r="AJ322" i="21" s="1"/>
  <c r="X322" i="21"/>
  <c r="W322" i="21"/>
  <c r="AQ322" i="21" s="1"/>
  <c r="V322" i="21"/>
  <c r="U322" i="21"/>
  <c r="S322" i="21"/>
  <c r="AO321" i="21"/>
  <c r="AL321" i="21"/>
  <c r="AD321" i="21"/>
  <c r="AE321" i="21" s="1"/>
  <c r="Y321" i="21"/>
  <c r="Z321" i="21" s="1" a="1"/>
  <c r="Z321" i="21" s="1"/>
  <c r="AI321" i="21" s="1"/>
  <c r="AJ321" i="21" s="1"/>
  <c r="X321" i="21"/>
  <c r="W321" i="21"/>
  <c r="AQ321" i="21" s="1"/>
  <c r="V321" i="21"/>
  <c r="U321" i="21"/>
  <c r="S321" i="21"/>
  <c r="AO320" i="21"/>
  <c r="AL320" i="21"/>
  <c r="AD320" i="21"/>
  <c r="AE320" i="21" s="1"/>
  <c r="Y320" i="21"/>
  <c r="Z320" i="21" s="1" a="1"/>
  <c r="Z320" i="21" s="1"/>
  <c r="AI320" i="21" s="1"/>
  <c r="AJ320" i="21" s="1"/>
  <c r="X320" i="21"/>
  <c r="W320" i="21"/>
  <c r="AQ320" i="21" s="1"/>
  <c r="V320" i="21"/>
  <c r="U320" i="21"/>
  <c r="S320" i="21"/>
  <c r="AO319" i="21"/>
  <c r="AL319" i="21"/>
  <c r="AD319" i="21"/>
  <c r="AE319" i="21" s="1"/>
  <c r="Y319" i="21"/>
  <c r="Z319" i="21" s="1" a="1"/>
  <c r="Z319" i="21" s="1"/>
  <c r="AI319" i="21" s="1"/>
  <c r="AJ319" i="21" s="1"/>
  <c r="X319" i="21"/>
  <c r="W319" i="21"/>
  <c r="AQ319" i="21" s="1"/>
  <c r="V319" i="21"/>
  <c r="U319" i="21"/>
  <c r="S319" i="21"/>
  <c r="AO318" i="21"/>
  <c r="AL318" i="21"/>
  <c r="AD318" i="21"/>
  <c r="AE318" i="21" s="1"/>
  <c r="Y318" i="21"/>
  <c r="Z318" i="21" s="1" a="1"/>
  <c r="Z318" i="21" s="1"/>
  <c r="AI318" i="21" s="1"/>
  <c r="AJ318" i="21" s="1"/>
  <c r="X318" i="21"/>
  <c r="W318" i="21"/>
  <c r="AQ318" i="21" s="1"/>
  <c r="V318" i="21"/>
  <c r="U318" i="21"/>
  <c r="S318" i="21"/>
  <c r="AO317" i="21"/>
  <c r="AL317" i="21"/>
  <c r="AD317" i="21"/>
  <c r="AE317" i="21" s="1"/>
  <c r="Y317" i="21"/>
  <c r="Z317" i="21" s="1" a="1"/>
  <c r="Z317" i="21" s="1"/>
  <c r="AI317" i="21" s="1"/>
  <c r="AJ317" i="21" s="1"/>
  <c r="X317" i="21"/>
  <c r="W317" i="21"/>
  <c r="AQ317" i="21" s="1"/>
  <c r="V317" i="21"/>
  <c r="U317" i="21"/>
  <c r="S317" i="21"/>
  <c r="AO316" i="21"/>
  <c r="AL316" i="21"/>
  <c r="AD316" i="21"/>
  <c r="AE316" i="21" s="1"/>
  <c r="Y316" i="21"/>
  <c r="Z316" i="21" s="1" a="1"/>
  <c r="Z316" i="21" s="1"/>
  <c r="AI316" i="21" s="1"/>
  <c r="AJ316" i="21" s="1"/>
  <c r="X316" i="21"/>
  <c r="W316" i="21"/>
  <c r="AQ316" i="21" s="1"/>
  <c r="V316" i="21"/>
  <c r="U316" i="21"/>
  <c r="S316" i="21"/>
  <c r="AO315" i="21"/>
  <c r="AL315" i="21"/>
  <c r="AD315" i="21"/>
  <c r="AE315" i="21" s="1"/>
  <c r="Y315" i="21"/>
  <c r="Z315" i="21" s="1" a="1"/>
  <c r="Z315" i="21" s="1"/>
  <c r="AI315" i="21" s="1"/>
  <c r="AJ315" i="21" s="1"/>
  <c r="X315" i="21"/>
  <c r="W315" i="21"/>
  <c r="AQ315" i="21" s="1"/>
  <c r="V315" i="21"/>
  <c r="U315" i="21"/>
  <c r="S315" i="21"/>
  <c r="AO314" i="21"/>
  <c r="AL314" i="21"/>
  <c r="AD314" i="21"/>
  <c r="AE314" i="21" s="1"/>
  <c r="Y314" i="21"/>
  <c r="Z314" i="21" s="1" a="1"/>
  <c r="Z314" i="21" s="1"/>
  <c r="AI314" i="21" s="1"/>
  <c r="AJ314" i="21" s="1"/>
  <c r="X314" i="21"/>
  <c r="W314" i="21"/>
  <c r="AQ314" i="21" s="1"/>
  <c r="V314" i="21"/>
  <c r="U314" i="21"/>
  <c r="S314" i="21"/>
  <c r="AO313" i="21"/>
  <c r="AL313" i="21"/>
  <c r="AD313" i="21"/>
  <c r="AE313" i="21" s="1"/>
  <c r="Y313" i="21"/>
  <c r="Z313" i="21" s="1" a="1"/>
  <c r="Z313" i="21" s="1"/>
  <c r="AI313" i="21" s="1"/>
  <c r="AJ313" i="21" s="1"/>
  <c r="X313" i="21"/>
  <c r="W313" i="21"/>
  <c r="AQ313" i="21" s="1"/>
  <c r="V313" i="21"/>
  <c r="U313" i="21"/>
  <c r="S313" i="21"/>
  <c r="AO312" i="21"/>
  <c r="AL312" i="21"/>
  <c r="AD312" i="21"/>
  <c r="AE312" i="21" s="1"/>
  <c r="Y312" i="21"/>
  <c r="Z312" i="21" s="1" a="1"/>
  <c r="Z312" i="21" s="1"/>
  <c r="AI312" i="21" s="1"/>
  <c r="AJ312" i="21" s="1"/>
  <c r="X312" i="21"/>
  <c r="W312" i="21"/>
  <c r="AQ312" i="21" s="1"/>
  <c r="V312" i="21"/>
  <c r="U312" i="21"/>
  <c r="S312" i="21"/>
  <c r="AO311" i="21"/>
  <c r="AL311" i="21"/>
  <c r="AD311" i="21"/>
  <c r="AE311" i="21" s="1"/>
  <c r="Y311" i="21"/>
  <c r="Z311" i="21" s="1" a="1"/>
  <c r="Z311" i="21" s="1"/>
  <c r="AI311" i="21" s="1"/>
  <c r="AJ311" i="21" s="1"/>
  <c r="X311" i="21"/>
  <c r="W311" i="21"/>
  <c r="AQ311" i="21" s="1"/>
  <c r="V311" i="21"/>
  <c r="U311" i="21"/>
  <c r="S311" i="21"/>
  <c r="AO310" i="21"/>
  <c r="AL310" i="21"/>
  <c r="AD310" i="21"/>
  <c r="AE310" i="21" s="1"/>
  <c r="Y310" i="21"/>
  <c r="Z310" i="21" s="1" a="1"/>
  <c r="Z310" i="21" s="1"/>
  <c r="AI310" i="21" s="1"/>
  <c r="AJ310" i="21" s="1"/>
  <c r="X310" i="21"/>
  <c r="W310" i="21"/>
  <c r="AQ310" i="21" s="1"/>
  <c r="V310" i="21"/>
  <c r="U310" i="21"/>
  <c r="S310" i="21"/>
  <c r="AO309" i="21"/>
  <c r="AL309" i="21"/>
  <c r="AD309" i="21"/>
  <c r="AE309" i="21" s="1"/>
  <c r="Y309" i="21"/>
  <c r="Z309" i="21" s="1" a="1"/>
  <c r="Z309" i="21" s="1"/>
  <c r="AI309" i="21" s="1"/>
  <c r="AJ309" i="21" s="1"/>
  <c r="X309" i="21"/>
  <c r="W309" i="21"/>
  <c r="AQ309" i="21" s="1"/>
  <c r="V309" i="21"/>
  <c r="U309" i="21"/>
  <c r="S309" i="21"/>
  <c r="AO308" i="21"/>
  <c r="AL308" i="21"/>
  <c r="AD308" i="21"/>
  <c r="AE308" i="21" s="1"/>
  <c r="Y308" i="21"/>
  <c r="Z308" i="21" s="1" a="1"/>
  <c r="Z308" i="21" s="1"/>
  <c r="AI308" i="21" s="1"/>
  <c r="AJ308" i="21" s="1"/>
  <c r="X308" i="21"/>
  <c r="W308" i="21"/>
  <c r="AQ308" i="21" s="1"/>
  <c r="V308" i="21"/>
  <c r="U308" i="21"/>
  <c r="S308" i="21"/>
  <c r="AO307" i="21"/>
  <c r="AL307" i="21"/>
  <c r="AD307" i="21"/>
  <c r="AE307" i="21" s="1"/>
  <c r="Y307" i="21"/>
  <c r="Z307" i="21" s="1" a="1"/>
  <c r="Z307" i="21" s="1"/>
  <c r="AI307" i="21" s="1"/>
  <c r="AJ307" i="21" s="1"/>
  <c r="X307" i="21"/>
  <c r="W307" i="21"/>
  <c r="AQ307" i="21" s="1"/>
  <c r="V307" i="21"/>
  <c r="U307" i="21"/>
  <c r="S307" i="21"/>
  <c r="AO306" i="21"/>
  <c r="AL306" i="21"/>
  <c r="AD306" i="21"/>
  <c r="AE306" i="21" s="1"/>
  <c r="Y306" i="21"/>
  <c r="Z306" i="21" s="1" a="1"/>
  <c r="Z306" i="21" s="1"/>
  <c r="AI306" i="21" s="1"/>
  <c r="AJ306" i="21" s="1"/>
  <c r="X306" i="21"/>
  <c r="W306" i="21"/>
  <c r="AQ306" i="21" s="1"/>
  <c r="V306" i="21"/>
  <c r="U306" i="21"/>
  <c r="S306" i="21"/>
  <c r="AO305" i="21"/>
  <c r="AL305" i="21"/>
  <c r="AD305" i="21"/>
  <c r="AE305" i="21" s="1"/>
  <c r="Y305" i="21"/>
  <c r="Z305" i="21" s="1" a="1"/>
  <c r="Z305" i="21" s="1"/>
  <c r="AI305" i="21" s="1"/>
  <c r="AJ305" i="21" s="1"/>
  <c r="X305" i="21"/>
  <c r="W305" i="21"/>
  <c r="AQ305" i="21" s="1"/>
  <c r="V305" i="21"/>
  <c r="U305" i="21"/>
  <c r="S305" i="21"/>
  <c r="AO304" i="21"/>
  <c r="AL304" i="21"/>
  <c r="AD304" i="21"/>
  <c r="AE304" i="21" s="1"/>
  <c r="Z304" i="21" a="1"/>
  <c r="Z304" i="21" s="1"/>
  <c r="AI304" i="21" s="1"/>
  <c r="AJ304" i="21" s="1"/>
  <c r="X304" i="21"/>
  <c r="W304" i="21"/>
  <c r="AQ304" i="21" s="1"/>
  <c r="V304" i="21"/>
  <c r="U304" i="21"/>
  <c r="S304" i="21"/>
  <c r="AO303" i="21"/>
  <c r="AL303" i="21"/>
  <c r="AD303" i="21"/>
  <c r="AE303" i="21" s="1"/>
  <c r="Z303" i="21" a="1"/>
  <c r="Z303" i="21" s="1"/>
  <c r="AI303" i="21" s="1"/>
  <c r="AJ303" i="21" s="1"/>
  <c r="X303" i="21"/>
  <c r="W303" i="21"/>
  <c r="AQ303" i="21" s="1"/>
  <c r="V303" i="21"/>
  <c r="U303" i="21"/>
  <c r="S303" i="21"/>
  <c r="AO302" i="21"/>
  <c r="AL302" i="21"/>
  <c r="AD302" i="21"/>
  <c r="AE302" i="21" s="1"/>
  <c r="Z302" i="21" a="1"/>
  <c r="Z302" i="21" s="1"/>
  <c r="AI302" i="21" s="1"/>
  <c r="AJ302" i="21" s="1"/>
  <c r="X302" i="21"/>
  <c r="W302" i="21"/>
  <c r="AQ302" i="21" s="1"/>
  <c r="V302" i="21"/>
  <c r="U302" i="21"/>
  <c r="S302" i="21"/>
  <c r="AO301" i="21"/>
  <c r="AL301" i="21"/>
  <c r="AA301" i="21"/>
  <c r="U301" i="21"/>
  <c r="S301" i="21"/>
  <c r="AO300" i="21"/>
  <c r="AL300" i="21"/>
  <c r="AD300" i="21"/>
  <c r="AE300" i="21" s="1"/>
  <c r="Y300" i="21"/>
  <c r="Z300" i="21" s="1" a="1"/>
  <c r="Z300" i="21" s="1"/>
  <c r="AI300" i="21" s="1"/>
  <c r="AJ300" i="21" s="1"/>
  <c r="X300" i="21"/>
  <c r="W300" i="21"/>
  <c r="AQ300" i="21" s="1"/>
  <c r="V300" i="21"/>
  <c r="U300" i="21"/>
  <c r="S300" i="21"/>
  <c r="AO299" i="21"/>
  <c r="AL299" i="21"/>
  <c r="AD299" i="21"/>
  <c r="AE299" i="21" s="1"/>
  <c r="Y299" i="21"/>
  <c r="Z299" i="21" s="1" a="1"/>
  <c r="Z299" i="21" s="1"/>
  <c r="AI299" i="21" s="1"/>
  <c r="AJ299" i="21" s="1"/>
  <c r="X299" i="21"/>
  <c r="W299" i="21"/>
  <c r="AQ299" i="21" s="1"/>
  <c r="V299" i="21"/>
  <c r="U299" i="21"/>
  <c r="S299" i="21"/>
  <c r="AO298" i="21"/>
  <c r="AL298" i="21"/>
  <c r="AD298" i="21"/>
  <c r="AE298" i="21" s="1"/>
  <c r="Y298" i="21"/>
  <c r="Z298" i="21" s="1" a="1"/>
  <c r="Z298" i="21" s="1"/>
  <c r="AI298" i="21" s="1"/>
  <c r="AJ298" i="21" s="1"/>
  <c r="X298" i="21"/>
  <c r="W298" i="21"/>
  <c r="AQ298" i="21" s="1"/>
  <c r="V298" i="21"/>
  <c r="U298" i="21"/>
  <c r="S298" i="21"/>
  <c r="AO297" i="21"/>
  <c r="AL297" i="21"/>
  <c r="AA297" i="21"/>
  <c r="Y297" i="21"/>
  <c r="U297" i="21"/>
  <c r="S297" i="21"/>
  <c r="AO296" i="21"/>
  <c r="AL296" i="21"/>
  <c r="AA296" i="21"/>
  <c r="U296" i="21"/>
  <c r="S296" i="21"/>
  <c r="AO295" i="21"/>
  <c r="AL295" i="21"/>
  <c r="AA295" i="21"/>
  <c r="U295" i="21"/>
  <c r="S295" i="21"/>
  <c r="AO294" i="21"/>
  <c r="AL294" i="21"/>
  <c r="AD294" i="21"/>
  <c r="AE294" i="21" s="1"/>
  <c r="AO293" i="21"/>
  <c r="AL293" i="21"/>
  <c r="AD293" i="21"/>
  <c r="AE293" i="21" s="1"/>
  <c r="AO292" i="21"/>
  <c r="AL292" i="21"/>
  <c r="AD292" i="21"/>
  <c r="AE292" i="21" s="1"/>
  <c r="F292" i="21"/>
  <c r="AO291" i="21"/>
  <c r="AL291" i="21"/>
  <c r="Y291" i="21"/>
  <c r="Y292" i="21" s="1"/>
  <c r="F291" i="21"/>
  <c r="AO290" i="21"/>
  <c r="H290" i="21"/>
  <c r="I290" i="21" s="1"/>
  <c r="AM290" i="21" s="1"/>
  <c r="F290" i="21"/>
  <c r="AO289" i="21"/>
  <c r="AD289" i="21"/>
  <c r="AE289" i="21" s="1"/>
  <c r="Z289" i="21" a="1"/>
  <c r="Z289" i="21" s="1"/>
  <c r="AI289" i="21" s="1"/>
  <c r="AJ289" i="21" s="1"/>
  <c r="X289" i="21"/>
  <c r="W289" i="21"/>
  <c r="AQ289" i="21" s="1"/>
  <c r="V289" i="21"/>
  <c r="H289" i="21"/>
  <c r="I289" i="21" s="1"/>
  <c r="AM289" i="21" s="1"/>
  <c r="F289" i="21"/>
  <c r="AO288" i="21"/>
  <c r="AD288" i="21"/>
  <c r="AE288" i="21" s="1"/>
  <c r="Z288" i="21" a="1"/>
  <c r="Z288" i="21" s="1"/>
  <c r="AI288" i="21" s="1"/>
  <c r="AJ288" i="21" s="1"/>
  <c r="X288" i="21"/>
  <c r="W288" i="21"/>
  <c r="AQ288" i="21" s="1"/>
  <c r="V288" i="21"/>
  <c r="H288" i="21"/>
  <c r="I288" i="21" s="1"/>
  <c r="AM288" i="21" s="1"/>
  <c r="F288" i="21"/>
  <c r="AO287" i="21"/>
  <c r="AD287" i="21"/>
  <c r="AE287" i="21" s="1"/>
  <c r="Z287" i="21" a="1"/>
  <c r="Z287" i="21" s="1"/>
  <c r="AI287" i="21" s="1"/>
  <c r="AJ287" i="21" s="1"/>
  <c r="X287" i="21"/>
  <c r="W287" i="21"/>
  <c r="AQ287" i="21" s="1"/>
  <c r="V287" i="21"/>
  <c r="H287" i="21"/>
  <c r="I287" i="21" s="1"/>
  <c r="AM287" i="21" s="1"/>
  <c r="F287" i="21"/>
  <c r="AO286" i="21"/>
  <c r="H286" i="21"/>
  <c r="I286" i="21" s="1"/>
  <c r="AM286" i="21" s="1"/>
  <c r="F286" i="21"/>
  <c r="AO285" i="21"/>
  <c r="AL285" i="21"/>
  <c r="AB285" i="21"/>
  <c r="AC285" i="21" s="1"/>
  <c r="AA285" i="21"/>
  <c r="AD285" i="21" s="1"/>
  <c r="AE285" i="21" s="1"/>
  <c r="Y285" i="21"/>
  <c r="Z285" i="21" s="1" a="1"/>
  <c r="Z285" i="21" s="1"/>
  <c r="AI285" i="21" s="1"/>
  <c r="AJ285" i="21" s="1"/>
  <c r="X285" i="21"/>
  <c r="W285" i="21"/>
  <c r="AQ285" i="21" s="1"/>
  <c r="V285" i="21"/>
  <c r="F285" i="21"/>
  <c r="AO284" i="21"/>
  <c r="AL284" i="21"/>
  <c r="AD284" i="21"/>
  <c r="AE284" i="21" s="1"/>
  <c r="Y284" i="21"/>
  <c r="Z284" i="21" s="1" a="1"/>
  <c r="Z284" i="21" s="1"/>
  <c r="AI284" i="21" s="1"/>
  <c r="AJ284" i="21" s="1"/>
  <c r="X284" i="21"/>
  <c r="W284" i="21"/>
  <c r="AQ284" i="21" s="1"/>
  <c r="V284" i="21"/>
  <c r="F284" i="21"/>
  <c r="AO283" i="21"/>
  <c r="AL283" i="21"/>
  <c r="AD283" i="21"/>
  <c r="AE283" i="21" s="1"/>
  <c r="Y283" i="21"/>
  <c r="Z283" i="21" s="1" a="1"/>
  <c r="Z283" i="21" s="1"/>
  <c r="AI283" i="21" s="1"/>
  <c r="AJ283" i="21" s="1"/>
  <c r="X283" i="21"/>
  <c r="W283" i="21"/>
  <c r="AQ283" i="21" s="1"/>
  <c r="V283" i="21"/>
  <c r="AO282" i="21"/>
  <c r="AL282" i="21"/>
  <c r="AD282" i="21"/>
  <c r="AE282" i="21" s="1"/>
  <c r="Y282" i="21"/>
  <c r="Z282" i="21" s="1" a="1"/>
  <c r="Z282" i="21" s="1"/>
  <c r="AI282" i="21" s="1"/>
  <c r="AJ282" i="21" s="1"/>
  <c r="X282" i="21"/>
  <c r="W282" i="21"/>
  <c r="AQ282" i="21" s="1"/>
  <c r="V282" i="21"/>
  <c r="AO281" i="21"/>
  <c r="AL281" i="21"/>
  <c r="AA281" i="21"/>
  <c r="AD281" i="21" s="1"/>
  <c r="AE281" i="21" s="1"/>
  <c r="Y281" i="21"/>
  <c r="Z281" i="21" s="1" a="1"/>
  <c r="Z281" i="21" s="1"/>
  <c r="AI281" i="21" s="1"/>
  <c r="AJ281" i="21" s="1"/>
  <c r="X281" i="21"/>
  <c r="W281" i="21"/>
  <c r="AQ281" i="21" s="1"/>
  <c r="V281" i="21"/>
  <c r="AO280" i="21"/>
  <c r="AL280" i="21"/>
  <c r="AA280" i="21"/>
  <c r="AD280" i="21" s="1"/>
  <c r="AE280" i="21" s="1"/>
  <c r="Y280" i="21"/>
  <c r="Z280" i="21" s="1" a="1"/>
  <c r="Z280" i="21" s="1"/>
  <c r="AI280" i="21" s="1"/>
  <c r="AJ280" i="21" s="1"/>
  <c r="X280" i="21"/>
  <c r="W280" i="21"/>
  <c r="AQ280" i="21" s="1"/>
  <c r="V280" i="21"/>
  <c r="AO279" i="21"/>
  <c r="AL279" i="21"/>
  <c r="AA279" i="21"/>
  <c r="AD279" i="21" s="1"/>
  <c r="AE279" i="21" s="1"/>
  <c r="Y279" i="21"/>
  <c r="Z279" i="21" s="1" a="1"/>
  <c r="Z279" i="21" s="1"/>
  <c r="AI279" i="21" s="1"/>
  <c r="AJ279" i="21" s="1"/>
  <c r="X279" i="21"/>
  <c r="W279" i="21"/>
  <c r="AQ279" i="21" s="1"/>
  <c r="V279" i="21"/>
  <c r="AO278" i="21"/>
  <c r="AL278" i="21"/>
  <c r="AA278" i="21"/>
  <c r="AD278" i="21" s="1"/>
  <c r="AE278" i="21" s="1"/>
  <c r="Y278" i="21"/>
  <c r="Z278" i="21" s="1" a="1"/>
  <c r="Z278" i="21" s="1"/>
  <c r="AI278" i="21" s="1"/>
  <c r="AJ278" i="21" s="1"/>
  <c r="X278" i="21"/>
  <c r="W278" i="21"/>
  <c r="AQ278" i="21" s="1"/>
  <c r="V278" i="21"/>
  <c r="AO277" i="21"/>
  <c r="AL277" i="21"/>
  <c r="AA277" i="21"/>
  <c r="AD277" i="21" s="1"/>
  <c r="AE277" i="21" s="1"/>
  <c r="Y277" i="21"/>
  <c r="Z277" i="21" s="1" a="1"/>
  <c r="Z277" i="21" s="1"/>
  <c r="AI277" i="21" s="1"/>
  <c r="AJ277" i="21" s="1"/>
  <c r="X277" i="21"/>
  <c r="W277" i="21"/>
  <c r="AQ277" i="21" s="1"/>
  <c r="V277" i="21"/>
  <c r="AO276" i="21"/>
  <c r="AL276" i="21"/>
  <c r="AA276" i="21"/>
  <c r="AD276" i="21" s="1"/>
  <c r="AE276" i="21" s="1"/>
  <c r="Y276" i="21"/>
  <c r="Z276" i="21" s="1" a="1"/>
  <c r="Z276" i="21" s="1"/>
  <c r="AI276" i="21" s="1"/>
  <c r="AJ276" i="21" s="1"/>
  <c r="X276" i="21"/>
  <c r="W276" i="21"/>
  <c r="AQ276" i="21" s="1"/>
  <c r="V276" i="21"/>
  <c r="AO275" i="21"/>
  <c r="AL275" i="21"/>
  <c r="AA275" i="21"/>
  <c r="AD275" i="21" s="1"/>
  <c r="AE275" i="21" s="1"/>
  <c r="Y275" i="21"/>
  <c r="Z275" i="21" s="1" a="1"/>
  <c r="Z275" i="21" s="1"/>
  <c r="AI275" i="21" s="1"/>
  <c r="AJ275" i="21" s="1"/>
  <c r="X275" i="21"/>
  <c r="W275" i="21"/>
  <c r="AQ275" i="21" s="1"/>
  <c r="V275" i="21"/>
  <c r="AO274" i="21"/>
  <c r="AL274" i="21"/>
  <c r="AA274" i="21"/>
  <c r="AD274" i="21" s="1"/>
  <c r="AE274" i="21" s="1"/>
  <c r="Y274" i="21"/>
  <c r="Z274" i="21" s="1" a="1"/>
  <c r="Z274" i="21" s="1"/>
  <c r="AI274" i="21" s="1"/>
  <c r="AJ274" i="21" s="1"/>
  <c r="X274" i="21"/>
  <c r="W274" i="21"/>
  <c r="AQ274" i="21" s="1"/>
  <c r="V274" i="21"/>
  <c r="AO273" i="21"/>
  <c r="AL273" i="21"/>
  <c r="AA273" i="21"/>
  <c r="AD273" i="21" s="1"/>
  <c r="AE273" i="21" s="1"/>
  <c r="Y273" i="21"/>
  <c r="Z273" i="21" s="1" a="1"/>
  <c r="Z273" i="21" s="1"/>
  <c r="AI273" i="21" s="1"/>
  <c r="AJ273" i="21" s="1"/>
  <c r="X273" i="21"/>
  <c r="W273" i="21"/>
  <c r="AQ273" i="21" s="1"/>
  <c r="V273" i="21"/>
  <c r="AO272" i="21"/>
  <c r="AL272" i="21"/>
  <c r="AA272" i="21"/>
  <c r="AD272" i="21" s="1"/>
  <c r="AE272" i="21" s="1"/>
  <c r="Y272" i="21"/>
  <c r="Z272" i="21" s="1" a="1"/>
  <c r="Z272" i="21" s="1"/>
  <c r="AI272" i="21" s="1"/>
  <c r="AJ272" i="21" s="1"/>
  <c r="X272" i="21"/>
  <c r="W272" i="21"/>
  <c r="AQ272" i="21" s="1"/>
  <c r="V272" i="21"/>
  <c r="AO271" i="21"/>
  <c r="AL271" i="21"/>
  <c r="AA271" i="21"/>
  <c r="AD271" i="21" s="1"/>
  <c r="AE271" i="21" s="1"/>
  <c r="Y271" i="21"/>
  <c r="Z271" i="21" s="1" a="1"/>
  <c r="Z271" i="21" s="1"/>
  <c r="AI271" i="21" s="1"/>
  <c r="AJ271" i="21" s="1"/>
  <c r="X271" i="21"/>
  <c r="W271" i="21"/>
  <c r="AQ271" i="21" s="1"/>
  <c r="V271" i="21"/>
  <c r="AO270" i="21"/>
  <c r="AL270" i="21"/>
  <c r="AA270" i="21"/>
  <c r="Y270" i="21"/>
  <c r="AO269" i="21"/>
  <c r="AL269" i="21"/>
  <c r="AA269" i="21"/>
  <c r="Y269" i="21"/>
  <c r="U269" i="21"/>
  <c r="AO268" i="21"/>
  <c r="AL268" i="21"/>
  <c r="AA268" i="21"/>
  <c r="Y268" i="21"/>
  <c r="AO267" i="21"/>
  <c r="AL267" i="21"/>
  <c r="AA267" i="21"/>
  <c r="Y267" i="21"/>
  <c r="AO266" i="21"/>
  <c r="AL266" i="21"/>
  <c r="AA266" i="21"/>
  <c r="Y266" i="21"/>
  <c r="AO265" i="21"/>
  <c r="AL265" i="21"/>
  <c r="AD265" i="21"/>
  <c r="AE265" i="21" s="1"/>
  <c r="Y265" i="21"/>
  <c r="Z265" i="21" s="1" a="1"/>
  <c r="Z265" i="21" s="1"/>
  <c r="AI265" i="21" s="1"/>
  <c r="AJ265" i="21" s="1"/>
  <c r="X265" i="21"/>
  <c r="W265" i="21"/>
  <c r="AQ265" i="21" s="1"/>
  <c r="V265" i="21"/>
  <c r="AO264" i="21"/>
  <c r="AL264" i="21"/>
  <c r="AD264" i="21"/>
  <c r="AE264" i="21" s="1"/>
  <c r="Y264" i="21"/>
  <c r="Z264" i="21" s="1" a="1"/>
  <c r="Z264" i="21" s="1"/>
  <c r="AI264" i="21" s="1"/>
  <c r="AJ264" i="21" s="1"/>
  <c r="X264" i="21"/>
  <c r="W264" i="21"/>
  <c r="AQ264" i="21" s="1"/>
  <c r="V264" i="21"/>
  <c r="AO263" i="21"/>
  <c r="AL263" i="21"/>
  <c r="AD263" i="21"/>
  <c r="AE263" i="21" s="1"/>
  <c r="Y263" i="21"/>
  <c r="Z263" i="21" s="1" a="1"/>
  <c r="Z263" i="21" s="1"/>
  <c r="AI263" i="21" s="1"/>
  <c r="AJ263" i="21" s="1"/>
  <c r="X263" i="21"/>
  <c r="W263" i="21"/>
  <c r="AQ263" i="21" s="1"/>
  <c r="V263" i="21"/>
  <c r="AO262" i="21"/>
  <c r="AL262" i="21"/>
  <c r="Y262" i="21"/>
  <c r="AO261" i="21"/>
  <c r="Y261" i="21"/>
  <c r="G261" i="21"/>
  <c r="AO260" i="21"/>
  <c r="AD260" i="21"/>
  <c r="AE260" i="21" s="1"/>
  <c r="Y260" i="21"/>
  <c r="Z260" i="21" s="1" a="1"/>
  <c r="Z260" i="21" s="1"/>
  <c r="AI260" i="21" s="1"/>
  <c r="AJ260" i="21" s="1"/>
  <c r="X260" i="21"/>
  <c r="W260" i="21"/>
  <c r="AQ260" i="21" s="1"/>
  <c r="V260" i="21"/>
  <c r="G260" i="21"/>
  <c r="AO259" i="21"/>
  <c r="AL259" i="21"/>
  <c r="AD259" i="21"/>
  <c r="AE259" i="21" s="1"/>
  <c r="Y259" i="21"/>
  <c r="Z259" i="21" s="1" a="1"/>
  <c r="Z259" i="21" s="1"/>
  <c r="AI259" i="21" s="1"/>
  <c r="AJ259" i="21" s="1"/>
  <c r="X259" i="21"/>
  <c r="W259" i="21"/>
  <c r="AQ259" i="21" s="1"/>
  <c r="V259" i="21"/>
  <c r="AO258" i="21"/>
  <c r="AL258" i="21"/>
  <c r="AD258" i="21"/>
  <c r="AE258" i="21" s="1"/>
  <c r="Y258" i="21"/>
  <c r="Z258" i="21" s="1" a="1"/>
  <c r="Z258" i="21" s="1"/>
  <c r="AI258" i="21" s="1"/>
  <c r="AJ258" i="21" s="1"/>
  <c r="X258" i="21"/>
  <c r="W258" i="21"/>
  <c r="AQ258" i="21" s="1"/>
  <c r="V258" i="21"/>
  <c r="AO257" i="21"/>
  <c r="AL257" i="21"/>
  <c r="AD257" i="21"/>
  <c r="AE257" i="21" s="1"/>
  <c r="Y257" i="21"/>
  <c r="Z257" i="21" s="1" a="1"/>
  <c r="Z257" i="21" s="1"/>
  <c r="AI257" i="21" s="1"/>
  <c r="AJ257" i="21" s="1"/>
  <c r="X257" i="21"/>
  <c r="W257" i="21"/>
  <c r="AQ257" i="21" s="1"/>
  <c r="V257" i="21"/>
  <c r="AO256" i="21"/>
  <c r="AL256" i="21"/>
  <c r="AD256" i="21"/>
  <c r="AE256" i="21" s="1"/>
  <c r="Y256" i="21"/>
  <c r="Z256" i="21" s="1" a="1"/>
  <c r="Z256" i="21" s="1"/>
  <c r="AI256" i="21" s="1"/>
  <c r="AJ256" i="21" s="1"/>
  <c r="X256" i="21"/>
  <c r="W256" i="21"/>
  <c r="AQ256" i="21" s="1"/>
  <c r="V256" i="21"/>
  <c r="AO255" i="21"/>
  <c r="AL255" i="21"/>
  <c r="AD255" i="21"/>
  <c r="AE255" i="21" s="1"/>
  <c r="Y255" i="21"/>
  <c r="Z255" i="21" s="1" a="1"/>
  <c r="Z255" i="21" s="1"/>
  <c r="AI255" i="21" s="1"/>
  <c r="AJ255" i="21" s="1"/>
  <c r="X255" i="21"/>
  <c r="W255" i="21"/>
  <c r="AQ255" i="21" s="1"/>
  <c r="V255" i="21"/>
  <c r="AO254" i="21"/>
  <c r="AL254" i="21"/>
  <c r="AD254" i="21"/>
  <c r="AE254" i="21" s="1"/>
  <c r="Y254" i="21"/>
  <c r="Z254" i="21" s="1" a="1"/>
  <c r="Z254" i="21" s="1"/>
  <c r="AI254" i="21" s="1"/>
  <c r="AJ254" i="21" s="1"/>
  <c r="X254" i="21"/>
  <c r="W254" i="21"/>
  <c r="AQ254" i="21" s="1"/>
  <c r="V254" i="21"/>
  <c r="AO253" i="21"/>
  <c r="AL253" i="21"/>
  <c r="AD253" i="21"/>
  <c r="AE253" i="21" s="1"/>
  <c r="Y253" i="21"/>
  <c r="Z253" i="21" s="1" a="1"/>
  <c r="Z253" i="21" s="1"/>
  <c r="AI253" i="21" s="1"/>
  <c r="AJ253" i="21" s="1"/>
  <c r="X253" i="21"/>
  <c r="W253" i="21"/>
  <c r="AQ253" i="21" s="1"/>
  <c r="V253" i="21"/>
  <c r="AO252" i="21"/>
  <c r="AL252" i="21"/>
  <c r="AD252" i="21"/>
  <c r="AE252" i="21" s="1"/>
  <c r="Y252" i="21"/>
  <c r="Z252" i="21" s="1" a="1"/>
  <c r="Z252" i="21" s="1"/>
  <c r="AI252" i="21" s="1"/>
  <c r="AJ252" i="21" s="1"/>
  <c r="X252" i="21"/>
  <c r="W252" i="21"/>
  <c r="AQ252" i="21" s="1"/>
  <c r="V252" i="21"/>
  <c r="AO251" i="21"/>
  <c r="AL251" i="21"/>
  <c r="AD251" i="21"/>
  <c r="AE251" i="21" s="1"/>
  <c r="Y251" i="21"/>
  <c r="Z251" i="21" s="1" a="1"/>
  <c r="Z251" i="21" s="1"/>
  <c r="AI251" i="21" s="1"/>
  <c r="AJ251" i="21" s="1"/>
  <c r="X251" i="21"/>
  <c r="W251" i="21"/>
  <c r="AQ251" i="21" s="1"/>
  <c r="V251" i="21"/>
  <c r="AO250" i="21"/>
  <c r="AL250" i="21"/>
  <c r="AD250" i="21"/>
  <c r="AE250" i="21" s="1"/>
  <c r="Y250" i="21"/>
  <c r="Z250" i="21" s="1" a="1"/>
  <c r="Z250" i="21" s="1"/>
  <c r="AI250" i="21" s="1"/>
  <c r="AJ250" i="21" s="1"/>
  <c r="X250" i="21"/>
  <c r="W250" i="21"/>
  <c r="AQ250" i="21" s="1"/>
  <c r="V250" i="21"/>
  <c r="AO249" i="21"/>
  <c r="AL249" i="21"/>
  <c r="AD249" i="21"/>
  <c r="AE249" i="21" s="1"/>
  <c r="Y249" i="21"/>
  <c r="Z249" i="21" s="1" a="1"/>
  <c r="Z249" i="21" s="1"/>
  <c r="AI249" i="21" s="1"/>
  <c r="AJ249" i="21" s="1"/>
  <c r="X249" i="21"/>
  <c r="W249" i="21"/>
  <c r="AQ249" i="21" s="1"/>
  <c r="V249" i="21"/>
  <c r="AO248" i="21"/>
  <c r="AL248" i="21"/>
  <c r="AD248" i="21"/>
  <c r="AE248" i="21" s="1"/>
  <c r="Y248" i="21"/>
  <c r="Z248" i="21" s="1" a="1"/>
  <c r="Z248" i="21" s="1"/>
  <c r="AI248" i="21" s="1"/>
  <c r="AJ248" i="21" s="1"/>
  <c r="X248" i="21"/>
  <c r="W248" i="21"/>
  <c r="AQ248" i="21" s="1"/>
  <c r="V248" i="21"/>
  <c r="AO247" i="21"/>
  <c r="AL247" i="21"/>
  <c r="AD247" i="21"/>
  <c r="AE247" i="21" s="1"/>
  <c r="Y247" i="21"/>
  <c r="Z247" i="21" s="1" a="1"/>
  <c r="Z247" i="21" s="1"/>
  <c r="AI247" i="21" s="1"/>
  <c r="AJ247" i="21" s="1"/>
  <c r="X247" i="21"/>
  <c r="W247" i="21"/>
  <c r="AQ247" i="21" s="1"/>
  <c r="V247" i="21"/>
  <c r="AO246" i="21"/>
  <c r="AL246" i="21"/>
  <c r="AD246" i="21"/>
  <c r="AE246" i="21" s="1"/>
  <c r="Y246" i="21"/>
  <c r="Z246" i="21" s="1" a="1"/>
  <c r="Z246" i="21" s="1"/>
  <c r="AI246" i="21" s="1"/>
  <c r="AJ246" i="21" s="1"/>
  <c r="X246" i="21"/>
  <c r="W246" i="21"/>
  <c r="AQ246" i="21" s="1"/>
  <c r="V246" i="21"/>
  <c r="AO245" i="21"/>
  <c r="AL245" i="21"/>
  <c r="AD245" i="21"/>
  <c r="AE245" i="21" s="1"/>
  <c r="Y245" i="21"/>
  <c r="Z245" i="21" s="1" a="1"/>
  <c r="Z245" i="21" s="1"/>
  <c r="AI245" i="21" s="1"/>
  <c r="AJ245" i="21" s="1"/>
  <c r="X245" i="21"/>
  <c r="W245" i="21"/>
  <c r="AQ245" i="21" s="1"/>
  <c r="V245" i="21"/>
  <c r="AO244" i="21"/>
  <c r="AL244" i="21"/>
  <c r="AD244" i="21"/>
  <c r="AE244" i="21" s="1"/>
  <c r="Y244" i="21"/>
  <c r="Z244" i="21" s="1" a="1"/>
  <c r="Z244" i="21" s="1"/>
  <c r="AI244" i="21" s="1"/>
  <c r="AJ244" i="21" s="1"/>
  <c r="X244" i="21"/>
  <c r="W244" i="21"/>
  <c r="AQ244" i="21" s="1"/>
  <c r="V244" i="21"/>
  <c r="AO243" i="21"/>
  <c r="AL243" i="21"/>
  <c r="AD243" i="21"/>
  <c r="AE243" i="21" s="1"/>
  <c r="Y243" i="21"/>
  <c r="Z243" i="21" s="1" a="1"/>
  <c r="Z243" i="21" s="1"/>
  <c r="AI243" i="21" s="1"/>
  <c r="AJ243" i="21" s="1"/>
  <c r="X243" i="21"/>
  <c r="W243" i="21"/>
  <c r="AQ243" i="21" s="1"/>
  <c r="V243" i="21"/>
  <c r="AO242" i="21"/>
  <c r="AL242" i="21"/>
  <c r="AD242" i="21"/>
  <c r="AE242" i="21" s="1"/>
  <c r="Y242" i="21"/>
  <c r="Z242" i="21" s="1" a="1"/>
  <c r="Z242" i="21" s="1"/>
  <c r="AI242" i="21" s="1"/>
  <c r="AJ242" i="21" s="1"/>
  <c r="X242" i="21"/>
  <c r="W242" i="21"/>
  <c r="AQ242" i="21" s="1"/>
  <c r="V242" i="21"/>
  <c r="AO241" i="21"/>
  <c r="AL241" i="21"/>
  <c r="AD241" i="21"/>
  <c r="AE241" i="21" s="1"/>
  <c r="Y241" i="21"/>
  <c r="Z241" i="21" s="1" a="1"/>
  <c r="Z241" i="21" s="1"/>
  <c r="AI241" i="21" s="1"/>
  <c r="AJ241" i="21" s="1"/>
  <c r="X241" i="21"/>
  <c r="W241" i="21"/>
  <c r="AQ241" i="21" s="1"/>
  <c r="V241" i="21"/>
  <c r="AO240" i="21"/>
  <c r="AL240" i="21"/>
  <c r="AD240" i="21"/>
  <c r="AE240" i="21" s="1"/>
  <c r="Y240" i="21"/>
  <c r="Z240" i="21" s="1" a="1"/>
  <c r="Z240" i="21" s="1"/>
  <c r="AI240" i="21" s="1"/>
  <c r="AJ240" i="21" s="1"/>
  <c r="X240" i="21"/>
  <c r="W240" i="21"/>
  <c r="AQ240" i="21" s="1"/>
  <c r="V240" i="21"/>
  <c r="AO239" i="21"/>
  <c r="AL239" i="21"/>
  <c r="AD239" i="21"/>
  <c r="AE239" i="21" s="1"/>
  <c r="Y239" i="21"/>
  <c r="Z239" i="21" s="1" a="1"/>
  <c r="Z239" i="21" s="1"/>
  <c r="AI239" i="21" s="1"/>
  <c r="AJ239" i="21" s="1"/>
  <c r="X239" i="21"/>
  <c r="W239" i="21"/>
  <c r="AQ239" i="21" s="1"/>
  <c r="V239" i="21"/>
  <c r="AO238" i="21"/>
  <c r="AL238" i="21"/>
  <c r="AD238" i="21"/>
  <c r="AE238" i="21" s="1"/>
  <c r="Y238" i="21"/>
  <c r="Z238" i="21" s="1" a="1"/>
  <c r="Z238" i="21" s="1"/>
  <c r="AI238" i="21" s="1"/>
  <c r="AJ238" i="21" s="1"/>
  <c r="X238" i="21"/>
  <c r="W238" i="21"/>
  <c r="AQ238" i="21" s="1"/>
  <c r="V238" i="21"/>
  <c r="AO237" i="21"/>
  <c r="AL237" i="21"/>
  <c r="AD237" i="21"/>
  <c r="AE237" i="21" s="1"/>
  <c r="Y237" i="21"/>
  <c r="Z237" i="21" s="1" a="1"/>
  <c r="Z237" i="21" s="1"/>
  <c r="AI237" i="21" s="1"/>
  <c r="AJ237" i="21" s="1"/>
  <c r="X237" i="21"/>
  <c r="W237" i="21"/>
  <c r="AQ237" i="21" s="1"/>
  <c r="V237" i="21"/>
  <c r="AO236" i="21"/>
  <c r="AL236" i="21"/>
  <c r="AD236" i="21"/>
  <c r="AE236" i="21" s="1"/>
  <c r="Z236" i="21" a="1"/>
  <c r="Z236" i="21" s="1"/>
  <c r="AI236" i="21" s="1"/>
  <c r="AJ236" i="21" s="1"/>
  <c r="X236" i="21"/>
  <c r="W236" i="21"/>
  <c r="AQ236" i="21" s="1"/>
  <c r="V236" i="21"/>
  <c r="AO235" i="21"/>
  <c r="G235" i="21"/>
  <c r="AO234" i="21"/>
  <c r="AD234" i="21"/>
  <c r="AE234" i="21" s="1"/>
  <c r="Z234" i="21" a="1"/>
  <c r="Z234" i="21" s="1"/>
  <c r="AI234" i="21" s="1"/>
  <c r="AJ234" i="21" s="1"/>
  <c r="X234" i="21"/>
  <c r="W234" i="21"/>
  <c r="AQ234" i="21" s="1"/>
  <c r="V234" i="21"/>
  <c r="G234" i="21"/>
  <c r="AO233" i="21"/>
  <c r="AL233" i="21"/>
  <c r="AC233" i="21"/>
  <c r="AO232" i="21"/>
  <c r="AL232" i="21"/>
  <c r="AA232" i="21"/>
  <c r="Y232" i="21"/>
  <c r="AO231" i="21"/>
  <c r="AL231" i="21"/>
  <c r="AD231" i="21"/>
  <c r="AE231" i="21" s="1"/>
  <c r="Y231" i="21"/>
  <c r="Z231" i="21" s="1" a="1"/>
  <c r="Z231" i="21" s="1"/>
  <c r="AI231" i="21" s="1"/>
  <c r="AJ231" i="21" s="1"/>
  <c r="X231" i="21"/>
  <c r="W231" i="21"/>
  <c r="AQ231" i="21" s="1"/>
  <c r="V231" i="21"/>
  <c r="AO230" i="21"/>
  <c r="AL230" i="21"/>
  <c r="AD230" i="21"/>
  <c r="AE230" i="21" s="1"/>
  <c r="Y230" i="21"/>
  <c r="Z230" i="21" s="1" a="1"/>
  <c r="Z230" i="21" s="1"/>
  <c r="AI230" i="21" s="1"/>
  <c r="AJ230" i="21" s="1"/>
  <c r="X230" i="21"/>
  <c r="W230" i="21"/>
  <c r="AQ230" i="21" s="1"/>
  <c r="V230" i="21"/>
  <c r="AO229" i="21"/>
  <c r="AL229" i="21"/>
  <c r="AD229" i="21"/>
  <c r="AE229" i="21" s="1"/>
  <c r="Y229" i="21"/>
  <c r="Z229" i="21" s="1" a="1"/>
  <c r="Z229" i="21" s="1"/>
  <c r="AI229" i="21" s="1"/>
  <c r="AJ229" i="21" s="1"/>
  <c r="X229" i="21"/>
  <c r="W229" i="21"/>
  <c r="AQ229" i="21" s="1"/>
  <c r="V229" i="21"/>
  <c r="AO228" i="21"/>
  <c r="AL228" i="21"/>
  <c r="AD228" i="21"/>
  <c r="AE228" i="21" s="1"/>
  <c r="Y228" i="21"/>
  <c r="Z228" i="21" s="1" a="1"/>
  <c r="Z228" i="21" s="1"/>
  <c r="AI228" i="21" s="1"/>
  <c r="AJ228" i="21" s="1"/>
  <c r="X228" i="21"/>
  <c r="W228" i="21"/>
  <c r="AQ228" i="21" s="1"/>
  <c r="V228" i="21"/>
  <c r="AO227" i="21"/>
  <c r="AL227" i="21"/>
  <c r="AD227" i="21"/>
  <c r="AE227" i="21" s="1"/>
  <c r="Y227" i="21"/>
  <c r="Z227" i="21" s="1" a="1"/>
  <c r="Z227" i="21" s="1"/>
  <c r="AI227" i="21" s="1"/>
  <c r="AJ227" i="21" s="1"/>
  <c r="X227" i="21"/>
  <c r="W227" i="21"/>
  <c r="AQ227" i="21" s="1"/>
  <c r="V227" i="21"/>
  <c r="AO226" i="21"/>
  <c r="AL226" i="21"/>
  <c r="AD226" i="21"/>
  <c r="AE226" i="21" s="1"/>
  <c r="Y226" i="21"/>
  <c r="Z226" i="21" s="1" a="1"/>
  <c r="Z226" i="21" s="1"/>
  <c r="AI226" i="21" s="1"/>
  <c r="AJ226" i="21" s="1"/>
  <c r="X226" i="21"/>
  <c r="W226" i="21"/>
  <c r="AQ226" i="21" s="1"/>
  <c r="V226" i="21"/>
  <c r="AO225" i="21"/>
  <c r="AL225" i="21"/>
  <c r="AD225" i="21"/>
  <c r="AE225" i="21" s="1"/>
  <c r="Y225" i="21"/>
  <c r="Z225" i="21" s="1" a="1"/>
  <c r="Z225" i="21" s="1"/>
  <c r="AI225" i="21" s="1"/>
  <c r="AJ225" i="21" s="1"/>
  <c r="X225" i="21"/>
  <c r="W225" i="21"/>
  <c r="AQ225" i="21" s="1"/>
  <c r="V225" i="21"/>
  <c r="AO224" i="21"/>
  <c r="AL224" i="21"/>
  <c r="AD224" i="21"/>
  <c r="AE224" i="21" s="1"/>
  <c r="Y224" i="21"/>
  <c r="Z224" i="21" s="1" a="1"/>
  <c r="Z224" i="21" s="1"/>
  <c r="AI224" i="21" s="1"/>
  <c r="AJ224" i="21" s="1"/>
  <c r="X224" i="21"/>
  <c r="W224" i="21"/>
  <c r="AQ224" i="21" s="1"/>
  <c r="V224" i="21"/>
  <c r="AO223" i="21"/>
  <c r="AL223" i="21"/>
  <c r="AD223" i="21"/>
  <c r="AE223" i="21" s="1"/>
  <c r="Y223" i="21"/>
  <c r="Z223" i="21" s="1" a="1"/>
  <c r="Z223" i="21" s="1"/>
  <c r="AI223" i="21" s="1"/>
  <c r="AJ223" i="21" s="1"/>
  <c r="X223" i="21"/>
  <c r="W223" i="21"/>
  <c r="AQ223" i="21" s="1"/>
  <c r="V223" i="21"/>
  <c r="AO222" i="21"/>
  <c r="AL222" i="21"/>
  <c r="AD222" i="21"/>
  <c r="AE222" i="21" s="1"/>
  <c r="Y222" i="21"/>
  <c r="Z222" i="21" s="1" a="1"/>
  <c r="Z222" i="21" s="1"/>
  <c r="AI222" i="21" s="1"/>
  <c r="AJ222" i="21" s="1"/>
  <c r="X222" i="21"/>
  <c r="W222" i="21"/>
  <c r="AQ222" i="21" s="1"/>
  <c r="V222" i="21"/>
  <c r="AO221" i="21"/>
  <c r="AL221" i="21"/>
  <c r="AD221" i="21"/>
  <c r="AE221" i="21" s="1"/>
  <c r="Y221" i="21"/>
  <c r="Z221" i="21" s="1" a="1"/>
  <c r="Z221" i="21" s="1"/>
  <c r="AI221" i="21" s="1"/>
  <c r="AJ221" i="21" s="1"/>
  <c r="X221" i="21"/>
  <c r="W221" i="21"/>
  <c r="AQ221" i="21" s="1"/>
  <c r="V221" i="21"/>
  <c r="AO220" i="21"/>
  <c r="AL220" i="21"/>
  <c r="AD220" i="21"/>
  <c r="AE220" i="21" s="1"/>
  <c r="Y220" i="21"/>
  <c r="Z220" i="21" s="1" a="1"/>
  <c r="Z220" i="21" s="1"/>
  <c r="AI220" i="21" s="1"/>
  <c r="AJ220" i="21" s="1"/>
  <c r="X220" i="21"/>
  <c r="W220" i="21"/>
  <c r="AQ220" i="21" s="1"/>
  <c r="V220" i="21"/>
  <c r="AO219" i="21"/>
  <c r="AL219" i="21"/>
  <c r="AD219" i="21"/>
  <c r="AE219" i="21" s="1"/>
  <c r="Y219" i="21"/>
  <c r="Z219" i="21" s="1" a="1"/>
  <c r="Z219" i="21" s="1"/>
  <c r="AI219" i="21" s="1"/>
  <c r="AJ219" i="21" s="1"/>
  <c r="X219" i="21"/>
  <c r="W219" i="21"/>
  <c r="AQ219" i="21" s="1"/>
  <c r="V219" i="21"/>
  <c r="A219" i="21"/>
  <c r="A225" i="21" s="1"/>
  <c r="AO218" i="21"/>
  <c r="AL218" i="21"/>
  <c r="AD218" i="21"/>
  <c r="AE218" i="21" s="1"/>
  <c r="Y218" i="21"/>
  <c r="Z218" i="21" s="1" a="1"/>
  <c r="Z218" i="21" s="1"/>
  <c r="AI218" i="21" s="1"/>
  <c r="AJ218" i="21" s="1"/>
  <c r="X218" i="21"/>
  <c r="W218" i="21"/>
  <c r="AQ218" i="21" s="1"/>
  <c r="V218" i="21"/>
  <c r="AO217" i="21"/>
  <c r="AL217" i="21"/>
  <c r="AA217" i="21"/>
  <c r="AD217" i="21" s="1"/>
  <c r="AE217" i="21" s="1"/>
  <c r="Y217" i="21"/>
  <c r="Z217" i="21" s="1" a="1"/>
  <c r="Z217" i="21" s="1"/>
  <c r="AI217" i="21" s="1"/>
  <c r="AJ217" i="21" s="1"/>
  <c r="X217" i="21"/>
  <c r="W217" i="21"/>
  <c r="AQ217" i="21" s="1"/>
  <c r="V217" i="21"/>
  <c r="AO216" i="21"/>
  <c r="AL216" i="21"/>
  <c r="AA216" i="21"/>
  <c r="AD216" i="21" s="1"/>
  <c r="AE216" i="21" s="1"/>
  <c r="Y216" i="21"/>
  <c r="Z216" i="21" s="1" a="1"/>
  <c r="Z216" i="21" s="1"/>
  <c r="AI216" i="21" s="1"/>
  <c r="AJ216" i="21" s="1"/>
  <c r="X216" i="21"/>
  <c r="W216" i="21"/>
  <c r="AQ216" i="21" s="1"/>
  <c r="V216" i="21"/>
  <c r="AO215" i="21"/>
  <c r="AL215" i="21"/>
  <c r="AD215" i="21"/>
  <c r="AE215" i="21" s="1"/>
  <c r="Y215" i="21"/>
  <c r="Z215" i="21" s="1" a="1"/>
  <c r="Z215" i="21" s="1"/>
  <c r="AI215" i="21" s="1"/>
  <c r="AJ215" i="21" s="1"/>
  <c r="X215" i="21"/>
  <c r="W215" i="21"/>
  <c r="AQ215" i="21" s="1"/>
  <c r="V215" i="21"/>
  <c r="AO214" i="21"/>
  <c r="AL214" i="21"/>
  <c r="AA214" i="21"/>
  <c r="AO213" i="21"/>
  <c r="AL213" i="21"/>
  <c r="AD213" i="21"/>
  <c r="AE213" i="21" s="1"/>
  <c r="Y213" i="21"/>
  <c r="Z213" i="21" s="1" a="1"/>
  <c r="Z213" i="21" s="1"/>
  <c r="AI213" i="21" s="1"/>
  <c r="AJ213" i="21" s="1"/>
  <c r="X213" i="21"/>
  <c r="W213" i="21"/>
  <c r="AQ213" i="21" s="1"/>
  <c r="V213" i="21"/>
  <c r="AO212" i="21"/>
  <c r="AL212" i="21"/>
  <c r="AD212" i="21"/>
  <c r="AE212" i="21" s="1"/>
  <c r="Y212" i="21"/>
  <c r="Z212" i="21" s="1" a="1"/>
  <c r="Z212" i="21" s="1"/>
  <c r="AI212" i="21" s="1"/>
  <c r="AJ212" i="21" s="1"/>
  <c r="X212" i="21"/>
  <c r="W212" i="21"/>
  <c r="AQ212" i="21" s="1"/>
  <c r="V212" i="21"/>
  <c r="AO211" i="21"/>
  <c r="AL211" i="21"/>
  <c r="AD211" i="21"/>
  <c r="AE211" i="21" s="1"/>
  <c r="Y211" i="21"/>
  <c r="Z211" i="21" s="1" a="1"/>
  <c r="Z211" i="21" s="1"/>
  <c r="AI211" i="21" s="1"/>
  <c r="AJ211" i="21" s="1"/>
  <c r="X211" i="21"/>
  <c r="W211" i="21"/>
  <c r="AQ211" i="21" s="1"/>
  <c r="V211" i="21"/>
  <c r="AO210" i="21"/>
  <c r="AL210" i="21"/>
  <c r="AD210" i="21"/>
  <c r="AE210" i="21" s="1"/>
  <c r="Y210" i="21"/>
  <c r="Z210" i="21" s="1" a="1"/>
  <c r="Z210" i="21" s="1"/>
  <c r="AI210" i="21" s="1"/>
  <c r="AJ210" i="21" s="1"/>
  <c r="X210" i="21"/>
  <c r="W210" i="21"/>
  <c r="AQ210" i="21" s="1"/>
  <c r="V210" i="21"/>
  <c r="AO209" i="21"/>
  <c r="AL209" i="21"/>
  <c r="AD209" i="21"/>
  <c r="AE209" i="21" s="1"/>
  <c r="Y209" i="21"/>
  <c r="Z209" i="21" s="1" a="1"/>
  <c r="Z209" i="21" s="1"/>
  <c r="AI209" i="21" s="1"/>
  <c r="AJ209" i="21" s="1"/>
  <c r="X209" i="21"/>
  <c r="W209" i="21"/>
  <c r="AQ209" i="21" s="1"/>
  <c r="V209" i="21"/>
  <c r="AO208" i="21"/>
  <c r="AL208" i="21"/>
  <c r="AD208" i="21"/>
  <c r="AE208" i="21" s="1"/>
  <c r="Y208" i="21"/>
  <c r="Z208" i="21" s="1" a="1"/>
  <c r="Z208" i="21" s="1"/>
  <c r="AI208" i="21" s="1"/>
  <c r="AJ208" i="21" s="1"/>
  <c r="X208" i="21"/>
  <c r="W208" i="21"/>
  <c r="AQ208" i="21" s="1"/>
  <c r="V208" i="21"/>
  <c r="AO207" i="21"/>
  <c r="AL207" i="21"/>
  <c r="AD207" i="21"/>
  <c r="AE207" i="21" s="1"/>
  <c r="Y207" i="21"/>
  <c r="Z207" i="21" s="1" a="1"/>
  <c r="Z207" i="21" s="1"/>
  <c r="AI207" i="21" s="1"/>
  <c r="AJ207" i="21" s="1"/>
  <c r="X207" i="21"/>
  <c r="W207" i="21"/>
  <c r="AQ207" i="21" s="1"/>
  <c r="V207" i="21"/>
  <c r="AO206" i="21"/>
  <c r="AL206" i="21"/>
  <c r="AD206" i="21"/>
  <c r="AE206" i="21" s="1"/>
  <c r="Y206" i="21"/>
  <c r="Z206" i="21" s="1" a="1"/>
  <c r="Z206" i="21" s="1"/>
  <c r="AI206" i="21" s="1"/>
  <c r="AJ206" i="21" s="1"/>
  <c r="X206" i="21"/>
  <c r="W206" i="21"/>
  <c r="AQ206" i="21" s="1"/>
  <c r="V206" i="21"/>
  <c r="AO205" i="21"/>
  <c r="AL205" i="21"/>
  <c r="AD205" i="21"/>
  <c r="AE205" i="21" s="1"/>
  <c r="Y205" i="21"/>
  <c r="Z205" i="21" s="1" a="1"/>
  <c r="Z205" i="21" s="1"/>
  <c r="AI205" i="21" s="1"/>
  <c r="AJ205" i="21" s="1"/>
  <c r="X205" i="21"/>
  <c r="W205" i="21"/>
  <c r="AQ205" i="21" s="1"/>
  <c r="V205" i="21"/>
  <c r="AO204" i="21"/>
  <c r="AL204" i="21"/>
  <c r="AD204" i="21"/>
  <c r="AE204" i="21" s="1"/>
  <c r="Y204" i="21"/>
  <c r="Z204" i="21" s="1" a="1"/>
  <c r="Z204" i="21" s="1"/>
  <c r="AI204" i="21" s="1"/>
  <c r="AJ204" i="21" s="1"/>
  <c r="X204" i="21"/>
  <c r="W204" i="21"/>
  <c r="AQ204" i="21" s="1"/>
  <c r="V204" i="21"/>
  <c r="AO203" i="21"/>
  <c r="AL203" i="21"/>
  <c r="AD203" i="21"/>
  <c r="AE203" i="21" s="1"/>
  <c r="Y203" i="21"/>
  <c r="Z203" i="21" s="1" a="1"/>
  <c r="Z203" i="21" s="1"/>
  <c r="AI203" i="21" s="1"/>
  <c r="AJ203" i="21" s="1"/>
  <c r="X203" i="21"/>
  <c r="W203" i="21"/>
  <c r="AQ203" i="21" s="1"/>
  <c r="V203" i="21"/>
  <c r="AO202" i="21"/>
  <c r="AL202" i="21"/>
  <c r="AD202" i="21"/>
  <c r="AE202" i="21" s="1"/>
  <c r="Y202" i="21"/>
  <c r="Z202" i="21" s="1" a="1"/>
  <c r="Z202" i="21" s="1"/>
  <c r="AI202" i="21" s="1"/>
  <c r="AJ202" i="21" s="1"/>
  <c r="X202" i="21"/>
  <c r="W202" i="21"/>
  <c r="AQ202" i="21" s="1"/>
  <c r="V202" i="21"/>
  <c r="AO201" i="21"/>
  <c r="AL201" i="21"/>
  <c r="AD201" i="21"/>
  <c r="AE201" i="21" s="1"/>
  <c r="Y201" i="21"/>
  <c r="Z201" i="21" s="1" a="1"/>
  <c r="Z201" i="21" s="1"/>
  <c r="AI201" i="21" s="1"/>
  <c r="AJ201" i="21" s="1"/>
  <c r="X201" i="21"/>
  <c r="W201" i="21"/>
  <c r="AQ201" i="21" s="1"/>
  <c r="V201" i="21"/>
  <c r="AO200" i="21"/>
  <c r="AL200" i="21"/>
  <c r="AD200" i="21"/>
  <c r="AE200" i="21" s="1"/>
  <c r="Y200" i="21"/>
  <c r="Z200" i="21" s="1" a="1"/>
  <c r="Z200" i="21" s="1"/>
  <c r="AI200" i="21" s="1"/>
  <c r="AJ200" i="21" s="1"/>
  <c r="X200" i="21"/>
  <c r="W200" i="21"/>
  <c r="AQ200" i="21" s="1"/>
  <c r="V200" i="21"/>
  <c r="AO199" i="21"/>
  <c r="AL199" i="21"/>
  <c r="AD199" i="21"/>
  <c r="AE199" i="21" s="1"/>
  <c r="Y199" i="21"/>
  <c r="Z199" i="21" s="1" a="1"/>
  <c r="Z199" i="21" s="1"/>
  <c r="AI199" i="21" s="1"/>
  <c r="AJ199" i="21" s="1"/>
  <c r="X199" i="21"/>
  <c r="W199" i="21"/>
  <c r="AQ199" i="21" s="1"/>
  <c r="V199" i="21"/>
  <c r="AO198" i="21"/>
  <c r="AL198" i="21"/>
  <c r="AD198" i="21"/>
  <c r="AE198" i="21" s="1"/>
  <c r="Y198" i="21"/>
  <c r="Z198" i="21" s="1" a="1"/>
  <c r="Z198" i="21" s="1"/>
  <c r="AI198" i="21" s="1"/>
  <c r="AJ198" i="21" s="1"/>
  <c r="X198" i="21"/>
  <c r="W198" i="21"/>
  <c r="AQ198" i="21" s="1"/>
  <c r="V198" i="21"/>
  <c r="AO197" i="21"/>
  <c r="AL197" i="21"/>
  <c r="AD197" i="21"/>
  <c r="AE197" i="21" s="1"/>
  <c r="Y197" i="21"/>
  <c r="Z197" i="21" s="1" a="1"/>
  <c r="Z197" i="21" s="1"/>
  <c r="AI197" i="21" s="1"/>
  <c r="AJ197" i="21" s="1"/>
  <c r="X197" i="21"/>
  <c r="W197" i="21"/>
  <c r="AQ197" i="21" s="1"/>
  <c r="V197" i="21"/>
  <c r="AO196" i="21"/>
  <c r="AL196" i="21"/>
  <c r="AD196" i="21"/>
  <c r="AE196" i="21" s="1"/>
  <c r="Y196" i="21"/>
  <c r="Z196" i="21" s="1" a="1"/>
  <c r="Z196" i="21" s="1"/>
  <c r="AI196" i="21" s="1"/>
  <c r="AJ196" i="21" s="1"/>
  <c r="X196" i="21"/>
  <c r="W196" i="21"/>
  <c r="AQ196" i="21" s="1"/>
  <c r="V196" i="21"/>
  <c r="AO195" i="21"/>
  <c r="AL195" i="21"/>
  <c r="AD195" i="21"/>
  <c r="AE195" i="21" s="1"/>
  <c r="Y195" i="21"/>
  <c r="Z195" i="21" s="1" a="1"/>
  <c r="Z195" i="21" s="1"/>
  <c r="AI195" i="21" s="1"/>
  <c r="AJ195" i="21" s="1"/>
  <c r="X195" i="21"/>
  <c r="W195" i="21"/>
  <c r="AQ195" i="21" s="1"/>
  <c r="V195" i="21"/>
  <c r="AO194" i="21"/>
  <c r="AL194" i="21"/>
  <c r="AD194" i="21"/>
  <c r="AE194" i="21" s="1"/>
  <c r="Y194" i="21"/>
  <c r="Z194" i="21" s="1" a="1"/>
  <c r="Z194" i="21" s="1"/>
  <c r="AI194" i="21" s="1"/>
  <c r="AJ194" i="21" s="1"/>
  <c r="X194" i="21"/>
  <c r="W194" i="21"/>
  <c r="AQ194" i="21" s="1"/>
  <c r="V194" i="21"/>
  <c r="AO193" i="21"/>
  <c r="AL193" i="21"/>
  <c r="AD193" i="21"/>
  <c r="AE193" i="21" s="1"/>
  <c r="Y193" i="21"/>
  <c r="Z193" i="21" s="1" a="1"/>
  <c r="Z193" i="21" s="1"/>
  <c r="AI193" i="21" s="1"/>
  <c r="AJ193" i="21" s="1"/>
  <c r="X193" i="21"/>
  <c r="W193" i="21"/>
  <c r="AQ193" i="21" s="1"/>
  <c r="V193" i="21"/>
  <c r="AO192" i="21"/>
  <c r="AL192" i="21"/>
  <c r="AD192" i="21"/>
  <c r="AE192" i="21" s="1"/>
  <c r="Y192" i="21"/>
  <c r="Z192" i="21" s="1" a="1"/>
  <c r="Z192" i="21" s="1"/>
  <c r="AI192" i="21" s="1"/>
  <c r="AJ192" i="21" s="1"/>
  <c r="X192" i="21"/>
  <c r="W192" i="21"/>
  <c r="AQ192" i="21" s="1"/>
  <c r="V192" i="21"/>
  <c r="AO191" i="21"/>
  <c r="AL191" i="21"/>
  <c r="AA191" i="21"/>
  <c r="AO190" i="21"/>
  <c r="AL190" i="21"/>
  <c r="AA190" i="21"/>
  <c r="AO189" i="21"/>
  <c r="AL189" i="21"/>
  <c r="AD189" i="21"/>
  <c r="AE189" i="21" s="1"/>
  <c r="Z189" i="21" a="1"/>
  <c r="Z189" i="21" s="1"/>
  <c r="AI189" i="21" s="1"/>
  <c r="AJ189" i="21" s="1"/>
  <c r="X189" i="21"/>
  <c r="W189" i="21"/>
  <c r="AQ189" i="21" s="1"/>
  <c r="V189" i="21"/>
  <c r="F189" i="21"/>
  <c r="AO188" i="21"/>
  <c r="AL188" i="21"/>
  <c r="AA188" i="21"/>
  <c r="F188" i="21"/>
  <c r="AO187" i="21"/>
  <c r="AL187" i="21"/>
  <c r="AD187" i="21"/>
  <c r="AE187" i="21" s="1"/>
  <c r="Z187" i="21" a="1"/>
  <c r="Z187" i="21" s="1"/>
  <c r="AI187" i="21" s="1"/>
  <c r="AJ187" i="21" s="1"/>
  <c r="X187" i="21"/>
  <c r="W187" i="21"/>
  <c r="AQ187" i="21" s="1"/>
  <c r="V187" i="21"/>
  <c r="F187" i="21"/>
  <c r="AO186" i="21"/>
  <c r="AL186" i="21"/>
  <c r="AD186" i="21"/>
  <c r="AE186" i="21" s="1"/>
  <c r="Z186" i="21" a="1"/>
  <c r="Z186" i="21" s="1"/>
  <c r="AI186" i="21" s="1"/>
  <c r="AJ186" i="21" s="1"/>
  <c r="X186" i="21"/>
  <c r="W186" i="21"/>
  <c r="AQ186" i="21" s="1"/>
  <c r="V186" i="21"/>
  <c r="F186" i="21"/>
  <c r="AO185" i="21"/>
  <c r="AL185" i="21"/>
  <c r="AA185" i="21"/>
  <c r="F185" i="21"/>
  <c r="AO184" i="21"/>
  <c r="AL184" i="21"/>
  <c r="AA184" i="21"/>
  <c r="F184" i="21"/>
  <c r="AO183" i="21"/>
  <c r="AL183" i="21"/>
  <c r="AD183" i="21"/>
  <c r="AE183" i="21" s="1"/>
  <c r="Y183" i="21"/>
  <c r="Z183" i="21" s="1" a="1"/>
  <c r="Z183" i="21" s="1"/>
  <c r="AI183" i="21" s="1"/>
  <c r="AJ183" i="21" s="1"/>
  <c r="X183" i="21"/>
  <c r="W183" i="21"/>
  <c r="AQ183" i="21" s="1"/>
  <c r="V183" i="21"/>
  <c r="F183" i="21"/>
  <c r="AO182" i="21"/>
  <c r="AL182" i="21"/>
  <c r="AD182" i="21"/>
  <c r="AE182" i="21" s="1"/>
  <c r="Y182" i="21"/>
  <c r="Z182" i="21" s="1" a="1"/>
  <c r="Z182" i="21" s="1"/>
  <c r="AI182" i="21" s="1"/>
  <c r="AJ182" i="21" s="1"/>
  <c r="X182" i="21"/>
  <c r="W182" i="21"/>
  <c r="AQ182" i="21" s="1"/>
  <c r="V182" i="21"/>
  <c r="F182" i="21"/>
  <c r="AO181" i="21"/>
  <c r="AL181" i="21"/>
  <c r="AD181" i="21"/>
  <c r="AE181" i="21" s="1"/>
  <c r="Y181" i="21"/>
  <c r="Z181" i="21" s="1" a="1"/>
  <c r="Z181" i="21" s="1"/>
  <c r="AI181" i="21" s="1"/>
  <c r="AJ181" i="21" s="1"/>
  <c r="X181" i="21"/>
  <c r="W181" i="21"/>
  <c r="AQ181" i="21" s="1"/>
  <c r="V181" i="21"/>
  <c r="F181" i="21"/>
  <c r="AO180" i="21"/>
  <c r="AL180" i="21"/>
  <c r="AD180" i="21"/>
  <c r="AE180" i="21" s="1"/>
  <c r="Y180" i="21"/>
  <c r="Z180" i="21" s="1" a="1"/>
  <c r="Z180" i="21" s="1"/>
  <c r="AI180" i="21" s="1"/>
  <c r="AJ180" i="21" s="1"/>
  <c r="X180" i="21"/>
  <c r="W180" i="21"/>
  <c r="AQ180" i="21" s="1"/>
  <c r="V180" i="21"/>
  <c r="F180" i="21"/>
  <c r="AO179" i="21"/>
  <c r="AL179" i="21"/>
  <c r="AD179" i="21"/>
  <c r="AE179" i="21" s="1"/>
  <c r="Y179" i="21"/>
  <c r="Z179" i="21" s="1" a="1"/>
  <c r="Z179" i="21" s="1"/>
  <c r="AI179" i="21" s="1"/>
  <c r="AJ179" i="21" s="1"/>
  <c r="X179" i="21"/>
  <c r="W179" i="21"/>
  <c r="AQ179" i="21" s="1"/>
  <c r="V179" i="21"/>
  <c r="F179" i="21"/>
  <c r="AO178" i="21"/>
  <c r="AL178" i="21"/>
  <c r="AD178" i="21"/>
  <c r="AE178" i="21" s="1"/>
  <c r="Y178" i="21"/>
  <c r="Z178" i="21" s="1" a="1"/>
  <c r="Z178" i="21" s="1"/>
  <c r="AI178" i="21" s="1"/>
  <c r="AJ178" i="21" s="1"/>
  <c r="X178" i="21"/>
  <c r="W178" i="21"/>
  <c r="AQ178" i="21" s="1"/>
  <c r="V178" i="21"/>
  <c r="F178" i="21"/>
  <c r="AO177" i="21"/>
  <c r="AL177" i="21"/>
  <c r="AD177" i="21"/>
  <c r="AE177" i="21" s="1"/>
  <c r="Y177" i="21"/>
  <c r="Z177" i="21" s="1" a="1"/>
  <c r="Z177" i="21" s="1"/>
  <c r="AI177" i="21" s="1"/>
  <c r="AJ177" i="21" s="1"/>
  <c r="X177" i="21"/>
  <c r="W177" i="21"/>
  <c r="AQ177" i="21" s="1"/>
  <c r="V177" i="21"/>
  <c r="F177" i="21"/>
  <c r="AO176" i="21"/>
  <c r="AL176" i="21"/>
  <c r="AD176" i="21"/>
  <c r="AE176" i="21" s="1"/>
  <c r="Y176" i="21"/>
  <c r="Z176" i="21" s="1" a="1"/>
  <c r="Z176" i="21" s="1"/>
  <c r="AI176" i="21" s="1"/>
  <c r="AJ176" i="21" s="1"/>
  <c r="X176" i="21"/>
  <c r="W176" i="21"/>
  <c r="AQ176" i="21" s="1"/>
  <c r="V176" i="21"/>
  <c r="F176" i="21"/>
  <c r="AO175" i="21"/>
  <c r="AL175" i="21"/>
  <c r="AD175" i="21"/>
  <c r="AE175" i="21" s="1"/>
  <c r="Y175" i="21"/>
  <c r="Z175" i="21" s="1" a="1"/>
  <c r="Z175" i="21" s="1"/>
  <c r="AI175" i="21" s="1"/>
  <c r="AJ175" i="21" s="1"/>
  <c r="X175" i="21"/>
  <c r="W175" i="21"/>
  <c r="AQ175" i="21" s="1"/>
  <c r="V175" i="21"/>
  <c r="F175" i="21"/>
  <c r="AO174" i="21"/>
  <c r="AL174" i="21"/>
  <c r="AD174" i="21"/>
  <c r="AE174" i="21" s="1"/>
  <c r="Y174" i="21"/>
  <c r="Z174" i="21" s="1" a="1"/>
  <c r="Z174" i="21" s="1"/>
  <c r="AI174" i="21" s="1"/>
  <c r="AJ174" i="21" s="1"/>
  <c r="X174" i="21"/>
  <c r="W174" i="21"/>
  <c r="AQ174" i="21" s="1"/>
  <c r="V174" i="21"/>
  <c r="F174" i="21"/>
  <c r="AO173" i="21"/>
  <c r="AL173" i="21"/>
  <c r="AD173" i="21"/>
  <c r="AE173" i="21" s="1"/>
  <c r="Y173" i="21"/>
  <c r="Z173" i="21" s="1" a="1"/>
  <c r="Z173" i="21" s="1"/>
  <c r="AI173" i="21" s="1"/>
  <c r="AJ173" i="21" s="1"/>
  <c r="X173" i="21"/>
  <c r="W173" i="21"/>
  <c r="AQ173" i="21" s="1"/>
  <c r="V173" i="21"/>
  <c r="F173" i="21"/>
  <c r="AO172" i="21"/>
  <c r="AL172" i="21"/>
  <c r="AD172" i="21"/>
  <c r="AE172" i="21" s="1"/>
  <c r="Y172" i="21"/>
  <c r="Z172" i="21" s="1" a="1"/>
  <c r="Z172" i="21" s="1"/>
  <c r="AI172" i="21" s="1"/>
  <c r="AJ172" i="21" s="1"/>
  <c r="X172" i="21"/>
  <c r="W172" i="21"/>
  <c r="AQ172" i="21" s="1"/>
  <c r="V172" i="21"/>
  <c r="F172" i="21"/>
  <c r="AO171" i="21"/>
  <c r="AL171" i="21"/>
  <c r="AD171" i="21"/>
  <c r="AE171" i="21" s="1"/>
  <c r="Y171" i="21"/>
  <c r="Z171" i="21" s="1" a="1"/>
  <c r="Z171" i="21" s="1"/>
  <c r="AI171" i="21" s="1"/>
  <c r="AJ171" i="21" s="1"/>
  <c r="X171" i="21"/>
  <c r="W171" i="21"/>
  <c r="AQ171" i="21" s="1"/>
  <c r="V171" i="21"/>
  <c r="F171" i="21"/>
  <c r="AO170" i="21"/>
  <c r="AL170" i="21"/>
  <c r="AD170" i="21"/>
  <c r="AE170" i="21" s="1"/>
  <c r="Y170" i="21"/>
  <c r="Z170" i="21" s="1" a="1"/>
  <c r="Z170" i="21" s="1"/>
  <c r="AI170" i="21" s="1"/>
  <c r="AJ170" i="21" s="1"/>
  <c r="X170" i="21"/>
  <c r="W170" i="21"/>
  <c r="AQ170" i="21" s="1"/>
  <c r="V170" i="21"/>
  <c r="F170" i="21"/>
  <c r="AO169" i="21"/>
  <c r="AL169" i="21"/>
  <c r="AD169" i="21"/>
  <c r="AE169" i="21" s="1"/>
  <c r="Y169" i="21"/>
  <c r="Z169" i="21" s="1" a="1"/>
  <c r="Z169" i="21" s="1"/>
  <c r="AI169" i="21" s="1"/>
  <c r="AJ169" i="21" s="1"/>
  <c r="X169" i="21"/>
  <c r="W169" i="21"/>
  <c r="AQ169" i="21" s="1"/>
  <c r="V169" i="21"/>
  <c r="F169" i="21"/>
  <c r="AO168" i="21"/>
  <c r="AL168" i="21"/>
  <c r="AD168" i="21"/>
  <c r="AE168" i="21" s="1"/>
  <c r="Y168" i="21"/>
  <c r="Z168" i="21" s="1" a="1"/>
  <c r="Z168" i="21" s="1"/>
  <c r="AI168" i="21" s="1"/>
  <c r="AJ168" i="21" s="1"/>
  <c r="X168" i="21"/>
  <c r="W168" i="21"/>
  <c r="AQ168" i="21" s="1"/>
  <c r="V168" i="21"/>
  <c r="F168" i="21"/>
  <c r="AO167" i="21"/>
  <c r="AL167" i="21"/>
  <c r="AD167" i="21"/>
  <c r="AE167" i="21" s="1"/>
  <c r="Y167" i="21"/>
  <c r="Z167" i="21" s="1" a="1"/>
  <c r="Z167" i="21" s="1"/>
  <c r="AI167" i="21" s="1"/>
  <c r="AJ167" i="21" s="1"/>
  <c r="X167" i="21"/>
  <c r="W167" i="21"/>
  <c r="AQ167" i="21" s="1"/>
  <c r="V167" i="21"/>
  <c r="F167" i="21"/>
  <c r="AO166" i="21"/>
  <c r="AL166" i="21"/>
  <c r="AD166" i="21"/>
  <c r="AE166" i="21" s="1"/>
  <c r="Y166" i="21"/>
  <c r="Z166" i="21" s="1" a="1"/>
  <c r="Z166" i="21" s="1"/>
  <c r="AI166" i="21" s="1"/>
  <c r="AJ166" i="21" s="1"/>
  <c r="X166" i="21"/>
  <c r="W166" i="21"/>
  <c r="AQ166" i="21" s="1"/>
  <c r="V166" i="21"/>
  <c r="F166" i="21"/>
  <c r="AO165" i="21"/>
  <c r="AL165" i="21"/>
  <c r="AD165" i="21"/>
  <c r="AE165" i="21" s="1"/>
  <c r="Y165" i="21"/>
  <c r="Z165" i="21" s="1" a="1"/>
  <c r="Z165" i="21" s="1"/>
  <c r="AI165" i="21" s="1"/>
  <c r="AJ165" i="21" s="1"/>
  <c r="X165" i="21"/>
  <c r="W165" i="21"/>
  <c r="AQ165" i="21" s="1"/>
  <c r="V165" i="21"/>
  <c r="F165" i="21"/>
  <c r="AO164" i="21"/>
  <c r="AL164" i="21"/>
  <c r="AD164" i="21"/>
  <c r="AE164" i="21" s="1"/>
  <c r="Z164" i="21" a="1"/>
  <c r="Z164" i="21" s="1"/>
  <c r="AI164" i="21" s="1"/>
  <c r="AJ164" i="21" s="1"/>
  <c r="X164" i="21"/>
  <c r="W164" i="21"/>
  <c r="AQ164" i="21" s="1"/>
  <c r="V164" i="21"/>
  <c r="F164" i="21"/>
  <c r="AO163" i="21"/>
  <c r="AL163" i="21"/>
  <c r="AD163" i="21"/>
  <c r="AE163" i="21" s="1"/>
  <c r="Z163" i="21" a="1"/>
  <c r="Z163" i="21" s="1"/>
  <c r="AI163" i="21" s="1"/>
  <c r="AJ163" i="21" s="1"/>
  <c r="X163" i="21"/>
  <c r="W163" i="21"/>
  <c r="AQ163" i="21" s="1"/>
  <c r="V163" i="21"/>
  <c r="F163" i="21"/>
  <c r="AO162" i="21"/>
  <c r="AL162" i="21"/>
  <c r="AA162" i="21"/>
  <c r="F162" i="21"/>
  <c r="AO161" i="21"/>
  <c r="AL161" i="21"/>
  <c r="AA161" i="21"/>
  <c r="Y161" i="21"/>
  <c r="F161" i="21"/>
  <c r="AO160" i="21"/>
  <c r="AL160" i="21"/>
  <c r="AD160" i="21"/>
  <c r="AE160" i="21" s="1"/>
  <c r="Y160" i="21"/>
  <c r="Z160" i="21" s="1" a="1"/>
  <c r="Z160" i="21" s="1"/>
  <c r="AI160" i="21" s="1"/>
  <c r="AJ160" i="21" s="1"/>
  <c r="X160" i="21"/>
  <c r="W160" i="21"/>
  <c r="AQ160" i="21" s="1"/>
  <c r="V160" i="21"/>
  <c r="F160" i="21"/>
  <c r="AO159" i="21"/>
  <c r="AL159" i="21"/>
  <c r="AD159" i="21"/>
  <c r="AE159" i="21" s="1"/>
  <c r="Y159" i="21"/>
  <c r="Z159" i="21" s="1" a="1"/>
  <c r="Z159" i="21" s="1"/>
  <c r="AI159" i="21" s="1"/>
  <c r="AJ159" i="21" s="1"/>
  <c r="X159" i="21"/>
  <c r="W159" i="21"/>
  <c r="AQ159" i="21" s="1"/>
  <c r="V159" i="21"/>
  <c r="AO158" i="21"/>
  <c r="AL158" i="21"/>
  <c r="AA158" i="21"/>
  <c r="AD158" i="21" s="1"/>
  <c r="AE158" i="21" s="1"/>
  <c r="Y158" i="21"/>
  <c r="Z158" i="21" s="1" a="1"/>
  <c r="Z158" i="21" s="1"/>
  <c r="AI158" i="21" s="1"/>
  <c r="AJ158" i="21" s="1"/>
  <c r="X158" i="21"/>
  <c r="W158" i="21"/>
  <c r="AQ158" i="21" s="1"/>
  <c r="V158" i="21"/>
  <c r="AO157" i="21"/>
  <c r="AL157" i="21"/>
  <c r="AA157" i="21"/>
  <c r="AD157" i="21" s="1"/>
  <c r="AE157" i="21" s="1"/>
  <c r="Y157" i="21"/>
  <c r="Z157" i="21" s="1" a="1"/>
  <c r="Z157" i="21" s="1"/>
  <c r="AI157" i="21" s="1"/>
  <c r="AJ157" i="21" s="1"/>
  <c r="X157" i="21"/>
  <c r="W157" i="21"/>
  <c r="AQ157" i="21" s="1"/>
  <c r="V157" i="21"/>
  <c r="AO156" i="21"/>
  <c r="AL156" i="21"/>
  <c r="AA156" i="21"/>
  <c r="AD156" i="21" s="1"/>
  <c r="AE156" i="21" s="1"/>
  <c r="Y156" i="21"/>
  <c r="Z156" i="21" s="1" a="1"/>
  <c r="Z156" i="21" s="1"/>
  <c r="AI156" i="21" s="1"/>
  <c r="AJ156" i="21" s="1"/>
  <c r="X156" i="21"/>
  <c r="W156" i="21"/>
  <c r="AQ156" i="21" s="1"/>
  <c r="V156" i="21"/>
  <c r="AO155" i="21"/>
  <c r="AL155" i="21"/>
  <c r="AD155" i="21"/>
  <c r="AE155" i="21" s="1"/>
  <c r="Y155" i="21"/>
  <c r="Z155" i="21" s="1" a="1"/>
  <c r="Z155" i="21" s="1"/>
  <c r="AI155" i="21" s="1"/>
  <c r="AJ155" i="21" s="1"/>
  <c r="X155" i="21"/>
  <c r="W155" i="21"/>
  <c r="AQ155" i="21" s="1"/>
  <c r="V155" i="21"/>
  <c r="AO154" i="21"/>
  <c r="AL154" i="21"/>
  <c r="AD154" i="21"/>
  <c r="AE154" i="21" s="1"/>
  <c r="Z154" i="21" a="1"/>
  <c r="Z154" i="21" s="1"/>
  <c r="AI154" i="21" s="1"/>
  <c r="AJ154" i="21" s="1"/>
  <c r="X154" i="21"/>
  <c r="W154" i="21"/>
  <c r="AQ154" i="21" s="1"/>
  <c r="V154" i="21"/>
  <c r="AO153" i="21"/>
  <c r="AL153" i="21"/>
  <c r="AD153" i="21"/>
  <c r="AE153" i="21" s="1"/>
  <c r="Z153" i="21" a="1"/>
  <c r="Z153" i="21" s="1"/>
  <c r="AI153" i="21" s="1"/>
  <c r="AJ153" i="21" s="1"/>
  <c r="X153" i="21"/>
  <c r="W153" i="21"/>
  <c r="AQ153" i="21" s="1"/>
  <c r="V153" i="21"/>
  <c r="AO152" i="21"/>
  <c r="AL152" i="21"/>
  <c r="AD152" i="21"/>
  <c r="AE152" i="21" s="1"/>
  <c r="Z152" i="21" a="1"/>
  <c r="Z152" i="21" s="1"/>
  <c r="AI152" i="21" s="1"/>
  <c r="AJ152" i="21" s="1"/>
  <c r="X152" i="21"/>
  <c r="W152" i="21"/>
  <c r="AQ152" i="21" s="1"/>
  <c r="V152" i="21"/>
  <c r="AO151" i="21"/>
  <c r="AL151" i="21"/>
  <c r="AC151" i="21"/>
  <c r="AD151" i="21" s="1"/>
  <c r="AE151" i="21" s="1"/>
  <c r="Z151" i="21" a="1"/>
  <c r="Z151" i="21" s="1"/>
  <c r="AI151" i="21" s="1"/>
  <c r="AJ151" i="21" s="1"/>
  <c r="X151" i="21"/>
  <c r="W151" i="21"/>
  <c r="AQ151" i="21" s="1"/>
  <c r="V151" i="21"/>
  <c r="AO150" i="21"/>
  <c r="AL150" i="21"/>
  <c r="AA150" i="21"/>
  <c r="AD150" i="21" s="1"/>
  <c r="AE150" i="21" s="1"/>
  <c r="Y150" i="21"/>
  <c r="Z150" i="21" s="1" a="1"/>
  <c r="Z150" i="21" s="1"/>
  <c r="AI150" i="21" s="1"/>
  <c r="AJ150" i="21" s="1"/>
  <c r="X150" i="21"/>
  <c r="W150" i="21"/>
  <c r="AQ150" i="21" s="1"/>
  <c r="V150" i="21"/>
  <c r="AO149" i="21"/>
  <c r="AL149" i="21"/>
  <c r="Y149" i="21"/>
  <c r="S149" i="21"/>
  <c r="AA149" i="21" s="1"/>
  <c r="AD149" i="21" s="1"/>
  <c r="AO148" i="21"/>
  <c r="AL148" i="21"/>
  <c r="Y148" i="21"/>
  <c r="S148" i="21"/>
  <c r="AA148" i="21" s="1"/>
  <c r="AD148" i="21" s="1"/>
  <c r="AO147" i="21"/>
  <c r="AL147" i="21"/>
  <c r="Y147" i="21"/>
  <c r="S147" i="21"/>
  <c r="AA147" i="21" s="1"/>
  <c r="AD147" i="21" s="1"/>
  <c r="AO146" i="21"/>
  <c r="AL146" i="21"/>
  <c r="Y146" i="21"/>
  <c r="S146" i="21"/>
  <c r="AA146" i="21" s="1"/>
  <c r="AO145" i="21"/>
  <c r="AL145" i="21"/>
  <c r="Y145" i="21"/>
  <c r="S145" i="21"/>
  <c r="AA145" i="21" s="1"/>
  <c r="AD145" i="21" s="1"/>
  <c r="AO144" i="21"/>
  <c r="AL144" i="21"/>
  <c r="Y144" i="21"/>
  <c r="S144" i="21"/>
  <c r="AA144" i="21" s="1"/>
  <c r="AD144" i="21" s="1"/>
  <c r="AO143" i="21"/>
  <c r="AL143" i="21"/>
  <c r="Y143" i="21"/>
  <c r="S143" i="21"/>
  <c r="AA143" i="21" s="1"/>
  <c r="AD143" i="21" s="1"/>
  <c r="AO142" i="21"/>
  <c r="AL142" i="21"/>
  <c r="Y142" i="21"/>
  <c r="S142" i="21"/>
  <c r="AA142" i="21" s="1"/>
  <c r="AD142" i="21" s="1"/>
  <c r="AO141" i="21"/>
  <c r="AL141" i="21"/>
  <c r="Y141" i="21"/>
  <c r="S141" i="21"/>
  <c r="AA141" i="21" s="1"/>
  <c r="AD141" i="21" s="1"/>
  <c r="AO140" i="21"/>
  <c r="AL140" i="21"/>
  <c r="AC140" i="21"/>
  <c r="Y140" i="21"/>
  <c r="S140" i="21"/>
  <c r="AA140" i="21" s="1"/>
  <c r="AD140" i="21" s="1"/>
  <c r="AO139" i="21"/>
  <c r="AL139" i="21"/>
  <c r="Y139" i="21"/>
  <c r="S139" i="21"/>
  <c r="AA139" i="21" s="1"/>
  <c r="AO138" i="21"/>
  <c r="AL138" i="21"/>
  <c r="Y138" i="21"/>
  <c r="S138" i="21"/>
  <c r="AA138" i="21" s="1"/>
  <c r="AO137" i="21"/>
  <c r="AL137" i="21"/>
  <c r="Y137" i="21"/>
  <c r="S137" i="21"/>
  <c r="AA137" i="21" s="1"/>
  <c r="AO136" i="21"/>
  <c r="AL136" i="21"/>
  <c r="Y136" i="21"/>
  <c r="S136" i="21"/>
  <c r="AA136" i="21" s="1"/>
  <c r="AO135" i="21"/>
  <c r="AL135" i="21"/>
  <c r="Y135" i="21"/>
  <c r="S135" i="21"/>
  <c r="AA135" i="21" s="1"/>
  <c r="AO134" i="21"/>
  <c r="AL134" i="21"/>
  <c r="Y134" i="21"/>
  <c r="S134" i="21"/>
  <c r="AA134" i="21" s="1"/>
  <c r="AO133" i="21"/>
  <c r="AL133" i="21"/>
  <c r="Y133" i="21"/>
  <c r="S133" i="21"/>
  <c r="AA133" i="21" s="1"/>
  <c r="AO132" i="21"/>
  <c r="AL132" i="21"/>
  <c r="Y132" i="21"/>
  <c r="S132" i="21"/>
  <c r="AA132" i="21" s="1"/>
  <c r="AO131" i="21"/>
  <c r="AL131" i="21"/>
  <c r="Y131" i="21"/>
  <c r="S131" i="21"/>
  <c r="AA131" i="21" s="1"/>
  <c r="AO130" i="21"/>
  <c r="AL130" i="21"/>
  <c r="Y130" i="21"/>
  <c r="S130" i="21"/>
  <c r="AA130" i="21" s="1"/>
  <c r="AO129" i="21"/>
  <c r="AL129" i="21"/>
  <c r="Y129" i="21"/>
  <c r="S129" i="21"/>
  <c r="AA129" i="21" s="1"/>
  <c r="AO128" i="21"/>
  <c r="AL128" i="21"/>
  <c r="Y128" i="21"/>
  <c r="S128" i="21"/>
  <c r="AA128" i="21" s="1"/>
  <c r="AO127" i="21"/>
  <c r="AL127" i="21"/>
  <c r="Y127" i="21"/>
  <c r="S127" i="21"/>
  <c r="AA127" i="21" s="1"/>
  <c r="AO126" i="21"/>
  <c r="AL126" i="21"/>
  <c r="Y126" i="21"/>
  <c r="S126" i="21"/>
  <c r="AA126" i="21" s="1"/>
  <c r="AO125" i="21"/>
  <c r="AL125" i="21"/>
  <c r="Y125" i="21"/>
  <c r="S125" i="21"/>
  <c r="AA125" i="21" s="1"/>
  <c r="AO124" i="21"/>
  <c r="AL124" i="21"/>
  <c r="Y124" i="21"/>
  <c r="S124" i="21"/>
  <c r="AA124" i="21" s="1"/>
  <c r="AO123" i="21"/>
  <c r="AL123" i="21"/>
  <c r="Y123" i="21"/>
  <c r="S123" i="21"/>
  <c r="AA123" i="21" s="1"/>
  <c r="AO122" i="21"/>
  <c r="AL122" i="21"/>
  <c r="AA122" i="21"/>
  <c r="Y122" i="21"/>
  <c r="AO121" i="21"/>
  <c r="AL121" i="21"/>
  <c r="AD121" i="21"/>
  <c r="AE121" i="21" s="1"/>
  <c r="Y121" i="21"/>
  <c r="Z121" i="21" s="1" a="1"/>
  <c r="Z121" i="21" s="1"/>
  <c r="AI121" i="21" s="1"/>
  <c r="AJ121" i="21" s="1"/>
  <c r="X121" i="21"/>
  <c r="W121" i="21"/>
  <c r="AQ121" i="21" s="1"/>
  <c r="V121" i="21"/>
  <c r="AO120" i="21"/>
  <c r="AL120" i="21"/>
  <c r="AD120" i="21"/>
  <c r="AE120" i="21" s="1"/>
  <c r="Y120" i="21"/>
  <c r="Z120" i="21" s="1" a="1"/>
  <c r="Z120" i="21" s="1"/>
  <c r="AI120" i="21" s="1"/>
  <c r="AJ120" i="21" s="1"/>
  <c r="X120" i="21"/>
  <c r="W120" i="21"/>
  <c r="AQ120" i="21" s="1"/>
  <c r="V120" i="21"/>
  <c r="AO119" i="21"/>
  <c r="Y119" i="21"/>
  <c r="H119" i="21"/>
  <c r="I119" i="21" s="1"/>
  <c r="AM119" i="21" s="1"/>
  <c r="AO118" i="21"/>
  <c r="AD118" i="21"/>
  <c r="AE118" i="21" s="1"/>
  <c r="Y118" i="21"/>
  <c r="Z118" i="21" s="1" a="1"/>
  <c r="Z118" i="21" s="1"/>
  <c r="AI118" i="21" s="1"/>
  <c r="AJ118" i="21" s="1"/>
  <c r="X118" i="21"/>
  <c r="W118" i="21"/>
  <c r="AQ118" i="21" s="1"/>
  <c r="V118" i="21"/>
  <c r="H118" i="21"/>
  <c r="I118" i="21" s="1"/>
  <c r="AM118" i="21" s="1"/>
  <c r="AO117" i="21"/>
  <c r="AD117" i="21"/>
  <c r="AE117" i="21" s="1"/>
  <c r="Y117" i="21"/>
  <c r="Z117" i="21" s="1" a="1"/>
  <c r="Z117" i="21" s="1"/>
  <c r="AI117" i="21" s="1"/>
  <c r="AJ117" i="21" s="1"/>
  <c r="X117" i="21"/>
  <c r="W117" i="21"/>
  <c r="AQ117" i="21" s="1"/>
  <c r="V117" i="21"/>
  <c r="H117" i="21"/>
  <c r="I117" i="21" s="1"/>
  <c r="AM117" i="21" s="1"/>
  <c r="AO116" i="21"/>
  <c r="AD116" i="21"/>
  <c r="AE116" i="21" s="1"/>
  <c r="Y116" i="21"/>
  <c r="Z116" i="21" s="1" a="1"/>
  <c r="Z116" i="21" s="1"/>
  <c r="AI116" i="21" s="1"/>
  <c r="AJ116" i="21" s="1"/>
  <c r="X116" i="21"/>
  <c r="W116" i="21"/>
  <c r="AQ116" i="21" s="1"/>
  <c r="V116" i="21"/>
  <c r="H116" i="21"/>
  <c r="I116" i="21" s="1"/>
  <c r="AM116" i="21" s="1"/>
  <c r="AO115" i="21"/>
  <c r="AD115" i="21"/>
  <c r="AE115" i="21" s="1"/>
  <c r="Y115" i="21"/>
  <c r="Z115" i="21" s="1" a="1"/>
  <c r="Z115" i="21" s="1"/>
  <c r="AI115" i="21" s="1"/>
  <c r="AJ115" i="21" s="1"/>
  <c r="X115" i="21"/>
  <c r="W115" i="21"/>
  <c r="AQ115" i="21" s="1"/>
  <c r="V115" i="21"/>
  <c r="H115" i="21"/>
  <c r="I115" i="21" s="1"/>
  <c r="AM115" i="21" s="1"/>
  <c r="AO114" i="21"/>
  <c r="AD114" i="21"/>
  <c r="AE114" i="21" s="1"/>
  <c r="Y114" i="21"/>
  <c r="Z114" i="21" s="1" a="1"/>
  <c r="Z114" i="21" s="1"/>
  <c r="AI114" i="21" s="1"/>
  <c r="AJ114" i="21" s="1"/>
  <c r="X114" i="21"/>
  <c r="W114" i="21"/>
  <c r="AQ114" i="21" s="1"/>
  <c r="V114" i="21"/>
  <c r="H114" i="21"/>
  <c r="I114" i="21" s="1"/>
  <c r="AM114" i="21" s="1"/>
  <c r="AO113" i="21"/>
  <c r="AD113" i="21"/>
  <c r="AE113" i="21" s="1"/>
  <c r="Y113" i="21"/>
  <c r="Z113" i="21" s="1" a="1"/>
  <c r="Z113" i="21" s="1"/>
  <c r="AI113" i="21" s="1"/>
  <c r="AJ113" i="21" s="1"/>
  <c r="X113" i="21"/>
  <c r="W113" i="21"/>
  <c r="AQ113" i="21" s="1"/>
  <c r="V113" i="21"/>
  <c r="H113" i="21"/>
  <c r="I113" i="21" s="1"/>
  <c r="AM113" i="21" s="1"/>
  <c r="AO112" i="21"/>
  <c r="AD112" i="21"/>
  <c r="AE112" i="21" s="1"/>
  <c r="Y112" i="21"/>
  <c r="Z112" i="21" s="1" a="1"/>
  <c r="Z112" i="21" s="1"/>
  <c r="AI112" i="21" s="1"/>
  <c r="AJ112" i="21" s="1"/>
  <c r="X112" i="21"/>
  <c r="W112" i="21"/>
  <c r="AQ112" i="21" s="1"/>
  <c r="V112" i="21"/>
  <c r="H112" i="21"/>
  <c r="I112" i="21" s="1"/>
  <c r="AM112" i="21" s="1"/>
  <c r="AO111" i="21"/>
  <c r="AD111" i="21"/>
  <c r="AE111" i="21" s="1"/>
  <c r="Y111" i="21"/>
  <c r="Z111" i="21" s="1" a="1"/>
  <c r="Z111" i="21" s="1"/>
  <c r="AI111" i="21" s="1"/>
  <c r="AJ111" i="21" s="1"/>
  <c r="X111" i="21"/>
  <c r="W111" i="21"/>
  <c r="AQ111" i="21" s="1"/>
  <c r="V111" i="21"/>
  <c r="H111" i="21"/>
  <c r="I111" i="21" s="1"/>
  <c r="AM111" i="21" s="1"/>
  <c r="AO110" i="21"/>
  <c r="AD110" i="21"/>
  <c r="AE110" i="21" s="1"/>
  <c r="Y110" i="21"/>
  <c r="Z110" i="21" s="1" a="1"/>
  <c r="Z110" i="21" s="1"/>
  <c r="AI110" i="21" s="1"/>
  <c r="AJ110" i="21" s="1"/>
  <c r="X110" i="21"/>
  <c r="W110" i="21"/>
  <c r="AQ110" i="21" s="1"/>
  <c r="V110" i="21"/>
  <c r="H110" i="21"/>
  <c r="I110" i="21" s="1"/>
  <c r="AM110" i="21" s="1"/>
  <c r="AO109" i="21"/>
  <c r="AD109" i="21"/>
  <c r="AE109" i="21" s="1"/>
  <c r="Y109" i="21"/>
  <c r="Z109" i="21" s="1" a="1"/>
  <c r="Z109" i="21" s="1"/>
  <c r="AI109" i="21" s="1"/>
  <c r="AJ109" i="21" s="1"/>
  <c r="X109" i="21"/>
  <c r="W109" i="21"/>
  <c r="AQ109" i="21" s="1"/>
  <c r="V109" i="21"/>
  <c r="H109" i="21"/>
  <c r="I109" i="21" s="1"/>
  <c r="AM109" i="21" s="1"/>
  <c r="AO108" i="21"/>
  <c r="AD108" i="21"/>
  <c r="AE108" i="21" s="1"/>
  <c r="Y108" i="21"/>
  <c r="Z108" i="21" s="1" a="1"/>
  <c r="Z108" i="21" s="1"/>
  <c r="AI108" i="21" s="1"/>
  <c r="AJ108" i="21" s="1"/>
  <c r="X108" i="21"/>
  <c r="W108" i="21"/>
  <c r="AQ108" i="21" s="1"/>
  <c r="V108" i="21"/>
  <c r="H108" i="21"/>
  <c r="I108" i="21" s="1"/>
  <c r="AM108" i="21" s="1"/>
  <c r="AO107" i="21"/>
  <c r="Y107" i="21"/>
  <c r="H107" i="21"/>
  <c r="I107" i="21" s="1"/>
  <c r="AM107" i="21" s="1"/>
  <c r="AO106" i="21"/>
  <c r="AD106" i="21"/>
  <c r="AE106" i="21" s="1"/>
  <c r="Y106" i="21"/>
  <c r="Z106" i="21" s="1" a="1"/>
  <c r="Z106" i="21" s="1"/>
  <c r="AI106" i="21" s="1"/>
  <c r="AJ106" i="21" s="1"/>
  <c r="X106" i="21"/>
  <c r="W106" i="21"/>
  <c r="AQ106" i="21" s="1"/>
  <c r="V106" i="21"/>
  <c r="H106" i="21"/>
  <c r="I106" i="21" s="1"/>
  <c r="AM106" i="21" s="1"/>
  <c r="AO105" i="21"/>
  <c r="AD105" i="21"/>
  <c r="AE105" i="21" s="1"/>
  <c r="Y105" i="21"/>
  <c r="Z105" i="21" s="1" a="1"/>
  <c r="Z105" i="21" s="1"/>
  <c r="AI105" i="21" s="1"/>
  <c r="AJ105" i="21" s="1"/>
  <c r="X105" i="21"/>
  <c r="W105" i="21"/>
  <c r="AQ105" i="21" s="1"/>
  <c r="V105" i="21"/>
  <c r="H105" i="21"/>
  <c r="I105" i="21" s="1"/>
  <c r="AM105" i="21" s="1"/>
  <c r="AO104" i="21"/>
  <c r="AD104" i="21"/>
  <c r="AE104" i="21" s="1"/>
  <c r="Y104" i="21"/>
  <c r="Z104" i="21" s="1" a="1"/>
  <c r="Z104" i="21" s="1"/>
  <c r="AI104" i="21" s="1"/>
  <c r="AJ104" i="21" s="1"/>
  <c r="X104" i="21"/>
  <c r="W104" i="21"/>
  <c r="AQ104" i="21" s="1"/>
  <c r="V104" i="21"/>
  <c r="H104" i="21"/>
  <c r="I104" i="21" s="1"/>
  <c r="AM104" i="21" s="1"/>
  <c r="AO103" i="21"/>
  <c r="AD103" i="21"/>
  <c r="AE103" i="21" s="1"/>
  <c r="Y103" i="21"/>
  <c r="Z103" i="21" s="1" a="1"/>
  <c r="Z103" i="21" s="1"/>
  <c r="AI103" i="21" s="1"/>
  <c r="AJ103" i="21" s="1"/>
  <c r="X103" i="21"/>
  <c r="W103" i="21"/>
  <c r="AQ103" i="21" s="1"/>
  <c r="V103" i="21"/>
  <c r="H103" i="21"/>
  <c r="I103" i="21" s="1"/>
  <c r="AM103" i="21" s="1"/>
  <c r="AO102" i="21"/>
  <c r="AD102" i="21"/>
  <c r="AE102" i="21" s="1"/>
  <c r="Y102" i="21"/>
  <c r="Z102" i="21" s="1" a="1"/>
  <c r="Z102" i="21" s="1"/>
  <c r="AI102" i="21" s="1"/>
  <c r="AJ102" i="21" s="1"/>
  <c r="X102" i="21"/>
  <c r="W102" i="21"/>
  <c r="AQ102" i="21" s="1"/>
  <c r="V102" i="21"/>
  <c r="H102" i="21"/>
  <c r="I102" i="21" s="1"/>
  <c r="AM102" i="21" s="1"/>
  <c r="AO101" i="21"/>
  <c r="AD101" i="21"/>
  <c r="AE101" i="21" s="1"/>
  <c r="Y101" i="21"/>
  <c r="Z101" i="21" s="1" a="1"/>
  <c r="Z101" i="21" s="1"/>
  <c r="AI101" i="21" s="1"/>
  <c r="AJ101" i="21" s="1"/>
  <c r="X101" i="21"/>
  <c r="W101" i="21"/>
  <c r="AQ101" i="21" s="1"/>
  <c r="V101" i="21"/>
  <c r="H101" i="21"/>
  <c r="I101" i="21" s="1"/>
  <c r="AM101" i="21" s="1"/>
  <c r="AO100" i="21"/>
  <c r="AD100" i="21"/>
  <c r="AE100" i="21" s="1"/>
  <c r="Y100" i="21"/>
  <c r="Z100" i="21" s="1" a="1"/>
  <c r="Z100" i="21" s="1"/>
  <c r="AI100" i="21" s="1"/>
  <c r="AJ100" i="21" s="1"/>
  <c r="X100" i="21"/>
  <c r="W100" i="21"/>
  <c r="AQ100" i="21" s="1"/>
  <c r="V100" i="21"/>
  <c r="H100" i="21"/>
  <c r="I100" i="21" s="1"/>
  <c r="AM100" i="21" s="1"/>
  <c r="AO99" i="21"/>
  <c r="AD99" i="21"/>
  <c r="AE99" i="21" s="1"/>
  <c r="Y99" i="21"/>
  <c r="Z99" i="21" s="1" a="1"/>
  <c r="Z99" i="21" s="1"/>
  <c r="AI99" i="21" s="1"/>
  <c r="AJ99" i="21" s="1"/>
  <c r="X99" i="21"/>
  <c r="W99" i="21"/>
  <c r="AQ99" i="21" s="1"/>
  <c r="V99" i="21"/>
  <c r="H99" i="21"/>
  <c r="I99" i="21" s="1"/>
  <c r="AM99" i="21" s="1"/>
  <c r="AO98" i="21"/>
  <c r="AD98" i="21"/>
  <c r="AE98" i="21" s="1"/>
  <c r="Y98" i="21"/>
  <c r="Z98" i="21" s="1" a="1"/>
  <c r="Z98" i="21" s="1"/>
  <c r="AI98" i="21" s="1"/>
  <c r="AJ98" i="21" s="1"/>
  <c r="X98" i="21"/>
  <c r="W98" i="21"/>
  <c r="AQ98" i="21" s="1"/>
  <c r="V98" i="21"/>
  <c r="H98" i="21"/>
  <c r="I98" i="21" s="1"/>
  <c r="AM98" i="21" s="1"/>
  <c r="AO97" i="21"/>
  <c r="AD97" i="21"/>
  <c r="AE97" i="21" s="1"/>
  <c r="Y97" i="21"/>
  <c r="Z97" i="21" s="1" a="1"/>
  <c r="Z97" i="21" s="1"/>
  <c r="AI97" i="21" s="1"/>
  <c r="AJ97" i="21" s="1"/>
  <c r="X97" i="21"/>
  <c r="W97" i="21"/>
  <c r="AQ97" i="21" s="1"/>
  <c r="V97" i="21"/>
  <c r="H97" i="21"/>
  <c r="I97" i="21" s="1"/>
  <c r="AM97" i="21" s="1"/>
  <c r="AO96" i="21"/>
  <c r="AD96" i="21"/>
  <c r="AE96" i="21" s="1"/>
  <c r="Y96" i="21"/>
  <c r="Z96" i="21" s="1" a="1"/>
  <c r="Z96" i="21" s="1"/>
  <c r="AI96" i="21" s="1"/>
  <c r="AJ96" i="21" s="1"/>
  <c r="X96" i="21"/>
  <c r="W96" i="21"/>
  <c r="AQ96" i="21" s="1"/>
  <c r="V96" i="21"/>
  <c r="H96" i="21"/>
  <c r="I96" i="21" s="1"/>
  <c r="AM96" i="21" s="1"/>
  <c r="AO95" i="21"/>
  <c r="AD95" i="21"/>
  <c r="AE95" i="21" s="1"/>
  <c r="Y95" i="21"/>
  <c r="Z95" i="21" s="1" a="1"/>
  <c r="Z95" i="21" s="1"/>
  <c r="AI95" i="21" s="1"/>
  <c r="AJ95" i="21" s="1"/>
  <c r="X95" i="21"/>
  <c r="W95" i="21"/>
  <c r="AQ95" i="21" s="1"/>
  <c r="V95" i="21"/>
  <c r="H95" i="21"/>
  <c r="I95" i="21" s="1"/>
  <c r="AM95" i="21" s="1"/>
  <c r="AO94" i="21"/>
  <c r="AD94" i="21"/>
  <c r="AE94" i="21" s="1"/>
  <c r="Y94" i="21"/>
  <c r="Z94" i="21" s="1" a="1"/>
  <c r="Z94" i="21" s="1"/>
  <c r="AI94" i="21" s="1"/>
  <c r="AJ94" i="21" s="1"/>
  <c r="X94" i="21"/>
  <c r="W94" i="21"/>
  <c r="AQ94" i="21" s="1"/>
  <c r="V94" i="21"/>
  <c r="H94" i="21"/>
  <c r="I94" i="21" s="1"/>
  <c r="AM94" i="21" s="1"/>
  <c r="AO93" i="21"/>
  <c r="AD93" i="21"/>
  <c r="AE93" i="21" s="1"/>
  <c r="Y93" i="21"/>
  <c r="Z93" i="21" s="1" a="1"/>
  <c r="Z93" i="21" s="1"/>
  <c r="AI93" i="21" s="1"/>
  <c r="AJ93" i="21" s="1"/>
  <c r="X93" i="21"/>
  <c r="W93" i="21"/>
  <c r="AQ93" i="21" s="1"/>
  <c r="V93" i="21"/>
  <c r="H93" i="21"/>
  <c r="I93" i="21" s="1"/>
  <c r="AM93" i="21" s="1"/>
  <c r="AO92" i="21"/>
  <c r="AD92" i="21"/>
  <c r="AE92" i="21" s="1"/>
  <c r="Y92" i="21"/>
  <c r="Z92" i="21" s="1" a="1"/>
  <c r="Z92" i="21" s="1"/>
  <c r="AI92" i="21" s="1"/>
  <c r="AJ92" i="21" s="1"/>
  <c r="X92" i="21"/>
  <c r="W92" i="21"/>
  <c r="AQ92" i="21" s="1"/>
  <c r="V92" i="21"/>
  <c r="H92" i="21"/>
  <c r="I92" i="21" s="1"/>
  <c r="AM92" i="21" s="1"/>
  <c r="AO91" i="21"/>
  <c r="AD91" i="21"/>
  <c r="AE91" i="21" s="1"/>
  <c r="Y91" i="21"/>
  <c r="Z91" i="21" s="1" a="1"/>
  <c r="Z91" i="21" s="1"/>
  <c r="AI91" i="21" s="1"/>
  <c r="AJ91" i="21" s="1"/>
  <c r="X91" i="21"/>
  <c r="W91" i="21"/>
  <c r="AQ91" i="21" s="1"/>
  <c r="V91" i="21"/>
  <c r="H91" i="21"/>
  <c r="I91" i="21" s="1"/>
  <c r="AM91" i="21" s="1"/>
  <c r="AO90" i="21"/>
  <c r="AD90" i="21"/>
  <c r="AE90" i="21" s="1"/>
  <c r="Y90" i="21"/>
  <c r="Z90" i="21" s="1" a="1"/>
  <c r="Z90" i="21" s="1"/>
  <c r="AI90" i="21" s="1"/>
  <c r="AJ90" i="21" s="1"/>
  <c r="X90" i="21"/>
  <c r="W90" i="21"/>
  <c r="AQ90" i="21" s="1"/>
  <c r="V90" i="21"/>
  <c r="H90" i="21"/>
  <c r="I90" i="21" s="1"/>
  <c r="AM90" i="21" s="1"/>
  <c r="AO89" i="21"/>
  <c r="AD89" i="21"/>
  <c r="AE89" i="21" s="1"/>
  <c r="Y89" i="21"/>
  <c r="Z89" i="21" s="1" a="1"/>
  <c r="Z89" i="21" s="1"/>
  <c r="AI89" i="21" s="1"/>
  <c r="AJ89" i="21" s="1"/>
  <c r="X89" i="21"/>
  <c r="W89" i="21"/>
  <c r="AQ89" i="21" s="1"/>
  <c r="V89" i="21"/>
  <c r="H89" i="21"/>
  <c r="I89" i="21" s="1"/>
  <c r="AM89" i="21" s="1"/>
  <c r="AO88" i="21"/>
  <c r="AD88" i="21"/>
  <c r="AE88" i="21" s="1"/>
  <c r="Y88" i="21"/>
  <c r="Z88" i="21" s="1" a="1"/>
  <c r="Z88" i="21" s="1"/>
  <c r="AI88" i="21" s="1"/>
  <c r="AJ88" i="21" s="1"/>
  <c r="X88" i="21"/>
  <c r="W88" i="21"/>
  <c r="AQ88" i="21" s="1"/>
  <c r="V88" i="21"/>
  <c r="H88" i="21"/>
  <c r="I88" i="21" s="1"/>
  <c r="AM88" i="21" s="1"/>
  <c r="AO87" i="21"/>
  <c r="AD87" i="21"/>
  <c r="AE87" i="21" s="1"/>
  <c r="Y87" i="21"/>
  <c r="Z87" i="21" s="1" a="1"/>
  <c r="Z87" i="21" s="1"/>
  <c r="AI87" i="21" s="1"/>
  <c r="AJ87" i="21" s="1"/>
  <c r="X87" i="21"/>
  <c r="W87" i="21"/>
  <c r="AQ87" i="21" s="1"/>
  <c r="V87" i="21"/>
  <c r="H87" i="21"/>
  <c r="I87" i="21" s="1"/>
  <c r="AM87" i="21" s="1"/>
  <c r="AO86" i="21"/>
  <c r="AD86" i="21"/>
  <c r="AE86" i="21" s="1"/>
  <c r="Y86" i="21"/>
  <c r="Z86" i="21" s="1" a="1"/>
  <c r="Z86" i="21" s="1"/>
  <c r="AI86" i="21" s="1"/>
  <c r="AJ86" i="21" s="1"/>
  <c r="X86" i="21"/>
  <c r="W86" i="21"/>
  <c r="AQ86" i="21" s="1"/>
  <c r="V86" i="21"/>
  <c r="H86" i="21"/>
  <c r="I86" i="21" s="1"/>
  <c r="AM86" i="21" s="1"/>
  <c r="AO85" i="21"/>
  <c r="Y85" i="21"/>
  <c r="H85" i="21"/>
  <c r="I85" i="21" s="1"/>
  <c r="AM85" i="21" s="1"/>
  <c r="AO84" i="21"/>
  <c r="AL84" i="21"/>
  <c r="AD84" i="21"/>
  <c r="AE84" i="21" s="1"/>
  <c r="Y84" i="21"/>
  <c r="Z84" i="21" s="1" a="1"/>
  <c r="Z84" i="21" s="1"/>
  <c r="AI84" i="21" s="1"/>
  <c r="AJ84" i="21" s="1"/>
  <c r="X84" i="21"/>
  <c r="W84" i="21"/>
  <c r="AQ84" i="21" s="1"/>
  <c r="V84" i="21"/>
  <c r="AO83" i="21"/>
  <c r="AL83" i="21"/>
  <c r="AD83" i="21"/>
  <c r="AE83" i="21" s="1"/>
  <c r="Y83" i="21"/>
  <c r="Z83" i="21" s="1" a="1"/>
  <c r="Z83" i="21" s="1"/>
  <c r="AI83" i="21" s="1"/>
  <c r="AJ83" i="21" s="1"/>
  <c r="X83" i="21"/>
  <c r="W83" i="21"/>
  <c r="AQ83" i="21" s="1"/>
  <c r="V83" i="21"/>
  <c r="AO82" i="21"/>
  <c r="AL82" i="21"/>
  <c r="Y82" i="21"/>
  <c r="AI82" i="21" s="1"/>
  <c r="AJ82" i="21" s="1"/>
  <c r="X82" i="21"/>
  <c r="W82" i="21"/>
  <c r="V82" i="21"/>
  <c r="AO81" i="21"/>
  <c r="AL81" i="21"/>
  <c r="Y81" i="21"/>
  <c r="AI81" i="21" s="1"/>
  <c r="AJ81" i="21" s="1"/>
  <c r="X81" i="21"/>
  <c r="W81" i="21"/>
  <c r="V81" i="21"/>
  <c r="AO80" i="21"/>
  <c r="AL80" i="21"/>
  <c r="AD80" i="21"/>
  <c r="AE80" i="21" s="1"/>
  <c r="Y80" i="21"/>
  <c r="Z80" i="21" s="1" a="1"/>
  <c r="Z80" i="21" s="1"/>
  <c r="AI80" i="21" s="1"/>
  <c r="AJ80" i="21" s="1"/>
  <c r="X80" i="21"/>
  <c r="W80" i="21"/>
  <c r="AQ80" i="21" s="1"/>
  <c r="V80" i="21"/>
  <c r="AO79" i="21"/>
  <c r="AL79" i="21"/>
  <c r="AD79" i="21"/>
  <c r="AE79" i="21" s="1"/>
  <c r="Y79" i="21"/>
  <c r="Z79" i="21" s="1" a="1"/>
  <c r="Z79" i="21" s="1"/>
  <c r="AI79" i="21" s="1"/>
  <c r="AJ79" i="21" s="1"/>
  <c r="X79" i="21"/>
  <c r="W79" i="21"/>
  <c r="AQ79" i="21" s="1"/>
  <c r="V79" i="21"/>
  <c r="AO78" i="21"/>
  <c r="AL78" i="21"/>
  <c r="AD78" i="21"/>
  <c r="AE78" i="21" s="1"/>
  <c r="Y78" i="21"/>
  <c r="Z78" i="21" s="1" a="1"/>
  <c r="Z78" i="21" s="1"/>
  <c r="AI78" i="21" s="1"/>
  <c r="AJ78" i="21" s="1"/>
  <c r="X78" i="21"/>
  <c r="W78" i="21"/>
  <c r="AQ78" i="21" s="1"/>
  <c r="V78" i="21"/>
  <c r="AO77" i="21"/>
  <c r="AL77" i="21"/>
  <c r="AD77" i="21"/>
  <c r="AE77" i="21" s="1"/>
  <c r="Y77" i="21"/>
  <c r="Z77" i="21" s="1" a="1"/>
  <c r="Z77" i="21" s="1"/>
  <c r="AI77" i="21" s="1"/>
  <c r="AJ77" i="21" s="1"/>
  <c r="X77" i="21"/>
  <c r="W77" i="21"/>
  <c r="AQ77" i="21" s="1"/>
  <c r="V77" i="21"/>
  <c r="AO76" i="21"/>
  <c r="AL76" i="21"/>
  <c r="AD76" i="21"/>
  <c r="AE76" i="21" s="1"/>
  <c r="Y76" i="21"/>
  <c r="Z76" i="21" s="1" a="1"/>
  <c r="Z76" i="21" s="1"/>
  <c r="AI76" i="21" s="1"/>
  <c r="AJ76" i="21" s="1"/>
  <c r="X76" i="21"/>
  <c r="W76" i="21"/>
  <c r="AQ76" i="21" s="1"/>
  <c r="V76" i="21"/>
  <c r="AO75" i="21"/>
  <c r="AL75" i="21"/>
  <c r="AD75" i="21"/>
  <c r="AE75" i="21" s="1"/>
  <c r="Y75" i="21"/>
  <c r="Z75" i="21" s="1" a="1"/>
  <c r="Z75" i="21" s="1"/>
  <c r="AI75" i="21" s="1"/>
  <c r="AJ75" i="21" s="1"/>
  <c r="X75" i="21"/>
  <c r="W75" i="21"/>
  <c r="AQ75" i="21" s="1"/>
  <c r="V75" i="21"/>
  <c r="AO74" i="21"/>
  <c r="AL74" i="21"/>
  <c r="AD74" i="21"/>
  <c r="AE74" i="21" s="1"/>
  <c r="Y74" i="21"/>
  <c r="Z74" i="21" s="1" a="1"/>
  <c r="Z74" i="21" s="1"/>
  <c r="AI74" i="21" s="1"/>
  <c r="AJ74" i="21" s="1"/>
  <c r="X74" i="21"/>
  <c r="W74" i="21"/>
  <c r="AQ74" i="21" s="1"/>
  <c r="V74" i="21"/>
  <c r="AO73" i="21"/>
  <c r="AL73" i="21"/>
  <c r="AI73" i="21"/>
  <c r="AJ73" i="21" s="1"/>
  <c r="AC73" i="21"/>
  <c r="X73" i="21"/>
  <c r="W73" i="21"/>
  <c r="V73" i="21"/>
  <c r="AO72" i="21"/>
  <c r="AL72" i="21"/>
  <c r="AD72" i="21"/>
  <c r="AE72" i="21" s="1"/>
  <c r="Y72" i="21"/>
  <c r="Z72" i="21" s="1" a="1"/>
  <c r="Z72" i="21" s="1"/>
  <c r="AI72" i="21" s="1"/>
  <c r="AJ72" i="21" s="1"/>
  <c r="X72" i="21"/>
  <c r="W72" i="21"/>
  <c r="AQ72" i="21" s="1"/>
  <c r="V72" i="21"/>
  <c r="AO71" i="21"/>
  <c r="AL71" i="21"/>
  <c r="AD71" i="21"/>
  <c r="AE71" i="21" s="1"/>
  <c r="Y71" i="21"/>
  <c r="Z71" i="21" s="1" a="1"/>
  <c r="Z71" i="21" s="1"/>
  <c r="AI71" i="21" s="1"/>
  <c r="AJ71" i="21" s="1"/>
  <c r="X71" i="21"/>
  <c r="W71" i="21"/>
  <c r="AQ71" i="21" s="1"/>
  <c r="V71" i="21"/>
  <c r="AO70" i="21"/>
  <c r="AL70" i="21"/>
  <c r="AD70" i="21"/>
  <c r="AE70" i="21" s="1"/>
  <c r="Y70" i="21"/>
  <c r="Z70" i="21" s="1" a="1"/>
  <c r="Z70" i="21" s="1"/>
  <c r="AI70" i="21" s="1"/>
  <c r="AJ70" i="21" s="1"/>
  <c r="X70" i="21"/>
  <c r="W70" i="21"/>
  <c r="AQ70" i="21" s="1"/>
  <c r="V70" i="21"/>
  <c r="AO69" i="21"/>
  <c r="AL69" i="21"/>
  <c r="AD69" i="21"/>
  <c r="AE69" i="21" s="1"/>
  <c r="Y69" i="21"/>
  <c r="Z69" i="21" s="1" a="1"/>
  <c r="Z69" i="21" s="1"/>
  <c r="AI69" i="21" s="1"/>
  <c r="AJ69" i="21" s="1"/>
  <c r="X69" i="21"/>
  <c r="W69" i="21"/>
  <c r="AQ69" i="21" s="1"/>
  <c r="V69" i="21"/>
  <c r="AO68" i="21"/>
  <c r="AL68" i="21"/>
  <c r="AD68" i="21"/>
  <c r="AE68" i="21" s="1"/>
  <c r="Y68" i="21"/>
  <c r="Z68" i="21" s="1" a="1"/>
  <c r="Z68" i="21" s="1"/>
  <c r="AI68" i="21" s="1"/>
  <c r="AJ68" i="21" s="1"/>
  <c r="X68" i="21"/>
  <c r="W68" i="21"/>
  <c r="AQ68" i="21" s="1"/>
  <c r="V68" i="21"/>
  <c r="AO67" i="21"/>
  <c r="AL67" i="21"/>
  <c r="AD67" i="21"/>
  <c r="AE67" i="21" s="1"/>
  <c r="Y67" i="21"/>
  <c r="Z67" i="21" s="1" a="1"/>
  <c r="Z67" i="21" s="1"/>
  <c r="AI67" i="21" s="1"/>
  <c r="AJ67" i="21" s="1"/>
  <c r="X67" i="21"/>
  <c r="W67" i="21"/>
  <c r="AQ67" i="21" s="1"/>
  <c r="V67" i="21"/>
  <c r="AO66" i="21"/>
  <c r="AL66" i="21"/>
  <c r="AD66" i="21"/>
  <c r="AE66" i="21" s="1"/>
  <c r="Y66" i="21"/>
  <c r="Z66" i="21" s="1" a="1"/>
  <c r="Z66" i="21" s="1"/>
  <c r="AI66" i="21" s="1"/>
  <c r="AJ66" i="21" s="1"/>
  <c r="X66" i="21"/>
  <c r="W66" i="21"/>
  <c r="AQ66" i="21" s="1"/>
  <c r="V66" i="21"/>
  <c r="AO65" i="21"/>
  <c r="AL65" i="21"/>
  <c r="AD65" i="21"/>
  <c r="AE65" i="21" s="1"/>
  <c r="Y65" i="21"/>
  <c r="Z65" i="21" s="1" a="1"/>
  <c r="Z65" i="21" s="1"/>
  <c r="AI65" i="21" s="1"/>
  <c r="AJ65" i="21" s="1"/>
  <c r="X65" i="21"/>
  <c r="W65" i="21"/>
  <c r="AQ65" i="21" s="1"/>
  <c r="V65" i="21"/>
  <c r="AO64" i="21"/>
  <c r="AL64" i="21"/>
  <c r="AD64" i="21"/>
  <c r="AE64" i="21" s="1"/>
  <c r="Y64" i="21"/>
  <c r="Z64" i="21" s="1" a="1"/>
  <c r="Z64" i="21" s="1"/>
  <c r="AI64" i="21" s="1"/>
  <c r="AJ64" i="21" s="1"/>
  <c r="X64" i="21"/>
  <c r="W64" i="21"/>
  <c r="AQ64" i="21" s="1"/>
  <c r="V64" i="21"/>
  <c r="AO63" i="21"/>
  <c r="AL63" i="21"/>
  <c r="AD63" i="21"/>
  <c r="AE63" i="21" s="1"/>
  <c r="Y63" i="21"/>
  <c r="Z63" i="21" s="1" a="1"/>
  <c r="Z63" i="21" s="1"/>
  <c r="AI63" i="21" s="1"/>
  <c r="AJ63" i="21" s="1"/>
  <c r="X63" i="21"/>
  <c r="W63" i="21"/>
  <c r="AQ63" i="21" s="1"/>
  <c r="V63" i="21"/>
  <c r="AO62" i="21"/>
  <c r="AL62" i="21"/>
  <c r="AD62" i="21"/>
  <c r="AE62" i="21" s="1"/>
  <c r="Y62" i="21"/>
  <c r="Z62" i="21" s="1" a="1"/>
  <c r="Z62" i="21" s="1"/>
  <c r="AI62" i="21" s="1"/>
  <c r="AJ62" i="21" s="1"/>
  <c r="X62" i="21"/>
  <c r="W62" i="21"/>
  <c r="AQ62" i="21" s="1"/>
  <c r="V62" i="21"/>
  <c r="AO61" i="21"/>
  <c r="AL61" i="21"/>
  <c r="AD61" i="21"/>
  <c r="AE61" i="21" s="1"/>
  <c r="Y61" i="21"/>
  <c r="Z61" i="21" s="1" a="1"/>
  <c r="Z61" i="21" s="1"/>
  <c r="AI61" i="21" s="1"/>
  <c r="AJ61" i="21" s="1"/>
  <c r="X61" i="21"/>
  <c r="W61" i="21"/>
  <c r="AQ61" i="21" s="1"/>
  <c r="V61" i="21"/>
  <c r="AO60" i="21"/>
  <c r="AL60" i="21"/>
  <c r="AD60" i="21"/>
  <c r="AE60" i="21" s="1"/>
  <c r="Y60" i="21"/>
  <c r="Z60" i="21" s="1" a="1"/>
  <c r="Z60" i="21" s="1"/>
  <c r="AI60" i="21" s="1"/>
  <c r="AJ60" i="21" s="1"/>
  <c r="X60" i="21"/>
  <c r="W60" i="21"/>
  <c r="AQ60" i="21" s="1"/>
  <c r="V60" i="21"/>
  <c r="AO59" i="21"/>
  <c r="AL59" i="21"/>
  <c r="AD59" i="21"/>
  <c r="AE59" i="21" s="1"/>
  <c r="Z59" i="21" a="1"/>
  <c r="Z59" i="21" s="1"/>
  <c r="AI59" i="21" s="1"/>
  <c r="AJ59" i="21" s="1"/>
  <c r="X59" i="21"/>
  <c r="W59" i="21"/>
  <c r="AQ59" i="21" s="1"/>
  <c r="V59" i="21"/>
  <c r="AO58" i="21"/>
  <c r="AL58" i="21"/>
  <c r="AD58" i="21"/>
  <c r="AE58" i="21" s="1"/>
  <c r="Z58" i="21" a="1"/>
  <c r="Z58" i="21" s="1"/>
  <c r="AI58" i="21" s="1"/>
  <c r="AJ58" i="21" s="1"/>
  <c r="X58" i="21"/>
  <c r="W58" i="21"/>
  <c r="AQ58" i="21" s="1"/>
  <c r="V58" i="21"/>
  <c r="AO57" i="21"/>
  <c r="AL57" i="21"/>
  <c r="AD57" i="21"/>
  <c r="AE57" i="21" s="1"/>
  <c r="Z57" i="21" a="1"/>
  <c r="Z57" i="21" s="1"/>
  <c r="AI57" i="21" s="1"/>
  <c r="AJ57" i="21" s="1"/>
  <c r="X57" i="21"/>
  <c r="W57" i="21"/>
  <c r="AQ57" i="21" s="1"/>
  <c r="V57" i="21"/>
  <c r="AO56" i="21"/>
  <c r="AL56" i="21"/>
  <c r="AO55" i="21"/>
  <c r="AL55" i="21"/>
  <c r="AD55" i="21"/>
  <c r="AE55" i="21" s="1"/>
  <c r="Z55" i="21" a="1"/>
  <c r="Z55" i="21" s="1"/>
  <c r="AI55" i="21" s="1"/>
  <c r="AJ55" i="21" s="1"/>
  <c r="X55" i="21"/>
  <c r="W55" i="21"/>
  <c r="AQ55" i="21" s="1"/>
  <c r="V55" i="21"/>
  <c r="AO54" i="21"/>
  <c r="AL54" i="21"/>
  <c r="AD54" i="21"/>
  <c r="AE54" i="21" s="1"/>
  <c r="Z54" i="21" a="1"/>
  <c r="Z54" i="21" s="1"/>
  <c r="AI54" i="21" s="1"/>
  <c r="AJ54" i="21" s="1"/>
  <c r="X54" i="21"/>
  <c r="W54" i="21"/>
  <c r="AQ54" i="21" s="1"/>
  <c r="V54" i="21"/>
  <c r="AO53" i="21"/>
  <c r="AL53" i="21"/>
  <c r="AO52" i="21"/>
  <c r="AL52" i="21"/>
  <c r="AD52" i="21"/>
  <c r="AE52" i="21" s="1"/>
  <c r="Z52" i="21" a="1"/>
  <c r="Z52" i="21" s="1"/>
  <c r="AI52" i="21" s="1"/>
  <c r="AJ52" i="21" s="1"/>
  <c r="X52" i="21"/>
  <c r="W52" i="21"/>
  <c r="AQ52" i="21" s="1"/>
  <c r="V52" i="21"/>
  <c r="AO51" i="21"/>
  <c r="AL51" i="21"/>
  <c r="AD51" i="21"/>
  <c r="AE51" i="21" s="1"/>
  <c r="Y51" i="21"/>
  <c r="Z51" i="21" s="1" a="1"/>
  <c r="Z51" i="21" s="1"/>
  <c r="AI51" i="21" s="1"/>
  <c r="AJ51" i="21" s="1"/>
  <c r="X51" i="21"/>
  <c r="W51" i="21"/>
  <c r="AQ51" i="21" s="1"/>
  <c r="V51" i="21"/>
  <c r="AO50" i="21"/>
  <c r="AL50" i="21"/>
  <c r="AD50" i="21"/>
  <c r="AE50" i="21" s="1"/>
  <c r="Z50" i="21" a="1"/>
  <c r="Z50" i="21" s="1"/>
  <c r="AI50" i="21" s="1"/>
  <c r="AJ50" i="21" s="1"/>
  <c r="X50" i="21"/>
  <c r="W50" i="21"/>
  <c r="AQ50" i="21" s="1"/>
  <c r="V50" i="21"/>
  <c r="AO49" i="21"/>
  <c r="H49" i="21"/>
  <c r="I49" i="21" s="1"/>
  <c r="AM49" i="21" s="1"/>
  <c r="AO48" i="21"/>
  <c r="AL48" i="21"/>
  <c r="AD48" i="21"/>
  <c r="AE48" i="21" s="1"/>
  <c r="Y48" i="21"/>
  <c r="Z48" i="21" s="1" a="1"/>
  <c r="Z48" i="21" s="1"/>
  <c r="AI48" i="21" s="1"/>
  <c r="AJ48" i="21" s="1"/>
  <c r="X48" i="21"/>
  <c r="W48" i="21"/>
  <c r="AQ48" i="21" s="1"/>
  <c r="V48" i="21"/>
  <c r="AO47" i="21"/>
  <c r="AL47" i="21"/>
  <c r="AD47" i="21"/>
  <c r="AE47" i="21" s="1"/>
  <c r="Y47" i="21"/>
  <c r="Z47" i="21" s="1" a="1"/>
  <c r="Z47" i="21" s="1"/>
  <c r="AI47" i="21" s="1"/>
  <c r="AJ47" i="21" s="1"/>
  <c r="X47" i="21"/>
  <c r="W47" i="21"/>
  <c r="AQ47" i="21" s="1"/>
  <c r="V47" i="21"/>
  <c r="AO46" i="21"/>
  <c r="AL46" i="21"/>
  <c r="AD46" i="21"/>
  <c r="AE46" i="21" s="1"/>
  <c r="Y46" i="21"/>
  <c r="Z46" i="21" s="1" a="1"/>
  <c r="Z46" i="21" s="1"/>
  <c r="AI46" i="21" s="1"/>
  <c r="AJ46" i="21" s="1"/>
  <c r="X46" i="21"/>
  <c r="W46" i="21"/>
  <c r="AQ46" i="21" s="1"/>
  <c r="V46" i="21"/>
  <c r="AO45" i="21"/>
  <c r="AL45" i="21"/>
  <c r="AD45" i="21"/>
  <c r="AE45" i="21" s="1"/>
  <c r="Y45" i="21"/>
  <c r="Z45" i="21" s="1" a="1"/>
  <c r="Z45" i="21" s="1"/>
  <c r="AI45" i="21" s="1"/>
  <c r="AJ45" i="21" s="1"/>
  <c r="X45" i="21"/>
  <c r="W45" i="21"/>
  <c r="AQ45" i="21" s="1"/>
  <c r="V45" i="21"/>
  <c r="AO44" i="21"/>
  <c r="AL44" i="21"/>
  <c r="AD44" i="21"/>
  <c r="AE44" i="21" s="1"/>
  <c r="Z44" i="21" a="1"/>
  <c r="Z44" i="21" s="1"/>
  <c r="AI44" i="21" s="1"/>
  <c r="AJ44" i="21" s="1"/>
  <c r="X44" i="21"/>
  <c r="W44" i="21"/>
  <c r="AQ44" i="21" s="1"/>
  <c r="V44" i="21"/>
  <c r="AO43" i="21"/>
  <c r="AL43" i="21"/>
  <c r="AD43" i="21"/>
  <c r="AE43" i="21" s="1"/>
  <c r="Z43" i="21" a="1"/>
  <c r="Z43" i="21" s="1"/>
  <c r="AI43" i="21" s="1"/>
  <c r="AJ43" i="21" s="1"/>
  <c r="X43" i="21"/>
  <c r="W43" i="21"/>
  <c r="AQ43" i="21" s="1"/>
  <c r="V43" i="21"/>
  <c r="AO42" i="21"/>
  <c r="AD42" i="21"/>
  <c r="AE42" i="21" s="1"/>
  <c r="Z42" i="21" a="1"/>
  <c r="Z42" i="21" s="1"/>
  <c r="AI42" i="21" s="1"/>
  <c r="AJ42" i="21" s="1"/>
  <c r="X42" i="21"/>
  <c r="W42" i="21"/>
  <c r="AQ42" i="21" s="1"/>
  <c r="V42" i="21"/>
  <c r="H42" i="21"/>
  <c r="I42" i="21" s="1"/>
  <c r="AM42" i="21" s="1"/>
  <c r="AO41" i="21"/>
  <c r="Y41" i="21"/>
  <c r="H41" i="21"/>
  <c r="I41" i="21" s="1"/>
  <c r="AM41" i="21" s="1"/>
  <c r="AO40" i="21"/>
  <c r="AL40" i="21"/>
  <c r="AD40" i="21"/>
  <c r="AE40" i="21" s="1"/>
  <c r="Y40" i="21"/>
  <c r="Z40" i="21" s="1" a="1"/>
  <c r="Z40" i="21" s="1"/>
  <c r="AI40" i="21" s="1"/>
  <c r="AJ40" i="21" s="1"/>
  <c r="X40" i="21"/>
  <c r="W40" i="21"/>
  <c r="AQ40" i="21" s="1"/>
  <c r="V40" i="21"/>
  <c r="AO39" i="21"/>
  <c r="AL39" i="21"/>
  <c r="AD39" i="21"/>
  <c r="AE39" i="21" s="1"/>
  <c r="Y39" i="21"/>
  <c r="Z39" i="21" s="1" a="1"/>
  <c r="Z39" i="21" s="1"/>
  <c r="AI39" i="21" s="1"/>
  <c r="AJ39" i="21" s="1"/>
  <c r="X39" i="21"/>
  <c r="W39" i="21"/>
  <c r="AQ39" i="21" s="1"/>
  <c r="V39" i="21"/>
  <c r="AL38" i="21"/>
  <c r="P38" i="21"/>
  <c r="AP38" i="21" s="1"/>
  <c r="F38" i="21"/>
  <c r="AO37" i="21"/>
  <c r="H37" i="21"/>
  <c r="I37" i="21" s="1"/>
  <c r="AM37" i="21" s="1"/>
  <c r="F37" i="21"/>
  <c r="AO36" i="21"/>
  <c r="AL36" i="21"/>
  <c r="AD36" i="21"/>
  <c r="AE36" i="21" s="1"/>
  <c r="Y36" i="21"/>
  <c r="Z36" i="21" s="1" a="1"/>
  <c r="Z36" i="21" s="1"/>
  <c r="AI36" i="21" s="1"/>
  <c r="AJ36" i="21" s="1"/>
  <c r="X36" i="21"/>
  <c r="W36" i="21"/>
  <c r="AQ36" i="21" s="1"/>
  <c r="V36" i="21"/>
  <c r="F36" i="21"/>
  <c r="AO35" i="21"/>
  <c r="AL35" i="21"/>
  <c r="AD35" i="21"/>
  <c r="AE35" i="21" s="1"/>
  <c r="Y35" i="21"/>
  <c r="Z35" i="21" s="1" a="1"/>
  <c r="Z35" i="21" s="1"/>
  <c r="AI35" i="21" s="1"/>
  <c r="AJ35" i="21" s="1"/>
  <c r="X35" i="21"/>
  <c r="W35" i="21"/>
  <c r="AQ35" i="21" s="1"/>
  <c r="V35" i="21"/>
  <c r="F35" i="21"/>
  <c r="AO34" i="21"/>
  <c r="AL34" i="21"/>
  <c r="AD34" i="21"/>
  <c r="AE34" i="21" s="1"/>
  <c r="Y34" i="21"/>
  <c r="Z34" i="21" s="1" a="1"/>
  <c r="Z34" i="21" s="1"/>
  <c r="AI34" i="21" s="1"/>
  <c r="AJ34" i="21" s="1"/>
  <c r="X34" i="21"/>
  <c r="W34" i="21"/>
  <c r="AQ34" i="21" s="1"/>
  <c r="V34" i="21"/>
  <c r="F34" i="21"/>
  <c r="AO33" i="21"/>
  <c r="AD33" i="21"/>
  <c r="AE33" i="21" s="1"/>
  <c r="Y33" i="21"/>
  <c r="Z33" i="21" s="1" a="1"/>
  <c r="Z33" i="21" s="1"/>
  <c r="AI33" i="21" s="1"/>
  <c r="AJ33" i="21" s="1"/>
  <c r="X33" i="21"/>
  <c r="W33" i="21"/>
  <c r="AQ33" i="21" s="1"/>
  <c r="V33" i="21"/>
  <c r="I33" i="21"/>
  <c r="AM33" i="21" s="1"/>
  <c r="F33" i="21"/>
  <c r="AO32" i="21"/>
  <c r="AD32" i="21"/>
  <c r="AE32" i="21" s="1"/>
  <c r="Y32" i="21"/>
  <c r="Z32" i="21" s="1" a="1"/>
  <c r="Z32" i="21" s="1"/>
  <c r="AI32" i="21" s="1"/>
  <c r="AJ32" i="21" s="1"/>
  <c r="X32" i="21"/>
  <c r="W32" i="21"/>
  <c r="AQ32" i="21" s="1"/>
  <c r="V32" i="21"/>
  <c r="I32" i="21"/>
  <c r="AM32" i="21" s="1"/>
  <c r="F32" i="21"/>
  <c r="AO31" i="21"/>
  <c r="Y31" i="21"/>
  <c r="I31" i="21"/>
  <c r="AM31" i="21" s="1"/>
  <c r="F31" i="21"/>
  <c r="AO30" i="21"/>
  <c r="AL30" i="21"/>
  <c r="AA30" i="21"/>
  <c r="Y30" i="21"/>
  <c r="F30" i="21"/>
  <c r="AO29" i="21"/>
  <c r="AL29" i="21"/>
  <c r="AD29" i="21"/>
  <c r="AE29" i="21" s="1"/>
  <c r="Y29" i="21"/>
  <c r="Z29" i="21" s="1" a="1"/>
  <c r="Z29" i="21" s="1"/>
  <c r="AI29" i="21" s="1"/>
  <c r="AJ29" i="21" s="1"/>
  <c r="X29" i="21"/>
  <c r="W29" i="21"/>
  <c r="AQ29" i="21" s="1"/>
  <c r="V29" i="21"/>
  <c r="F29" i="21"/>
  <c r="AO28" i="21"/>
  <c r="AL28" i="21"/>
  <c r="AD28" i="21"/>
  <c r="AE28" i="21" s="1"/>
  <c r="Y28" i="21"/>
  <c r="Z28" i="21" s="1" a="1"/>
  <c r="Z28" i="21" s="1"/>
  <c r="AI28" i="21" s="1"/>
  <c r="AJ28" i="21" s="1"/>
  <c r="X28" i="21"/>
  <c r="W28" i="21"/>
  <c r="AQ28" i="21" s="1"/>
  <c r="V28" i="21"/>
  <c r="AO27" i="21"/>
  <c r="AL27" i="21"/>
  <c r="Y27" i="21"/>
  <c r="AO26" i="21"/>
  <c r="AL26" i="21"/>
  <c r="Y26" i="21"/>
  <c r="AO25" i="21"/>
  <c r="AL25" i="21"/>
  <c r="Y25" i="21"/>
  <c r="AO24" i="21"/>
  <c r="AB24" i="21"/>
  <c r="I24" i="21"/>
  <c r="AM24" i="21" s="1"/>
  <c r="H24" i="21"/>
  <c r="G24" i="21"/>
  <c r="AA24" i="21" s="1"/>
  <c r="AD24" i="21" s="1"/>
  <c r="AO23" i="21"/>
  <c r="AL23" i="21"/>
  <c r="AD23" i="21"/>
  <c r="AE23" i="21" s="1"/>
  <c r="Z23" i="21" a="1"/>
  <c r="Z23" i="21" s="1"/>
  <c r="AI23" i="21" s="1"/>
  <c r="AJ23" i="21" s="1"/>
  <c r="X23" i="21"/>
  <c r="W23" i="21"/>
  <c r="AQ23" i="21" s="1"/>
  <c r="V23" i="21"/>
  <c r="AO22" i="21"/>
  <c r="AL22" i="21"/>
  <c r="AO21" i="21"/>
  <c r="AL21" i="21"/>
  <c r="AO20" i="21"/>
  <c r="AL20" i="21"/>
  <c r="AO19" i="21"/>
  <c r="AL19" i="21"/>
  <c r="Y19" i="21"/>
  <c r="AO18" i="21"/>
  <c r="AL18" i="21"/>
  <c r="Y18" i="21"/>
  <c r="AO17" i="21"/>
  <c r="AL17" i="21"/>
  <c r="Y17" i="21"/>
  <c r="AO16" i="21"/>
  <c r="AL16" i="21"/>
  <c r="Y16" i="21"/>
  <c r="AO15" i="21"/>
  <c r="AL15" i="21"/>
  <c r="Y15" i="21"/>
  <c r="AO14" i="21"/>
  <c r="AL14" i="21"/>
  <c r="Y14" i="21"/>
  <c r="AO13" i="21"/>
  <c r="AL13" i="21"/>
  <c r="Y13" i="21"/>
  <c r="AO12" i="21"/>
  <c r="AL12" i="21"/>
  <c r="Y12" i="21"/>
  <c r="AO11" i="21"/>
  <c r="AL11" i="21"/>
  <c r="Y11" i="21"/>
  <c r="AO10" i="21"/>
  <c r="AL10" i="21"/>
  <c r="Y10" i="21"/>
  <c r="AO9" i="21"/>
  <c r="AL9" i="21"/>
  <c r="Y9" i="21"/>
  <c r="AO8" i="21"/>
  <c r="AL8" i="21"/>
  <c r="Y8" i="21"/>
  <c r="AO7" i="21"/>
  <c r="AL7" i="21"/>
  <c r="Y7" i="21"/>
  <c r="AO6" i="21"/>
  <c r="Y6" i="21"/>
  <c r="I6" i="21"/>
  <c r="AM6" i="21" s="1"/>
  <c r="AO5" i="21"/>
  <c r="Y5" i="21"/>
  <c r="I5" i="21"/>
  <c r="AM5" i="21" s="1"/>
  <c r="AO4" i="21"/>
  <c r="Y4" i="21"/>
  <c r="I4" i="21"/>
  <c r="AM4" i="21" s="1"/>
  <c r="AO3" i="21"/>
  <c r="AL3" i="21"/>
  <c r="AB3" i="21"/>
  <c r="AA3" i="21"/>
  <c r="AD3" i="21" s="1"/>
  <c r="AE3" i="21" s="1"/>
  <c r="Z3" i="21" a="1"/>
  <c r="Z3" i="21" s="1"/>
  <c r="AI3" i="21" s="1"/>
  <c r="AJ3" i="21" s="1"/>
  <c r="X3" i="21"/>
  <c r="W3" i="21"/>
  <c r="AQ3" i="21" s="1"/>
  <c r="V3" i="21"/>
  <c r="AO2" i="21"/>
  <c r="AL2" i="21"/>
  <c r="AD2" i="21"/>
  <c r="AE2" i="21" s="1"/>
  <c r="Z2" i="21" a="1"/>
  <c r="Z2" i="21" s="1"/>
  <c r="AI2" i="21" s="1"/>
  <c r="AJ2" i="21" s="1"/>
  <c r="X2" i="21"/>
  <c r="W2" i="21"/>
  <c r="AQ2" i="21" s="1"/>
  <c r="V2" i="21"/>
  <c r="B65" i="15"/>
  <c r="B66" i="15" s="1"/>
  <c r="I65" i="15"/>
  <c r="I66" i="15"/>
  <c r="I67" i="15"/>
  <c r="I68" i="15"/>
  <c r="I69" i="15"/>
  <c r="I70" i="15"/>
  <c r="I71" i="15"/>
  <c r="I72" i="15"/>
  <c r="I236" i="18"/>
  <c r="I237" i="18"/>
  <c r="I238" i="18"/>
  <c r="I239" i="18"/>
  <c r="I240" i="18"/>
  <c r="I241" i="18"/>
  <c r="I242" i="18"/>
  <c r="I243" i="18"/>
  <c r="I244" i="18"/>
  <c r="I245" i="18"/>
  <c r="I246" i="18"/>
  <c r="I247" i="18"/>
  <c r="I248" i="18"/>
  <c r="I249" i="18"/>
  <c r="W7" i="22" l="1"/>
  <c r="Y7" i="22" s="1"/>
  <c r="J38" i="19"/>
  <c r="J62" i="19"/>
  <c r="AA22" i="21"/>
  <c r="AD22" i="21" s="1"/>
  <c r="AA21" i="21"/>
  <c r="AD21" i="21" s="1"/>
  <c r="AA20" i="21"/>
  <c r="AD20" i="21" s="1"/>
  <c r="S19" i="21"/>
  <c r="AA19" i="21" s="1"/>
  <c r="AD19" i="21" s="1"/>
  <c r="S18" i="21"/>
  <c r="AA18" i="21" s="1"/>
  <c r="AD18" i="21" s="1"/>
  <c r="S17" i="21"/>
  <c r="AA17" i="21" s="1"/>
  <c r="AD17" i="21" s="1"/>
  <c r="S16" i="21"/>
  <c r="AA16" i="21" s="1"/>
  <c r="AD16" i="21" s="1"/>
  <c r="S15" i="21"/>
  <c r="AA15" i="21" s="1"/>
  <c r="AD15" i="21" s="1"/>
  <c r="S14" i="21"/>
  <c r="AA14" i="21" s="1"/>
  <c r="AD14" i="21" s="1"/>
  <c r="S13" i="21"/>
  <c r="AA13" i="21" s="1"/>
  <c r="AD13" i="21" s="1"/>
  <c r="S12" i="21"/>
  <c r="AA12" i="21" s="1"/>
  <c r="AD12" i="21" s="1"/>
  <c r="S11" i="21"/>
  <c r="AA11" i="21" s="1"/>
  <c r="AD11" i="21" s="1"/>
  <c r="S10" i="21"/>
  <c r="AA10" i="21" s="1"/>
  <c r="AD10" i="21" s="1"/>
  <c r="S9" i="21"/>
  <c r="AA9" i="21" s="1"/>
  <c r="AD9" i="21" s="1"/>
  <c r="S8" i="21"/>
  <c r="AA8" i="21" s="1"/>
  <c r="AD8" i="21" s="1"/>
  <c r="S7" i="21"/>
  <c r="AA7" i="21" s="1"/>
  <c r="AD7" i="21" s="1"/>
  <c r="S6" i="21"/>
  <c r="AA6" i="21" s="1"/>
  <c r="AD6" i="21" s="1"/>
  <c r="S5" i="21"/>
  <c r="AA5" i="21" s="1"/>
  <c r="AD5" i="21" s="1"/>
  <c r="AL4" i="21"/>
  <c r="S4" i="21"/>
  <c r="AA4" i="21" s="1"/>
  <c r="AD4" i="21" s="1"/>
  <c r="AL5" i="21"/>
  <c r="AL6" i="21"/>
  <c r="AE24" i="21"/>
  <c r="Z24" i="21" a="1"/>
  <c r="Z24" i="21" s="1"/>
  <c r="AA27" i="21"/>
  <c r="AD27" i="21" s="1"/>
  <c r="AA26" i="21"/>
  <c r="AD26" i="21" s="1"/>
  <c r="AA25" i="21"/>
  <c r="AD25" i="21" s="1"/>
  <c r="AL24" i="21"/>
  <c r="AC30" i="21"/>
  <c r="AB30" i="21"/>
  <c r="AA38" i="21"/>
  <c r="AA37" i="21"/>
  <c r="AL31" i="21"/>
  <c r="AA31" i="21"/>
  <c r="AL32" i="21"/>
  <c r="AL33" i="21"/>
  <c r="AL37" i="21"/>
  <c r="AO38" i="21"/>
  <c r="Y38" i="21"/>
  <c r="AA82" i="21"/>
  <c r="AD82" i="21" s="1"/>
  <c r="AE82" i="21" s="1"/>
  <c r="AA81" i="21"/>
  <c r="AD81" i="21" s="1"/>
  <c r="AE81" i="21" s="1"/>
  <c r="AA73" i="21"/>
  <c r="AD73" i="21" s="1"/>
  <c r="AE73" i="21" s="1"/>
  <c r="AA56" i="21"/>
  <c r="AA53" i="21"/>
  <c r="AA49" i="21"/>
  <c r="AL41" i="21"/>
  <c r="AA41" i="21"/>
  <c r="AL42" i="21"/>
  <c r="AL49" i="21"/>
  <c r="AA119" i="21"/>
  <c r="AD119" i="21" s="1"/>
  <c r="AA107" i="21"/>
  <c r="AD107" i="21" s="1"/>
  <c r="AL85" i="21"/>
  <c r="AA85" i="21"/>
  <c r="AD85" i="21" s="1"/>
  <c r="AL86" i="21"/>
  <c r="AL87" i="21"/>
  <c r="AL88" i="21"/>
  <c r="AL89" i="21"/>
  <c r="AL90" i="21"/>
  <c r="AL91" i="21"/>
  <c r="AL92" i="21"/>
  <c r="AL93" i="21"/>
  <c r="AL94" i="21"/>
  <c r="AL95" i="21"/>
  <c r="AL96" i="21"/>
  <c r="AL97" i="21"/>
  <c r="AL98" i="21"/>
  <c r="AL99" i="21"/>
  <c r="AL100" i="21"/>
  <c r="AL101" i="21"/>
  <c r="AL102" i="21"/>
  <c r="AL103" i="21"/>
  <c r="AL104" i="21"/>
  <c r="AL105" i="21"/>
  <c r="AL106" i="21"/>
  <c r="AL107" i="21"/>
  <c r="AL108" i="21"/>
  <c r="AL109" i="21"/>
  <c r="AL110" i="21"/>
  <c r="AL111" i="21"/>
  <c r="AL112" i="21"/>
  <c r="AL113" i="21"/>
  <c r="AL114" i="21"/>
  <c r="AL115" i="21"/>
  <c r="AL116" i="21"/>
  <c r="AL117" i="21"/>
  <c r="AL118" i="21"/>
  <c r="AL119" i="21"/>
  <c r="AC122" i="21"/>
  <c r="AD122" i="21" s="1"/>
  <c r="AC123" i="21"/>
  <c r="AD123" i="21" s="1"/>
  <c r="AC124" i="21"/>
  <c r="AD124" i="21" s="1"/>
  <c r="AC125" i="21"/>
  <c r="AD125" i="21" s="1"/>
  <c r="AC126" i="21"/>
  <c r="AD126" i="21" s="1"/>
  <c r="AC127" i="21"/>
  <c r="AD127" i="21" s="1"/>
  <c r="AC128" i="21"/>
  <c r="AD128" i="21" s="1"/>
  <c r="AC129" i="21"/>
  <c r="AD129" i="21" s="1"/>
  <c r="AC130" i="21"/>
  <c r="AD130" i="21" s="1"/>
  <c r="AC131" i="21"/>
  <c r="AD131" i="21" s="1"/>
  <c r="AC132" i="21"/>
  <c r="AD132" i="21" s="1"/>
  <c r="AC133" i="21"/>
  <c r="AD133" i="21" s="1"/>
  <c r="AC134" i="21"/>
  <c r="AD134" i="21" s="1"/>
  <c r="AC135" i="21"/>
  <c r="AD135" i="21" s="1"/>
  <c r="AC136" i="21"/>
  <c r="AD136" i="21" s="1"/>
  <c r="AC137" i="21"/>
  <c r="AD137" i="21" s="1"/>
  <c r="AC138" i="21"/>
  <c r="AD138" i="21" s="1"/>
  <c r="AC139" i="21"/>
  <c r="AB139" i="21"/>
  <c r="AD139" i="21" s="1"/>
  <c r="AE140" i="21"/>
  <c r="Z140" i="21" a="1"/>
  <c r="Z140" i="21" s="1"/>
  <c r="AE141" i="21"/>
  <c r="Z141" i="21" a="1"/>
  <c r="Z141" i="21" s="1"/>
  <c r="AE142" i="21"/>
  <c r="Z142" i="21" a="1"/>
  <c r="Z142" i="21" s="1"/>
  <c r="AE143" i="21"/>
  <c r="Z143" i="21" a="1"/>
  <c r="Z143" i="21" s="1"/>
  <c r="AE144" i="21"/>
  <c r="Z144" i="21" a="1"/>
  <c r="Z144" i="21" s="1"/>
  <c r="AE145" i="21"/>
  <c r="Z145" i="21" a="1"/>
  <c r="Z145" i="21" s="1"/>
  <c r="AC146" i="21"/>
  <c r="AD146" i="21" s="1"/>
  <c r="AE147" i="21"/>
  <c r="Z147" i="21" a="1"/>
  <c r="Z147" i="21" s="1"/>
  <c r="AE148" i="21"/>
  <c r="Z148" i="21" a="1"/>
  <c r="Z148" i="21" s="1"/>
  <c r="AE149" i="21"/>
  <c r="Z149" i="21" a="1"/>
  <c r="Z149" i="21" s="1"/>
  <c r="AC161" i="21"/>
  <c r="AB161" i="21"/>
  <c r="AD161" i="21" s="1"/>
  <c r="AC162" i="21"/>
  <c r="AD162" i="21" s="1"/>
  <c r="AC184" i="21"/>
  <c r="AB184" i="21"/>
  <c r="AD184" i="21" s="1"/>
  <c r="AC185" i="21"/>
  <c r="AD185" i="21" s="1"/>
  <c r="AC188" i="21"/>
  <c r="AB188" i="21"/>
  <c r="AD188" i="21" s="1"/>
  <c r="AC190" i="21"/>
  <c r="AB190" i="21"/>
  <c r="AD190" i="21" s="1"/>
  <c r="AC191" i="21"/>
  <c r="AD191" i="21" s="1"/>
  <c r="AC214" i="21"/>
  <c r="AD214" i="21" s="1"/>
  <c r="AC232" i="21"/>
  <c r="AB232" i="21"/>
  <c r="AD232" i="21" s="1"/>
  <c r="H234" i="21"/>
  <c r="I234" i="21" s="1"/>
  <c r="AM234" i="21" s="1"/>
  <c r="H235" i="21"/>
  <c r="I235" i="21" s="1"/>
  <c r="AM235" i="21" s="1"/>
  <c r="H260" i="21"/>
  <c r="I260" i="21" s="1"/>
  <c r="AM260" i="21" s="1"/>
  <c r="H261" i="21"/>
  <c r="I261" i="21" s="1"/>
  <c r="AM261" i="21" s="1"/>
  <c r="AC266" i="21"/>
  <c r="AB266" i="21"/>
  <c r="AC267" i="21"/>
  <c r="AB267" i="21"/>
  <c r="AD267" i="21" s="1"/>
  <c r="AC268" i="21"/>
  <c r="AB268" i="21"/>
  <c r="AD268" i="21" s="1"/>
  <c r="AC269" i="21"/>
  <c r="AB269" i="21"/>
  <c r="AD269" i="21" s="1"/>
  <c r="AA291" i="21"/>
  <c r="AD291" i="21" s="1"/>
  <c r="AA290" i="21"/>
  <c r="AD290" i="21" s="1"/>
  <c r="AL286" i="21"/>
  <c r="AA286" i="21"/>
  <c r="AD286" i="21" s="1"/>
  <c r="AL287" i="21"/>
  <c r="AL288" i="21"/>
  <c r="AL289" i="21"/>
  <c r="AL290" i="21"/>
  <c r="Y293" i="21"/>
  <c r="Z292" i="21" a="1"/>
  <c r="Z292" i="21" s="1"/>
  <c r="AC295" i="21"/>
  <c r="AB295" i="21"/>
  <c r="AD295" i="21" s="1"/>
  <c r="AC296" i="21"/>
  <c r="AB296" i="21"/>
  <c r="AD296" i="21" s="1"/>
  <c r="AC297" i="21"/>
  <c r="AB297" i="21"/>
  <c r="AD297" i="21" s="1"/>
  <c r="AC301" i="21"/>
  <c r="AB301" i="21"/>
  <c r="AD301" i="21" s="1"/>
  <c r="AC328" i="21"/>
  <c r="AB328" i="21"/>
  <c r="AD328" i="21" s="1"/>
  <c r="AC329" i="21"/>
  <c r="AB329" i="21"/>
  <c r="AD329" i="21" s="1"/>
  <c r="AC330" i="21"/>
  <c r="AB330" i="21"/>
  <c r="AD330" i="21" s="1"/>
  <c r="AC331" i="21"/>
  <c r="AB331" i="21"/>
  <c r="AD331" i="21" s="1"/>
  <c r="AC332" i="21"/>
  <c r="AB332" i="21"/>
  <c r="AD332" i="21" s="1"/>
  <c r="AC333" i="21"/>
  <c r="AB333" i="21"/>
  <c r="AD333" i="21" s="1"/>
  <c r="AE334" i="21"/>
  <c r="Z334" i="21" a="1"/>
  <c r="Z334" i="21" s="1"/>
  <c r="AE335" i="21"/>
  <c r="Z335" i="21" a="1"/>
  <c r="Z335" i="21" s="1"/>
  <c r="AE336" i="21"/>
  <c r="Z336" i="21" a="1"/>
  <c r="Z336" i="21" s="1"/>
  <c r="AE337" i="21"/>
  <c r="Z337" i="21" a="1"/>
  <c r="Z337" i="21" s="1"/>
  <c r="AE338" i="21"/>
  <c r="Z338" i="21" a="1"/>
  <c r="Z338" i="21" s="1"/>
  <c r="AE339" i="21"/>
  <c r="Z339" i="21" a="1"/>
  <c r="Z339" i="21" s="1"/>
  <c r="AE340" i="21"/>
  <c r="Z340" i="21" a="1"/>
  <c r="Z340" i="21" s="1"/>
  <c r="AE341" i="21"/>
  <c r="Z341" i="21" a="1"/>
  <c r="Z341" i="21" s="1"/>
  <c r="AE342" i="21"/>
  <c r="Z342" i="21" a="1"/>
  <c r="Z342" i="21" s="1"/>
  <c r="AE343" i="21"/>
  <c r="Z343" i="21" a="1"/>
  <c r="Z343" i="21" s="1"/>
  <c r="AE344" i="21"/>
  <c r="Z344" i="21" a="1"/>
  <c r="Z344" i="21" s="1"/>
  <c r="AE345" i="21"/>
  <c r="Z345" i="21" a="1"/>
  <c r="Z345" i="21" s="1"/>
  <c r="AE346" i="21"/>
  <c r="Z346" i="21" a="1"/>
  <c r="Z346" i="21" s="1"/>
  <c r="AE347" i="21"/>
  <c r="Z347" i="21" a="1"/>
  <c r="Z347" i="21" s="1"/>
  <c r="AE348" i="21"/>
  <c r="Z348" i="21" a="1"/>
  <c r="Z348" i="21" s="1"/>
  <c r="AE349" i="21"/>
  <c r="Z349" i="21" a="1"/>
  <c r="Z349" i="21" s="1"/>
  <c r="AE350" i="21"/>
  <c r="Z350" i="21" a="1"/>
  <c r="Z350" i="21" s="1"/>
  <c r="AE351" i="21"/>
  <c r="Z351" i="21" a="1"/>
  <c r="Z351" i="21" s="1"/>
  <c r="AE352" i="21"/>
  <c r="Z352" i="21" a="1"/>
  <c r="Z352" i="21" s="1"/>
  <c r="AC355" i="21"/>
  <c r="AD355" i="21" s="1"/>
  <c r="AI375" i="21"/>
  <c r="AJ375" i="21" s="1"/>
  <c r="X375" i="21"/>
  <c r="W375" i="21"/>
  <c r="AQ375" i="21" s="1"/>
  <c r="V375" i="21"/>
  <c r="AI376" i="21"/>
  <c r="AJ376" i="21" s="1"/>
  <c r="X376" i="21"/>
  <c r="W376" i="21"/>
  <c r="AQ376" i="21" s="1"/>
  <c r="V376" i="21"/>
  <c r="AC379" i="21"/>
  <c r="AB379" i="21"/>
  <c r="AD379" i="21" s="1"/>
  <c r="AC380" i="21"/>
  <c r="AB380" i="21"/>
  <c r="AD380" i="21" s="1"/>
  <c r="AC383" i="21"/>
  <c r="AB383" i="21"/>
  <c r="AD383" i="21" s="1"/>
  <c r="AC385" i="21"/>
  <c r="AB385" i="21"/>
  <c r="AD385" i="21" s="1"/>
  <c r="AC388" i="21"/>
  <c r="AB388" i="21"/>
  <c r="AD388" i="21" s="1"/>
  <c r="AC513" i="21"/>
  <c r="AB513" i="21"/>
  <c r="AD513" i="21" s="1"/>
  <c r="AA573" i="21"/>
  <c r="AA572" i="21"/>
  <c r="AA571" i="21"/>
  <c r="AA570" i="21"/>
  <c r="AA569" i="21"/>
  <c r="AA568" i="21"/>
  <c r="AA567" i="21"/>
  <c r="AA566" i="21"/>
  <c r="AA565" i="21"/>
  <c r="AA564" i="21"/>
  <c r="AA563" i="21"/>
  <c r="AA562" i="21"/>
  <c r="AA561" i="21"/>
  <c r="AA560" i="21"/>
  <c r="AA559" i="21"/>
  <c r="AA558" i="21"/>
  <c r="AA557" i="21"/>
  <c r="AA556" i="21"/>
  <c r="AA555" i="21"/>
  <c r="AA554" i="21"/>
  <c r="AA553" i="21"/>
  <c r="AA552" i="21"/>
  <c r="AA551" i="21"/>
  <c r="AA550" i="21"/>
  <c r="AA549" i="21"/>
  <c r="AA548" i="21"/>
  <c r="AA547" i="21"/>
  <c r="AA546" i="21"/>
  <c r="AA545" i="21"/>
  <c r="AA544" i="21"/>
  <c r="AA543" i="21"/>
  <c r="AA542" i="21"/>
  <c r="AA541" i="21"/>
  <c r="AA540" i="21"/>
  <c r="AA539" i="21"/>
  <c r="AA538" i="21"/>
  <c r="AA537" i="21"/>
  <c r="AA536" i="21"/>
  <c r="AA535" i="21"/>
  <c r="AA534" i="21"/>
  <c r="AA533" i="21"/>
  <c r="AA532" i="21"/>
  <c r="AA531" i="21"/>
  <c r="AA530" i="21"/>
  <c r="AA529" i="21"/>
  <c r="AA528" i="21"/>
  <c r="AA527" i="21"/>
  <c r="AA526" i="21"/>
  <c r="AA578" i="21"/>
  <c r="AA577" i="21"/>
  <c r="AA576" i="21"/>
  <c r="AA575" i="21"/>
  <c r="AA574" i="21"/>
  <c r="AA582" i="21"/>
  <c r="AA581" i="21"/>
  <c r="AA580" i="21"/>
  <c r="AA579" i="21"/>
  <c r="AE583" i="21"/>
  <c r="Z583" i="21" a="1"/>
  <c r="Z583" i="21" s="1"/>
  <c r="AO629" i="21"/>
  <c r="AO649" i="21"/>
  <c r="Y649" i="21"/>
  <c r="Z649" i="21" s="1" a="1"/>
  <c r="Z649" i="21" s="1"/>
  <c r="AO648" i="21"/>
  <c r="Y648" i="21"/>
  <c r="Z648" i="21" s="1" a="1"/>
  <c r="Z648" i="21" s="1"/>
  <c r="AO647" i="21"/>
  <c r="Y647" i="21"/>
  <c r="Z647" i="21" s="1" a="1"/>
  <c r="Z647" i="21" s="1"/>
  <c r="AO646" i="21"/>
  <c r="Y646" i="21"/>
  <c r="Z646" i="21" s="1" a="1"/>
  <c r="Z646" i="21" s="1"/>
  <c r="AO645" i="21"/>
  <c r="Y645" i="21"/>
  <c r="Z645" i="21" s="1" a="1"/>
  <c r="Z645" i="21" s="1"/>
  <c r="AO644" i="21"/>
  <c r="Y644" i="21"/>
  <c r="Z644" i="21" s="1" a="1"/>
  <c r="Z644" i="21" s="1"/>
  <c r="AO643" i="21"/>
  <c r="Y643" i="21"/>
  <c r="Z643" i="21" s="1" a="1"/>
  <c r="Z643" i="21" s="1"/>
  <c r="AO642" i="21"/>
  <c r="Y642" i="21"/>
  <c r="Z642" i="21" s="1" a="1"/>
  <c r="Z642" i="21" s="1"/>
  <c r="AO641" i="21"/>
  <c r="Y641" i="21"/>
  <c r="Z641" i="21" s="1" a="1"/>
  <c r="Z641" i="21" s="1"/>
  <c r="AO640" i="21"/>
  <c r="Y640" i="21"/>
  <c r="Z640" i="21" s="1" a="1"/>
  <c r="Z640" i="21" s="1"/>
  <c r="AO639" i="21"/>
  <c r="Y639" i="21"/>
  <c r="Z639" i="21" s="1" a="1"/>
  <c r="Z639" i="21" s="1"/>
  <c r="AO638" i="21"/>
  <c r="Y638" i="21"/>
  <c r="Z638" i="21" s="1" a="1"/>
  <c r="Z638" i="21" s="1"/>
  <c r="AO637" i="21"/>
  <c r="Y637" i="21"/>
  <c r="Z637" i="21" s="1" a="1"/>
  <c r="Z637" i="21" s="1"/>
  <c r="AO636" i="21"/>
  <c r="Y636" i="21"/>
  <c r="Z636" i="21" s="1" a="1"/>
  <c r="Z636" i="21" s="1"/>
  <c r="AO635" i="21"/>
  <c r="Y635" i="21"/>
  <c r="Z635" i="21" s="1" a="1"/>
  <c r="Z635" i="21" s="1"/>
  <c r="AO634" i="21"/>
  <c r="Y634" i="21"/>
  <c r="Z634" i="21" s="1" a="1"/>
  <c r="Z634" i="21" s="1"/>
  <c r="AO633" i="21"/>
  <c r="Y633" i="21"/>
  <c r="Z633" i="21" s="1" a="1"/>
  <c r="Z633" i="21" s="1"/>
  <c r="AO666" i="21"/>
  <c r="Y666" i="21"/>
  <c r="Z666" i="21" s="1" a="1"/>
  <c r="Z666" i="21" s="1"/>
  <c r="AO665" i="21"/>
  <c r="Y665" i="21"/>
  <c r="Z665" i="21" s="1" a="1"/>
  <c r="Z665" i="21" s="1"/>
  <c r="AO664" i="21"/>
  <c r="Y664" i="21"/>
  <c r="Z664" i="21" s="1" a="1"/>
  <c r="Z664" i="21" s="1"/>
  <c r="AO663" i="21"/>
  <c r="Y663" i="21"/>
  <c r="Z663" i="21" s="1" a="1"/>
  <c r="Z663" i="21" s="1"/>
  <c r="AO662" i="21"/>
  <c r="Y662" i="21"/>
  <c r="Z662" i="21" s="1" a="1"/>
  <c r="Z662" i="21" s="1"/>
  <c r="AO661" i="21"/>
  <c r="Y661" i="21"/>
  <c r="Z661" i="21" s="1" a="1"/>
  <c r="Z661" i="21" s="1"/>
  <c r="AO660" i="21"/>
  <c r="Y660" i="21"/>
  <c r="Z660" i="21" s="1" a="1"/>
  <c r="Z660" i="21" s="1"/>
  <c r="AO659" i="21"/>
  <c r="Y659" i="21"/>
  <c r="Z659" i="21" s="1" a="1"/>
  <c r="Z659" i="21" s="1"/>
  <c r="AO658" i="21"/>
  <c r="Y658" i="21"/>
  <c r="Z658" i="21" s="1" a="1"/>
  <c r="Z658" i="21" s="1"/>
  <c r="AO657" i="21"/>
  <c r="Y657" i="21"/>
  <c r="Z657" i="21" s="1" a="1"/>
  <c r="Z657" i="21" s="1"/>
  <c r="AO656" i="21"/>
  <c r="Y656" i="21"/>
  <c r="Z656" i="21" s="1" a="1"/>
  <c r="Z656" i="21" s="1"/>
  <c r="AO655" i="21"/>
  <c r="Y655" i="21"/>
  <c r="Z655" i="21" s="1" a="1"/>
  <c r="Z655" i="21" s="1"/>
  <c r="AO654" i="21"/>
  <c r="Y654" i="21"/>
  <c r="Z654" i="21" s="1" a="1"/>
  <c r="Z654" i="21" s="1"/>
  <c r="AO675" i="21"/>
  <c r="Y675" i="21"/>
  <c r="Z675" i="21" s="1" a="1"/>
  <c r="Z675" i="21" s="1"/>
  <c r="AO674" i="21"/>
  <c r="Y674" i="21"/>
  <c r="Z674" i="21" s="1" a="1"/>
  <c r="Z674" i="21" s="1"/>
  <c r="AO673" i="21"/>
  <c r="Y673" i="21"/>
  <c r="Z673" i="21" s="1" a="1"/>
  <c r="Z673" i="21" s="1"/>
  <c r="AO672" i="21"/>
  <c r="Y672" i="21"/>
  <c r="Z672" i="21" s="1" a="1"/>
  <c r="Z672" i="21" s="1"/>
  <c r="AO671" i="21"/>
  <c r="Y671" i="21"/>
  <c r="Z671" i="21" s="1" a="1"/>
  <c r="Z671" i="21" s="1"/>
  <c r="AL709" i="21"/>
  <c r="AL710" i="21"/>
  <c r="AL711" i="21"/>
  <c r="AL712" i="21"/>
  <c r="AL713" i="21"/>
  <c r="AL714" i="21"/>
  <c r="AL715" i="21"/>
  <c r="AL716" i="21"/>
  <c r="AL717" i="21"/>
  <c r="AL719" i="21"/>
  <c r="AL720" i="21"/>
  <c r="AL721" i="21"/>
  <c r="AL722" i="21"/>
  <c r="AL723" i="21"/>
  <c r="AL756" i="21"/>
  <c r="AL757" i="21"/>
  <c r="AL758" i="21"/>
  <c r="AC761" i="21"/>
  <c r="AB761" i="21"/>
  <c r="AC762" i="21"/>
  <c r="AB762" i="21"/>
  <c r="AD762" i="21" s="1"/>
  <c r="AO1104" i="21"/>
  <c r="Y1104" i="21"/>
  <c r="Z1104" i="21" s="1" a="1"/>
  <c r="Z1104" i="21" s="1"/>
  <c r="AO1103" i="21"/>
  <c r="Y1103" i="21"/>
  <c r="Z1103" i="21" s="1" a="1"/>
  <c r="Z1103" i="21" s="1"/>
  <c r="AO1102" i="21"/>
  <c r="Y1102" i="21"/>
  <c r="Z1102" i="21" s="1" a="1"/>
  <c r="Z1102" i="21" s="1"/>
  <c r="AO1101" i="21"/>
  <c r="Y1101" i="21"/>
  <c r="Z1101" i="21" s="1" a="1"/>
  <c r="Z1101" i="21" s="1"/>
  <c r="AO1100" i="21"/>
  <c r="Y1100" i="21"/>
  <c r="Z1100" i="21" s="1" a="1"/>
  <c r="Z1100" i="21" s="1"/>
  <c r="AO1099" i="21"/>
  <c r="Y1099" i="21"/>
  <c r="Z1099" i="21" s="1" a="1"/>
  <c r="Z1099" i="21" s="1"/>
  <c r="AO1098" i="21"/>
  <c r="Y1098" i="21"/>
  <c r="Z1098" i="21" s="1" a="1"/>
  <c r="Z1098" i="21" s="1"/>
  <c r="AO1097" i="21"/>
  <c r="Y1097" i="21"/>
  <c r="Z1097" i="21" s="1" a="1"/>
  <c r="Z1097" i="21" s="1"/>
  <c r="AO1096" i="21"/>
  <c r="Y1096" i="21"/>
  <c r="Z1096" i="21" s="1" a="1"/>
  <c r="Z1096" i="21" s="1"/>
  <c r="AO1095" i="21"/>
  <c r="Y1095" i="21"/>
  <c r="Z1095" i="21" s="1" a="1"/>
  <c r="Z1095" i="21" s="1"/>
  <c r="AO1094" i="21"/>
  <c r="Y1094" i="21"/>
  <c r="Z1094" i="21" s="1" a="1"/>
  <c r="Z1094" i="21" s="1"/>
  <c r="AO1093" i="21"/>
  <c r="Y1093" i="21"/>
  <c r="Z1093" i="21" s="1" a="1"/>
  <c r="Z1093" i="21" s="1"/>
  <c r="AO1092" i="21"/>
  <c r="Y1092" i="21"/>
  <c r="Z1092" i="21" s="1" a="1"/>
  <c r="Z1092" i="21" s="1"/>
  <c r="AO1091" i="21"/>
  <c r="Y1091" i="21"/>
  <c r="Z1091" i="21" s="1" a="1"/>
  <c r="Z1091" i="21" s="1"/>
  <c r="AO1090" i="21"/>
  <c r="Y1090" i="21"/>
  <c r="Z1090" i="21" s="1" a="1"/>
  <c r="Z1090" i="21" s="1"/>
  <c r="AO1089" i="21"/>
  <c r="Y1089" i="21"/>
  <c r="Z1089" i="21" s="1" a="1"/>
  <c r="Z1089" i="21" s="1"/>
  <c r="AO1088" i="21"/>
  <c r="Y1088" i="21"/>
  <c r="Z1088" i="21" s="1" a="1"/>
  <c r="Z1088" i="21" s="1"/>
  <c r="AO1087" i="21"/>
  <c r="Y1087" i="21"/>
  <c r="Z1087" i="21" s="1" a="1"/>
  <c r="Z1087" i="21" s="1"/>
  <c r="AO1086" i="21"/>
  <c r="Y1086" i="21"/>
  <c r="Z1086" i="21" s="1" a="1"/>
  <c r="Z1086" i="21" s="1"/>
  <c r="AO1085" i="21"/>
  <c r="Y1085" i="21"/>
  <c r="Z1085" i="21" s="1" a="1"/>
  <c r="Z1085" i="21" s="1"/>
  <c r="AO1084" i="21"/>
  <c r="Y1084" i="21"/>
  <c r="Z1084" i="21" s="1" a="1"/>
  <c r="Z1084" i="21" s="1"/>
  <c r="AO1083" i="21"/>
  <c r="Y1083" i="21"/>
  <c r="Z1083" i="21" s="1" a="1"/>
  <c r="Z1083" i="21" s="1"/>
  <c r="AO1082" i="21"/>
  <c r="Y1082" i="21"/>
  <c r="Z1082" i="21" s="1" a="1"/>
  <c r="Z1082" i="21" s="1"/>
  <c r="AO1081" i="21"/>
  <c r="Y1081" i="21"/>
  <c r="Z1081" i="21" s="1" a="1"/>
  <c r="Z1081" i="21" s="1"/>
  <c r="AO1080" i="21"/>
  <c r="Y1080" i="21"/>
  <c r="Z1080" i="21" s="1" a="1"/>
  <c r="Z1080" i="21" s="1"/>
  <c r="AO1079" i="21"/>
  <c r="Y1079" i="21"/>
  <c r="Z1079" i="21" s="1" a="1"/>
  <c r="Z1079" i="21" s="1"/>
  <c r="AO1078" i="21"/>
  <c r="Y1078" i="21"/>
  <c r="Z1078" i="21" s="1" a="1"/>
  <c r="Z1078" i="21" s="1"/>
  <c r="AO1077" i="21"/>
  <c r="Y1077" i="21"/>
  <c r="Z1077" i="21" s="1" a="1"/>
  <c r="Z1077" i="21" s="1"/>
  <c r="AO1076" i="21"/>
  <c r="Y1076" i="21"/>
  <c r="Z1076" i="21" s="1" a="1"/>
  <c r="Z1076" i="21" s="1"/>
  <c r="AO1075" i="21"/>
  <c r="Y1075" i="21"/>
  <c r="Z1075" i="21" s="1" a="1"/>
  <c r="Z1075" i="21" s="1"/>
  <c r="AO1074" i="21"/>
  <c r="Y1074" i="21"/>
  <c r="Z1074" i="21" s="1" a="1"/>
  <c r="Z1074" i="21" s="1"/>
  <c r="AO1073" i="21"/>
  <c r="Y1073" i="21"/>
  <c r="Z1073" i="21" s="1" a="1"/>
  <c r="Z1073" i="21" s="1"/>
  <c r="AA1108" i="21"/>
  <c r="AD1108" i="21" s="1"/>
  <c r="AA1107" i="21"/>
  <c r="AD1107" i="21" s="1"/>
  <c r="AL1106" i="21"/>
  <c r="AL1107" i="21"/>
  <c r="AO1114" i="21"/>
  <c r="Y1114" i="21"/>
  <c r="Z1114" i="21" s="1" a="1"/>
  <c r="Z1114" i="21" s="1"/>
  <c r="AO1113" i="21"/>
  <c r="Y1113" i="21"/>
  <c r="Z1113" i="21" s="1" a="1"/>
  <c r="Z1113" i="21" s="1"/>
  <c r="AO1112" i="21"/>
  <c r="Y1112" i="21"/>
  <c r="Z1112" i="21" s="1" a="1"/>
  <c r="Z1112" i="21" s="1"/>
  <c r="AO1111" i="21"/>
  <c r="Y1111" i="21"/>
  <c r="Z1111" i="21" s="1" a="1"/>
  <c r="Z1111" i="21" s="1"/>
  <c r="AO1110" i="21"/>
  <c r="Y1110" i="21"/>
  <c r="Z1110" i="21" s="1" a="1"/>
  <c r="Z1110" i="21" s="1"/>
  <c r="AO1109" i="21"/>
  <c r="Y1109" i="21"/>
  <c r="Z1109" i="21" s="1" a="1"/>
  <c r="Z1109" i="21" s="1"/>
  <c r="AO1108" i="21"/>
  <c r="Y1108" i="21"/>
  <c r="AL1108" i="21"/>
  <c r="AL1109" i="21"/>
  <c r="AO1127" i="21"/>
  <c r="Y1127" i="21"/>
  <c r="Z1127" i="21" s="1" a="1"/>
  <c r="Z1127" i="21" s="1"/>
  <c r="AO1126" i="21"/>
  <c r="Y1126" i="21"/>
  <c r="Z1126" i="21" s="1" a="1"/>
  <c r="Z1126" i="21" s="1"/>
  <c r="AO1125" i="21"/>
  <c r="Y1125" i="21"/>
  <c r="Z1125" i="21" s="1" a="1"/>
  <c r="Z1125" i="21" s="1"/>
  <c r="AO1124" i="21"/>
  <c r="Y1124" i="21"/>
  <c r="Z1124" i="21" s="1" a="1"/>
  <c r="Z1124" i="21" s="1"/>
  <c r="AO1123" i="21"/>
  <c r="Y1123" i="21"/>
  <c r="Z1123" i="21" s="1" a="1"/>
  <c r="Z1123" i="21" s="1"/>
  <c r="AO1122" i="21"/>
  <c r="Y1122" i="21"/>
  <c r="Z1122" i="21" s="1" a="1"/>
  <c r="Z1122" i="21" s="1"/>
  <c r="AO1121" i="21"/>
  <c r="Y1121" i="21"/>
  <c r="Z1121" i="21" s="1" a="1"/>
  <c r="Z1121" i="21" s="1"/>
  <c r="AO1120" i="21"/>
  <c r="Y1120" i="21"/>
  <c r="Z1120" i="21" s="1" a="1"/>
  <c r="Z1120" i="21" s="1"/>
  <c r="AO1119" i="21"/>
  <c r="Y1119" i="21"/>
  <c r="Z1119" i="21" s="1" a="1"/>
  <c r="Z1119" i="21" s="1"/>
  <c r="AO1118" i="21"/>
  <c r="Y1118" i="21"/>
  <c r="Z1118" i="21" s="1" a="1"/>
  <c r="Z1118" i="21" s="1"/>
  <c r="AO1132" i="21"/>
  <c r="Y1132" i="21"/>
  <c r="Z1132" i="21" s="1" a="1"/>
  <c r="Z1132" i="21" s="1"/>
  <c r="AO1148" i="21"/>
  <c r="Y1148" i="21"/>
  <c r="Z1148" i="21" s="1" a="1"/>
  <c r="Z1148" i="21" s="1"/>
  <c r="AO1147" i="21"/>
  <c r="Y1147" i="21"/>
  <c r="Z1147" i="21" s="1" a="1"/>
  <c r="Z1147" i="21" s="1"/>
  <c r="AO1146" i="21"/>
  <c r="Y1146" i="21"/>
  <c r="Z1146" i="21" s="1" a="1"/>
  <c r="Z1146" i="21" s="1"/>
  <c r="AO1145" i="21"/>
  <c r="Y1145" i="21"/>
  <c r="Z1145" i="21" s="1" a="1"/>
  <c r="Z1145" i="21" s="1"/>
  <c r="AO1144" i="21"/>
  <c r="Y1144" i="21"/>
  <c r="Z1144" i="21" s="1" a="1"/>
  <c r="Z1144" i="21" s="1"/>
  <c r="AO1143" i="21"/>
  <c r="Y1143" i="21"/>
  <c r="Z1143" i="21" s="1" a="1"/>
  <c r="Z1143" i="21" s="1"/>
  <c r="AO1142" i="21"/>
  <c r="Y1142" i="21"/>
  <c r="Z1142" i="21" s="1" a="1"/>
  <c r="Z1142" i="21" s="1"/>
  <c r="AO1141" i="21"/>
  <c r="Y1141" i="21"/>
  <c r="Z1141" i="21" s="1" a="1"/>
  <c r="Z1141" i="21" s="1"/>
  <c r="AO1140" i="21"/>
  <c r="Y1140" i="21"/>
  <c r="Z1140" i="21" s="1" a="1"/>
  <c r="Z1140" i="21" s="1"/>
  <c r="AO1139" i="21"/>
  <c r="Y1139" i="21"/>
  <c r="Z1139" i="21" s="1" a="1"/>
  <c r="Z1139" i="21" s="1"/>
  <c r="AO1138" i="21"/>
  <c r="Y1138" i="21"/>
  <c r="Z1138" i="21" s="1" a="1"/>
  <c r="Z1138" i="21" s="1"/>
  <c r="AO1137" i="21"/>
  <c r="Y1137" i="21"/>
  <c r="Z1137" i="21" s="1" a="1"/>
  <c r="Z1137" i="21" s="1"/>
  <c r="AO1136" i="21"/>
  <c r="Y1136" i="21"/>
  <c r="Z1136" i="21" s="1" a="1"/>
  <c r="Z1136" i="21" s="1"/>
  <c r="AO1152" i="21"/>
  <c r="Y1152" i="21"/>
  <c r="Z1152" i="21" s="1" a="1"/>
  <c r="Z1152" i="21" s="1"/>
  <c r="AA1164" i="21"/>
  <c r="AD1164" i="21" s="1"/>
  <c r="AO1169" i="21"/>
  <c r="AO1168" i="21"/>
  <c r="Y1167" i="21"/>
  <c r="Z1167" i="21" s="1" a="1"/>
  <c r="Z1167" i="21" s="1"/>
  <c r="AO1177" i="21"/>
  <c r="Y1177" i="21"/>
  <c r="Z1177" i="21" s="1" a="1"/>
  <c r="Z1177" i="21" s="1"/>
  <c r="AO1176" i="21"/>
  <c r="AO1175" i="21"/>
  <c r="AO1174" i="21"/>
  <c r="AO1173" i="21"/>
  <c r="Y1173" i="21"/>
  <c r="Z1173" i="21" s="1" a="1"/>
  <c r="Z1173" i="21" s="1"/>
  <c r="H1181" i="21"/>
  <c r="I1181" i="21" s="1"/>
  <c r="AM1181" i="21" s="1"/>
  <c r="AO1194" i="21"/>
  <c r="Y1194" i="21"/>
  <c r="Z1194" i="21" s="1" a="1"/>
  <c r="Z1194" i="21" s="1"/>
  <c r="AO1193" i="21"/>
  <c r="Y1193" i="21"/>
  <c r="Z1193" i="21" s="1" a="1"/>
  <c r="Z1193" i="21" s="1"/>
  <c r="AO1192" i="21"/>
  <c r="Y1192" i="21"/>
  <c r="Z1192" i="21" s="1" a="1"/>
  <c r="Z1192" i="21" s="1"/>
  <c r="AO1191" i="21"/>
  <c r="Y1191" i="21"/>
  <c r="Z1191" i="21" s="1" a="1"/>
  <c r="Z1191" i="21" s="1"/>
  <c r="AO1190" i="21"/>
  <c r="Y1190" i="21"/>
  <c r="Z1190" i="21" s="1" a="1"/>
  <c r="Z1190" i="21" s="1"/>
  <c r="AO1189" i="21"/>
  <c r="Y1189" i="21"/>
  <c r="Z1189" i="21" s="1" a="1"/>
  <c r="Z1189" i="21" s="1"/>
  <c r="AO1188" i="21"/>
  <c r="Y1188" i="21"/>
  <c r="Z1188" i="21" s="1" a="1"/>
  <c r="Z1188" i="21" s="1"/>
  <c r="AO1187" i="21"/>
  <c r="Y1187" i="21"/>
  <c r="Z1187" i="21" s="1" a="1"/>
  <c r="Z1187" i="21" s="1"/>
  <c r="AO1186" i="21"/>
  <c r="Y1186" i="21"/>
  <c r="Z1186" i="21" s="1" a="1"/>
  <c r="Z1186" i="21" s="1"/>
  <c r="AO1185" i="21"/>
  <c r="Y1185" i="21"/>
  <c r="Z1185" i="21" s="1" a="1"/>
  <c r="Z1185" i="21" s="1"/>
  <c r="AO1184" i="21"/>
  <c r="Y1184" i="21"/>
  <c r="Z1184" i="21" s="1" a="1"/>
  <c r="Z1184" i="21" s="1"/>
  <c r="AO1183" i="21"/>
  <c r="Y1183" i="21"/>
  <c r="Z1183" i="21" s="1" a="1"/>
  <c r="Z1183" i="21" s="1"/>
  <c r="AO1182" i="21"/>
  <c r="Y1182" i="21"/>
  <c r="Z1182" i="21" s="1" a="1"/>
  <c r="Z1182" i="21" s="1"/>
  <c r="H1187" i="21"/>
  <c r="I1187" i="21" s="1"/>
  <c r="AM1187" i="21" s="1"/>
  <c r="AO1198" i="21"/>
  <c r="Y1198" i="21"/>
  <c r="Z1198" i="21" s="1" a="1"/>
  <c r="Z1198" i="21" s="1"/>
  <c r="AL1201" i="21"/>
  <c r="AO1202" i="21"/>
  <c r="Y1202" i="21"/>
  <c r="Z1202" i="21" s="1" a="1"/>
  <c r="Z1202" i="21" s="1"/>
  <c r="Y1226" i="21"/>
  <c r="Z1226" i="21" s="1" a="1"/>
  <c r="Z1226" i="21" s="1"/>
  <c r="Y1225" i="21"/>
  <c r="Z1225" i="21" s="1" a="1"/>
  <c r="Z1225" i="21" s="1"/>
  <c r="Y1224" i="21"/>
  <c r="Z1224" i="21" s="1" a="1"/>
  <c r="Z1224" i="21" s="1"/>
  <c r="Y1223" i="21"/>
  <c r="Z1223" i="21" s="1" a="1"/>
  <c r="Z1223" i="21" s="1"/>
  <c r="Y1222" i="21"/>
  <c r="Z1222" i="21" s="1" a="1"/>
  <c r="Z1222" i="21" s="1"/>
  <c r="Y1221" i="21"/>
  <c r="Z1221" i="21" s="1" a="1"/>
  <c r="Z1221" i="21" s="1"/>
  <c r="Y1220" i="21"/>
  <c r="Z1220" i="21" s="1" a="1"/>
  <c r="Z1220" i="21" s="1"/>
  <c r="Y1219" i="21"/>
  <c r="Z1219" i="21" s="1" a="1"/>
  <c r="Z1219" i="21" s="1"/>
  <c r="Y1218" i="21"/>
  <c r="Z1218" i="21" s="1" a="1"/>
  <c r="Z1218" i="21" s="1"/>
  <c r="Y1217" i="21"/>
  <c r="Z1217" i="21" s="1" a="1"/>
  <c r="Z1217" i="21" s="1"/>
  <c r="Y1216" i="21"/>
  <c r="Z1216" i="21" s="1" a="1"/>
  <c r="Z1216" i="21" s="1"/>
  <c r="Y1215" i="21"/>
  <c r="Z1215" i="21" s="1" a="1"/>
  <c r="Z1215" i="21" s="1"/>
  <c r="Y1214" i="21"/>
  <c r="Z1214" i="21" s="1" a="1"/>
  <c r="Z1214" i="21" s="1"/>
  <c r="Y1213" i="21"/>
  <c r="Z1213" i="21" s="1" a="1"/>
  <c r="Z1213" i="21" s="1"/>
  <c r="Y1212" i="21"/>
  <c r="Z1212" i="21" s="1" a="1"/>
  <c r="Z1212" i="21" s="1"/>
  <c r="Y1211" i="21"/>
  <c r="Z1211" i="21" s="1" a="1"/>
  <c r="Z1211" i="21" s="1"/>
  <c r="Y1210" i="21"/>
  <c r="Z1210" i="21" s="1" a="1"/>
  <c r="Z1210" i="21" s="1"/>
  <c r="Y1209" i="21"/>
  <c r="Z1209" i="21" s="1" a="1"/>
  <c r="Z1209" i="21" s="1"/>
  <c r="Y1208" i="21"/>
  <c r="Z1208" i="21" s="1" a="1"/>
  <c r="Z1208" i="21" s="1"/>
  <c r="Y1246" i="21"/>
  <c r="Z1246" i="21" s="1" a="1"/>
  <c r="Z1246" i="21" s="1"/>
  <c r="Y1245" i="21"/>
  <c r="Z1245" i="21" s="1" a="1"/>
  <c r="Z1245" i="21" s="1"/>
  <c r="Y1244" i="21"/>
  <c r="Z1244" i="21" s="1" a="1"/>
  <c r="Z1244" i="21" s="1"/>
  <c r="Y1243" i="21"/>
  <c r="Z1243" i="21" s="1" a="1"/>
  <c r="Z1243" i="21" s="1"/>
  <c r="Y1242" i="21"/>
  <c r="Z1242" i="21" s="1" a="1"/>
  <c r="Z1242" i="21" s="1"/>
  <c r="Y1241" i="21"/>
  <c r="Z1241" i="21" s="1" a="1"/>
  <c r="Z1241" i="21" s="1"/>
  <c r="Y1240" i="21"/>
  <c r="Z1240" i="21" s="1" a="1"/>
  <c r="Z1240" i="21" s="1"/>
  <c r="Y1239" i="21"/>
  <c r="Z1239" i="21" s="1" a="1"/>
  <c r="Z1239" i="21" s="1"/>
  <c r="Y1238" i="21"/>
  <c r="Z1238" i="21" s="1" a="1"/>
  <c r="Z1238" i="21" s="1"/>
  <c r="Y1237" i="21"/>
  <c r="Z1237" i="21" s="1" a="1"/>
  <c r="Z1237" i="21" s="1"/>
  <c r="Y1236" i="21"/>
  <c r="Z1236" i="21" s="1" a="1"/>
  <c r="Z1236" i="21" s="1"/>
  <c r="Y1235" i="21"/>
  <c r="Z1235" i="21" s="1" a="1"/>
  <c r="Z1235" i="21" s="1"/>
  <c r="Y1234" i="21"/>
  <c r="Z1234" i="21" s="1" a="1"/>
  <c r="Z1234" i="21" s="1"/>
  <c r="Y1233" i="21"/>
  <c r="Z1233" i="21" s="1" a="1"/>
  <c r="Z1233" i="21" s="1"/>
  <c r="Y1232" i="21"/>
  <c r="Z1232" i="21" s="1" a="1"/>
  <c r="Z1232" i="21" s="1"/>
  <c r="Y1231" i="21"/>
  <c r="Z1231" i="21" s="1" a="1"/>
  <c r="Z1231" i="21" s="1"/>
  <c r="Y1230" i="21"/>
  <c r="Z1230" i="21" s="1" a="1"/>
  <c r="Z1230" i="21" s="1"/>
  <c r="I235" i="18"/>
  <c r="C235" i="18"/>
  <c r="B235" i="18"/>
  <c r="D240" i="14"/>
  <c r="D241" i="14" s="1"/>
  <c r="C240" i="14"/>
  <c r="I234" i="18"/>
  <c r="I233" i="18"/>
  <c r="I232" i="18"/>
  <c r="I231" i="18"/>
  <c r="I230" i="18"/>
  <c r="I229" i="18"/>
  <c r="I228" i="18"/>
  <c r="I227" i="18"/>
  <c r="I226" i="18"/>
  <c r="I225" i="18"/>
  <c r="I224" i="18"/>
  <c r="I223" i="18"/>
  <c r="I222" i="18"/>
  <c r="I221" i="18"/>
  <c r="I220" i="18"/>
  <c r="I219" i="18"/>
  <c r="I218" i="18"/>
  <c r="I217" i="18"/>
  <c r="I216" i="18"/>
  <c r="I215" i="18"/>
  <c r="I214" i="18"/>
  <c r="I213" i="18"/>
  <c r="I212" i="18"/>
  <c r="I211" i="18"/>
  <c r="I210" i="18"/>
  <c r="I209" i="18"/>
  <c r="I208" i="18"/>
  <c r="I207" i="18"/>
  <c r="I206" i="18"/>
  <c r="I205" i="18"/>
  <c r="I204" i="18"/>
  <c r="I203" i="18"/>
  <c r="I202" i="18"/>
  <c r="I201" i="18"/>
  <c r="I200" i="18"/>
  <c r="I199" i="18"/>
  <c r="I198" i="18"/>
  <c r="I197" i="18"/>
  <c r="I196" i="18"/>
  <c r="I195" i="18"/>
  <c r="I194" i="18"/>
  <c r="I193" i="18"/>
  <c r="I192" i="18"/>
  <c r="I191" i="18"/>
  <c r="I190" i="18"/>
  <c r="I189" i="18"/>
  <c r="I188" i="18"/>
  <c r="I187" i="18"/>
  <c r="I186" i="18"/>
  <c r="I185" i="18"/>
  <c r="I184" i="18"/>
  <c r="I183" i="18"/>
  <c r="I182" i="18"/>
  <c r="I181" i="18"/>
  <c r="I180" i="18"/>
  <c r="I179" i="18"/>
  <c r="I178" i="18"/>
  <c r="I177" i="18"/>
  <c r="I176" i="18"/>
  <c r="I175" i="18"/>
  <c r="I174" i="18"/>
  <c r="J229" i="18"/>
  <c r="J230" i="18" s="1"/>
  <c r="J231" i="18" s="1"/>
  <c r="J232" i="18" s="1"/>
  <c r="J233" i="18" s="1"/>
  <c r="J234" i="18" s="1"/>
  <c r="J235" i="18" s="1"/>
  <c r="J222" i="18"/>
  <c r="J223" i="18" s="1"/>
  <c r="J224" i="18" s="1"/>
  <c r="J225" i="18" s="1"/>
  <c r="J175" i="18"/>
  <c r="J176" i="18" s="1"/>
  <c r="J177" i="18" s="1"/>
  <c r="J178" i="18" s="1"/>
  <c r="J179" i="18" s="1"/>
  <c r="J180" i="18" s="1"/>
  <c r="J181" i="18" s="1"/>
  <c r="J182" i="18" s="1"/>
  <c r="J183" i="18" s="1"/>
  <c r="J184" i="18" s="1"/>
  <c r="J185" i="18" s="1"/>
  <c r="J186" i="18" s="1"/>
  <c r="J187" i="18" s="1"/>
  <c r="J188" i="18" s="1"/>
  <c r="J189" i="18" s="1"/>
  <c r="J190" i="18" s="1"/>
  <c r="J191" i="18" s="1"/>
  <c r="J192" i="18" s="1"/>
  <c r="J193" i="18" s="1"/>
  <c r="J194" i="18" s="1"/>
  <c r="J195" i="18" s="1"/>
  <c r="J196" i="18" s="1"/>
  <c r="J197" i="18" s="1"/>
  <c r="J198" i="18" s="1"/>
  <c r="J199" i="18" s="1"/>
  <c r="J200" i="18" s="1"/>
  <c r="J201" i="18" s="1"/>
  <c r="J202" i="18" s="1"/>
  <c r="J203" i="18" s="1"/>
  <c r="J204" i="18" s="1"/>
  <c r="J205" i="18" s="1"/>
  <c r="J206" i="18" s="1"/>
  <c r="J207" i="18" s="1"/>
  <c r="J208" i="18" s="1"/>
  <c r="J209" i="18" s="1"/>
  <c r="J210" i="18" s="1"/>
  <c r="J211" i="18" s="1"/>
  <c r="J212" i="18" s="1"/>
  <c r="J213" i="18" s="1"/>
  <c r="J214" i="18" s="1"/>
  <c r="J215" i="18" s="1"/>
  <c r="J216" i="18" s="1"/>
  <c r="J217" i="18" s="1"/>
  <c r="J218" i="18" s="1"/>
  <c r="J63" i="19" l="1"/>
  <c r="Y1229" i="21"/>
  <c r="Z1229" i="21" s="1" a="1"/>
  <c r="Z1229" i="21" s="1"/>
  <c r="AI1230" i="21"/>
  <c r="AJ1230" i="21" s="1"/>
  <c r="X1230" i="21"/>
  <c r="W1230" i="21"/>
  <c r="AQ1230" i="21" s="1"/>
  <c r="V1230" i="21"/>
  <c r="AI1231" i="21"/>
  <c r="AJ1231" i="21" s="1"/>
  <c r="X1231" i="21"/>
  <c r="W1231" i="21"/>
  <c r="AQ1231" i="21" s="1"/>
  <c r="V1231" i="21"/>
  <c r="AI1232" i="21"/>
  <c r="AJ1232" i="21" s="1"/>
  <c r="X1232" i="21"/>
  <c r="W1232" i="21"/>
  <c r="AQ1232" i="21" s="1"/>
  <c r="V1232" i="21"/>
  <c r="AI1233" i="21"/>
  <c r="AJ1233" i="21" s="1"/>
  <c r="X1233" i="21"/>
  <c r="W1233" i="21"/>
  <c r="AQ1233" i="21" s="1"/>
  <c r="V1233" i="21"/>
  <c r="AI1234" i="21"/>
  <c r="AJ1234" i="21" s="1"/>
  <c r="X1234" i="21"/>
  <c r="W1234" i="21"/>
  <c r="AQ1234" i="21" s="1"/>
  <c r="V1234" i="21"/>
  <c r="AI1235" i="21"/>
  <c r="AJ1235" i="21" s="1"/>
  <c r="X1235" i="21"/>
  <c r="W1235" i="21"/>
  <c r="AQ1235" i="21" s="1"/>
  <c r="V1235" i="21"/>
  <c r="AI1236" i="21"/>
  <c r="AJ1236" i="21" s="1"/>
  <c r="X1236" i="21"/>
  <c r="W1236" i="21"/>
  <c r="AQ1236" i="21" s="1"/>
  <c r="V1236" i="21"/>
  <c r="AI1237" i="21"/>
  <c r="AJ1237" i="21" s="1"/>
  <c r="X1237" i="21"/>
  <c r="W1237" i="21"/>
  <c r="AQ1237" i="21" s="1"/>
  <c r="V1237" i="21"/>
  <c r="AI1238" i="21"/>
  <c r="AJ1238" i="21" s="1"/>
  <c r="X1238" i="21"/>
  <c r="W1238" i="21"/>
  <c r="AQ1238" i="21" s="1"/>
  <c r="V1238" i="21"/>
  <c r="AI1239" i="21"/>
  <c r="AJ1239" i="21" s="1"/>
  <c r="X1239" i="21"/>
  <c r="W1239" i="21"/>
  <c r="AQ1239" i="21" s="1"/>
  <c r="V1239" i="21"/>
  <c r="AI1240" i="21"/>
  <c r="AJ1240" i="21" s="1"/>
  <c r="X1240" i="21"/>
  <c r="W1240" i="21"/>
  <c r="AQ1240" i="21" s="1"/>
  <c r="V1240" i="21"/>
  <c r="AI1241" i="21"/>
  <c r="AJ1241" i="21" s="1"/>
  <c r="X1241" i="21"/>
  <c r="W1241" i="21"/>
  <c r="AQ1241" i="21" s="1"/>
  <c r="V1241" i="21"/>
  <c r="AI1242" i="21"/>
  <c r="AJ1242" i="21" s="1"/>
  <c r="X1242" i="21"/>
  <c r="W1242" i="21"/>
  <c r="AQ1242" i="21" s="1"/>
  <c r="V1242" i="21"/>
  <c r="AI1243" i="21"/>
  <c r="AJ1243" i="21" s="1"/>
  <c r="X1243" i="21"/>
  <c r="W1243" i="21"/>
  <c r="AQ1243" i="21" s="1"/>
  <c r="V1243" i="21"/>
  <c r="AI1244" i="21"/>
  <c r="AJ1244" i="21" s="1"/>
  <c r="X1244" i="21"/>
  <c r="W1244" i="21"/>
  <c r="AQ1244" i="21" s="1"/>
  <c r="V1244" i="21"/>
  <c r="AI1245" i="21"/>
  <c r="AJ1245" i="21" s="1"/>
  <c r="X1245" i="21"/>
  <c r="W1245" i="21"/>
  <c r="AQ1245" i="21" s="1"/>
  <c r="V1245" i="21"/>
  <c r="AI1246" i="21"/>
  <c r="AJ1246" i="21" s="1"/>
  <c r="X1246" i="21"/>
  <c r="W1246" i="21"/>
  <c r="AQ1246" i="21" s="1"/>
  <c r="V1246" i="21"/>
  <c r="Y1207" i="21"/>
  <c r="Z1207" i="21" s="1" a="1"/>
  <c r="Z1207" i="21" s="1"/>
  <c r="AI1208" i="21"/>
  <c r="AJ1208" i="21" s="1"/>
  <c r="X1208" i="21"/>
  <c r="W1208" i="21"/>
  <c r="AQ1208" i="21" s="1"/>
  <c r="V1208" i="21"/>
  <c r="AI1209" i="21"/>
  <c r="AJ1209" i="21" s="1"/>
  <c r="X1209" i="21"/>
  <c r="W1209" i="21"/>
  <c r="AQ1209" i="21" s="1"/>
  <c r="V1209" i="21"/>
  <c r="AI1210" i="21"/>
  <c r="AJ1210" i="21" s="1"/>
  <c r="X1210" i="21"/>
  <c r="W1210" i="21"/>
  <c r="AQ1210" i="21" s="1"/>
  <c r="V1210" i="21"/>
  <c r="AI1211" i="21"/>
  <c r="AJ1211" i="21" s="1"/>
  <c r="X1211" i="21"/>
  <c r="W1211" i="21"/>
  <c r="AQ1211" i="21" s="1"/>
  <c r="V1211" i="21"/>
  <c r="AI1212" i="21"/>
  <c r="AJ1212" i="21" s="1"/>
  <c r="X1212" i="21"/>
  <c r="W1212" i="21"/>
  <c r="AQ1212" i="21" s="1"/>
  <c r="V1212" i="21"/>
  <c r="AI1213" i="21"/>
  <c r="AJ1213" i="21" s="1"/>
  <c r="X1213" i="21"/>
  <c r="W1213" i="21"/>
  <c r="AQ1213" i="21" s="1"/>
  <c r="V1213" i="21"/>
  <c r="AI1214" i="21"/>
  <c r="AJ1214" i="21" s="1"/>
  <c r="X1214" i="21"/>
  <c r="W1214" i="21"/>
  <c r="AQ1214" i="21" s="1"/>
  <c r="V1214" i="21"/>
  <c r="AI1215" i="21"/>
  <c r="AJ1215" i="21" s="1"/>
  <c r="X1215" i="21"/>
  <c r="W1215" i="21"/>
  <c r="AQ1215" i="21" s="1"/>
  <c r="V1215" i="21"/>
  <c r="AI1216" i="21"/>
  <c r="AJ1216" i="21" s="1"/>
  <c r="X1216" i="21"/>
  <c r="W1216" i="21"/>
  <c r="AQ1216" i="21" s="1"/>
  <c r="V1216" i="21"/>
  <c r="AI1217" i="21"/>
  <c r="AJ1217" i="21" s="1"/>
  <c r="X1217" i="21"/>
  <c r="W1217" i="21"/>
  <c r="AQ1217" i="21" s="1"/>
  <c r="V1217" i="21"/>
  <c r="AI1218" i="21"/>
  <c r="AJ1218" i="21" s="1"/>
  <c r="X1218" i="21"/>
  <c r="W1218" i="21"/>
  <c r="AQ1218" i="21" s="1"/>
  <c r="V1218" i="21"/>
  <c r="AI1219" i="21"/>
  <c r="AJ1219" i="21" s="1"/>
  <c r="X1219" i="21"/>
  <c r="W1219" i="21"/>
  <c r="AQ1219" i="21" s="1"/>
  <c r="V1219" i="21"/>
  <c r="AI1220" i="21"/>
  <c r="AJ1220" i="21" s="1"/>
  <c r="X1220" i="21"/>
  <c r="W1220" i="21"/>
  <c r="AQ1220" i="21" s="1"/>
  <c r="V1220" i="21"/>
  <c r="AI1221" i="21"/>
  <c r="AJ1221" i="21" s="1"/>
  <c r="X1221" i="21"/>
  <c r="W1221" i="21"/>
  <c r="AQ1221" i="21" s="1"/>
  <c r="V1221" i="21"/>
  <c r="AI1222" i="21"/>
  <c r="AJ1222" i="21" s="1"/>
  <c r="X1222" i="21"/>
  <c r="W1222" i="21"/>
  <c r="AQ1222" i="21" s="1"/>
  <c r="V1222" i="21"/>
  <c r="AI1223" i="21"/>
  <c r="AJ1223" i="21" s="1"/>
  <c r="X1223" i="21"/>
  <c r="W1223" i="21"/>
  <c r="AQ1223" i="21" s="1"/>
  <c r="V1223" i="21"/>
  <c r="AI1224" i="21"/>
  <c r="AJ1224" i="21" s="1"/>
  <c r="X1224" i="21"/>
  <c r="W1224" i="21"/>
  <c r="AQ1224" i="21" s="1"/>
  <c r="V1224" i="21"/>
  <c r="AI1225" i="21"/>
  <c r="AJ1225" i="21" s="1"/>
  <c r="X1225" i="21"/>
  <c r="W1225" i="21"/>
  <c r="AQ1225" i="21" s="1"/>
  <c r="V1225" i="21"/>
  <c r="AI1226" i="21"/>
  <c r="AJ1226" i="21" s="1"/>
  <c r="X1226" i="21"/>
  <c r="W1226" i="21"/>
  <c r="AQ1226" i="21" s="1"/>
  <c r="V1226" i="21"/>
  <c r="AO1201" i="21"/>
  <c r="Y1201" i="21"/>
  <c r="Z1201" i="21" s="1" a="1"/>
  <c r="Z1201" i="21" s="1"/>
  <c r="AI1202" i="21"/>
  <c r="AJ1202" i="21" s="1"/>
  <c r="X1202" i="21"/>
  <c r="W1202" i="21"/>
  <c r="AQ1202" i="21" s="1"/>
  <c r="V1202" i="21"/>
  <c r="AO1197" i="21"/>
  <c r="Y1197" i="21"/>
  <c r="Z1197" i="21" s="1" a="1"/>
  <c r="Z1197" i="21" s="1"/>
  <c r="AI1198" i="21"/>
  <c r="AJ1198" i="21" s="1"/>
  <c r="X1198" i="21"/>
  <c r="W1198" i="21"/>
  <c r="AQ1198" i="21" s="1"/>
  <c r="V1198" i="21"/>
  <c r="AL1187" i="21"/>
  <c r="AO1181" i="21"/>
  <c r="Y1181" i="21"/>
  <c r="Z1181" i="21" s="1" a="1"/>
  <c r="Z1181" i="21" s="1"/>
  <c r="AI1182" i="21"/>
  <c r="AJ1182" i="21" s="1"/>
  <c r="X1182" i="21"/>
  <c r="W1182" i="21"/>
  <c r="AQ1182" i="21" s="1"/>
  <c r="V1182" i="21"/>
  <c r="AI1183" i="21"/>
  <c r="AJ1183" i="21" s="1"/>
  <c r="X1183" i="21"/>
  <c r="W1183" i="21"/>
  <c r="AQ1183" i="21" s="1"/>
  <c r="V1183" i="21"/>
  <c r="AI1184" i="21"/>
  <c r="AJ1184" i="21" s="1"/>
  <c r="X1184" i="21"/>
  <c r="W1184" i="21"/>
  <c r="AQ1184" i="21" s="1"/>
  <c r="V1184" i="21"/>
  <c r="AI1185" i="21"/>
  <c r="AJ1185" i="21" s="1"/>
  <c r="X1185" i="21"/>
  <c r="W1185" i="21"/>
  <c r="AQ1185" i="21" s="1"/>
  <c r="V1185" i="21"/>
  <c r="AI1186" i="21"/>
  <c r="AJ1186" i="21" s="1"/>
  <c r="X1186" i="21"/>
  <c r="W1186" i="21"/>
  <c r="AQ1186" i="21" s="1"/>
  <c r="V1186" i="21"/>
  <c r="AI1187" i="21"/>
  <c r="AJ1187" i="21" s="1"/>
  <c r="X1187" i="21"/>
  <c r="W1187" i="21"/>
  <c r="AQ1187" i="21" s="1"/>
  <c r="V1187" i="21"/>
  <c r="AI1188" i="21"/>
  <c r="AJ1188" i="21" s="1"/>
  <c r="X1188" i="21"/>
  <c r="W1188" i="21"/>
  <c r="AQ1188" i="21" s="1"/>
  <c r="V1188" i="21"/>
  <c r="AI1189" i="21"/>
  <c r="AJ1189" i="21" s="1"/>
  <c r="X1189" i="21"/>
  <c r="W1189" i="21"/>
  <c r="AQ1189" i="21" s="1"/>
  <c r="V1189" i="21"/>
  <c r="AI1190" i="21"/>
  <c r="AJ1190" i="21" s="1"/>
  <c r="X1190" i="21"/>
  <c r="W1190" i="21"/>
  <c r="AQ1190" i="21" s="1"/>
  <c r="V1190" i="21"/>
  <c r="AI1191" i="21"/>
  <c r="AJ1191" i="21" s="1"/>
  <c r="X1191" i="21"/>
  <c r="W1191" i="21"/>
  <c r="AQ1191" i="21" s="1"/>
  <c r="V1191" i="21"/>
  <c r="AI1192" i="21"/>
  <c r="AJ1192" i="21" s="1"/>
  <c r="X1192" i="21"/>
  <c r="W1192" i="21"/>
  <c r="AQ1192" i="21" s="1"/>
  <c r="V1192" i="21"/>
  <c r="AI1193" i="21"/>
  <c r="AJ1193" i="21" s="1"/>
  <c r="X1193" i="21"/>
  <c r="W1193" i="21"/>
  <c r="AQ1193" i="21" s="1"/>
  <c r="V1193" i="21"/>
  <c r="AI1194" i="21"/>
  <c r="AJ1194" i="21" s="1"/>
  <c r="X1194" i="21"/>
  <c r="W1194" i="21"/>
  <c r="AQ1194" i="21" s="1"/>
  <c r="V1194" i="21"/>
  <c r="AL1181" i="21"/>
  <c r="AO1172" i="21"/>
  <c r="Y1172" i="21"/>
  <c r="Z1172" i="21" s="1" a="1"/>
  <c r="Z1172" i="21" s="1"/>
  <c r="AI1173" i="21"/>
  <c r="AJ1173" i="21" s="1"/>
  <c r="X1173" i="21"/>
  <c r="W1173" i="21"/>
  <c r="AQ1173" i="21" s="1"/>
  <c r="V1173" i="21"/>
  <c r="AI1177" i="21"/>
  <c r="AJ1177" i="21" s="1"/>
  <c r="X1177" i="21"/>
  <c r="W1177" i="21"/>
  <c r="AQ1177" i="21" s="1"/>
  <c r="V1177" i="21"/>
  <c r="AO1167" i="21"/>
  <c r="Y1166" i="21"/>
  <c r="Z1166" i="21" s="1" a="1"/>
  <c r="Z1166" i="21" s="1"/>
  <c r="AI1167" i="21"/>
  <c r="AJ1167" i="21" s="1"/>
  <c r="X1167" i="21"/>
  <c r="W1167" i="21"/>
  <c r="AQ1167" i="21" s="1"/>
  <c r="V1167" i="21"/>
  <c r="AE1164" i="21"/>
  <c r="Z1164" i="21" a="1"/>
  <c r="Z1164" i="21" s="1"/>
  <c r="AO1151" i="21"/>
  <c r="Y1151" i="21"/>
  <c r="Z1151" i="21" s="1" a="1"/>
  <c r="Z1151" i="21" s="1"/>
  <c r="AI1152" i="21"/>
  <c r="AJ1152" i="21" s="1"/>
  <c r="X1152" i="21"/>
  <c r="W1152" i="21"/>
  <c r="AQ1152" i="21" s="1"/>
  <c r="V1152" i="21"/>
  <c r="AO1135" i="21"/>
  <c r="Y1135" i="21"/>
  <c r="Z1135" i="21" s="1" a="1"/>
  <c r="Z1135" i="21" s="1"/>
  <c r="AI1136" i="21"/>
  <c r="AJ1136" i="21" s="1"/>
  <c r="X1136" i="21"/>
  <c r="W1136" i="21"/>
  <c r="AQ1136" i="21" s="1"/>
  <c r="V1136" i="21"/>
  <c r="AI1137" i="21"/>
  <c r="AJ1137" i="21" s="1"/>
  <c r="X1137" i="21"/>
  <c r="W1137" i="21"/>
  <c r="AQ1137" i="21" s="1"/>
  <c r="V1137" i="21"/>
  <c r="AI1138" i="21"/>
  <c r="AJ1138" i="21" s="1"/>
  <c r="X1138" i="21"/>
  <c r="W1138" i="21"/>
  <c r="AQ1138" i="21" s="1"/>
  <c r="V1138" i="21"/>
  <c r="AI1139" i="21"/>
  <c r="AJ1139" i="21" s="1"/>
  <c r="X1139" i="21"/>
  <c r="W1139" i="21"/>
  <c r="AQ1139" i="21" s="1"/>
  <c r="V1139" i="21"/>
  <c r="AI1140" i="21"/>
  <c r="AJ1140" i="21" s="1"/>
  <c r="X1140" i="21"/>
  <c r="W1140" i="21"/>
  <c r="AQ1140" i="21" s="1"/>
  <c r="V1140" i="21"/>
  <c r="AI1141" i="21"/>
  <c r="AJ1141" i="21" s="1"/>
  <c r="X1141" i="21"/>
  <c r="W1141" i="21"/>
  <c r="AQ1141" i="21" s="1"/>
  <c r="V1141" i="21"/>
  <c r="AI1142" i="21"/>
  <c r="AJ1142" i="21" s="1"/>
  <c r="X1142" i="21"/>
  <c r="W1142" i="21"/>
  <c r="AQ1142" i="21" s="1"/>
  <c r="V1142" i="21"/>
  <c r="AI1143" i="21"/>
  <c r="AJ1143" i="21" s="1"/>
  <c r="X1143" i="21"/>
  <c r="W1143" i="21"/>
  <c r="AQ1143" i="21" s="1"/>
  <c r="V1143" i="21"/>
  <c r="AI1144" i="21"/>
  <c r="AJ1144" i="21" s="1"/>
  <c r="X1144" i="21"/>
  <c r="W1144" i="21"/>
  <c r="AQ1144" i="21" s="1"/>
  <c r="V1144" i="21"/>
  <c r="AI1145" i="21"/>
  <c r="AJ1145" i="21" s="1"/>
  <c r="X1145" i="21"/>
  <c r="W1145" i="21"/>
  <c r="AQ1145" i="21" s="1"/>
  <c r="V1145" i="21"/>
  <c r="AI1146" i="21"/>
  <c r="AJ1146" i="21" s="1"/>
  <c r="X1146" i="21"/>
  <c r="W1146" i="21"/>
  <c r="AQ1146" i="21" s="1"/>
  <c r="V1146" i="21"/>
  <c r="AI1147" i="21"/>
  <c r="AJ1147" i="21" s="1"/>
  <c r="X1147" i="21"/>
  <c r="W1147" i="21"/>
  <c r="AQ1147" i="21" s="1"/>
  <c r="V1147" i="21"/>
  <c r="AI1148" i="21"/>
  <c r="AJ1148" i="21" s="1"/>
  <c r="X1148" i="21"/>
  <c r="W1148" i="21"/>
  <c r="AQ1148" i="21" s="1"/>
  <c r="V1148" i="21"/>
  <c r="AO1131" i="21"/>
  <c r="Y1131" i="21"/>
  <c r="Z1131" i="21" s="1" a="1"/>
  <c r="Z1131" i="21" s="1"/>
  <c r="AI1132" i="21"/>
  <c r="AJ1132" i="21" s="1"/>
  <c r="X1132" i="21"/>
  <c r="W1132" i="21"/>
  <c r="AQ1132" i="21" s="1"/>
  <c r="V1132" i="21"/>
  <c r="AO1117" i="21"/>
  <c r="Y1117" i="21"/>
  <c r="Z1117" i="21" s="1" a="1"/>
  <c r="Z1117" i="21" s="1"/>
  <c r="AI1118" i="21"/>
  <c r="AJ1118" i="21" s="1"/>
  <c r="X1118" i="21"/>
  <c r="W1118" i="21"/>
  <c r="AQ1118" i="21" s="1"/>
  <c r="V1118" i="21"/>
  <c r="AI1119" i="21"/>
  <c r="AJ1119" i="21" s="1"/>
  <c r="X1119" i="21"/>
  <c r="W1119" i="21"/>
  <c r="AQ1119" i="21" s="1"/>
  <c r="V1119" i="21"/>
  <c r="AI1120" i="21"/>
  <c r="AJ1120" i="21" s="1"/>
  <c r="X1120" i="21"/>
  <c r="W1120" i="21"/>
  <c r="AQ1120" i="21" s="1"/>
  <c r="V1120" i="21"/>
  <c r="AI1121" i="21"/>
  <c r="AJ1121" i="21" s="1"/>
  <c r="X1121" i="21"/>
  <c r="W1121" i="21"/>
  <c r="AQ1121" i="21" s="1"/>
  <c r="V1121" i="21"/>
  <c r="AI1122" i="21"/>
  <c r="AJ1122" i="21" s="1"/>
  <c r="X1122" i="21"/>
  <c r="W1122" i="21"/>
  <c r="AQ1122" i="21" s="1"/>
  <c r="V1122" i="21"/>
  <c r="AI1123" i="21"/>
  <c r="AJ1123" i="21" s="1"/>
  <c r="X1123" i="21"/>
  <c r="W1123" i="21"/>
  <c r="AQ1123" i="21" s="1"/>
  <c r="V1123" i="21"/>
  <c r="AI1124" i="21"/>
  <c r="AJ1124" i="21" s="1"/>
  <c r="X1124" i="21"/>
  <c r="AI1125" i="21"/>
  <c r="AJ1125" i="21" s="1"/>
  <c r="X1125" i="21"/>
  <c r="AI1126" i="21"/>
  <c r="AJ1126" i="21" s="1"/>
  <c r="X1126" i="21"/>
  <c r="AI1127" i="21"/>
  <c r="AJ1127" i="21" s="1"/>
  <c r="X1127" i="21"/>
  <c r="AO1107" i="21"/>
  <c r="Y1107" i="21"/>
  <c r="AI1109" i="21"/>
  <c r="AJ1109" i="21" s="1"/>
  <c r="X1109" i="21"/>
  <c r="W1109" i="21"/>
  <c r="AQ1109" i="21" s="1"/>
  <c r="V1109" i="21"/>
  <c r="AI1110" i="21"/>
  <c r="AJ1110" i="21" s="1"/>
  <c r="X1110" i="21"/>
  <c r="W1110" i="21"/>
  <c r="AQ1110" i="21" s="1"/>
  <c r="V1110" i="21"/>
  <c r="AI1111" i="21"/>
  <c r="AJ1111" i="21" s="1"/>
  <c r="X1111" i="21"/>
  <c r="W1111" i="21"/>
  <c r="AQ1111" i="21" s="1"/>
  <c r="V1111" i="21"/>
  <c r="AI1112" i="21"/>
  <c r="AJ1112" i="21" s="1"/>
  <c r="X1112" i="21"/>
  <c r="W1112" i="21"/>
  <c r="AQ1112" i="21" s="1"/>
  <c r="V1112" i="21"/>
  <c r="AI1113" i="21"/>
  <c r="AJ1113" i="21" s="1"/>
  <c r="X1113" i="21"/>
  <c r="W1113" i="21"/>
  <c r="AQ1113" i="21" s="1"/>
  <c r="V1113" i="21"/>
  <c r="AI1114" i="21"/>
  <c r="AJ1114" i="21" s="1"/>
  <c r="X1114" i="21"/>
  <c r="W1114" i="21"/>
  <c r="AQ1114" i="21" s="1"/>
  <c r="V1114" i="21"/>
  <c r="AE1107" i="21"/>
  <c r="Z1107" i="21" a="1"/>
  <c r="Z1107" i="21" s="1"/>
  <c r="AE1108" i="21"/>
  <c r="Z1108" i="21" a="1"/>
  <c r="Z1108" i="21" s="1"/>
  <c r="AO1072" i="21"/>
  <c r="Y1072" i="21"/>
  <c r="Z1072" i="21" s="1" a="1"/>
  <c r="Z1072" i="21" s="1"/>
  <c r="AI1073" i="21"/>
  <c r="AJ1073" i="21" s="1"/>
  <c r="X1073" i="21"/>
  <c r="W1073" i="21"/>
  <c r="AQ1073" i="21" s="1"/>
  <c r="V1073" i="21"/>
  <c r="AI1074" i="21"/>
  <c r="AJ1074" i="21" s="1"/>
  <c r="X1074" i="21"/>
  <c r="W1074" i="21"/>
  <c r="AQ1074" i="21" s="1"/>
  <c r="V1074" i="21"/>
  <c r="AI1075" i="21"/>
  <c r="AJ1075" i="21" s="1"/>
  <c r="X1075" i="21"/>
  <c r="W1075" i="21"/>
  <c r="AQ1075" i="21" s="1"/>
  <c r="V1075" i="21"/>
  <c r="AI1076" i="21"/>
  <c r="AJ1076" i="21" s="1"/>
  <c r="X1076" i="21"/>
  <c r="W1076" i="21"/>
  <c r="AQ1076" i="21" s="1"/>
  <c r="V1076" i="21"/>
  <c r="AI1077" i="21"/>
  <c r="AJ1077" i="21" s="1"/>
  <c r="X1077" i="21"/>
  <c r="W1077" i="21"/>
  <c r="AQ1077" i="21" s="1"/>
  <c r="V1077" i="21"/>
  <c r="AI1078" i="21"/>
  <c r="AJ1078" i="21" s="1"/>
  <c r="X1078" i="21"/>
  <c r="W1078" i="21"/>
  <c r="AQ1078" i="21" s="1"/>
  <c r="V1078" i="21"/>
  <c r="AI1079" i="21"/>
  <c r="AJ1079" i="21" s="1"/>
  <c r="X1079" i="21"/>
  <c r="W1079" i="21"/>
  <c r="AQ1079" i="21" s="1"/>
  <c r="V1079" i="21"/>
  <c r="AI1080" i="21"/>
  <c r="AJ1080" i="21" s="1"/>
  <c r="X1080" i="21"/>
  <c r="W1080" i="21"/>
  <c r="AQ1080" i="21" s="1"/>
  <c r="V1080" i="21"/>
  <c r="AI1081" i="21"/>
  <c r="AJ1081" i="21" s="1"/>
  <c r="X1081" i="21"/>
  <c r="W1081" i="21"/>
  <c r="AQ1081" i="21" s="1"/>
  <c r="V1081" i="21"/>
  <c r="AI1082" i="21"/>
  <c r="AJ1082" i="21" s="1"/>
  <c r="X1082" i="21"/>
  <c r="W1082" i="21"/>
  <c r="AQ1082" i="21" s="1"/>
  <c r="V1082" i="21"/>
  <c r="AI1083" i="21"/>
  <c r="AJ1083" i="21" s="1"/>
  <c r="X1083" i="21"/>
  <c r="W1083" i="21"/>
  <c r="AQ1083" i="21" s="1"/>
  <c r="V1083" i="21"/>
  <c r="AI1084" i="21"/>
  <c r="AJ1084" i="21" s="1"/>
  <c r="X1084" i="21"/>
  <c r="W1084" i="21"/>
  <c r="AQ1084" i="21" s="1"/>
  <c r="V1084" i="21"/>
  <c r="AI1085" i="21"/>
  <c r="AJ1085" i="21" s="1"/>
  <c r="X1085" i="21"/>
  <c r="W1085" i="21"/>
  <c r="AQ1085" i="21" s="1"/>
  <c r="V1085" i="21"/>
  <c r="AI1086" i="21"/>
  <c r="AJ1086" i="21" s="1"/>
  <c r="X1086" i="21"/>
  <c r="W1086" i="21"/>
  <c r="AQ1086" i="21" s="1"/>
  <c r="V1086" i="21"/>
  <c r="AI1087" i="21"/>
  <c r="AJ1087" i="21" s="1"/>
  <c r="X1087" i="21"/>
  <c r="W1087" i="21"/>
  <c r="AQ1087" i="21" s="1"/>
  <c r="V1087" i="21"/>
  <c r="AI1088" i="21"/>
  <c r="AJ1088" i="21" s="1"/>
  <c r="X1088" i="21"/>
  <c r="W1088" i="21"/>
  <c r="AQ1088" i="21" s="1"/>
  <c r="V1088" i="21"/>
  <c r="AI1089" i="21"/>
  <c r="AJ1089" i="21" s="1"/>
  <c r="X1089" i="21"/>
  <c r="W1089" i="21"/>
  <c r="AQ1089" i="21" s="1"/>
  <c r="V1089" i="21"/>
  <c r="AI1090" i="21"/>
  <c r="AJ1090" i="21" s="1"/>
  <c r="X1090" i="21"/>
  <c r="W1090" i="21"/>
  <c r="AQ1090" i="21" s="1"/>
  <c r="V1090" i="21"/>
  <c r="AI1091" i="21"/>
  <c r="AJ1091" i="21" s="1"/>
  <c r="X1091" i="21"/>
  <c r="W1091" i="21"/>
  <c r="AQ1091" i="21" s="1"/>
  <c r="V1091" i="21"/>
  <c r="AI1092" i="21"/>
  <c r="AJ1092" i="21" s="1"/>
  <c r="X1092" i="21"/>
  <c r="W1092" i="21"/>
  <c r="AQ1092" i="21" s="1"/>
  <c r="V1092" i="21"/>
  <c r="AI1093" i="21"/>
  <c r="AJ1093" i="21" s="1"/>
  <c r="X1093" i="21"/>
  <c r="W1093" i="21"/>
  <c r="AQ1093" i="21" s="1"/>
  <c r="V1093" i="21"/>
  <c r="AI1094" i="21"/>
  <c r="AJ1094" i="21" s="1"/>
  <c r="X1094" i="21"/>
  <c r="W1094" i="21"/>
  <c r="AQ1094" i="21" s="1"/>
  <c r="V1094" i="21"/>
  <c r="AI1095" i="21"/>
  <c r="AJ1095" i="21" s="1"/>
  <c r="X1095" i="21"/>
  <c r="W1095" i="21"/>
  <c r="AQ1095" i="21" s="1"/>
  <c r="V1095" i="21"/>
  <c r="AI1096" i="21"/>
  <c r="AJ1096" i="21" s="1"/>
  <c r="X1096" i="21"/>
  <c r="W1096" i="21"/>
  <c r="AQ1096" i="21" s="1"/>
  <c r="V1096" i="21"/>
  <c r="AI1097" i="21"/>
  <c r="AJ1097" i="21" s="1"/>
  <c r="X1097" i="21"/>
  <c r="W1097" i="21"/>
  <c r="AQ1097" i="21" s="1"/>
  <c r="V1097" i="21"/>
  <c r="AI1098" i="21"/>
  <c r="AJ1098" i="21" s="1"/>
  <c r="X1098" i="21"/>
  <c r="W1098" i="21"/>
  <c r="AQ1098" i="21" s="1"/>
  <c r="V1098" i="21"/>
  <c r="AI1099" i="21"/>
  <c r="AJ1099" i="21" s="1"/>
  <c r="X1099" i="21"/>
  <c r="W1099" i="21"/>
  <c r="AQ1099" i="21" s="1"/>
  <c r="V1099" i="21"/>
  <c r="AI1100" i="21"/>
  <c r="AJ1100" i="21" s="1"/>
  <c r="X1100" i="21"/>
  <c r="W1100" i="21"/>
  <c r="AQ1100" i="21" s="1"/>
  <c r="V1100" i="21"/>
  <c r="AI1101" i="21"/>
  <c r="AJ1101" i="21" s="1"/>
  <c r="X1101" i="21"/>
  <c r="W1101" i="21"/>
  <c r="AQ1101" i="21" s="1"/>
  <c r="V1101" i="21"/>
  <c r="AI1102" i="21"/>
  <c r="AJ1102" i="21" s="1"/>
  <c r="X1102" i="21"/>
  <c r="W1102" i="21"/>
  <c r="AQ1102" i="21" s="1"/>
  <c r="V1102" i="21"/>
  <c r="AI1103" i="21"/>
  <c r="AJ1103" i="21" s="1"/>
  <c r="X1103" i="21"/>
  <c r="W1103" i="21"/>
  <c r="AQ1103" i="21" s="1"/>
  <c r="V1103" i="21"/>
  <c r="AI1104" i="21"/>
  <c r="AJ1104" i="21" s="1"/>
  <c r="X1104" i="21"/>
  <c r="W1104" i="21"/>
  <c r="AQ1104" i="21" s="1"/>
  <c r="V1104" i="21"/>
  <c r="AE762" i="21"/>
  <c r="Z762" i="21" a="1"/>
  <c r="Z762" i="21" s="1"/>
  <c r="AD760" i="21"/>
  <c r="AD761" i="21"/>
  <c r="AO670" i="21"/>
  <c r="Y670" i="21"/>
  <c r="Z670" i="21" s="1" a="1"/>
  <c r="Z670" i="21" s="1"/>
  <c r="AI671" i="21"/>
  <c r="AJ671" i="21" s="1"/>
  <c r="X671" i="21"/>
  <c r="AI672" i="21"/>
  <c r="AJ672" i="21" s="1"/>
  <c r="X672" i="21"/>
  <c r="AI673" i="21"/>
  <c r="AJ673" i="21" s="1"/>
  <c r="X673" i="21"/>
  <c r="AI674" i="21"/>
  <c r="AJ674" i="21" s="1"/>
  <c r="X674" i="21"/>
  <c r="AI675" i="21"/>
  <c r="AJ675" i="21" s="1"/>
  <c r="X675" i="21"/>
  <c r="AO653" i="21"/>
  <c r="Y653" i="21"/>
  <c r="Z653" i="21" s="1" a="1"/>
  <c r="Z653" i="21" s="1"/>
  <c r="AI654" i="21"/>
  <c r="AJ654" i="21" s="1"/>
  <c r="X654" i="21"/>
  <c r="AI655" i="21"/>
  <c r="AJ655" i="21" s="1"/>
  <c r="X655" i="21"/>
  <c r="AI656" i="21"/>
  <c r="AJ656" i="21" s="1"/>
  <c r="X656" i="21"/>
  <c r="AI657" i="21"/>
  <c r="AJ657" i="21" s="1"/>
  <c r="X657" i="21"/>
  <c r="AI658" i="21"/>
  <c r="AJ658" i="21" s="1"/>
  <c r="X658" i="21"/>
  <c r="AI659" i="21"/>
  <c r="AJ659" i="21" s="1"/>
  <c r="X659" i="21"/>
  <c r="AI660" i="21"/>
  <c r="AJ660" i="21" s="1"/>
  <c r="X660" i="21"/>
  <c r="AI661" i="21"/>
  <c r="AJ661" i="21" s="1"/>
  <c r="X661" i="21"/>
  <c r="AI662" i="21"/>
  <c r="AJ662" i="21" s="1"/>
  <c r="X662" i="21"/>
  <c r="AI663" i="21"/>
  <c r="AJ663" i="21" s="1"/>
  <c r="X663" i="21"/>
  <c r="AI664" i="21"/>
  <c r="AJ664" i="21" s="1"/>
  <c r="X664" i="21"/>
  <c r="AI665" i="21"/>
  <c r="AJ665" i="21" s="1"/>
  <c r="X665" i="21"/>
  <c r="AI666" i="21"/>
  <c r="AJ666" i="21" s="1"/>
  <c r="X666" i="21"/>
  <c r="AO632" i="21"/>
  <c r="Y632" i="21"/>
  <c r="Z632" i="21" s="1" a="1"/>
  <c r="Z632" i="21" s="1"/>
  <c r="AI633" i="21"/>
  <c r="AJ633" i="21" s="1"/>
  <c r="X633" i="21"/>
  <c r="AI634" i="21"/>
  <c r="AJ634" i="21" s="1"/>
  <c r="X634" i="21"/>
  <c r="AI635" i="21"/>
  <c r="AJ635" i="21" s="1"/>
  <c r="X635" i="21"/>
  <c r="AI636" i="21"/>
  <c r="AJ636" i="21" s="1"/>
  <c r="X636" i="21"/>
  <c r="AI637" i="21"/>
  <c r="AJ637" i="21" s="1"/>
  <c r="X637" i="21"/>
  <c r="AI638" i="21"/>
  <c r="AJ638" i="21" s="1"/>
  <c r="X638" i="21"/>
  <c r="AI639" i="21"/>
  <c r="AJ639" i="21" s="1"/>
  <c r="X639" i="21"/>
  <c r="AI640" i="21"/>
  <c r="AJ640" i="21" s="1"/>
  <c r="X640" i="21"/>
  <c r="AI641" i="21"/>
  <c r="AJ641" i="21" s="1"/>
  <c r="X641" i="21"/>
  <c r="AI642" i="21"/>
  <c r="AJ642" i="21" s="1"/>
  <c r="X642" i="21"/>
  <c r="AI643" i="21"/>
  <c r="AJ643" i="21" s="1"/>
  <c r="X643" i="21"/>
  <c r="AI644" i="21"/>
  <c r="AJ644" i="21" s="1"/>
  <c r="X644" i="21"/>
  <c r="AI645" i="21"/>
  <c r="AJ645" i="21" s="1"/>
  <c r="X645" i="21"/>
  <c r="AI646" i="21"/>
  <c r="AJ646" i="21" s="1"/>
  <c r="X646" i="21"/>
  <c r="AI647" i="21"/>
  <c r="AJ647" i="21" s="1"/>
  <c r="X647" i="21"/>
  <c r="AI648" i="21"/>
  <c r="AJ648" i="21" s="1"/>
  <c r="X648" i="21"/>
  <c r="AI649" i="21"/>
  <c r="AJ649" i="21" s="1"/>
  <c r="X649" i="21"/>
  <c r="AO628" i="21"/>
  <c r="Y628" i="21"/>
  <c r="Z628" i="21" s="1" a="1"/>
  <c r="Z628" i="21" s="1"/>
  <c r="AI583" i="21"/>
  <c r="AJ583" i="21" s="1"/>
  <c r="X583" i="21"/>
  <c r="W583" i="21"/>
  <c r="AQ583" i="21" s="1"/>
  <c r="V583" i="21"/>
  <c r="AC579" i="21"/>
  <c r="AB579" i="21"/>
  <c r="AD579" i="21" s="1"/>
  <c r="AC580" i="21"/>
  <c r="AB580" i="21"/>
  <c r="AD580" i="21" s="1"/>
  <c r="AC581" i="21"/>
  <c r="AB581" i="21"/>
  <c r="AD581" i="21" s="1"/>
  <c r="AC582" i="21"/>
  <c r="AB582" i="21"/>
  <c r="AD582" i="21" s="1"/>
  <c r="AC574" i="21"/>
  <c r="AB574" i="21"/>
  <c r="AD574" i="21" s="1"/>
  <c r="AC575" i="21"/>
  <c r="AB575" i="21"/>
  <c r="AD575" i="21" s="1"/>
  <c r="AC576" i="21"/>
  <c r="AB576" i="21"/>
  <c r="AD576" i="21" s="1"/>
  <c r="AC577" i="21"/>
  <c r="AB577" i="21"/>
  <c r="AD577" i="21" s="1"/>
  <c r="AC578" i="21"/>
  <c r="AB578" i="21"/>
  <c r="AD578" i="21" s="1"/>
  <c r="AC526" i="21"/>
  <c r="AB526" i="21"/>
  <c r="AD526" i="21" s="1"/>
  <c r="AC527" i="21"/>
  <c r="AB527" i="21"/>
  <c r="AD527" i="21" s="1"/>
  <c r="AC528" i="21"/>
  <c r="AB528" i="21"/>
  <c r="AD528" i="21" s="1"/>
  <c r="AC529" i="21"/>
  <c r="AB529" i="21"/>
  <c r="AD529" i="21" s="1"/>
  <c r="AC530" i="21"/>
  <c r="AB530" i="21"/>
  <c r="AD530" i="21" s="1"/>
  <c r="AC531" i="21"/>
  <c r="AB531" i="21"/>
  <c r="AD531" i="21" s="1"/>
  <c r="AC532" i="21"/>
  <c r="AB532" i="21"/>
  <c r="AD532" i="21" s="1"/>
  <c r="AC533" i="21"/>
  <c r="AB533" i="21"/>
  <c r="AD533" i="21" s="1"/>
  <c r="AC534" i="21"/>
  <c r="AB534" i="21"/>
  <c r="AD534" i="21" s="1"/>
  <c r="AC535" i="21"/>
  <c r="AB535" i="21"/>
  <c r="AD535" i="21" s="1"/>
  <c r="AC536" i="21"/>
  <c r="AB536" i="21"/>
  <c r="AD536" i="21" s="1"/>
  <c r="AC537" i="21"/>
  <c r="AB537" i="21"/>
  <c r="AD537" i="21" s="1"/>
  <c r="AC538" i="21"/>
  <c r="AB538" i="21"/>
  <c r="AD538" i="21" s="1"/>
  <c r="AC539" i="21"/>
  <c r="AB539" i="21"/>
  <c r="AD539" i="21" s="1"/>
  <c r="AC540" i="21"/>
  <c r="AB540" i="21"/>
  <c r="AD540" i="21" s="1"/>
  <c r="AC541" i="21"/>
  <c r="AB541" i="21"/>
  <c r="AD541" i="21" s="1"/>
  <c r="AC542" i="21"/>
  <c r="AB542" i="21"/>
  <c r="AD542" i="21" s="1"/>
  <c r="AC543" i="21"/>
  <c r="AB543" i="21"/>
  <c r="AD543" i="21" s="1"/>
  <c r="AC544" i="21"/>
  <c r="AB544" i="21"/>
  <c r="AD544" i="21" s="1"/>
  <c r="AC545" i="21"/>
  <c r="AB545" i="21"/>
  <c r="AD545" i="21" s="1"/>
  <c r="AC546" i="21"/>
  <c r="AB546" i="21"/>
  <c r="AD546" i="21" s="1"/>
  <c r="AC547" i="21"/>
  <c r="AB547" i="21"/>
  <c r="AD547" i="21" s="1"/>
  <c r="AC548" i="21"/>
  <c r="AB548" i="21"/>
  <c r="AD548" i="21" s="1"/>
  <c r="AC549" i="21"/>
  <c r="AB549" i="21"/>
  <c r="AD549" i="21" s="1"/>
  <c r="AC550" i="21"/>
  <c r="AB550" i="21"/>
  <c r="AD550" i="21" s="1"/>
  <c r="AC551" i="21"/>
  <c r="AB551" i="21"/>
  <c r="AD551" i="21" s="1"/>
  <c r="AC552" i="21"/>
  <c r="AB552" i="21"/>
  <c r="AD552" i="21" s="1"/>
  <c r="AC553" i="21"/>
  <c r="AB553" i="21"/>
  <c r="AD553" i="21" s="1"/>
  <c r="AC554" i="21"/>
  <c r="AB554" i="21"/>
  <c r="AD554" i="21" s="1"/>
  <c r="AC555" i="21"/>
  <c r="AB555" i="21"/>
  <c r="AD555" i="21" s="1"/>
  <c r="AC556" i="21"/>
  <c r="AB556" i="21"/>
  <c r="AD556" i="21" s="1"/>
  <c r="AC557" i="21"/>
  <c r="AB557" i="21"/>
  <c r="AD557" i="21" s="1"/>
  <c r="AC558" i="21"/>
  <c r="AB558" i="21"/>
  <c r="AD558" i="21" s="1"/>
  <c r="AC559" i="21"/>
  <c r="AB559" i="21"/>
  <c r="AD559" i="21" s="1"/>
  <c r="AC560" i="21"/>
  <c r="AB560" i="21"/>
  <c r="AD560" i="21" s="1"/>
  <c r="AC561" i="21"/>
  <c r="AB561" i="21"/>
  <c r="AD561" i="21" s="1"/>
  <c r="AC562" i="21"/>
  <c r="AB562" i="21"/>
  <c r="AD562" i="21" s="1"/>
  <c r="AC563" i="21"/>
  <c r="AB563" i="21"/>
  <c r="AD563" i="21" s="1"/>
  <c r="AC564" i="21"/>
  <c r="AB564" i="21"/>
  <c r="AD564" i="21" s="1"/>
  <c r="AC565" i="21"/>
  <c r="AB565" i="21"/>
  <c r="AD565" i="21" s="1"/>
  <c r="AC566" i="21"/>
  <c r="AB566" i="21"/>
  <c r="AD566" i="21" s="1"/>
  <c r="AC567" i="21"/>
  <c r="AB567" i="21"/>
  <c r="AD567" i="21" s="1"/>
  <c r="AC568" i="21"/>
  <c r="AB568" i="21"/>
  <c r="AD568" i="21" s="1"/>
  <c r="AC569" i="21"/>
  <c r="AB569" i="21"/>
  <c r="AD569" i="21" s="1"/>
  <c r="AC570" i="21"/>
  <c r="AB570" i="21"/>
  <c r="AD570" i="21" s="1"/>
  <c r="AC571" i="21"/>
  <c r="AB571" i="21"/>
  <c r="AD571" i="21" s="1"/>
  <c r="AC572" i="21"/>
  <c r="AB572" i="21"/>
  <c r="AD572" i="21" s="1"/>
  <c r="AC573" i="21"/>
  <c r="AB573" i="21"/>
  <c r="AD573" i="21" s="1"/>
  <c r="AE513" i="21"/>
  <c r="Z513" i="21" a="1"/>
  <c r="Z513" i="21" s="1"/>
  <c r="AE388" i="21"/>
  <c r="Z388" i="21" a="1"/>
  <c r="Z388" i="21" s="1"/>
  <c r="AE385" i="21"/>
  <c r="Z385" i="21" a="1"/>
  <c r="Z385" i="21" s="1"/>
  <c r="AE383" i="21"/>
  <c r="Z383" i="21" a="1"/>
  <c r="Z383" i="21" s="1"/>
  <c r="AE380" i="21"/>
  <c r="Z380" i="21" a="1"/>
  <c r="Z380" i="21" s="1"/>
  <c r="AE379" i="21"/>
  <c r="Z379" i="21" a="1"/>
  <c r="Z379" i="21" s="1"/>
  <c r="AE355" i="21"/>
  <c r="Z355" i="21" a="1"/>
  <c r="Z355" i="21" s="1"/>
  <c r="AI352" i="21"/>
  <c r="AJ352" i="21" s="1"/>
  <c r="X352" i="21"/>
  <c r="W352" i="21"/>
  <c r="AQ352" i="21" s="1"/>
  <c r="V352" i="21"/>
  <c r="AI351" i="21"/>
  <c r="AJ351" i="21" s="1"/>
  <c r="X351" i="21"/>
  <c r="W351" i="21"/>
  <c r="AQ351" i="21" s="1"/>
  <c r="V351" i="21"/>
  <c r="AI350" i="21"/>
  <c r="AJ350" i="21" s="1"/>
  <c r="X350" i="21"/>
  <c r="W350" i="21"/>
  <c r="AQ350" i="21" s="1"/>
  <c r="V350" i="21"/>
  <c r="AI349" i="21"/>
  <c r="AJ349" i="21" s="1"/>
  <c r="X349" i="21"/>
  <c r="W349" i="21"/>
  <c r="AQ349" i="21" s="1"/>
  <c r="V349" i="21"/>
  <c r="AI348" i="21"/>
  <c r="AJ348" i="21" s="1"/>
  <c r="X348" i="21"/>
  <c r="W348" i="21"/>
  <c r="AQ348" i="21" s="1"/>
  <c r="V348" i="21"/>
  <c r="AI347" i="21"/>
  <c r="AJ347" i="21" s="1"/>
  <c r="X347" i="21"/>
  <c r="W347" i="21"/>
  <c r="AQ347" i="21" s="1"/>
  <c r="V347" i="21"/>
  <c r="AI346" i="21"/>
  <c r="AJ346" i="21" s="1"/>
  <c r="X346" i="21"/>
  <c r="W346" i="21"/>
  <c r="AQ346" i="21" s="1"/>
  <c r="V346" i="21"/>
  <c r="AI345" i="21"/>
  <c r="AJ345" i="21" s="1"/>
  <c r="X345" i="21"/>
  <c r="W345" i="21"/>
  <c r="AQ345" i="21" s="1"/>
  <c r="V345" i="21"/>
  <c r="AI344" i="21"/>
  <c r="AJ344" i="21" s="1"/>
  <c r="X344" i="21"/>
  <c r="W344" i="21"/>
  <c r="AQ344" i="21" s="1"/>
  <c r="V344" i="21"/>
  <c r="AI343" i="21"/>
  <c r="AJ343" i="21" s="1"/>
  <c r="X343" i="21"/>
  <c r="W343" i="21"/>
  <c r="AQ343" i="21" s="1"/>
  <c r="V343" i="21"/>
  <c r="AI342" i="21"/>
  <c r="AJ342" i="21" s="1"/>
  <c r="X342" i="21"/>
  <c r="W342" i="21"/>
  <c r="AQ342" i="21" s="1"/>
  <c r="V342" i="21"/>
  <c r="AI341" i="21"/>
  <c r="AJ341" i="21" s="1"/>
  <c r="X341" i="21"/>
  <c r="W341" i="21"/>
  <c r="AQ341" i="21" s="1"/>
  <c r="V341" i="21"/>
  <c r="AI340" i="21"/>
  <c r="AJ340" i="21" s="1"/>
  <c r="X340" i="21"/>
  <c r="W340" i="21"/>
  <c r="AQ340" i="21" s="1"/>
  <c r="V340" i="21"/>
  <c r="AI339" i="21"/>
  <c r="AJ339" i="21" s="1"/>
  <c r="X339" i="21"/>
  <c r="W339" i="21"/>
  <c r="AQ339" i="21" s="1"/>
  <c r="V339" i="21"/>
  <c r="AI338" i="21"/>
  <c r="AJ338" i="21" s="1"/>
  <c r="X338" i="21"/>
  <c r="W338" i="21"/>
  <c r="AQ338" i="21" s="1"/>
  <c r="V338" i="21"/>
  <c r="AI337" i="21"/>
  <c r="AJ337" i="21" s="1"/>
  <c r="X337" i="21"/>
  <c r="W337" i="21"/>
  <c r="AQ337" i="21" s="1"/>
  <c r="V337" i="21"/>
  <c r="AI336" i="21"/>
  <c r="AJ336" i="21" s="1"/>
  <c r="X336" i="21"/>
  <c r="W336" i="21"/>
  <c r="AQ336" i="21" s="1"/>
  <c r="V336" i="21"/>
  <c r="AI335" i="21"/>
  <c r="AJ335" i="21" s="1"/>
  <c r="X335" i="21"/>
  <c r="W335" i="21"/>
  <c r="AQ335" i="21" s="1"/>
  <c r="V335" i="21"/>
  <c r="AI334" i="21"/>
  <c r="AJ334" i="21" s="1"/>
  <c r="X334" i="21"/>
  <c r="W334" i="21"/>
  <c r="AQ334" i="21" s="1"/>
  <c r="V334" i="21"/>
  <c r="AE333" i="21"/>
  <c r="Z333" i="21" a="1"/>
  <c r="Z333" i="21" s="1"/>
  <c r="AE332" i="21"/>
  <c r="Z332" i="21" a="1"/>
  <c r="Z332" i="21" s="1"/>
  <c r="AE331" i="21"/>
  <c r="Z331" i="21" a="1"/>
  <c r="Z331" i="21" s="1"/>
  <c r="AE330" i="21"/>
  <c r="Z330" i="21" a="1"/>
  <c r="Z330" i="21" s="1"/>
  <c r="AE329" i="21"/>
  <c r="Z329" i="21" a="1"/>
  <c r="Z329" i="21" s="1"/>
  <c r="AE328" i="21"/>
  <c r="Z328" i="21" a="1"/>
  <c r="Z328" i="21" s="1"/>
  <c r="AE301" i="21"/>
  <c r="Z301" i="21" a="1"/>
  <c r="Z301" i="21" s="1"/>
  <c r="AE297" i="21"/>
  <c r="Z297" i="21" a="1"/>
  <c r="Z297" i="21" s="1"/>
  <c r="AE296" i="21"/>
  <c r="Z296" i="21" a="1"/>
  <c r="Z296" i="21" s="1"/>
  <c r="AE295" i="21"/>
  <c r="AI292" i="21"/>
  <c r="AJ292" i="21" s="1"/>
  <c r="X292" i="21"/>
  <c r="W292" i="21"/>
  <c r="AQ292" i="21" s="1"/>
  <c r="V292" i="21"/>
  <c r="Y294" i="21"/>
  <c r="Z293" i="21" a="1"/>
  <c r="Z293" i="21" s="1"/>
  <c r="AE286" i="21"/>
  <c r="Z286" i="21" a="1"/>
  <c r="Z286" i="21" s="1"/>
  <c r="AE290" i="21"/>
  <c r="Z290" i="21" a="1"/>
  <c r="Z290" i="21" s="1"/>
  <c r="AE291" i="21"/>
  <c r="Z291" i="21" a="1"/>
  <c r="Z291" i="21" s="1"/>
  <c r="AE269" i="21"/>
  <c r="Z269" i="21" a="1"/>
  <c r="Z269" i="21" s="1"/>
  <c r="AE268" i="21"/>
  <c r="Z268" i="21" a="1"/>
  <c r="Z268" i="21" s="1"/>
  <c r="AE267" i="21"/>
  <c r="Z267" i="21" a="1"/>
  <c r="Z267" i="21" s="1"/>
  <c r="AB270" i="21"/>
  <c r="AD266" i="21"/>
  <c r="AL261" i="21"/>
  <c r="AL260" i="21"/>
  <c r="AL235" i="21"/>
  <c r="AA262" i="21"/>
  <c r="AD262" i="21" s="1"/>
  <c r="AA261" i="21"/>
  <c r="AD261" i="21" s="1"/>
  <c r="AA235" i="21"/>
  <c r="AD235" i="21" s="1"/>
  <c r="AL234" i="21"/>
  <c r="AA233" i="21"/>
  <c r="AD233" i="21" s="1"/>
  <c r="AE232" i="21"/>
  <c r="Z232" i="21" a="1"/>
  <c r="Z232" i="21" s="1"/>
  <c r="AE214" i="21"/>
  <c r="Z214" i="21" a="1"/>
  <c r="Z214" i="21" s="1"/>
  <c r="AE191" i="21"/>
  <c r="Z191" i="21" a="1"/>
  <c r="Z191" i="21" s="1"/>
  <c r="AE190" i="21"/>
  <c r="Z190" i="21" a="1"/>
  <c r="Z190" i="21" s="1"/>
  <c r="AE188" i="21"/>
  <c r="Z188" i="21" a="1"/>
  <c r="Z188" i="21" s="1"/>
  <c r="AE185" i="21"/>
  <c r="Z185" i="21" a="1"/>
  <c r="Z185" i="21" s="1"/>
  <c r="AE184" i="21"/>
  <c r="Z184" i="21" a="1"/>
  <c r="Z184" i="21" s="1"/>
  <c r="AE162" i="21"/>
  <c r="Z162" i="21" a="1"/>
  <c r="Z162" i="21" s="1"/>
  <c r="AE161" i="21"/>
  <c r="Z161" i="21" a="1"/>
  <c r="Z161" i="21" s="1"/>
  <c r="AI149" i="21"/>
  <c r="AJ149" i="21" s="1"/>
  <c r="X149" i="21"/>
  <c r="W149" i="21"/>
  <c r="AQ149" i="21" s="1"/>
  <c r="V149" i="21"/>
  <c r="AI148" i="21"/>
  <c r="AJ148" i="21" s="1"/>
  <c r="X148" i="21"/>
  <c r="W148" i="21"/>
  <c r="AQ148" i="21" s="1"/>
  <c r="V148" i="21"/>
  <c r="AI147" i="21"/>
  <c r="AJ147" i="21" s="1"/>
  <c r="X147" i="21"/>
  <c r="W147" i="21"/>
  <c r="AQ147" i="21" s="1"/>
  <c r="V147" i="21"/>
  <c r="AE146" i="21"/>
  <c r="Z146" i="21" a="1"/>
  <c r="Z146" i="21" s="1"/>
  <c r="AI145" i="21"/>
  <c r="AJ145" i="21" s="1"/>
  <c r="X145" i="21"/>
  <c r="W145" i="21"/>
  <c r="AQ145" i="21" s="1"/>
  <c r="V145" i="21"/>
  <c r="AI144" i="21"/>
  <c r="AJ144" i="21" s="1"/>
  <c r="X144" i="21"/>
  <c r="W144" i="21"/>
  <c r="AQ144" i="21" s="1"/>
  <c r="V144" i="21"/>
  <c r="AI143" i="21"/>
  <c r="AJ143" i="21" s="1"/>
  <c r="X143" i="21"/>
  <c r="W143" i="21"/>
  <c r="AQ143" i="21" s="1"/>
  <c r="V143" i="21"/>
  <c r="AI142" i="21"/>
  <c r="AJ142" i="21" s="1"/>
  <c r="X142" i="21"/>
  <c r="W142" i="21"/>
  <c r="AQ142" i="21" s="1"/>
  <c r="V142" i="21"/>
  <c r="AI141" i="21"/>
  <c r="AJ141" i="21" s="1"/>
  <c r="X141" i="21"/>
  <c r="W141" i="21"/>
  <c r="AQ141" i="21" s="1"/>
  <c r="V141" i="21"/>
  <c r="AI140" i="21"/>
  <c r="AJ140" i="21" s="1"/>
  <c r="X140" i="21"/>
  <c r="W140" i="21"/>
  <c r="AQ140" i="21" s="1"/>
  <c r="V140" i="21"/>
  <c r="AE139" i="21"/>
  <c r="Z139" i="21" a="1"/>
  <c r="Z139" i="21" s="1"/>
  <c r="AE138" i="21"/>
  <c r="Z138" i="21" a="1"/>
  <c r="Z138" i="21" s="1"/>
  <c r="AE137" i="21"/>
  <c r="Z137" i="21" a="1"/>
  <c r="Z137" i="21" s="1"/>
  <c r="AE136" i="21"/>
  <c r="Z136" i="21" a="1"/>
  <c r="Z136" i="21" s="1"/>
  <c r="AE135" i="21"/>
  <c r="Z135" i="21" a="1"/>
  <c r="Z135" i="21" s="1"/>
  <c r="AE134" i="21"/>
  <c r="Z134" i="21" a="1"/>
  <c r="Z134" i="21" s="1"/>
  <c r="AE133" i="21"/>
  <c r="Z133" i="21" a="1"/>
  <c r="Z133" i="21" s="1"/>
  <c r="AE132" i="21"/>
  <c r="Z132" i="21" a="1"/>
  <c r="Z132" i="21" s="1"/>
  <c r="AE131" i="21"/>
  <c r="Z131" i="21" a="1"/>
  <c r="Z131" i="21" s="1"/>
  <c r="AE130" i="21"/>
  <c r="Z130" i="21" a="1"/>
  <c r="Z130" i="21" s="1"/>
  <c r="AE129" i="21"/>
  <c r="Z129" i="21" a="1"/>
  <c r="Z129" i="21" s="1"/>
  <c r="AE128" i="21"/>
  <c r="Z128" i="21" a="1"/>
  <c r="Z128" i="21" s="1"/>
  <c r="AE127" i="21"/>
  <c r="Z127" i="21" a="1"/>
  <c r="Z127" i="21" s="1"/>
  <c r="AE126" i="21"/>
  <c r="Z126" i="21" a="1"/>
  <c r="Z126" i="21" s="1"/>
  <c r="AE125" i="21"/>
  <c r="Z125" i="21" a="1"/>
  <c r="Z125" i="21" s="1"/>
  <c r="AE124" i="21"/>
  <c r="Z124" i="21" a="1"/>
  <c r="Z124" i="21" s="1"/>
  <c r="AE123" i="21"/>
  <c r="Z123" i="21" a="1"/>
  <c r="Z123" i="21" s="1"/>
  <c r="AE122" i="21"/>
  <c r="Z122" i="21" a="1"/>
  <c r="Z122" i="21" s="1"/>
  <c r="AE85" i="21"/>
  <c r="Z85" i="21" a="1"/>
  <c r="Z85" i="21" s="1"/>
  <c r="AE107" i="21"/>
  <c r="Z107" i="21" a="1"/>
  <c r="Z107" i="21" s="1"/>
  <c r="AE119" i="21"/>
  <c r="Z119" i="21" a="1"/>
  <c r="Z119" i="21" s="1"/>
  <c r="AC41" i="21"/>
  <c r="AD41" i="21" s="1"/>
  <c r="AC49" i="21"/>
  <c r="AD49" i="21" s="1"/>
  <c r="AC53" i="21"/>
  <c r="AD53" i="21" s="1"/>
  <c r="AC56" i="21"/>
  <c r="AD56" i="21" s="1"/>
  <c r="AC31" i="21"/>
  <c r="AB31" i="21"/>
  <c r="AD31" i="21" s="1"/>
  <c r="AC37" i="21"/>
  <c r="AB37" i="21"/>
  <c r="AD37" i="21" s="1"/>
  <c r="AC38" i="21"/>
  <c r="AB38" i="21"/>
  <c r="AD38" i="21" s="1"/>
  <c r="AD30" i="21"/>
  <c r="AE25" i="21"/>
  <c r="Z25" i="21" a="1"/>
  <c r="Z25" i="21" s="1"/>
  <c r="AE26" i="21"/>
  <c r="Z26" i="21" a="1"/>
  <c r="Z26" i="21" s="1"/>
  <c r="AE27" i="21"/>
  <c r="Z27" i="21" a="1"/>
  <c r="Z27" i="21" s="1"/>
  <c r="AI24" i="21"/>
  <c r="AJ24" i="21" s="1"/>
  <c r="X24" i="21"/>
  <c r="W24" i="21"/>
  <c r="AQ24" i="21" s="1"/>
  <c r="V24" i="21"/>
  <c r="AE4" i="21"/>
  <c r="Z4" i="21" a="1"/>
  <c r="Z4" i="21" s="1"/>
  <c r="AE5" i="21"/>
  <c r="Z5" i="21" a="1"/>
  <c r="Z5" i="21" s="1"/>
  <c r="AE6" i="21"/>
  <c r="Z6" i="21" a="1"/>
  <c r="Z6" i="21" s="1"/>
  <c r="AE7" i="21"/>
  <c r="Z7" i="21" a="1"/>
  <c r="Z7" i="21" s="1"/>
  <c r="AE8" i="21"/>
  <c r="Z8" i="21" a="1"/>
  <c r="Z8" i="21" s="1"/>
  <c r="AE9" i="21"/>
  <c r="Z9" i="21" a="1"/>
  <c r="Z9" i="21" s="1"/>
  <c r="AE10" i="21"/>
  <c r="Z10" i="21" a="1"/>
  <c r="Z10" i="21" s="1"/>
  <c r="AE11" i="21"/>
  <c r="Z11" i="21" a="1"/>
  <c r="Z11" i="21" s="1"/>
  <c r="AE12" i="21"/>
  <c r="Z12" i="21" a="1"/>
  <c r="Z12" i="21" s="1"/>
  <c r="AE13" i="21"/>
  <c r="Z13" i="21" a="1"/>
  <c r="Z13" i="21" s="1"/>
  <c r="AE14" i="21"/>
  <c r="Z14" i="21" a="1"/>
  <c r="Z14" i="21" s="1"/>
  <c r="AE15" i="21"/>
  <c r="Z15" i="21" a="1"/>
  <c r="Z15" i="21" s="1"/>
  <c r="AE16" i="21"/>
  <c r="Z16" i="21" a="1"/>
  <c r="Z16" i="21" s="1"/>
  <c r="AE17" i="21"/>
  <c r="Z17" i="21" a="1"/>
  <c r="Z17" i="21" s="1"/>
  <c r="AE18" i="21"/>
  <c r="Z18" i="21" a="1"/>
  <c r="Z18" i="21" s="1"/>
  <c r="AE19" i="21"/>
  <c r="Z19" i="21" a="1"/>
  <c r="Z19" i="21" s="1"/>
  <c r="AE20" i="21"/>
  <c r="Z20" i="21" a="1"/>
  <c r="Z20" i="21" s="1"/>
  <c r="AE21" i="21"/>
  <c r="Z21" i="21" a="1"/>
  <c r="Z21" i="21" s="1"/>
  <c r="AE22" i="21"/>
  <c r="Z22" i="21" a="1"/>
  <c r="Z22" i="21" s="1"/>
  <c r="I172" i="18"/>
  <c r="I173" i="18"/>
  <c r="C173" i="18"/>
  <c r="C172" i="18"/>
  <c r="B172" i="18"/>
  <c r="I228" i="14"/>
  <c r="I229" i="14"/>
  <c r="I230" i="14"/>
  <c r="I231" i="14"/>
  <c r="I232" i="14"/>
  <c r="I233" i="14"/>
  <c r="I234" i="14"/>
  <c r="I235" i="14"/>
  <c r="I236" i="14"/>
  <c r="I237" i="14"/>
  <c r="I238" i="14"/>
  <c r="I239" i="14"/>
  <c r="J64" i="19" l="1"/>
  <c r="AI22" i="21"/>
  <c r="AJ22" i="21" s="1"/>
  <c r="X22" i="21"/>
  <c r="W22" i="21"/>
  <c r="AQ22" i="21" s="1"/>
  <c r="V22" i="21"/>
  <c r="AI21" i="21"/>
  <c r="AJ21" i="21" s="1"/>
  <c r="X21" i="21"/>
  <c r="W21" i="21"/>
  <c r="AQ21" i="21" s="1"/>
  <c r="V21" i="21"/>
  <c r="AI20" i="21"/>
  <c r="AJ20" i="21" s="1"/>
  <c r="X20" i="21"/>
  <c r="W20" i="21"/>
  <c r="AQ20" i="21" s="1"/>
  <c r="V20" i="21"/>
  <c r="AI19" i="21"/>
  <c r="AJ19" i="21" s="1"/>
  <c r="X19" i="21"/>
  <c r="W19" i="21"/>
  <c r="AQ19" i="21" s="1"/>
  <c r="V19" i="21"/>
  <c r="AI18" i="21"/>
  <c r="AJ18" i="21" s="1"/>
  <c r="X18" i="21"/>
  <c r="W18" i="21"/>
  <c r="AQ18" i="21" s="1"/>
  <c r="V18" i="21"/>
  <c r="AI17" i="21"/>
  <c r="AJ17" i="21" s="1"/>
  <c r="X17" i="21"/>
  <c r="W17" i="21"/>
  <c r="AQ17" i="21" s="1"/>
  <c r="V17" i="21"/>
  <c r="AI16" i="21"/>
  <c r="AJ16" i="21" s="1"/>
  <c r="X16" i="21"/>
  <c r="W16" i="21"/>
  <c r="AQ16" i="21" s="1"/>
  <c r="V16" i="21"/>
  <c r="AI15" i="21"/>
  <c r="AJ15" i="21" s="1"/>
  <c r="X15" i="21"/>
  <c r="W15" i="21"/>
  <c r="AQ15" i="21" s="1"/>
  <c r="V15" i="21"/>
  <c r="AI14" i="21"/>
  <c r="AJ14" i="21" s="1"/>
  <c r="X14" i="21"/>
  <c r="W14" i="21"/>
  <c r="AQ14" i="21" s="1"/>
  <c r="V14" i="21"/>
  <c r="AI13" i="21"/>
  <c r="AJ13" i="21" s="1"/>
  <c r="X13" i="21"/>
  <c r="W13" i="21"/>
  <c r="AQ13" i="21" s="1"/>
  <c r="V13" i="21"/>
  <c r="AI12" i="21"/>
  <c r="AJ12" i="21" s="1"/>
  <c r="X12" i="21"/>
  <c r="W12" i="21"/>
  <c r="AQ12" i="21" s="1"/>
  <c r="V12" i="21"/>
  <c r="AI11" i="21"/>
  <c r="AJ11" i="21" s="1"/>
  <c r="X11" i="21"/>
  <c r="W11" i="21"/>
  <c r="AQ11" i="21" s="1"/>
  <c r="V11" i="21"/>
  <c r="AI10" i="21"/>
  <c r="AJ10" i="21" s="1"/>
  <c r="X10" i="21"/>
  <c r="W10" i="21"/>
  <c r="AQ10" i="21" s="1"/>
  <c r="V10" i="21"/>
  <c r="AI9" i="21"/>
  <c r="AJ9" i="21" s="1"/>
  <c r="X9" i="21"/>
  <c r="W9" i="21"/>
  <c r="AQ9" i="21" s="1"/>
  <c r="V9" i="21"/>
  <c r="AI8" i="21"/>
  <c r="AJ8" i="21" s="1"/>
  <c r="X8" i="21"/>
  <c r="W8" i="21"/>
  <c r="AQ8" i="21" s="1"/>
  <c r="V8" i="21"/>
  <c r="AI7" i="21"/>
  <c r="AJ7" i="21" s="1"/>
  <c r="X7" i="21"/>
  <c r="W7" i="21"/>
  <c r="AQ7" i="21" s="1"/>
  <c r="V7" i="21"/>
  <c r="AI6" i="21"/>
  <c r="AJ6" i="21" s="1"/>
  <c r="X6" i="21"/>
  <c r="W6" i="21"/>
  <c r="AQ6" i="21" s="1"/>
  <c r="V6" i="21"/>
  <c r="AI5" i="21"/>
  <c r="AJ5" i="21" s="1"/>
  <c r="X5" i="21"/>
  <c r="W5" i="21"/>
  <c r="AQ5" i="21" s="1"/>
  <c r="V5" i="21"/>
  <c r="AI4" i="21"/>
  <c r="AJ4" i="21" s="1"/>
  <c r="X4" i="21"/>
  <c r="W4" i="21"/>
  <c r="AQ4" i="21" s="1"/>
  <c r="V4" i="21"/>
  <c r="AI27" i="21"/>
  <c r="AJ27" i="21" s="1"/>
  <c r="X27" i="21"/>
  <c r="W27" i="21"/>
  <c r="AQ27" i="21" s="1"/>
  <c r="V27" i="21"/>
  <c r="AI26" i="21"/>
  <c r="AJ26" i="21" s="1"/>
  <c r="X26" i="21"/>
  <c r="W26" i="21"/>
  <c r="AQ26" i="21" s="1"/>
  <c r="V26" i="21"/>
  <c r="AI25" i="21"/>
  <c r="AJ25" i="21" s="1"/>
  <c r="X25" i="21"/>
  <c r="W25" i="21"/>
  <c r="AQ25" i="21" s="1"/>
  <c r="V25" i="21"/>
  <c r="AE30" i="21"/>
  <c r="Z30" i="21" a="1"/>
  <c r="Z30" i="21" s="1"/>
  <c r="AE38" i="21"/>
  <c r="Z38" i="21" a="1"/>
  <c r="Z38" i="21" s="1"/>
  <c r="AE37" i="21"/>
  <c r="Z37" i="21" a="1"/>
  <c r="Z37" i="21" s="1"/>
  <c r="AE31" i="21"/>
  <c r="Z31" i="21" a="1"/>
  <c r="Z31" i="21" s="1"/>
  <c r="AE56" i="21"/>
  <c r="Z56" i="21" a="1"/>
  <c r="Z56" i="21" s="1"/>
  <c r="AE53" i="21"/>
  <c r="Z53" i="21" a="1"/>
  <c r="Z53" i="21" s="1"/>
  <c r="AE49" i="21"/>
  <c r="Z49" i="21" a="1"/>
  <c r="Z49" i="21" s="1"/>
  <c r="AE41" i="21"/>
  <c r="Z41" i="21" a="1"/>
  <c r="Z41" i="21" s="1"/>
  <c r="AI119" i="21"/>
  <c r="AJ119" i="21" s="1"/>
  <c r="X119" i="21"/>
  <c r="W119" i="21"/>
  <c r="AQ119" i="21" s="1"/>
  <c r="V119" i="21"/>
  <c r="AI107" i="21"/>
  <c r="AJ107" i="21" s="1"/>
  <c r="X107" i="21"/>
  <c r="W107" i="21"/>
  <c r="AQ107" i="21" s="1"/>
  <c r="V107" i="21"/>
  <c r="AI85" i="21"/>
  <c r="AJ85" i="21" s="1"/>
  <c r="X85" i="21"/>
  <c r="W85" i="21"/>
  <c r="AQ85" i="21" s="1"/>
  <c r="V85" i="21"/>
  <c r="AI122" i="21"/>
  <c r="AJ122" i="21" s="1"/>
  <c r="X122" i="21"/>
  <c r="W122" i="21"/>
  <c r="AQ122" i="21" s="1"/>
  <c r="V122" i="21"/>
  <c r="AI123" i="21"/>
  <c r="AJ123" i="21" s="1"/>
  <c r="X123" i="21"/>
  <c r="W123" i="21"/>
  <c r="AQ123" i="21" s="1"/>
  <c r="V123" i="21"/>
  <c r="AI124" i="21"/>
  <c r="AJ124" i="21" s="1"/>
  <c r="X124" i="21"/>
  <c r="W124" i="21"/>
  <c r="AQ124" i="21" s="1"/>
  <c r="V124" i="21"/>
  <c r="AI125" i="21"/>
  <c r="AJ125" i="21" s="1"/>
  <c r="X125" i="21"/>
  <c r="W125" i="21"/>
  <c r="AQ125" i="21" s="1"/>
  <c r="V125" i="21"/>
  <c r="AI126" i="21"/>
  <c r="AJ126" i="21" s="1"/>
  <c r="X126" i="21"/>
  <c r="W126" i="21"/>
  <c r="AQ126" i="21" s="1"/>
  <c r="V126" i="21"/>
  <c r="AI127" i="21"/>
  <c r="AJ127" i="21" s="1"/>
  <c r="X127" i="21"/>
  <c r="W127" i="21"/>
  <c r="AQ127" i="21" s="1"/>
  <c r="V127" i="21"/>
  <c r="AI128" i="21"/>
  <c r="AJ128" i="21" s="1"/>
  <c r="X128" i="21"/>
  <c r="W128" i="21"/>
  <c r="AQ128" i="21" s="1"/>
  <c r="V128" i="21"/>
  <c r="AI129" i="21"/>
  <c r="AJ129" i="21" s="1"/>
  <c r="X129" i="21"/>
  <c r="W129" i="21"/>
  <c r="AQ129" i="21" s="1"/>
  <c r="V129" i="21"/>
  <c r="AI130" i="21"/>
  <c r="AJ130" i="21" s="1"/>
  <c r="X130" i="21"/>
  <c r="W130" i="21"/>
  <c r="AQ130" i="21" s="1"/>
  <c r="V130" i="21"/>
  <c r="AI131" i="21"/>
  <c r="AJ131" i="21" s="1"/>
  <c r="X131" i="21"/>
  <c r="W131" i="21"/>
  <c r="AQ131" i="21" s="1"/>
  <c r="V131" i="21"/>
  <c r="AI132" i="21"/>
  <c r="AJ132" i="21" s="1"/>
  <c r="X132" i="21"/>
  <c r="W132" i="21"/>
  <c r="AQ132" i="21" s="1"/>
  <c r="V132" i="21"/>
  <c r="AI133" i="21"/>
  <c r="AJ133" i="21" s="1"/>
  <c r="X133" i="21"/>
  <c r="W133" i="21"/>
  <c r="AQ133" i="21" s="1"/>
  <c r="V133" i="21"/>
  <c r="AI134" i="21"/>
  <c r="AJ134" i="21" s="1"/>
  <c r="X134" i="21"/>
  <c r="W134" i="21"/>
  <c r="AQ134" i="21" s="1"/>
  <c r="V134" i="21"/>
  <c r="AI135" i="21"/>
  <c r="AJ135" i="21" s="1"/>
  <c r="X135" i="21"/>
  <c r="W135" i="21"/>
  <c r="AQ135" i="21" s="1"/>
  <c r="V135" i="21"/>
  <c r="AI136" i="21"/>
  <c r="AJ136" i="21" s="1"/>
  <c r="X136" i="21"/>
  <c r="W136" i="21"/>
  <c r="AQ136" i="21" s="1"/>
  <c r="V136" i="21"/>
  <c r="AI137" i="21"/>
  <c r="AJ137" i="21" s="1"/>
  <c r="X137" i="21"/>
  <c r="W137" i="21"/>
  <c r="AQ137" i="21" s="1"/>
  <c r="V137" i="21"/>
  <c r="AI138" i="21"/>
  <c r="AJ138" i="21" s="1"/>
  <c r="X138" i="21"/>
  <c r="W138" i="21"/>
  <c r="AQ138" i="21" s="1"/>
  <c r="V138" i="21"/>
  <c r="AI139" i="21"/>
  <c r="AJ139" i="21" s="1"/>
  <c r="X139" i="21"/>
  <c r="W139" i="21"/>
  <c r="AQ139" i="21" s="1"/>
  <c r="V139" i="21"/>
  <c r="AI146" i="21"/>
  <c r="AJ146" i="21" s="1"/>
  <c r="X146" i="21"/>
  <c r="W146" i="21"/>
  <c r="AQ146" i="21" s="1"/>
  <c r="V146" i="21"/>
  <c r="AI161" i="21"/>
  <c r="AJ161" i="21" s="1"/>
  <c r="X161" i="21"/>
  <c r="W161" i="21"/>
  <c r="AQ161" i="21" s="1"/>
  <c r="V161" i="21"/>
  <c r="AI162" i="21"/>
  <c r="AJ162" i="21" s="1"/>
  <c r="X162" i="21"/>
  <c r="W162" i="21"/>
  <c r="AQ162" i="21" s="1"/>
  <c r="V162" i="21"/>
  <c r="AI184" i="21"/>
  <c r="AJ184" i="21" s="1"/>
  <c r="X184" i="21"/>
  <c r="W184" i="21"/>
  <c r="AQ184" i="21" s="1"/>
  <c r="V184" i="21"/>
  <c r="AI185" i="21"/>
  <c r="AJ185" i="21" s="1"/>
  <c r="X185" i="21"/>
  <c r="W185" i="21"/>
  <c r="AQ185" i="21" s="1"/>
  <c r="V185" i="21"/>
  <c r="AI188" i="21"/>
  <c r="AJ188" i="21" s="1"/>
  <c r="X188" i="21"/>
  <c r="W188" i="21"/>
  <c r="AQ188" i="21" s="1"/>
  <c r="V188" i="21"/>
  <c r="AI190" i="21"/>
  <c r="AJ190" i="21" s="1"/>
  <c r="X190" i="21"/>
  <c r="W190" i="21"/>
  <c r="AQ190" i="21" s="1"/>
  <c r="V190" i="21"/>
  <c r="AI191" i="21"/>
  <c r="AJ191" i="21" s="1"/>
  <c r="X191" i="21"/>
  <c r="W191" i="21"/>
  <c r="AQ191" i="21" s="1"/>
  <c r="V191" i="21"/>
  <c r="AI214" i="21"/>
  <c r="AJ214" i="21" s="1"/>
  <c r="X214" i="21"/>
  <c r="W214" i="21"/>
  <c r="AQ214" i="21" s="1"/>
  <c r="V214" i="21"/>
  <c r="AI232" i="21"/>
  <c r="AJ232" i="21" s="1"/>
  <c r="X232" i="21"/>
  <c r="W232" i="21"/>
  <c r="AQ232" i="21" s="1"/>
  <c r="V232" i="21"/>
  <c r="AE233" i="21"/>
  <c r="Z233" i="21" a="1"/>
  <c r="Z233" i="21" s="1"/>
  <c r="AE235" i="21"/>
  <c r="Z235" i="21" a="1"/>
  <c r="Z235" i="21" s="1"/>
  <c r="AE261" i="21"/>
  <c r="Z261" i="21" a="1"/>
  <c r="Z261" i="21" s="1"/>
  <c r="AE262" i="21"/>
  <c r="Z262" i="21" a="1"/>
  <c r="Z262" i="21" s="1"/>
  <c r="AE266" i="21"/>
  <c r="Z266" i="21" a="1"/>
  <c r="Z266" i="21" s="1"/>
  <c r="AC270" i="21"/>
  <c r="AD270" i="21"/>
  <c r="AI267" i="21"/>
  <c r="AJ267" i="21" s="1"/>
  <c r="X267" i="21"/>
  <c r="W267" i="21"/>
  <c r="AQ267" i="21" s="1"/>
  <c r="V267" i="21"/>
  <c r="AI268" i="21"/>
  <c r="AJ268" i="21" s="1"/>
  <c r="X268" i="21"/>
  <c r="W268" i="21"/>
  <c r="AQ268" i="21" s="1"/>
  <c r="V268" i="21"/>
  <c r="AI269" i="21"/>
  <c r="AJ269" i="21" s="1"/>
  <c r="X269" i="21"/>
  <c r="W269" i="21"/>
  <c r="AQ269" i="21" s="1"/>
  <c r="V269" i="21"/>
  <c r="AI291" i="21"/>
  <c r="AJ291" i="21" s="1"/>
  <c r="X291" i="21"/>
  <c r="W291" i="21"/>
  <c r="AQ291" i="21" s="1"/>
  <c r="V291" i="21"/>
  <c r="AI290" i="21"/>
  <c r="AJ290" i="21" s="1"/>
  <c r="X290" i="21"/>
  <c r="W290" i="21"/>
  <c r="AQ290" i="21" s="1"/>
  <c r="V290" i="21"/>
  <c r="AI286" i="21"/>
  <c r="AJ286" i="21" s="1"/>
  <c r="X286" i="21"/>
  <c r="W286" i="21"/>
  <c r="AQ286" i="21" s="1"/>
  <c r="V286" i="21"/>
  <c r="AI293" i="21"/>
  <c r="AJ293" i="21" s="1"/>
  <c r="X293" i="21"/>
  <c r="W293" i="21"/>
  <c r="AQ293" i="21" s="1"/>
  <c r="V293" i="21"/>
  <c r="Y295" i="21"/>
  <c r="Z295" i="21" s="1" a="1"/>
  <c r="Z295" i="21" s="1"/>
  <c r="Z294" i="21" a="1"/>
  <c r="Z294" i="21" s="1"/>
  <c r="AI296" i="21"/>
  <c r="AJ296" i="21" s="1"/>
  <c r="X296" i="21"/>
  <c r="W296" i="21"/>
  <c r="AQ296" i="21" s="1"/>
  <c r="V296" i="21"/>
  <c r="AI297" i="21"/>
  <c r="AJ297" i="21" s="1"/>
  <c r="X297" i="21"/>
  <c r="W297" i="21"/>
  <c r="AQ297" i="21" s="1"/>
  <c r="V297" i="21"/>
  <c r="AI301" i="21"/>
  <c r="AJ301" i="21" s="1"/>
  <c r="X301" i="21"/>
  <c r="W301" i="21"/>
  <c r="AQ301" i="21" s="1"/>
  <c r="V301" i="21"/>
  <c r="AI328" i="21"/>
  <c r="AJ328" i="21" s="1"/>
  <c r="X328" i="21"/>
  <c r="W328" i="21"/>
  <c r="AQ328" i="21" s="1"/>
  <c r="V328" i="21"/>
  <c r="AI329" i="21"/>
  <c r="AJ329" i="21" s="1"/>
  <c r="X329" i="21"/>
  <c r="W329" i="21"/>
  <c r="AQ329" i="21" s="1"/>
  <c r="V329" i="21"/>
  <c r="AI330" i="21"/>
  <c r="AJ330" i="21" s="1"/>
  <c r="X330" i="21"/>
  <c r="W330" i="21"/>
  <c r="AQ330" i="21" s="1"/>
  <c r="V330" i="21"/>
  <c r="AI331" i="21"/>
  <c r="AJ331" i="21" s="1"/>
  <c r="X331" i="21"/>
  <c r="W331" i="21"/>
  <c r="AQ331" i="21" s="1"/>
  <c r="V331" i="21"/>
  <c r="AI332" i="21"/>
  <c r="AJ332" i="21" s="1"/>
  <c r="X332" i="21"/>
  <c r="W332" i="21"/>
  <c r="AQ332" i="21" s="1"/>
  <c r="V332" i="21"/>
  <c r="AI333" i="21"/>
  <c r="AJ333" i="21" s="1"/>
  <c r="X333" i="21"/>
  <c r="W333" i="21"/>
  <c r="AQ333" i="21" s="1"/>
  <c r="V333" i="21"/>
  <c r="AI355" i="21"/>
  <c r="AJ355" i="21" s="1"/>
  <c r="X355" i="21"/>
  <c r="W355" i="21"/>
  <c r="AQ355" i="21" s="1"/>
  <c r="V355" i="21"/>
  <c r="AI379" i="21"/>
  <c r="AJ379" i="21" s="1"/>
  <c r="X379" i="21"/>
  <c r="W379" i="21"/>
  <c r="AQ379" i="21" s="1"/>
  <c r="V379" i="21"/>
  <c r="AI380" i="21"/>
  <c r="AJ380" i="21" s="1"/>
  <c r="X380" i="21"/>
  <c r="W380" i="21"/>
  <c r="AQ380" i="21" s="1"/>
  <c r="V380" i="21"/>
  <c r="AI383" i="21"/>
  <c r="AJ383" i="21" s="1"/>
  <c r="X383" i="21"/>
  <c r="W383" i="21"/>
  <c r="AQ383" i="21" s="1"/>
  <c r="V383" i="21"/>
  <c r="AI385" i="21"/>
  <c r="AJ385" i="21" s="1"/>
  <c r="X385" i="21"/>
  <c r="W385" i="21"/>
  <c r="AQ385" i="21" s="1"/>
  <c r="V385" i="21"/>
  <c r="AI388" i="21"/>
  <c r="AJ388" i="21" s="1"/>
  <c r="X388" i="21"/>
  <c r="W388" i="21"/>
  <c r="AQ388" i="21" s="1"/>
  <c r="V388" i="21"/>
  <c r="AI513" i="21"/>
  <c r="AJ513" i="21" s="1"/>
  <c r="X513" i="21"/>
  <c r="W513" i="21"/>
  <c r="AQ513" i="21" s="1"/>
  <c r="V513" i="21"/>
  <c r="AE573" i="21"/>
  <c r="Z573" i="21" a="1"/>
  <c r="Z573" i="21" s="1"/>
  <c r="AE572" i="21"/>
  <c r="Z572" i="21" a="1"/>
  <c r="Z572" i="21" s="1"/>
  <c r="AE571" i="21"/>
  <c r="Z571" i="21" a="1"/>
  <c r="Z571" i="21" s="1"/>
  <c r="AE570" i="21"/>
  <c r="Z570" i="21" a="1"/>
  <c r="Z570" i="21" s="1"/>
  <c r="AE569" i="21"/>
  <c r="Z569" i="21" a="1"/>
  <c r="Z569" i="21" s="1"/>
  <c r="AE568" i="21"/>
  <c r="Z568" i="21" a="1"/>
  <c r="Z568" i="21" s="1"/>
  <c r="AE567" i="21"/>
  <c r="Z567" i="21" a="1"/>
  <c r="Z567" i="21" s="1"/>
  <c r="AE566" i="21"/>
  <c r="Z566" i="21" a="1"/>
  <c r="Z566" i="21" s="1"/>
  <c r="AE565" i="21"/>
  <c r="Z565" i="21" a="1"/>
  <c r="Z565" i="21" s="1"/>
  <c r="AE564" i="21"/>
  <c r="Z564" i="21" a="1"/>
  <c r="Z564" i="21" s="1"/>
  <c r="AE563" i="21"/>
  <c r="Z563" i="21" a="1"/>
  <c r="Z563" i="21" s="1"/>
  <c r="AE562" i="21"/>
  <c r="Z562" i="21" a="1"/>
  <c r="Z562" i="21" s="1"/>
  <c r="AE561" i="21"/>
  <c r="Z561" i="21" a="1"/>
  <c r="Z561" i="21" s="1"/>
  <c r="AE560" i="21"/>
  <c r="Z560" i="21" a="1"/>
  <c r="Z560" i="21" s="1"/>
  <c r="AE559" i="21"/>
  <c r="Z559" i="21" a="1"/>
  <c r="Z559" i="21" s="1"/>
  <c r="AE558" i="21"/>
  <c r="Z558" i="21" a="1"/>
  <c r="Z558" i="21" s="1"/>
  <c r="AE557" i="21"/>
  <c r="Z557" i="21" a="1"/>
  <c r="Z557" i="21" s="1"/>
  <c r="AE556" i="21"/>
  <c r="Z556" i="21" a="1"/>
  <c r="Z556" i="21" s="1"/>
  <c r="AE555" i="21"/>
  <c r="Z555" i="21" a="1"/>
  <c r="Z555" i="21" s="1"/>
  <c r="AE554" i="21"/>
  <c r="Z554" i="21" a="1"/>
  <c r="Z554" i="21" s="1"/>
  <c r="AE553" i="21"/>
  <c r="Z553" i="21" a="1"/>
  <c r="Z553" i="21" s="1"/>
  <c r="AE552" i="21"/>
  <c r="Z552" i="21" a="1"/>
  <c r="Z552" i="21" s="1"/>
  <c r="AE551" i="21"/>
  <c r="Z551" i="21" a="1"/>
  <c r="Z551" i="21" s="1"/>
  <c r="AE550" i="21"/>
  <c r="Z550" i="21" a="1"/>
  <c r="Z550" i="21" s="1"/>
  <c r="AE549" i="21"/>
  <c r="Z549" i="21" a="1"/>
  <c r="Z549" i="21" s="1"/>
  <c r="AE548" i="21"/>
  <c r="Z548" i="21" a="1"/>
  <c r="Z548" i="21" s="1"/>
  <c r="AE547" i="21"/>
  <c r="Z547" i="21" a="1"/>
  <c r="Z547" i="21" s="1"/>
  <c r="AE546" i="21"/>
  <c r="Z546" i="21" a="1"/>
  <c r="Z546" i="21" s="1"/>
  <c r="AE545" i="21"/>
  <c r="Z545" i="21" a="1"/>
  <c r="Z545" i="21" s="1"/>
  <c r="AE544" i="21"/>
  <c r="Z544" i="21" a="1"/>
  <c r="Z544" i="21" s="1"/>
  <c r="AE543" i="21"/>
  <c r="Z543" i="21" a="1"/>
  <c r="Z543" i="21" s="1"/>
  <c r="AE542" i="21"/>
  <c r="Z542" i="21" a="1"/>
  <c r="Z542" i="21" s="1"/>
  <c r="AE541" i="21"/>
  <c r="Z541" i="21" a="1"/>
  <c r="Z541" i="21" s="1"/>
  <c r="AE540" i="21"/>
  <c r="Z540" i="21" a="1"/>
  <c r="Z540" i="21" s="1"/>
  <c r="AE539" i="21"/>
  <c r="Z539" i="21" a="1"/>
  <c r="Z539" i="21" s="1"/>
  <c r="AE538" i="21"/>
  <c r="Z538" i="21" a="1"/>
  <c r="Z538" i="21" s="1"/>
  <c r="AE537" i="21"/>
  <c r="Z537" i="21" a="1"/>
  <c r="Z537" i="21" s="1"/>
  <c r="AE536" i="21"/>
  <c r="Z536" i="21" a="1"/>
  <c r="Z536" i="21" s="1"/>
  <c r="AE535" i="21"/>
  <c r="Z535" i="21" a="1"/>
  <c r="Z535" i="21" s="1"/>
  <c r="AE534" i="21"/>
  <c r="Z534" i="21" a="1"/>
  <c r="Z534" i="21" s="1"/>
  <c r="AE533" i="21"/>
  <c r="Z533" i="21" a="1"/>
  <c r="Z533" i="21" s="1"/>
  <c r="AE532" i="21"/>
  <c r="Z532" i="21" a="1"/>
  <c r="Z532" i="21" s="1"/>
  <c r="AE531" i="21"/>
  <c r="Z531" i="21" a="1"/>
  <c r="Z531" i="21" s="1"/>
  <c r="AE530" i="21"/>
  <c r="Z530" i="21" a="1"/>
  <c r="Z530" i="21" s="1"/>
  <c r="AE529" i="21"/>
  <c r="Z529" i="21" a="1"/>
  <c r="Z529" i="21" s="1"/>
  <c r="AE528" i="21"/>
  <c r="Z528" i="21" a="1"/>
  <c r="Z528" i="21" s="1"/>
  <c r="AE527" i="21"/>
  <c r="Z527" i="21" a="1"/>
  <c r="Z527" i="21" s="1"/>
  <c r="AE526" i="21"/>
  <c r="Z526" i="21" a="1"/>
  <c r="Z526" i="21" s="1"/>
  <c r="AE578" i="21"/>
  <c r="Z578" i="21" a="1"/>
  <c r="Z578" i="21" s="1"/>
  <c r="AE577" i="21"/>
  <c r="Z577" i="21" a="1"/>
  <c r="Z577" i="21" s="1"/>
  <c r="AE576" i="21"/>
  <c r="Z576" i="21" a="1"/>
  <c r="Z576" i="21" s="1"/>
  <c r="AE575" i="21"/>
  <c r="Z575" i="21" a="1"/>
  <c r="Z575" i="21" s="1"/>
  <c r="AE574" i="21"/>
  <c r="Z574" i="21" a="1"/>
  <c r="Z574" i="21" s="1"/>
  <c r="AE582" i="21"/>
  <c r="Z582" i="21" a="1"/>
  <c r="Z582" i="21" s="1"/>
  <c r="AE581" i="21"/>
  <c r="Z581" i="21" a="1"/>
  <c r="Z581" i="21" s="1"/>
  <c r="AE580" i="21"/>
  <c r="Z580" i="21" a="1"/>
  <c r="Z580" i="21" s="1"/>
  <c r="AE579" i="21"/>
  <c r="Z579" i="21" a="1"/>
  <c r="Z579" i="21" s="1"/>
  <c r="AI628" i="21"/>
  <c r="AJ628" i="21" s="1"/>
  <c r="X628" i="21"/>
  <c r="W628" i="21"/>
  <c r="AQ628" i="21" s="1"/>
  <c r="V628" i="21"/>
  <c r="AI632" i="21"/>
  <c r="AJ632" i="21" s="1"/>
  <c r="X632" i="21"/>
  <c r="W632" i="21"/>
  <c r="AQ632" i="21" s="1"/>
  <c r="V632" i="21"/>
  <c r="AI653" i="21"/>
  <c r="AJ653" i="21" s="1"/>
  <c r="X653" i="21"/>
  <c r="W653" i="21"/>
  <c r="AQ653" i="21" s="1"/>
  <c r="V653" i="21"/>
  <c r="AI670" i="21"/>
  <c r="AJ670" i="21" s="1"/>
  <c r="X670" i="21"/>
  <c r="W670" i="21"/>
  <c r="AQ670" i="21" s="1"/>
  <c r="V670" i="21"/>
  <c r="AE761" i="21"/>
  <c r="Z761" i="21" a="1"/>
  <c r="Z761" i="21" s="1"/>
  <c r="AE760" i="21"/>
  <c r="Z760" i="21" a="1"/>
  <c r="Z760" i="21" s="1"/>
  <c r="AI762" i="21"/>
  <c r="AJ762" i="21" s="1"/>
  <c r="X762" i="21"/>
  <c r="W762" i="21"/>
  <c r="AQ762" i="21" s="1"/>
  <c r="V762" i="21"/>
  <c r="AI1072" i="21"/>
  <c r="AJ1072" i="21" s="1"/>
  <c r="X1072" i="21"/>
  <c r="W1072" i="21"/>
  <c r="AQ1072" i="21" s="1"/>
  <c r="V1072" i="21"/>
  <c r="AI1108" i="21"/>
  <c r="AJ1108" i="21" s="1"/>
  <c r="X1108" i="21"/>
  <c r="W1108" i="21"/>
  <c r="AQ1108" i="21" s="1"/>
  <c r="V1108" i="21"/>
  <c r="AI1107" i="21"/>
  <c r="AJ1107" i="21" s="1"/>
  <c r="X1107" i="21"/>
  <c r="W1107" i="21"/>
  <c r="AQ1107" i="21" s="1"/>
  <c r="V1107" i="21"/>
  <c r="AI1117" i="21"/>
  <c r="AJ1117" i="21" s="1"/>
  <c r="X1117" i="21"/>
  <c r="W1117" i="21"/>
  <c r="AQ1117" i="21" s="1"/>
  <c r="V1117" i="21"/>
  <c r="AI1131" i="21"/>
  <c r="AJ1131" i="21" s="1"/>
  <c r="X1131" i="21"/>
  <c r="W1131" i="21"/>
  <c r="AQ1131" i="21" s="1"/>
  <c r="V1131" i="21"/>
  <c r="AI1135" i="21"/>
  <c r="AJ1135" i="21" s="1"/>
  <c r="X1135" i="21"/>
  <c r="W1135" i="21"/>
  <c r="AQ1135" i="21" s="1"/>
  <c r="V1135" i="21"/>
  <c r="AI1151" i="21"/>
  <c r="AJ1151" i="21" s="1"/>
  <c r="X1151" i="21"/>
  <c r="W1151" i="21"/>
  <c r="AQ1151" i="21" s="1"/>
  <c r="V1151" i="21"/>
  <c r="AI1164" i="21"/>
  <c r="AJ1164" i="21" s="1"/>
  <c r="X1164" i="21"/>
  <c r="W1164" i="21"/>
  <c r="AQ1164" i="21" s="1"/>
  <c r="V1164" i="21"/>
  <c r="AI1166" i="21"/>
  <c r="AJ1166" i="21" s="1"/>
  <c r="X1166" i="21"/>
  <c r="AI1172" i="21"/>
  <c r="AJ1172" i="21" s="1"/>
  <c r="X1172" i="21"/>
  <c r="W1172" i="21"/>
  <c r="AQ1172" i="21" s="1"/>
  <c r="V1172" i="21"/>
  <c r="AI1181" i="21"/>
  <c r="AJ1181" i="21" s="1"/>
  <c r="X1181" i="21"/>
  <c r="W1181" i="21"/>
  <c r="AQ1181" i="21" s="1"/>
  <c r="V1181" i="21"/>
  <c r="AI1197" i="21"/>
  <c r="AJ1197" i="21" s="1"/>
  <c r="X1197" i="21"/>
  <c r="W1197" i="21"/>
  <c r="AQ1197" i="21" s="1"/>
  <c r="V1197" i="21"/>
  <c r="AI1201" i="21"/>
  <c r="AJ1201" i="21" s="1"/>
  <c r="X1201" i="21"/>
  <c r="W1201" i="21"/>
  <c r="AQ1201" i="21" s="1"/>
  <c r="V1201" i="21"/>
  <c r="AI1207" i="21"/>
  <c r="AJ1207" i="21" s="1"/>
  <c r="X1207" i="21"/>
  <c r="W1207" i="21"/>
  <c r="AQ1207" i="21" s="1"/>
  <c r="V1207" i="21"/>
  <c r="AI1229" i="21"/>
  <c r="AJ1229" i="21" s="1"/>
  <c r="X1229" i="21"/>
  <c r="W1229" i="21"/>
  <c r="AQ1229" i="21" s="1"/>
  <c r="V1229" i="21"/>
  <c r="J62" i="16"/>
  <c r="I62" i="16"/>
  <c r="I63" i="16"/>
  <c r="I64" i="16"/>
  <c r="I62" i="15"/>
  <c r="I63" i="15"/>
  <c r="I64" i="15"/>
  <c r="J63" i="16" l="1"/>
  <c r="J65" i="19"/>
  <c r="AI760" i="21"/>
  <c r="AJ760" i="21" s="1"/>
  <c r="X760" i="21"/>
  <c r="W760" i="21"/>
  <c r="AQ760" i="21" s="1"/>
  <c r="V760" i="21"/>
  <c r="AI761" i="21"/>
  <c r="AJ761" i="21" s="1"/>
  <c r="X761" i="21"/>
  <c r="W761" i="21"/>
  <c r="AQ761" i="21" s="1"/>
  <c r="V761" i="21"/>
  <c r="AI579" i="21"/>
  <c r="AJ579" i="21" s="1"/>
  <c r="X579" i="21"/>
  <c r="W579" i="21"/>
  <c r="AQ579" i="21" s="1"/>
  <c r="V579" i="21"/>
  <c r="AI580" i="21"/>
  <c r="AJ580" i="21" s="1"/>
  <c r="X580" i="21"/>
  <c r="W580" i="21"/>
  <c r="AQ580" i="21" s="1"/>
  <c r="V580" i="21"/>
  <c r="AI581" i="21"/>
  <c r="AJ581" i="21" s="1"/>
  <c r="X581" i="21"/>
  <c r="W581" i="21"/>
  <c r="AQ581" i="21" s="1"/>
  <c r="V581" i="21"/>
  <c r="AI582" i="21"/>
  <c r="AJ582" i="21" s="1"/>
  <c r="X582" i="21"/>
  <c r="W582" i="21"/>
  <c r="AQ582" i="21" s="1"/>
  <c r="V582" i="21"/>
  <c r="AI574" i="21"/>
  <c r="AJ574" i="21" s="1"/>
  <c r="X574" i="21"/>
  <c r="W574" i="21"/>
  <c r="AQ574" i="21" s="1"/>
  <c r="V574" i="21"/>
  <c r="AI575" i="21"/>
  <c r="AJ575" i="21" s="1"/>
  <c r="X575" i="21"/>
  <c r="W575" i="21"/>
  <c r="AQ575" i="21" s="1"/>
  <c r="V575" i="21"/>
  <c r="AI576" i="21"/>
  <c r="AJ576" i="21" s="1"/>
  <c r="X576" i="21"/>
  <c r="W576" i="21"/>
  <c r="AQ576" i="21" s="1"/>
  <c r="V576" i="21"/>
  <c r="AI577" i="21"/>
  <c r="AJ577" i="21" s="1"/>
  <c r="X577" i="21"/>
  <c r="W577" i="21"/>
  <c r="AQ577" i="21" s="1"/>
  <c r="V577" i="21"/>
  <c r="AI578" i="21"/>
  <c r="AJ578" i="21" s="1"/>
  <c r="X578" i="21"/>
  <c r="W578" i="21"/>
  <c r="AQ578" i="21" s="1"/>
  <c r="V578" i="21"/>
  <c r="AI526" i="21"/>
  <c r="AJ526" i="21" s="1"/>
  <c r="X526" i="21"/>
  <c r="W526" i="21"/>
  <c r="AQ526" i="21" s="1"/>
  <c r="V526" i="21"/>
  <c r="AI527" i="21"/>
  <c r="AJ527" i="21" s="1"/>
  <c r="X527" i="21"/>
  <c r="W527" i="21"/>
  <c r="AQ527" i="21" s="1"/>
  <c r="V527" i="21"/>
  <c r="AI528" i="21"/>
  <c r="AJ528" i="21" s="1"/>
  <c r="X528" i="21"/>
  <c r="W528" i="21"/>
  <c r="AQ528" i="21" s="1"/>
  <c r="V528" i="21"/>
  <c r="AI529" i="21"/>
  <c r="AJ529" i="21" s="1"/>
  <c r="X529" i="21"/>
  <c r="W529" i="21"/>
  <c r="AQ529" i="21" s="1"/>
  <c r="V529" i="21"/>
  <c r="AI530" i="21"/>
  <c r="AJ530" i="21" s="1"/>
  <c r="X530" i="21"/>
  <c r="W530" i="21"/>
  <c r="AQ530" i="21" s="1"/>
  <c r="V530" i="21"/>
  <c r="AI531" i="21"/>
  <c r="AJ531" i="21" s="1"/>
  <c r="X531" i="21"/>
  <c r="W531" i="21"/>
  <c r="AQ531" i="21" s="1"/>
  <c r="V531" i="21"/>
  <c r="AI532" i="21"/>
  <c r="AJ532" i="21" s="1"/>
  <c r="X532" i="21"/>
  <c r="W532" i="21"/>
  <c r="AQ532" i="21" s="1"/>
  <c r="V532" i="21"/>
  <c r="AI533" i="21"/>
  <c r="AJ533" i="21" s="1"/>
  <c r="X533" i="21"/>
  <c r="W533" i="21"/>
  <c r="AQ533" i="21" s="1"/>
  <c r="V533" i="21"/>
  <c r="AI534" i="21"/>
  <c r="AJ534" i="21" s="1"/>
  <c r="X534" i="21"/>
  <c r="W534" i="21"/>
  <c r="AQ534" i="21" s="1"/>
  <c r="V534" i="21"/>
  <c r="AI535" i="21"/>
  <c r="AJ535" i="21" s="1"/>
  <c r="X535" i="21"/>
  <c r="W535" i="21"/>
  <c r="AQ535" i="21" s="1"/>
  <c r="V535" i="21"/>
  <c r="AI536" i="21"/>
  <c r="AJ536" i="21" s="1"/>
  <c r="X536" i="21"/>
  <c r="W536" i="21"/>
  <c r="AQ536" i="21" s="1"/>
  <c r="V536" i="21"/>
  <c r="AI537" i="21"/>
  <c r="AJ537" i="21" s="1"/>
  <c r="X537" i="21"/>
  <c r="W537" i="21"/>
  <c r="AQ537" i="21" s="1"/>
  <c r="V537" i="21"/>
  <c r="AI538" i="21"/>
  <c r="AJ538" i="21" s="1"/>
  <c r="X538" i="21"/>
  <c r="W538" i="21"/>
  <c r="AQ538" i="21" s="1"/>
  <c r="V538" i="21"/>
  <c r="AI539" i="21"/>
  <c r="AJ539" i="21" s="1"/>
  <c r="X539" i="21"/>
  <c r="W539" i="21"/>
  <c r="AQ539" i="21" s="1"/>
  <c r="V539" i="21"/>
  <c r="AI540" i="21"/>
  <c r="AJ540" i="21" s="1"/>
  <c r="X540" i="21"/>
  <c r="W540" i="21"/>
  <c r="AQ540" i="21" s="1"/>
  <c r="V540" i="21"/>
  <c r="AI541" i="21"/>
  <c r="AJ541" i="21" s="1"/>
  <c r="X541" i="21"/>
  <c r="W541" i="21"/>
  <c r="AQ541" i="21" s="1"/>
  <c r="V541" i="21"/>
  <c r="AI542" i="21"/>
  <c r="AJ542" i="21" s="1"/>
  <c r="X542" i="21"/>
  <c r="W542" i="21"/>
  <c r="AQ542" i="21" s="1"/>
  <c r="V542" i="21"/>
  <c r="AI543" i="21"/>
  <c r="AJ543" i="21" s="1"/>
  <c r="X543" i="21"/>
  <c r="W543" i="21"/>
  <c r="AQ543" i="21" s="1"/>
  <c r="V543" i="21"/>
  <c r="AI544" i="21"/>
  <c r="AJ544" i="21" s="1"/>
  <c r="X544" i="21"/>
  <c r="W544" i="21"/>
  <c r="AQ544" i="21" s="1"/>
  <c r="V544" i="21"/>
  <c r="AI545" i="21"/>
  <c r="AJ545" i="21" s="1"/>
  <c r="X545" i="21"/>
  <c r="W545" i="21"/>
  <c r="AQ545" i="21" s="1"/>
  <c r="V545" i="21"/>
  <c r="AI546" i="21"/>
  <c r="AJ546" i="21" s="1"/>
  <c r="X546" i="21"/>
  <c r="W546" i="21"/>
  <c r="AQ546" i="21" s="1"/>
  <c r="V546" i="21"/>
  <c r="AI547" i="21"/>
  <c r="AJ547" i="21" s="1"/>
  <c r="X547" i="21"/>
  <c r="W547" i="21"/>
  <c r="AQ547" i="21" s="1"/>
  <c r="V547" i="21"/>
  <c r="AI548" i="21"/>
  <c r="AJ548" i="21" s="1"/>
  <c r="X548" i="21"/>
  <c r="W548" i="21"/>
  <c r="AQ548" i="21" s="1"/>
  <c r="V548" i="21"/>
  <c r="AI549" i="21"/>
  <c r="AJ549" i="21" s="1"/>
  <c r="X549" i="21"/>
  <c r="W549" i="21"/>
  <c r="AQ549" i="21" s="1"/>
  <c r="V549" i="21"/>
  <c r="AI550" i="21"/>
  <c r="AJ550" i="21" s="1"/>
  <c r="X550" i="21"/>
  <c r="W550" i="21"/>
  <c r="AQ550" i="21" s="1"/>
  <c r="V550" i="21"/>
  <c r="AI551" i="21"/>
  <c r="AJ551" i="21" s="1"/>
  <c r="X551" i="21"/>
  <c r="W551" i="21"/>
  <c r="AQ551" i="21" s="1"/>
  <c r="V551" i="21"/>
  <c r="AI552" i="21"/>
  <c r="AJ552" i="21" s="1"/>
  <c r="X552" i="21"/>
  <c r="W552" i="21"/>
  <c r="AQ552" i="21" s="1"/>
  <c r="V552" i="21"/>
  <c r="AI553" i="21"/>
  <c r="AJ553" i="21" s="1"/>
  <c r="X553" i="21"/>
  <c r="W553" i="21"/>
  <c r="AQ553" i="21" s="1"/>
  <c r="V553" i="21"/>
  <c r="AI554" i="21"/>
  <c r="AJ554" i="21" s="1"/>
  <c r="X554" i="21"/>
  <c r="W554" i="21"/>
  <c r="AQ554" i="21" s="1"/>
  <c r="V554" i="21"/>
  <c r="AI555" i="21"/>
  <c r="AJ555" i="21" s="1"/>
  <c r="X555" i="21"/>
  <c r="W555" i="21"/>
  <c r="AQ555" i="21" s="1"/>
  <c r="V555" i="21"/>
  <c r="AI556" i="21"/>
  <c r="AJ556" i="21" s="1"/>
  <c r="X556" i="21"/>
  <c r="W556" i="21"/>
  <c r="AQ556" i="21" s="1"/>
  <c r="V556" i="21"/>
  <c r="AI557" i="21"/>
  <c r="AJ557" i="21" s="1"/>
  <c r="X557" i="21"/>
  <c r="W557" i="21"/>
  <c r="AQ557" i="21" s="1"/>
  <c r="V557" i="21"/>
  <c r="AI558" i="21"/>
  <c r="AJ558" i="21" s="1"/>
  <c r="X558" i="21"/>
  <c r="W558" i="21"/>
  <c r="AQ558" i="21" s="1"/>
  <c r="V558" i="21"/>
  <c r="AI559" i="21"/>
  <c r="AJ559" i="21" s="1"/>
  <c r="X559" i="21"/>
  <c r="W559" i="21"/>
  <c r="AQ559" i="21" s="1"/>
  <c r="V559" i="21"/>
  <c r="AI560" i="21"/>
  <c r="AJ560" i="21" s="1"/>
  <c r="X560" i="21"/>
  <c r="W560" i="21"/>
  <c r="AQ560" i="21" s="1"/>
  <c r="V560" i="21"/>
  <c r="AI561" i="21"/>
  <c r="AJ561" i="21" s="1"/>
  <c r="X561" i="21"/>
  <c r="W561" i="21"/>
  <c r="AQ561" i="21" s="1"/>
  <c r="V561" i="21"/>
  <c r="AI562" i="21"/>
  <c r="AJ562" i="21" s="1"/>
  <c r="X562" i="21"/>
  <c r="W562" i="21"/>
  <c r="AQ562" i="21" s="1"/>
  <c r="V562" i="21"/>
  <c r="AI563" i="21"/>
  <c r="AJ563" i="21" s="1"/>
  <c r="X563" i="21"/>
  <c r="W563" i="21"/>
  <c r="AQ563" i="21" s="1"/>
  <c r="V563" i="21"/>
  <c r="AI564" i="21"/>
  <c r="AJ564" i="21" s="1"/>
  <c r="X564" i="21"/>
  <c r="W564" i="21"/>
  <c r="AQ564" i="21" s="1"/>
  <c r="V564" i="21"/>
  <c r="AI565" i="21"/>
  <c r="AJ565" i="21" s="1"/>
  <c r="X565" i="21"/>
  <c r="W565" i="21"/>
  <c r="AQ565" i="21" s="1"/>
  <c r="V565" i="21"/>
  <c r="AI566" i="21"/>
  <c r="AJ566" i="21" s="1"/>
  <c r="X566" i="21"/>
  <c r="W566" i="21"/>
  <c r="AQ566" i="21" s="1"/>
  <c r="V566" i="21"/>
  <c r="AI567" i="21"/>
  <c r="AJ567" i="21" s="1"/>
  <c r="X567" i="21"/>
  <c r="W567" i="21"/>
  <c r="AQ567" i="21" s="1"/>
  <c r="V567" i="21"/>
  <c r="AI568" i="21"/>
  <c r="AJ568" i="21" s="1"/>
  <c r="X568" i="21"/>
  <c r="W568" i="21"/>
  <c r="AQ568" i="21" s="1"/>
  <c r="V568" i="21"/>
  <c r="AI569" i="21"/>
  <c r="AJ569" i="21" s="1"/>
  <c r="X569" i="21"/>
  <c r="W569" i="21"/>
  <c r="AQ569" i="21" s="1"/>
  <c r="V569" i="21"/>
  <c r="AI570" i="21"/>
  <c r="AJ570" i="21" s="1"/>
  <c r="X570" i="21"/>
  <c r="W570" i="21"/>
  <c r="AQ570" i="21" s="1"/>
  <c r="V570" i="21"/>
  <c r="AI571" i="21"/>
  <c r="AJ571" i="21" s="1"/>
  <c r="X571" i="21"/>
  <c r="W571" i="21"/>
  <c r="AQ571" i="21" s="1"/>
  <c r="V571" i="21"/>
  <c r="AI572" i="21"/>
  <c r="AJ572" i="21" s="1"/>
  <c r="X572" i="21"/>
  <c r="W572" i="21"/>
  <c r="AQ572" i="21" s="1"/>
  <c r="V572" i="21"/>
  <c r="AI573" i="21"/>
  <c r="AJ573" i="21" s="1"/>
  <c r="X573" i="21"/>
  <c r="W573" i="21"/>
  <c r="AQ573" i="21" s="1"/>
  <c r="V573" i="21"/>
  <c r="AI294" i="21"/>
  <c r="AJ294" i="21" s="1"/>
  <c r="X294" i="21"/>
  <c r="W294" i="21"/>
  <c r="AQ294" i="21" s="1"/>
  <c r="V294" i="21"/>
  <c r="AI295" i="21"/>
  <c r="AJ295" i="21" s="1"/>
  <c r="X295" i="21"/>
  <c r="W295" i="21"/>
  <c r="AQ295" i="21" s="1"/>
  <c r="V295" i="21"/>
  <c r="AE270" i="21"/>
  <c r="Z270" i="21" a="1"/>
  <c r="Z270" i="21" s="1"/>
  <c r="AI266" i="21"/>
  <c r="AJ266" i="21" s="1"/>
  <c r="X266" i="21"/>
  <c r="W266" i="21"/>
  <c r="AQ266" i="21" s="1"/>
  <c r="V266" i="21"/>
  <c r="AI262" i="21"/>
  <c r="AJ262" i="21" s="1"/>
  <c r="X262" i="21"/>
  <c r="W262" i="21"/>
  <c r="AQ262" i="21" s="1"/>
  <c r="V262" i="21"/>
  <c r="AI261" i="21"/>
  <c r="AJ261" i="21" s="1"/>
  <c r="X261" i="21"/>
  <c r="W261" i="21"/>
  <c r="AQ261" i="21" s="1"/>
  <c r="V261" i="21"/>
  <c r="AI235" i="21"/>
  <c r="AJ235" i="21" s="1"/>
  <c r="X235" i="21"/>
  <c r="W235" i="21"/>
  <c r="AQ235" i="21" s="1"/>
  <c r="V235" i="21"/>
  <c r="AI233" i="21"/>
  <c r="AJ233" i="21" s="1"/>
  <c r="X233" i="21"/>
  <c r="W233" i="21"/>
  <c r="AQ233" i="21" s="1"/>
  <c r="V233" i="21"/>
  <c r="AI41" i="21"/>
  <c r="AJ41" i="21" s="1"/>
  <c r="X41" i="21"/>
  <c r="W41" i="21"/>
  <c r="AQ41" i="21" s="1"/>
  <c r="V41" i="21"/>
  <c r="AI49" i="21"/>
  <c r="AJ49" i="21" s="1"/>
  <c r="X49" i="21"/>
  <c r="W49" i="21"/>
  <c r="AQ49" i="21" s="1"/>
  <c r="V49" i="21"/>
  <c r="AI53" i="21"/>
  <c r="AJ53" i="21" s="1"/>
  <c r="X53" i="21"/>
  <c r="W53" i="21"/>
  <c r="AQ53" i="21" s="1"/>
  <c r="V53" i="21"/>
  <c r="AI56" i="21"/>
  <c r="AJ56" i="21" s="1"/>
  <c r="X56" i="21"/>
  <c r="W56" i="21"/>
  <c r="AQ56" i="21" s="1"/>
  <c r="V56" i="21"/>
  <c r="AI31" i="21"/>
  <c r="AJ31" i="21" s="1"/>
  <c r="X31" i="21"/>
  <c r="W31" i="21"/>
  <c r="AQ31" i="21" s="1"/>
  <c r="V31" i="21"/>
  <c r="AI37" i="21"/>
  <c r="AJ37" i="21" s="1"/>
  <c r="X37" i="21"/>
  <c r="W37" i="21"/>
  <c r="AQ37" i="21" s="1"/>
  <c r="V37" i="21"/>
  <c r="AI38" i="21"/>
  <c r="AJ38" i="21" s="1"/>
  <c r="X38" i="21"/>
  <c r="W38" i="21"/>
  <c r="AQ38" i="21" s="1"/>
  <c r="V38" i="21"/>
  <c r="AI30" i="21"/>
  <c r="AJ30" i="21" s="1"/>
  <c r="X30" i="21"/>
  <c r="W30" i="21"/>
  <c r="AQ30" i="21" s="1"/>
  <c r="V30" i="21"/>
  <c r="I192" i="14"/>
  <c r="D192" i="14"/>
  <c r="C192" i="14"/>
  <c r="B162" i="18"/>
  <c r="B163" i="18" s="1"/>
  <c r="B164" i="18" s="1"/>
  <c r="I165" i="18"/>
  <c r="I166" i="18"/>
  <c r="I167" i="18"/>
  <c r="I168" i="18"/>
  <c r="I169" i="18"/>
  <c r="I170" i="18"/>
  <c r="I171" i="18"/>
  <c r="I162" i="18"/>
  <c r="I163" i="18"/>
  <c r="I164" i="18"/>
  <c r="C162" i="18"/>
  <c r="C163" i="18" s="1"/>
  <c r="C164" i="18" s="1"/>
  <c r="B62" i="16"/>
  <c r="B63" i="16" s="1"/>
  <c r="B64" i="16" s="1"/>
  <c r="B65" i="16" s="1"/>
  <c r="B66" i="16" s="1"/>
  <c r="B67" i="16" s="1"/>
  <c r="B68" i="16" s="1"/>
  <c r="J64" i="16" l="1"/>
  <c r="J66" i="19"/>
  <c r="AI270" i="21"/>
  <c r="AJ270" i="21" s="1"/>
  <c r="X270" i="21"/>
  <c r="W270" i="21"/>
  <c r="AQ270" i="21" s="1"/>
  <c r="V270" i="21"/>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74" i="14" s="1"/>
  <c r="A75" i="14" s="1"/>
  <c r="A76" i="14" s="1"/>
  <c r="A77" i="14" s="1"/>
  <c r="A78" i="14" s="1"/>
  <c r="A79" i="14" s="1"/>
  <c r="A80" i="14" s="1"/>
  <c r="A81" i="14" s="1"/>
  <c r="A82" i="14" s="1"/>
  <c r="A83" i="14" s="1"/>
  <c r="A84" i="14" s="1"/>
  <c r="A85" i="14" s="1"/>
  <c r="A86" i="14" s="1"/>
  <c r="A87" i="14" s="1"/>
  <c r="A88" i="14" s="1"/>
  <c r="A89" i="14" s="1"/>
  <c r="A90" i="14" s="1"/>
  <c r="A91" i="14" s="1"/>
  <c r="A92" i="14" s="1"/>
  <c r="A93" i="14" s="1"/>
  <c r="A94" i="14" s="1"/>
  <c r="A95" i="14" s="1"/>
  <c r="A96" i="14" s="1"/>
  <c r="A97" i="14" s="1"/>
  <c r="A98" i="14" s="1"/>
  <c r="A99" i="14" s="1"/>
  <c r="A100" i="14" s="1"/>
  <c r="A101" i="14" s="1"/>
  <c r="A102" i="14" s="1"/>
  <c r="A103" i="14" s="1"/>
  <c r="A104" i="14" s="1"/>
  <c r="A105" i="14" s="1"/>
  <c r="A106" i="14" s="1"/>
  <c r="A107" i="14" s="1"/>
  <c r="A108" i="14" s="1"/>
  <c r="A109" i="14" s="1"/>
  <c r="A110" i="14" s="1"/>
  <c r="A111" i="14" s="1"/>
  <c r="A112" i="14" s="1"/>
  <c r="A113" i="14" s="1"/>
  <c r="A114" i="14" s="1"/>
  <c r="A115" i="14" s="1"/>
  <c r="A116" i="14" s="1"/>
  <c r="A117" i="14" s="1"/>
  <c r="A118" i="14" s="1"/>
  <c r="A119" i="14" s="1"/>
  <c r="A120" i="14" s="1"/>
  <c r="A121" i="14" s="1"/>
  <c r="A122" i="14" s="1"/>
  <c r="A123" i="14" s="1"/>
  <c r="A124" i="14" s="1"/>
  <c r="A125" i="14" s="1"/>
  <c r="A126" i="14" s="1"/>
  <c r="A127" i="14" s="1"/>
  <c r="A128" i="14" s="1"/>
  <c r="A129" i="14" s="1"/>
  <c r="A130" i="14" s="1"/>
  <c r="A131" i="14" s="1"/>
  <c r="A132" i="14" s="1"/>
  <c r="A133" i="14" s="1"/>
  <c r="A134" i="14" s="1"/>
  <c r="A135" i="14" s="1"/>
  <c r="A136" i="14" s="1"/>
  <c r="A137" i="14" s="1"/>
  <c r="A138" i="14" s="1"/>
  <c r="A139" i="14" s="1"/>
  <c r="A140" i="14" s="1"/>
  <c r="A141" i="14" s="1"/>
  <c r="A142" i="14" s="1"/>
  <c r="A143" i="14" s="1"/>
  <c r="A144" i="14" s="1"/>
  <c r="A145" i="14" s="1"/>
  <c r="A146" i="14" s="1"/>
  <c r="A147" i="14" s="1"/>
  <c r="A148" i="14" s="1"/>
  <c r="A149" i="14" s="1"/>
  <c r="A150" i="14" s="1"/>
  <c r="A151" i="14" s="1"/>
  <c r="A152" i="14" s="1"/>
  <c r="A153" i="14" s="1"/>
  <c r="A154" i="14" s="1"/>
  <c r="A155" i="14" s="1"/>
  <c r="A156" i="14" s="1"/>
  <c r="A157" i="14" s="1"/>
  <c r="A158" i="14" s="1"/>
  <c r="A159" i="14" s="1"/>
  <c r="A160" i="14" s="1"/>
  <c r="A161" i="14" s="1"/>
  <c r="A162" i="14" s="1"/>
  <c r="A163" i="14" s="1"/>
  <c r="A164" i="14" s="1"/>
  <c r="A165" i="14" s="1"/>
  <c r="A166" i="14" s="1"/>
  <c r="A167" i="14" s="1"/>
  <c r="A168" i="14" s="1"/>
  <c r="A169" i="14" s="1"/>
  <c r="A170" i="14" s="1"/>
  <c r="A171" i="14" s="1"/>
  <c r="A172" i="14" s="1"/>
  <c r="A173" i="14" s="1"/>
  <c r="A174" i="14" s="1"/>
  <c r="A175" i="14" s="1"/>
  <c r="A176" i="14" s="1"/>
  <c r="A177" i="14" s="1"/>
  <c r="A178" i="14" s="1"/>
  <c r="A179" i="14" s="1"/>
  <c r="A180" i="14" s="1"/>
  <c r="A181" i="14" s="1"/>
  <c r="A182" i="14" s="1"/>
  <c r="A183" i="14" s="1"/>
  <c r="A184" i="14" s="1"/>
  <c r="A185" i="14" s="1"/>
  <c r="A186" i="14" s="1"/>
  <c r="A187" i="14" s="1"/>
  <c r="A188" i="14" s="1"/>
  <c r="A189" i="14" s="1"/>
  <c r="A190" i="14" s="1"/>
  <c r="A191" i="14" s="1"/>
  <c r="I181" i="14"/>
  <c r="I182" i="14"/>
  <c r="I183" i="14"/>
  <c r="I184" i="14"/>
  <c r="I185" i="14"/>
  <c r="I186" i="14"/>
  <c r="I187" i="14"/>
  <c r="I188" i="14"/>
  <c r="I189" i="14"/>
  <c r="I190" i="14"/>
  <c r="I191" i="14"/>
  <c r="I193" i="14"/>
  <c r="I194" i="14"/>
  <c r="I195" i="14"/>
  <c r="I196" i="14"/>
  <c r="I197" i="14"/>
  <c r="I198" i="14"/>
  <c r="I199" i="14"/>
  <c r="I200" i="14"/>
  <c r="I201" i="14"/>
  <c r="I202" i="14"/>
  <c r="I203" i="14"/>
  <c r="I204" i="14"/>
  <c r="I205" i="14"/>
  <c r="I206" i="14"/>
  <c r="I207" i="14"/>
  <c r="I208" i="14"/>
  <c r="I209" i="14"/>
  <c r="I210" i="14"/>
  <c r="I211" i="14"/>
  <c r="I212" i="14"/>
  <c r="I213" i="14"/>
  <c r="I214" i="14"/>
  <c r="I215" i="14"/>
  <c r="I216" i="14"/>
  <c r="I217" i="14"/>
  <c r="I218" i="14"/>
  <c r="I219" i="14"/>
  <c r="I220" i="14"/>
  <c r="I221" i="14"/>
  <c r="I222" i="14"/>
  <c r="I223" i="14"/>
  <c r="I224" i="14"/>
  <c r="I225" i="14"/>
  <c r="I226" i="14"/>
  <c r="I227" i="14"/>
  <c r="C62" i="15"/>
  <c r="C63" i="15" s="1"/>
  <c r="C64" i="15" s="1"/>
  <c r="C65" i="15" s="1"/>
  <c r="C66" i="15" s="1"/>
  <c r="I40" i="17"/>
  <c r="B33" i="17"/>
  <c r="B34" i="17" s="1"/>
  <c r="B35" i="17" s="1"/>
  <c r="B36" i="17" s="1"/>
  <c r="B37" i="17" s="1"/>
  <c r="B38" i="17" s="1"/>
  <c r="B39" i="17" s="1"/>
  <c r="B40" i="17" s="1"/>
  <c r="B41" i="17" s="1"/>
  <c r="B42" i="17" s="1"/>
  <c r="B43" i="17" s="1"/>
  <c r="B44" i="17" s="1"/>
  <c r="B45" i="17" s="1"/>
  <c r="B10" i="15"/>
  <c r="B11" i="15" s="1"/>
  <c r="A3" i="19"/>
  <c r="A4" i="19" s="1"/>
  <c r="A5" i="19" s="1"/>
  <c r="A6" i="19" s="1"/>
  <c r="A7" i="19" s="1"/>
  <c r="A8" i="19" s="1"/>
  <c r="A9" i="19" s="1"/>
  <c r="A10" i="19" s="1"/>
  <c r="A11" i="19" s="1"/>
  <c r="A12" i="19" s="1"/>
  <c r="A13" i="19" s="1"/>
  <c r="A14" i="19" s="1"/>
  <c r="A15" i="19" s="1"/>
  <c r="A16" i="19" s="1"/>
  <c r="A17" i="19" s="1"/>
  <c r="A18" i="19" s="1"/>
  <c r="A19" i="19" s="1"/>
  <c r="A20" i="19" s="1"/>
  <c r="A21" i="19" s="1"/>
  <c r="A22" i="19" s="1"/>
  <c r="A23" i="19" s="1"/>
  <c r="A24" i="19" s="1"/>
  <c r="A25" i="19" s="1"/>
  <c r="A26" i="19" s="1"/>
  <c r="A27" i="19" s="1"/>
  <c r="A28" i="19" s="1"/>
  <c r="A29" i="19" s="1"/>
  <c r="A30" i="19" s="1"/>
  <c r="A31" i="19" s="1"/>
  <c r="A32" i="19" s="1"/>
  <c r="A33" i="19" s="1"/>
  <c r="A34" i="19" s="1"/>
  <c r="A35" i="19" s="1"/>
  <c r="A36" i="19" s="1"/>
  <c r="A37" i="19" s="1"/>
  <c r="A38" i="19" s="1"/>
  <c r="A39" i="19" s="1"/>
  <c r="A40" i="19" s="1"/>
  <c r="A41" i="19" s="1"/>
  <c r="A42" i="19" s="1"/>
  <c r="A43" i="19" s="1"/>
  <c r="A44" i="19" s="1"/>
  <c r="A45" i="19" s="1"/>
  <c r="A46" i="19" s="1"/>
  <c r="A47" i="19" s="1"/>
  <c r="A48" i="19" s="1"/>
  <c r="A49" i="19" s="1"/>
  <c r="A50" i="19" s="1"/>
  <c r="A51" i="19" s="1"/>
  <c r="A52" i="19" s="1"/>
  <c r="A53" i="19" s="1"/>
  <c r="A54" i="19" s="1"/>
  <c r="A55" i="19" s="1"/>
  <c r="A56" i="19" s="1"/>
  <c r="A57" i="19" s="1"/>
  <c r="A58" i="19" s="1"/>
  <c r="A59" i="19" s="1"/>
  <c r="A60" i="19" s="1"/>
  <c r="A61" i="19" s="1"/>
  <c r="A62" i="19" s="1"/>
  <c r="A63" i="19" s="1"/>
  <c r="A64" i="19" s="1"/>
  <c r="A65" i="19" s="1"/>
  <c r="A66" i="19" s="1"/>
  <c r="A67" i="19" s="1"/>
  <c r="A68" i="19" s="1"/>
  <c r="A69" i="19" s="1"/>
  <c r="A70" i="19" s="1"/>
  <c r="A71" i="19" s="1"/>
  <c r="A72" i="19" s="1"/>
  <c r="A73" i="19" s="1"/>
  <c r="A74" i="19" s="1"/>
  <c r="A75" i="19" s="1"/>
  <c r="A76" i="19" s="1"/>
  <c r="A77" i="19" s="1"/>
  <c r="A78" i="19" s="1"/>
  <c r="A79" i="19" s="1"/>
  <c r="A80" i="19" s="1"/>
  <c r="A81" i="19" s="1"/>
  <c r="A82" i="19" s="1"/>
  <c r="A3" i="17"/>
  <c r="A4" i="17" s="1"/>
  <c r="A5" i="17" s="1"/>
  <c r="A6" i="17" s="1"/>
  <c r="A7" i="17" s="1"/>
  <c r="A8" i="17" s="1"/>
  <c r="A9" i="17" s="1"/>
  <c r="A10" i="17" s="1"/>
  <c r="A11" i="17" s="1"/>
  <c r="A12" i="17" s="1"/>
  <c r="A13" i="17" s="1"/>
  <c r="A14" i="17" s="1"/>
  <c r="A15" i="17" s="1"/>
  <c r="A16" i="17" s="1"/>
  <c r="A17" i="17" s="1"/>
  <c r="A18" i="17" s="1"/>
  <c r="A19" i="17" s="1"/>
  <c r="A20" i="17" s="1"/>
  <c r="A21" i="17" s="1"/>
  <c r="A22" i="17" s="1"/>
  <c r="A23" i="17" s="1"/>
  <c r="A24" i="17" s="1"/>
  <c r="A25" i="17" s="1"/>
  <c r="A26" i="17" s="1"/>
  <c r="A27" i="17" s="1"/>
  <c r="A28" i="17" s="1"/>
  <c r="A29" i="17" s="1"/>
  <c r="A30" i="17" s="1"/>
  <c r="A31" i="17" s="1"/>
  <c r="A32" i="17" s="1"/>
  <c r="A33" i="17" s="1"/>
  <c r="A34" i="17" s="1"/>
  <c r="A35" i="17" s="1"/>
  <c r="A36" i="17" s="1"/>
  <c r="A37" i="17" s="1"/>
  <c r="A38" i="17" s="1"/>
  <c r="A39" i="17" s="1"/>
  <c r="A40" i="17" s="1"/>
  <c r="A41" i="17" s="1"/>
  <c r="A42" i="17" s="1"/>
  <c r="A43" i="17" s="1"/>
  <c r="A44" i="17" s="1"/>
  <c r="A45" i="17" s="1"/>
  <c r="A3" i="18"/>
  <c r="A4" i="18" s="1"/>
  <c r="A5" i="18" s="1"/>
  <c r="A6" i="18" s="1"/>
  <c r="A7" i="18" s="1"/>
  <c r="A8" i="18" s="1"/>
  <c r="A9" i="18" s="1"/>
  <c r="A10" i="18" s="1"/>
  <c r="A11" i="18" s="1"/>
  <c r="A12" i="18" s="1"/>
  <c r="A13" i="18" s="1"/>
  <c r="A14" i="18" s="1"/>
  <c r="A15" i="18" s="1"/>
  <c r="A16" i="18" s="1"/>
  <c r="A17" i="18" s="1"/>
  <c r="A18" i="18" s="1"/>
  <c r="A19" i="18" s="1"/>
  <c r="A20" i="18" s="1"/>
  <c r="A21" i="18" s="1"/>
  <c r="A22" i="18" s="1"/>
  <c r="A23" i="18" s="1"/>
  <c r="A24" i="18" s="1"/>
  <c r="A25" i="18" s="1"/>
  <c r="A26" i="18" s="1"/>
  <c r="A27" i="18" s="1"/>
  <c r="A28" i="18" s="1"/>
  <c r="A29" i="18" s="1"/>
  <c r="A30" i="18" s="1"/>
  <c r="A31" i="18" s="1"/>
  <c r="A32" i="18" s="1"/>
  <c r="A33" i="18" s="1"/>
  <c r="A34" i="18" s="1"/>
  <c r="A35" i="18" s="1"/>
  <c r="A36" i="18" s="1"/>
  <c r="A37" i="18" s="1"/>
  <c r="A38" i="18" s="1"/>
  <c r="A39" i="18" s="1"/>
  <c r="A40" i="18" s="1"/>
  <c r="A41" i="18" s="1"/>
  <c r="A42" i="18" s="1"/>
  <c r="A43" i="18" s="1"/>
  <c r="A44" i="18" s="1"/>
  <c r="A45" i="18" s="1"/>
  <c r="A46" i="18" s="1"/>
  <c r="A47" i="18" s="1"/>
  <c r="A48" i="18" s="1"/>
  <c r="A49" i="18" s="1"/>
  <c r="A50" i="18" s="1"/>
  <c r="A51" i="18" s="1"/>
  <c r="A52" i="18" s="1"/>
  <c r="A53" i="18" s="1"/>
  <c r="A54" i="18" s="1"/>
  <c r="A55" i="18" s="1"/>
  <c r="A56" i="18" s="1"/>
  <c r="A57" i="18" s="1"/>
  <c r="A58" i="18" s="1"/>
  <c r="A59" i="18" s="1"/>
  <c r="A60" i="18" s="1"/>
  <c r="A61" i="18" s="1"/>
  <c r="A62" i="18" s="1"/>
  <c r="A63" i="18" s="1"/>
  <c r="A64" i="18" s="1"/>
  <c r="A65" i="18" s="1"/>
  <c r="A66" i="18" s="1"/>
  <c r="A67" i="18" s="1"/>
  <c r="A68" i="18" s="1"/>
  <c r="A69" i="18" s="1"/>
  <c r="A70" i="18" s="1"/>
  <c r="A71" i="18" s="1"/>
  <c r="A72" i="18" s="1"/>
  <c r="A73" i="18" s="1"/>
  <c r="A74" i="18" s="1"/>
  <c r="A75" i="18" s="1"/>
  <c r="A76" i="18" s="1"/>
  <c r="A77" i="18" s="1"/>
  <c r="A78" i="18" s="1"/>
  <c r="A79" i="18" s="1"/>
  <c r="A80" i="18" s="1"/>
  <c r="A81" i="18" s="1"/>
  <c r="A82" i="18" s="1"/>
  <c r="A83" i="18" s="1"/>
  <c r="A84" i="18" s="1"/>
  <c r="A85" i="18" s="1"/>
  <c r="A86" i="18" s="1"/>
  <c r="A87" i="18" s="1"/>
  <c r="A88" i="18" s="1"/>
  <c r="A89" i="18" s="1"/>
  <c r="A90" i="18" s="1"/>
  <c r="A91" i="18" s="1"/>
  <c r="A92" i="18" s="1"/>
  <c r="A93" i="18" s="1"/>
  <c r="A94" i="18" s="1"/>
  <c r="A95" i="18" s="1"/>
  <c r="A96" i="18" s="1"/>
  <c r="A97" i="18" s="1"/>
  <c r="A98" i="18" s="1"/>
  <c r="A99" i="18" s="1"/>
  <c r="A100" i="18" s="1"/>
  <c r="A101" i="18" s="1"/>
  <c r="A102" i="18" s="1"/>
  <c r="A103" i="18" s="1"/>
  <c r="A104" i="18" s="1"/>
  <c r="A105" i="18" s="1"/>
  <c r="A106" i="18" s="1"/>
  <c r="A107" i="18" s="1"/>
  <c r="A108" i="18" s="1"/>
  <c r="A109" i="18" s="1"/>
  <c r="A110" i="18" s="1"/>
  <c r="A111" i="18" s="1"/>
  <c r="A112" i="18" s="1"/>
  <c r="A113" i="18" s="1"/>
  <c r="A114" i="18" s="1"/>
  <c r="A115" i="18" s="1"/>
  <c r="A116" i="18" s="1"/>
  <c r="A117" i="18" s="1"/>
  <c r="A118" i="18" s="1"/>
  <c r="A119" i="18" s="1"/>
  <c r="A120" i="18" s="1"/>
  <c r="A121" i="18" s="1"/>
  <c r="A122" i="18" s="1"/>
  <c r="A123" i="18" s="1"/>
  <c r="A124" i="18" s="1"/>
  <c r="A125" i="18" s="1"/>
  <c r="A126" i="18" s="1"/>
  <c r="A127" i="18" s="1"/>
  <c r="A128" i="18" s="1"/>
  <c r="A129" i="18" s="1"/>
  <c r="A130" i="18" s="1"/>
  <c r="A131" i="18" s="1"/>
  <c r="A132" i="18" s="1"/>
  <c r="A133" i="18" s="1"/>
  <c r="A134" i="18" s="1"/>
  <c r="A135" i="18" s="1"/>
  <c r="A136" i="18" s="1"/>
  <c r="A137" i="18" s="1"/>
  <c r="A138" i="18" s="1"/>
  <c r="A139" i="18" s="1"/>
  <c r="A140" i="18" s="1"/>
  <c r="A141" i="18" s="1"/>
  <c r="A142" i="18" s="1"/>
  <c r="A143" i="18" s="1"/>
  <c r="A144" i="18" s="1"/>
  <c r="A145" i="18" s="1"/>
  <c r="A146" i="18" s="1"/>
  <c r="A147" i="18" s="1"/>
  <c r="A148" i="18" s="1"/>
  <c r="A149" i="18" s="1"/>
  <c r="A150" i="18" s="1"/>
  <c r="A151" i="18" s="1"/>
  <c r="A152" i="18" s="1"/>
  <c r="A153" i="18" s="1"/>
  <c r="A154" i="18" s="1"/>
  <c r="A155" i="18" s="1"/>
  <c r="A156" i="18" s="1"/>
  <c r="A157" i="18" s="1"/>
  <c r="A158" i="18" s="1"/>
  <c r="A159" i="18" s="1"/>
  <c r="A160" i="18" s="1"/>
  <c r="A161" i="18" s="1"/>
  <c r="A162" i="18" s="1"/>
  <c r="A163" i="18" s="1"/>
  <c r="A164" i="18" s="1"/>
  <c r="A165" i="18" s="1"/>
  <c r="A166" i="18" s="1"/>
  <c r="A167" i="18" s="1"/>
  <c r="A168" i="18" s="1"/>
  <c r="A169" i="18" s="1"/>
  <c r="A170" i="18" s="1"/>
  <c r="A171" i="18" s="1"/>
  <c r="A172" i="18" s="1"/>
  <c r="A173" i="18" s="1"/>
  <c r="A174" i="18" s="1"/>
  <c r="A175" i="18" s="1"/>
  <c r="A176" i="18" s="1"/>
  <c r="A177" i="18" s="1"/>
  <c r="A178" i="18" s="1"/>
  <c r="A179" i="18" s="1"/>
  <c r="A180" i="18" s="1"/>
  <c r="A181" i="18" s="1"/>
  <c r="A182" i="18" s="1"/>
  <c r="A183" i="18" s="1"/>
  <c r="A184" i="18" s="1"/>
  <c r="A185" i="18" s="1"/>
  <c r="A186" i="18" s="1"/>
  <c r="A187" i="18" s="1"/>
  <c r="A188" i="18" s="1"/>
  <c r="A189" i="18" s="1"/>
  <c r="A190" i="18" s="1"/>
  <c r="A191" i="18" s="1"/>
  <c r="A192" i="18" s="1"/>
  <c r="A193" i="18" s="1"/>
  <c r="A194" i="18" s="1"/>
  <c r="A195" i="18" s="1"/>
  <c r="A196" i="18" s="1"/>
  <c r="A197" i="18" s="1"/>
  <c r="A198" i="18" s="1"/>
  <c r="A199" i="18" s="1"/>
  <c r="A200" i="18" s="1"/>
  <c r="A201" i="18" s="1"/>
  <c r="A202" i="18" s="1"/>
  <c r="A203" i="18" s="1"/>
  <c r="A204" i="18" s="1"/>
  <c r="A205" i="18" s="1"/>
  <c r="A206" i="18" s="1"/>
  <c r="A207" i="18" s="1"/>
  <c r="A208" i="18" s="1"/>
  <c r="A209" i="18" s="1"/>
  <c r="A210" i="18" s="1"/>
  <c r="A211" i="18" s="1"/>
  <c r="A212" i="18" s="1"/>
  <c r="A213" i="18" s="1"/>
  <c r="A214" i="18" s="1"/>
  <c r="A215" i="18" s="1"/>
  <c r="A216" i="18" s="1"/>
  <c r="A217" i="18" s="1"/>
  <c r="A218" i="18" s="1"/>
  <c r="A219" i="18" s="1"/>
  <c r="A220" i="18" s="1"/>
  <c r="A221" i="18" s="1"/>
  <c r="A222" i="18" s="1"/>
  <c r="A223" i="18" s="1"/>
  <c r="A224" i="18" s="1"/>
  <c r="A225" i="18" s="1"/>
  <c r="A226" i="18" s="1"/>
  <c r="A227" i="18" s="1"/>
  <c r="A228" i="18" s="1"/>
  <c r="A229" i="18" s="1"/>
  <c r="A230" i="18" s="1"/>
  <c r="A231" i="18" s="1"/>
  <c r="A232" i="18" s="1"/>
  <c r="A233" i="18" s="1"/>
  <c r="A234" i="18" s="1"/>
  <c r="A235" i="18" s="1"/>
  <c r="A236" i="18" s="1"/>
  <c r="A237" i="18" s="1"/>
  <c r="A238" i="18" s="1"/>
  <c r="A239" i="18" s="1"/>
  <c r="A240" i="18" s="1"/>
  <c r="A241" i="18" s="1"/>
  <c r="A242" i="18" s="1"/>
  <c r="A243" i="18" s="1"/>
  <c r="A244" i="18" s="1"/>
  <c r="A245" i="18" s="1"/>
  <c r="A246" i="18" s="1"/>
  <c r="A247" i="18" s="1"/>
  <c r="A248" i="18" s="1"/>
  <c r="A249" i="18" s="1"/>
  <c r="A250" i="18" s="1"/>
  <c r="A251" i="18" s="1"/>
  <c r="A252" i="18" s="1"/>
  <c r="A253" i="18" s="1"/>
  <c r="A254" i="18" s="1"/>
  <c r="A255" i="18" s="1"/>
  <c r="A256" i="18" s="1"/>
  <c r="A257" i="18" s="1"/>
  <c r="A258" i="18" s="1"/>
  <c r="A259" i="18" s="1"/>
  <c r="A260" i="18" s="1"/>
  <c r="A261" i="18" s="1"/>
  <c r="A262" i="18" s="1"/>
  <c r="A263" i="18" s="1"/>
  <c r="A264" i="18" s="1"/>
  <c r="A265" i="18" s="1"/>
  <c r="A266" i="18" s="1"/>
  <c r="A267" i="18" s="1"/>
  <c r="A268" i="18" s="1"/>
  <c r="A269" i="18" s="1"/>
  <c r="A270" i="18" s="1"/>
  <c r="A271" i="18" s="1"/>
  <c r="A272" i="18" s="1"/>
  <c r="A273" i="18" s="1"/>
  <c r="A274" i="18" s="1"/>
  <c r="A275" i="18" s="1"/>
  <c r="A276" i="18" s="1"/>
  <c r="A277" i="18" s="1"/>
  <c r="A278" i="18" s="1"/>
  <c r="A279" i="18" s="1"/>
  <c r="A280" i="18" s="1"/>
  <c r="A281" i="18" s="1"/>
  <c r="A282" i="18" s="1"/>
  <c r="A283" i="18" s="1"/>
  <c r="A284" i="18" s="1"/>
  <c r="A285" i="18" s="1"/>
  <c r="A286" i="18" s="1"/>
  <c r="A287" i="18" s="1"/>
  <c r="A288" i="18" s="1"/>
  <c r="A289" i="18" s="1"/>
  <c r="A290" i="18" s="1"/>
  <c r="A291" i="18" s="1"/>
  <c r="A292" i="18" s="1"/>
  <c r="A293" i="18" s="1"/>
  <c r="A294" i="18" s="1"/>
  <c r="A295" i="18" s="1"/>
  <c r="A296" i="18" s="1"/>
  <c r="A297" i="18" s="1"/>
  <c r="A298" i="18" s="1"/>
  <c r="A299" i="18" s="1"/>
  <c r="A300" i="18" s="1"/>
  <c r="A301" i="18" s="1"/>
  <c r="A302" i="18" s="1"/>
  <c r="A303" i="18" s="1"/>
  <c r="A304" i="18" s="1"/>
  <c r="A305" i="18" s="1"/>
  <c r="A306" i="18" s="1"/>
  <c r="A307" i="18" s="1"/>
  <c r="A308" i="18" s="1"/>
  <c r="A309" i="18" s="1"/>
  <c r="A310" i="18" s="1"/>
  <c r="A311" i="18" s="1"/>
  <c r="A312" i="18" s="1"/>
  <c r="A313" i="18" s="1"/>
  <c r="A314" i="18" s="1"/>
  <c r="A315" i="18" s="1"/>
  <c r="A316" i="18" s="1"/>
  <c r="A317" i="18" s="1"/>
  <c r="A318" i="18" s="1"/>
  <c r="A319" i="18" s="1"/>
  <c r="A320" i="18" s="1"/>
  <c r="A321" i="18" s="1"/>
  <c r="A322" i="18" s="1"/>
  <c r="A323" i="18" s="1"/>
  <c r="A324" i="18" s="1"/>
  <c r="A325" i="18" s="1"/>
  <c r="A326" i="18" s="1"/>
  <c r="A327" i="18" s="1"/>
  <c r="A328" i="18" s="1"/>
  <c r="A329" i="18" s="1"/>
  <c r="A330" i="18" s="1"/>
  <c r="A331" i="18" s="1"/>
  <c r="A332" i="18" s="1"/>
  <c r="A333" i="18" s="1"/>
  <c r="A334" i="18" s="1"/>
  <c r="A335" i="18" s="1"/>
  <c r="A336" i="18" s="1"/>
  <c r="A337" i="18" s="1"/>
  <c r="A338" i="18" s="1"/>
  <c r="A339" i="18" s="1"/>
  <c r="A340" i="18" s="1"/>
  <c r="A341" i="18" s="1"/>
  <c r="A342" i="18" s="1"/>
  <c r="A343" i="18" s="1"/>
  <c r="A344" i="18" s="1"/>
  <c r="A345" i="18" s="1"/>
  <c r="A346" i="18" s="1"/>
  <c r="A347" i="18" s="1"/>
  <c r="A348" i="18" s="1"/>
  <c r="A349" i="18" s="1"/>
  <c r="A350" i="18" s="1"/>
  <c r="A351" i="18" s="1"/>
  <c r="A352" i="18" s="1"/>
  <c r="A353" i="18" s="1"/>
  <c r="A354" i="18" s="1"/>
  <c r="A355" i="18" s="1"/>
  <c r="A356" i="18" s="1"/>
  <c r="A357" i="18" s="1"/>
  <c r="A358" i="18" s="1"/>
  <c r="A359" i="18" s="1"/>
  <c r="A360" i="18" s="1"/>
  <c r="A361" i="18" s="1"/>
  <c r="A362" i="18" s="1"/>
  <c r="A363" i="18" s="1"/>
  <c r="A364" i="18" s="1"/>
  <c r="A365" i="18" s="1"/>
  <c r="A366" i="18" s="1"/>
  <c r="A367" i="18" s="1"/>
  <c r="A368" i="18" s="1"/>
  <c r="A369" i="18" s="1"/>
  <c r="A370" i="18" s="1"/>
  <c r="A371" i="18" s="1"/>
  <c r="A372" i="18" s="1"/>
  <c r="A373" i="18" s="1"/>
  <c r="A374" i="18" s="1"/>
  <c r="A375" i="18" s="1"/>
  <c r="A376" i="18" s="1"/>
  <c r="A377" i="18" s="1"/>
  <c r="A378" i="18" s="1"/>
  <c r="A379" i="18" s="1"/>
  <c r="A380" i="18" s="1"/>
  <c r="A381" i="18" s="1"/>
  <c r="A382" i="18" s="1"/>
  <c r="A383" i="18" s="1"/>
  <c r="A384" i="18" s="1"/>
  <c r="A385" i="18" s="1"/>
  <c r="A386" i="18" s="1"/>
  <c r="A387" i="18" s="1"/>
  <c r="A388" i="18" s="1"/>
  <c r="A389" i="18" s="1"/>
  <c r="A390" i="18" s="1"/>
  <c r="A391" i="18" s="1"/>
  <c r="A392" i="18" s="1"/>
  <c r="A393" i="18" s="1"/>
  <c r="A394" i="18" s="1"/>
  <c r="A395" i="18" s="1"/>
  <c r="A396" i="18" s="1"/>
  <c r="A397" i="18" s="1"/>
  <c r="A398" i="18" s="1"/>
  <c r="A399" i="18" s="1"/>
  <c r="A400" i="18" s="1"/>
  <c r="A401" i="18" s="1"/>
  <c r="A402" i="18" s="1"/>
  <c r="A403" i="18" s="1"/>
  <c r="A404" i="18" s="1"/>
  <c r="A405" i="18" s="1"/>
  <c r="A406" i="18" s="1"/>
  <c r="A407" i="18" s="1"/>
  <c r="A408" i="18" s="1"/>
  <c r="A409" i="18" s="1"/>
  <c r="A410" i="18" s="1"/>
  <c r="A411" i="18" s="1"/>
  <c r="A412" i="18" s="1"/>
  <c r="A413" i="18" s="1"/>
  <c r="A414" i="18" s="1"/>
  <c r="A415" i="18" s="1"/>
  <c r="A416" i="18" s="1"/>
  <c r="A417" i="18" s="1"/>
  <c r="A418" i="18" s="1"/>
  <c r="A419" i="18" s="1"/>
  <c r="A420" i="18" s="1"/>
  <c r="A421" i="18" s="1"/>
  <c r="A422" i="18" s="1"/>
  <c r="A423" i="18" s="1"/>
  <c r="A424" i="18" s="1"/>
  <c r="A425" i="18" s="1"/>
  <c r="A426" i="18" s="1"/>
  <c r="A427" i="18" s="1"/>
  <c r="A428" i="18" s="1"/>
  <c r="A429" i="18" s="1"/>
  <c r="A430" i="18" s="1"/>
  <c r="A431" i="18" s="1"/>
  <c r="A432" i="18" s="1"/>
  <c r="A433" i="18" s="1"/>
  <c r="A434" i="18" s="1"/>
  <c r="A435" i="18" s="1"/>
  <c r="A436" i="18" s="1"/>
  <c r="A437" i="18" s="1"/>
  <c r="A438" i="18" s="1"/>
  <c r="A439" i="18" s="1"/>
  <c r="A440" i="18" s="1"/>
  <c r="A441" i="18" s="1"/>
  <c r="A442" i="18" s="1"/>
  <c r="A443" i="18" s="1"/>
  <c r="A444" i="18" s="1"/>
  <c r="A445" i="18" s="1"/>
  <c r="A446" i="18" s="1"/>
  <c r="A447" i="18" s="1"/>
  <c r="A448" i="18" s="1"/>
  <c r="A449" i="18" s="1"/>
  <c r="A450" i="18" s="1"/>
  <c r="A451" i="18" s="1"/>
  <c r="A452" i="18" s="1"/>
  <c r="A453" i="18" s="1"/>
  <c r="A454" i="18" s="1"/>
  <c r="A455" i="18" s="1"/>
  <c r="A456" i="18" s="1"/>
  <c r="A457" i="18" s="1"/>
  <c r="A458" i="18" s="1"/>
  <c r="A459" i="18" s="1"/>
  <c r="A460" i="18" s="1"/>
  <c r="A461" i="18" s="1"/>
  <c r="A462" i="18" s="1"/>
  <c r="A463" i="18" s="1"/>
  <c r="A464" i="18" s="1"/>
  <c r="A465" i="18" s="1"/>
  <c r="A466" i="18" s="1"/>
  <c r="A467" i="18" s="1"/>
  <c r="A468" i="18" s="1"/>
  <c r="A469" i="18" s="1"/>
  <c r="A470" i="18" s="1"/>
  <c r="A471" i="18" s="1"/>
  <c r="A472" i="18" s="1"/>
  <c r="A473" i="18" s="1"/>
  <c r="A474" i="18" s="1"/>
  <c r="A475" i="18" s="1"/>
  <c r="A476" i="18" s="1"/>
  <c r="A477" i="18" s="1"/>
  <c r="A478" i="18" s="1"/>
  <c r="A479" i="18" s="1"/>
  <c r="A480" i="18" s="1"/>
  <c r="A481" i="18" s="1"/>
  <c r="A482" i="18" s="1"/>
  <c r="A483" i="18" s="1"/>
  <c r="A484" i="18" s="1"/>
  <c r="A485" i="18" s="1"/>
  <c r="A486" i="18" s="1"/>
  <c r="A487" i="18" s="1"/>
  <c r="A488" i="18" s="1"/>
  <c r="A489" i="18" s="1"/>
  <c r="A490" i="18" s="1"/>
  <c r="A491" i="18" s="1"/>
  <c r="A492" i="18" s="1"/>
  <c r="A493" i="18" s="1"/>
  <c r="A494" i="18" s="1"/>
  <c r="A495" i="18" s="1"/>
  <c r="A496" i="18" s="1"/>
  <c r="A497" i="18" s="1"/>
  <c r="A498" i="18" s="1"/>
  <c r="A499" i="18" s="1"/>
  <c r="A500" i="18" s="1"/>
  <c r="A501" i="18" s="1"/>
  <c r="A502" i="18" s="1"/>
  <c r="A503" i="18" s="1"/>
  <c r="A504" i="18" s="1"/>
  <c r="A505" i="18" s="1"/>
  <c r="A506" i="18" s="1"/>
  <c r="A507" i="18" s="1"/>
  <c r="A508" i="18" s="1"/>
  <c r="A509" i="18" s="1"/>
  <c r="A510" i="18" s="1"/>
  <c r="A511" i="18" s="1"/>
  <c r="A512" i="18" s="1"/>
  <c r="A513" i="18" s="1"/>
  <c r="A514" i="18" s="1"/>
  <c r="A515" i="18" s="1"/>
  <c r="A516" i="18" s="1"/>
  <c r="A517" i="18" s="1"/>
  <c r="A518" i="18" s="1"/>
  <c r="A519" i="18" s="1"/>
  <c r="A520" i="18" s="1"/>
  <c r="A521" i="18" s="1"/>
  <c r="A522" i="18" s="1"/>
  <c r="A523" i="18" s="1"/>
  <c r="A524" i="18" s="1"/>
  <c r="A525" i="18" s="1"/>
  <c r="A526" i="18" s="1"/>
  <c r="A527" i="18" s="1"/>
  <c r="A528" i="18" s="1"/>
  <c r="A529" i="18" s="1"/>
  <c r="A530" i="18" s="1"/>
  <c r="A531" i="18" s="1"/>
  <c r="A532" i="18" s="1"/>
  <c r="A533" i="18" s="1"/>
  <c r="A534" i="18" s="1"/>
  <c r="A535" i="18" s="1"/>
  <c r="A536" i="18" s="1"/>
  <c r="A537" i="18" s="1"/>
  <c r="A538" i="18" s="1"/>
  <c r="A539" i="18" s="1"/>
  <c r="A540" i="18" s="1"/>
  <c r="A541" i="18" s="1"/>
  <c r="A542" i="18" s="1"/>
  <c r="A543" i="18" s="1"/>
  <c r="A544" i="18" s="1"/>
  <c r="A545" i="18" s="1"/>
  <c r="A546" i="18" s="1"/>
  <c r="A547" i="18" s="1"/>
  <c r="A548" i="18" s="1"/>
  <c r="A549" i="18" s="1"/>
  <c r="A550" i="18" s="1"/>
  <c r="A551" i="18" s="1"/>
  <c r="A552" i="18" s="1"/>
  <c r="A553" i="18" s="1"/>
  <c r="A554" i="18" s="1"/>
  <c r="A555" i="18" s="1"/>
  <c r="A556" i="18" s="1"/>
  <c r="A557" i="18" s="1"/>
  <c r="A558" i="18" s="1"/>
  <c r="A559" i="18" s="1"/>
  <c r="A560" i="18" s="1"/>
  <c r="A561" i="18" s="1"/>
  <c r="A562" i="18" s="1"/>
  <c r="A563" i="18" s="1"/>
  <c r="A564" i="18" s="1"/>
  <c r="A565" i="18" s="1"/>
  <c r="A566" i="18" s="1"/>
  <c r="A567" i="18" s="1"/>
  <c r="A568" i="18" s="1"/>
  <c r="A569" i="18" s="1"/>
  <c r="A570" i="18" s="1"/>
  <c r="A571" i="18" s="1"/>
  <c r="A572" i="18" s="1"/>
  <c r="A573" i="18" s="1"/>
  <c r="A574" i="18" s="1"/>
  <c r="A575" i="18" s="1"/>
  <c r="A576" i="18" s="1"/>
  <c r="A577" i="18" s="1"/>
  <c r="A578" i="18" s="1"/>
  <c r="A579" i="18" s="1"/>
  <c r="A580" i="18" s="1"/>
  <c r="A581" i="18" s="1"/>
  <c r="A582" i="18" s="1"/>
  <c r="A583" i="18" s="1"/>
  <c r="A584" i="18" s="1"/>
  <c r="A585" i="18" s="1"/>
  <c r="A586" i="18" s="1"/>
  <c r="A587" i="18" s="1"/>
  <c r="A588" i="18" s="1"/>
  <c r="A589" i="18" s="1"/>
  <c r="A590" i="18" s="1"/>
  <c r="A591" i="18" s="1"/>
  <c r="A592" i="18" s="1"/>
  <c r="A593" i="18" s="1"/>
  <c r="A594" i="18" s="1"/>
  <c r="A595" i="18" s="1"/>
  <c r="A596" i="18" s="1"/>
  <c r="A597" i="18" s="1"/>
  <c r="A598" i="18" s="1"/>
  <c r="A599" i="18" s="1"/>
  <c r="A600" i="18" s="1"/>
  <c r="A601" i="18" s="1"/>
  <c r="A602" i="18" s="1"/>
  <c r="A603" i="18" s="1"/>
  <c r="A604" i="18" s="1"/>
  <c r="A605" i="18" s="1"/>
  <c r="A606" i="18" s="1"/>
  <c r="A607" i="18" s="1"/>
  <c r="A608" i="18" s="1"/>
  <c r="A609" i="18" s="1"/>
  <c r="A610" i="18" s="1"/>
  <c r="A611" i="18" s="1"/>
  <c r="A612" i="18" s="1"/>
  <c r="A613" i="18" s="1"/>
  <c r="A614" i="18" s="1"/>
  <c r="A615" i="18" s="1"/>
  <c r="A616" i="18" s="1"/>
  <c r="A617" i="18" s="1"/>
  <c r="A618" i="18" s="1"/>
  <c r="A619" i="18" s="1"/>
  <c r="A620" i="18" s="1"/>
  <c r="A621" i="18" s="1"/>
  <c r="A622" i="18" s="1"/>
  <c r="A623" i="18" s="1"/>
  <c r="A624" i="18" s="1"/>
  <c r="A625" i="18" s="1"/>
  <c r="A626" i="18" s="1"/>
  <c r="A627" i="18" s="1"/>
  <c r="A628" i="18" s="1"/>
  <c r="A629" i="18" s="1"/>
  <c r="A630" i="18" s="1"/>
  <c r="A631" i="18" s="1"/>
  <c r="A632" i="18" s="1"/>
  <c r="A633" i="18" s="1"/>
  <c r="A634" i="18" s="1"/>
  <c r="A635" i="18" s="1"/>
  <c r="A636" i="18" s="1"/>
  <c r="A637" i="18" s="1"/>
  <c r="A638" i="18" s="1"/>
  <c r="A639" i="18" s="1"/>
  <c r="A640" i="18" s="1"/>
  <c r="A641" i="18" s="1"/>
  <c r="A642" i="18" s="1"/>
  <c r="A643" i="18" s="1"/>
  <c r="A644" i="18" s="1"/>
  <c r="A645" i="18" s="1"/>
  <c r="A646" i="18" s="1"/>
  <c r="A647" i="18" s="1"/>
  <c r="A648" i="18" s="1"/>
  <c r="A649" i="18" s="1"/>
  <c r="A650" i="18" s="1"/>
  <c r="A651" i="18" s="1"/>
  <c r="A652" i="18" s="1"/>
  <c r="A653" i="18" s="1"/>
  <c r="A654" i="18" s="1"/>
  <c r="A655" i="18" s="1"/>
  <c r="A656" i="18" s="1"/>
  <c r="A657" i="18" s="1"/>
  <c r="A658" i="18" s="1"/>
  <c r="A659" i="18" s="1"/>
  <c r="A660" i="18" s="1"/>
  <c r="A661" i="18" s="1"/>
  <c r="A662" i="18" s="1"/>
  <c r="A663" i="18" s="1"/>
  <c r="A664" i="18" s="1"/>
  <c r="A665" i="18" s="1"/>
  <c r="A666" i="18" s="1"/>
  <c r="A667" i="18" s="1"/>
  <c r="A668" i="18" s="1"/>
  <c r="A669" i="18" s="1"/>
  <c r="A670" i="18" s="1"/>
  <c r="A671" i="18" s="1"/>
  <c r="A672" i="18" s="1"/>
  <c r="A673" i="18" s="1"/>
  <c r="A674" i="18" s="1"/>
  <c r="A675" i="18" s="1"/>
  <c r="A676" i="18" s="1"/>
  <c r="A677" i="18" s="1"/>
  <c r="A678" i="18" s="1"/>
  <c r="A679" i="18" s="1"/>
  <c r="A680" i="18" s="1"/>
  <c r="A681" i="18" s="1"/>
  <c r="A682" i="18" s="1"/>
  <c r="A683" i="18" s="1"/>
  <c r="A684" i="18" s="1"/>
  <c r="A685" i="18" s="1"/>
  <c r="A686" i="18" s="1"/>
  <c r="A687" i="18" s="1"/>
  <c r="A688" i="18" s="1"/>
  <c r="A689" i="18" s="1"/>
  <c r="A690" i="18" s="1"/>
  <c r="A691" i="18" s="1"/>
  <c r="A692" i="18" s="1"/>
  <c r="A693" i="18" s="1"/>
  <c r="A694" i="18" s="1"/>
  <c r="A695" i="18" s="1"/>
  <c r="A696" i="18" s="1"/>
  <c r="A697" i="18" s="1"/>
  <c r="A698" i="18" s="1"/>
  <c r="A699" i="18" s="1"/>
  <c r="A700" i="18" s="1"/>
  <c r="A701" i="18" s="1"/>
  <c r="A702" i="18" s="1"/>
  <c r="A703" i="18" s="1"/>
  <c r="A3" i="16"/>
  <c r="A4" i="16" s="1"/>
  <c r="A5" i="16" s="1"/>
  <c r="A6" i="16" s="1"/>
  <c r="A7" i="16" s="1"/>
  <c r="A8" i="16" s="1"/>
  <c r="A9" i="16" s="1"/>
  <c r="A10" i="16" s="1"/>
  <c r="A11" i="16" s="1"/>
  <c r="A12" i="16" s="1"/>
  <c r="A13" i="16" s="1"/>
  <c r="A14" i="16" s="1"/>
  <c r="A15" i="16" s="1"/>
  <c r="A16" i="16" s="1"/>
  <c r="A17" i="16" s="1"/>
  <c r="A18" i="16" s="1"/>
  <c r="A19" i="16" s="1"/>
  <c r="A20" i="16" s="1"/>
  <c r="A21" i="16" s="1"/>
  <c r="A22" i="16" s="1"/>
  <c r="A23" i="16" s="1"/>
  <c r="A24" i="16" s="1"/>
  <c r="A25" i="16" s="1"/>
  <c r="A26" i="16" s="1"/>
  <c r="A27" i="16" s="1"/>
  <c r="A28" i="16" s="1"/>
  <c r="A29" i="16" s="1"/>
  <c r="A30" i="16" s="1"/>
  <c r="A31" i="16" s="1"/>
  <c r="A32" i="16" s="1"/>
  <c r="A33" i="16" s="1"/>
  <c r="A34" i="16" s="1"/>
  <c r="A35" i="16" s="1"/>
  <c r="A36" i="16" s="1"/>
  <c r="A37" i="16" s="1"/>
  <c r="A38" i="16" s="1"/>
  <c r="A39" i="16" s="1"/>
  <c r="A40" i="16" s="1"/>
  <c r="A41" i="16" s="1"/>
  <c r="A42" i="16" s="1"/>
  <c r="A43" i="16" s="1"/>
  <c r="A44" i="16" s="1"/>
  <c r="A45" i="16" s="1"/>
  <c r="A46" i="16" s="1"/>
  <c r="A47" i="16" s="1"/>
  <c r="A48" i="16" s="1"/>
  <c r="A49" i="16" s="1"/>
  <c r="A50" i="16" s="1"/>
  <c r="A51" i="16" s="1"/>
  <c r="A52" i="16" s="1"/>
  <c r="A53" i="16" s="1"/>
  <c r="A54" i="16" s="1"/>
  <c r="A55" i="16" s="1"/>
  <c r="A56" i="16" s="1"/>
  <c r="A57" i="16" s="1"/>
  <c r="A58" i="16" s="1"/>
  <c r="A59" i="16" s="1"/>
  <c r="A60" i="16" s="1"/>
  <c r="A61" i="16" s="1"/>
  <c r="A62" i="16" s="1"/>
  <c r="A63" i="16" s="1"/>
  <c r="A64" i="16" s="1"/>
  <c r="A65" i="16" s="1"/>
  <c r="A66" i="16" s="1"/>
  <c r="A67" i="16" s="1"/>
  <c r="A68" i="16" s="1"/>
  <c r="A69" i="16" s="1"/>
  <c r="A70" i="16" s="1"/>
  <c r="A71" i="16" s="1"/>
  <c r="A72" i="16" s="1"/>
  <c r="A73" i="16" s="1"/>
  <c r="A74" i="16" s="1"/>
  <c r="A75" i="16" s="1"/>
  <c r="A76" i="16" s="1"/>
  <c r="A77" i="16" s="1"/>
  <c r="A78" i="16" s="1"/>
  <c r="A79" i="16" s="1"/>
  <c r="A80" i="16" s="1"/>
  <c r="A81" i="16" s="1"/>
  <c r="A82" i="16" s="1"/>
  <c r="A83" i="16" s="1"/>
  <c r="A84" i="16" s="1"/>
  <c r="A85" i="16" s="1"/>
  <c r="A86" i="16" s="1"/>
  <c r="A87" i="16" s="1"/>
  <c r="A88" i="16" s="1"/>
  <c r="A89" i="16" s="1"/>
  <c r="A90" i="16" s="1"/>
  <c r="A91" i="16" s="1"/>
  <c r="A92" i="16" s="1"/>
  <c r="A93" i="16" s="1"/>
  <c r="A94" i="16" s="1"/>
  <c r="A95" i="16" s="1"/>
  <c r="A96" i="16" s="1"/>
  <c r="A97" i="16" s="1"/>
  <c r="A98" i="16" s="1"/>
  <c r="A99" i="16" s="1"/>
  <c r="A100" i="16" s="1"/>
  <c r="A101" i="16" s="1"/>
  <c r="A102" i="16" s="1"/>
  <c r="A103" i="16" s="1"/>
  <c r="A104" i="16" s="1"/>
  <c r="A105" i="16" s="1"/>
  <c r="A106" i="16" s="1"/>
  <c r="A107" i="16" s="1"/>
  <c r="A108" i="16" s="1"/>
  <c r="A109" i="16" s="1"/>
  <c r="A110" i="16" s="1"/>
  <c r="A111" i="16" s="1"/>
  <c r="A112" i="16" s="1"/>
  <c r="A113" i="16" s="1"/>
  <c r="A114" i="16" s="1"/>
  <c r="A115" i="16" s="1"/>
  <c r="A116" i="16" s="1"/>
  <c r="A117" i="16" s="1"/>
  <c r="A118" i="16" s="1"/>
  <c r="A119" i="16" s="1"/>
  <c r="A120" i="16" s="1"/>
  <c r="A121" i="16" s="1"/>
  <c r="A122" i="16" s="1"/>
  <c r="A123" i="16" s="1"/>
  <c r="A124" i="16" s="1"/>
  <c r="A125" i="16" s="1"/>
  <c r="A126" i="16" s="1"/>
  <c r="A127" i="16" s="1"/>
  <c r="A128" i="16" s="1"/>
  <c r="A129" i="16" s="1"/>
  <c r="A130" i="16" s="1"/>
  <c r="A131" i="16" s="1"/>
  <c r="A132" i="16" s="1"/>
  <c r="A133" i="16" s="1"/>
  <c r="A134" i="16" s="1"/>
  <c r="A135" i="16" s="1"/>
  <c r="A136" i="16" s="1"/>
  <c r="A137" i="16" s="1"/>
  <c r="A138" i="16" s="1"/>
  <c r="A139" i="16" s="1"/>
  <c r="A140" i="16" s="1"/>
  <c r="A141" i="16" s="1"/>
  <c r="A142" i="16" s="1"/>
  <c r="A143" i="16" s="1"/>
  <c r="A144" i="16" s="1"/>
  <c r="A145" i="16" s="1"/>
  <c r="A146" i="16" s="1"/>
  <c r="A147" i="16" s="1"/>
  <c r="A148" i="16" s="1"/>
  <c r="A149" i="16" s="1"/>
  <c r="A150" i="16" s="1"/>
  <c r="A151" i="16" s="1"/>
  <c r="A152" i="16" s="1"/>
  <c r="A153" i="16" s="1"/>
  <c r="A154" i="16" s="1"/>
  <c r="A155" i="16" s="1"/>
  <c r="A156" i="16" s="1"/>
  <c r="A157" i="16" s="1"/>
  <c r="A158" i="16" s="1"/>
  <c r="A159" i="16" s="1"/>
  <c r="A160" i="16" s="1"/>
  <c r="A161" i="16" s="1"/>
  <c r="A162" i="16" s="1"/>
  <c r="A163" i="16" s="1"/>
  <c r="A164" i="16" s="1"/>
  <c r="A165" i="16" s="1"/>
  <c r="A166" i="16" s="1"/>
  <c r="A167" i="16" s="1"/>
  <c r="A168" i="16" s="1"/>
  <c r="A169" i="16" s="1"/>
  <c r="A170" i="16" s="1"/>
  <c r="A171" i="16" s="1"/>
  <c r="A172" i="16" s="1"/>
  <c r="A173" i="16" s="1"/>
  <c r="A174" i="16" s="1"/>
  <c r="A175" i="16" s="1"/>
  <c r="A176" i="16" s="1"/>
  <c r="A177" i="16" s="1"/>
  <c r="A178" i="16" s="1"/>
  <c r="A179" i="16" s="1"/>
  <c r="A180" i="16" s="1"/>
  <c r="A181" i="16" s="1"/>
  <c r="A182" i="16" s="1"/>
  <c r="A183" i="16" s="1"/>
  <c r="A184" i="16" s="1"/>
  <c r="A185" i="16" s="1"/>
  <c r="A186" i="16" s="1"/>
  <c r="A187" i="16" s="1"/>
  <c r="A188" i="16" s="1"/>
  <c r="A189" i="16" s="1"/>
  <c r="A3" i="15"/>
  <c r="A4" i="15" s="1"/>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I20" i="19"/>
  <c r="I21" i="19"/>
  <c r="I22" i="19"/>
  <c r="I23" i="19"/>
  <c r="I24" i="19"/>
  <c r="I25" i="19"/>
  <c r="I26" i="19"/>
  <c r="I36" i="17"/>
  <c r="I37" i="17"/>
  <c r="I38" i="17"/>
  <c r="I39" i="17"/>
  <c r="I22" i="17"/>
  <c r="I23" i="17"/>
  <c r="I24" i="17"/>
  <c r="I25" i="17"/>
  <c r="I26" i="17"/>
  <c r="I27" i="17"/>
  <c r="I28" i="17"/>
  <c r="I29" i="17"/>
  <c r="I30" i="17"/>
  <c r="I31" i="17"/>
  <c r="I32" i="17"/>
  <c r="I33" i="17"/>
  <c r="I34" i="17"/>
  <c r="I35" i="17"/>
  <c r="I53" i="15"/>
  <c r="I51" i="15"/>
  <c r="I48" i="15"/>
  <c r="I49" i="15"/>
  <c r="I50" i="15"/>
  <c r="I45" i="15"/>
  <c r="I39" i="15"/>
  <c r="I40" i="15"/>
  <c r="I41" i="15"/>
  <c r="I36" i="15"/>
  <c r="C127" i="14"/>
  <c r="C128" i="14" s="1"/>
  <c r="C33" i="17"/>
  <c r="C34" i="17" s="1"/>
  <c r="C35" i="17" s="1"/>
  <c r="C36" i="17" s="1"/>
  <c r="C37" i="17" s="1"/>
  <c r="C38" i="17" s="1"/>
  <c r="C39" i="17" s="1"/>
  <c r="C40" i="17" s="1"/>
  <c r="C41" i="17" s="1"/>
  <c r="C42" i="17" s="1"/>
  <c r="C43" i="17" s="1"/>
  <c r="C44" i="17" s="1"/>
  <c r="C45" i="17" s="1"/>
  <c r="C46" i="17" s="1"/>
  <c r="C47" i="17" s="1"/>
  <c r="C48" i="17" s="1"/>
  <c r="C49" i="17" s="1"/>
  <c r="C50" i="17" s="1"/>
  <c r="C51" i="17" s="1"/>
  <c r="C52" i="17" s="1"/>
  <c r="C53" i="17" s="1"/>
  <c r="C54" i="17" s="1"/>
  <c r="C55" i="17" s="1"/>
  <c r="C56" i="17" s="1"/>
  <c r="C57" i="17" s="1"/>
  <c r="C58" i="17" s="1"/>
  <c r="C59" i="17" s="1"/>
  <c r="C60" i="17" s="1"/>
  <c r="C61" i="17" s="1"/>
  <c r="C62" i="17" s="1"/>
  <c r="I173" i="14"/>
  <c r="I174" i="14"/>
  <c r="I175" i="14"/>
  <c r="I176" i="14"/>
  <c r="I177" i="14"/>
  <c r="I178" i="14"/>
  <c r="I179" i="14"/>
  <c r="I180" i="14"/>
  <c r="I172" i="14"/>
  <c r="I171" i="14"/>
  <c r="I170" i="14"/>
  <c r="I169" i="14"/>
  <c r="I168" i="14"/>
  <c r="I167" i="14"/>
  <c r="I166" i="14"/>
  <c r="I165" i="14"/>
  <c r="I164" i="14"/>
  <c r="I163" i="14"/>
  <c r="I162" i="14"/>
  <c r="I161" i="14"/>
  <c r="I160" i="14"/>
  <c r="I159" i="14"/>
  <c r="I158" i="14"/>
  <c r="I157" i="14"/>
  <c r="I156" i="14"/>
  <c r="I155" i="14"/>
  <c r="I154" i="14"/>
  <c r="I153" i="14"/>
  <c r="I152" i="14"/>
  <c r="I151" i="14"/>
  <c r="I150" i="14"/>
  <c r="I149" i="14"/>
  <c r="I148" i="14"/>
  <c r="I147" i="14"/>
  <c r="I146" i="14"/>
  <c r="I145" i="14"/>
  <c r="I144" i="14"/>
  <c r="I143" i="14"/>
  <c r="I142" i="14"/>
  <c r="I141" i="14"/>
  <c r="I140" i="14"/>
  <c r="I139" i="14"/>
  <c r="I138" i="14"/>
  <c r="I137" i="14"/>
  <c r="I136" i="14"/>
  <c r="I135" i="14"/>
  <c r="I134" i="14"/>
  <c r="I133" i="14"/>
  <c r="I132" i="14"/>
  <c r="I131" i="14"/>
  <c r="I130" i="14"/>
  <c r="I129" i="14"/>
  <c r="I128" i="14"/>
  <c r="I127" i="14"/>
  <c r="D150" i="14"/>
  <c r="D127" i="14"/>
  <c r="D128" i="14" s="1"/>
  <c r="I61" i="16"/>
  <c r="I60" i="16"/>
  <c r="I59" i="16"/>
  <c r="I58" i="16"/>
  <c r="I57" i="16"/>
  <c r="I56" i="16"/>
  <c r="I55" i="16"/>
  <c r="I54" i="16"/>
  <c r="I53" i="16"/>
  <c r="I52" i="16"/>
  <c r="I61" i="15"/>
  <c r="I60" i="15"/>
  <c r="I59" i="15"/>
  <c r="I58" i="15"/>
  <c r="I57" i="15"/>
  <c r="I56" i="15"/>
  <c r="I55" i="15"/>
  <c r="I54" i="15"/>
  <c r="C58" i="16"/>
  <c r="C59" i="16" s="1"/>
  <c r="C60" i="16" s="1"/>
  <c r="C61" i="16" s="1"/>
  <c r="C62" i="16" s="1"/>
  <c r="C63" i="16" s="1"/>
  <c r="C64" i="16" s="1"/>
  <c r="C65" i="16" s="1"/>
  <c r="C66" i="16" s="1"/>
  <c r="C67" i="16" s="1"/>
  <c r="C53" i="16"/>
  <c r="C54" i="16" s="1"/>
  <c r="B53" i="16"/>
  <c r="I134" i="18"/>
  <c r="I135" i="18"/>
  <c r="I136" i="18"/>
  <c r="I137" i="18"/>
  <c r="I138" i="18"/>
  <c r="I139" i="18"/>
  <c r="I140" i="18"/>
  <c r="I141" i="18"/>
  <c r="I142" i="18"/>
  <c r="I143" i="18"/>
  <c r="I144" i="18"/>
  <c r="I145" i="18"/>
  <c r="I146" i="18"/>
  <c r="I147" i="18"/>
  <c r="I148" i="18"/>
  <c r="I149" i="18"/>
  <c r="I150" i="18"/>
  <c r="I151" i="18"/>
  <c r="I152" i="18"/>
  <c r="I153" i="18"/>
  <c r="I154" i="18"/>
  <c r="I155" i="18"/>
  <c r="I156" i="18"/>
  <c r="I157" i="18"/>
  <c r="I158" i="18"/>
  <c r="I159" i="18"/>
  <c r="I160" i="18"/>
  <c r="I161" i="18"/>
  <c r="J149" i="18"/>
  <c r="J150" i="18" s="1"/>
  <c r="J151" i="18" s="1"/>
  <c r="J152" i="18" s="1"/>
  <c r="J153" i="18" s="1"/>
  <c r="J154" i="18" s="1"/>
  <c r="J155" i="18" s="1"/>
  <c r="J141" i="18"/>
  <c r="J142" i="18" s="1"/>
  <c r="J143" i="18" s="1"/>
  <c r="J144" i="18" s="1"/>
  <c r="C140" i="18"/>
  <c r="B140" i="18"/>
  <c r="J65" i="16" l="1"/>
  <c r="J67" i="19"/>
  <c r="A192" i="14"/>
  <c r="A193" i="14" s="1"/>
  <c r="A194" i="14" s="1"/>
  <c r="A195" i="14" s="1"/>
  <c r="A196" i="14" s="1"/>
  <c r="A197" i="14" s="1"/>
  <c r="A198" i="14" s="1"/>
  <c r="A199" i="14" s="1"/>
  <c r="A200" i="14" s="1"/>
  <c r="A201" i="14" s="1"/>
  <c r="A202" i="14" s="1"/>
  <c r="A203" i="14" s="1"/>
  <c r="A204" i="14" s="1"/>
  <c r="A205" i="14" s="1"/>
  <c r="A206" i="14" s="1"/>
  <c r="A207" i="14" s="1"/>
  <c r="A208" i="14" s="1"/>
  <c r="A209" i="14" s="1"/>
  <c r="A210" i="14" s="1"/>
  <c r="A211" i="14" s="1"/>
  <c r="A212" i="14" s="1"/>
  <c r="A213" i="14" s="1"/>
  <c r="A214" i="14" s="1"/>
  <c r="A215" i="14" s="1"/>
  <c r="A216" i="14" s="1"/>
  <c r="A217" i="14" s="1"/>
  <c r="A218" i="14" s="1"/>
  <c r="A219" i="14" s="1"/>
  <c r="A220" i="14" s="1"/>
  <c r="A221" i="14" s="1"/>
  <c r="A222" i="14" s="1"/>
  <c r="A223" i="14" s="1"/>
  <c r="A224" i="14" s="1"/>
  <c r="A225" i="14" s="1"/>
  <c r="A226" i="14" s="1"/>
  <c r="A227" i="14" s="1"/>
  <c r="A228" i="14" s="1"/>
  <c r="A229" i="14" s="1"/>
  <c r="A230" i="14" s="1"/>
  <c r="A231" i="14" s="1"/>
  <c r="A232" i="14" s="1"/>
  <c r="A233" i="14" s="1"/>
  <c r="A234" i="14" s="1"/>
  <c r="A235" i="14" s="1"/>
  <c r="A236" i="14" s="1"/>
  <c r="A237" i="14" s="1"/>
  <c r="A238" i="14" s="1"/>
  <c r="A239" i="14" s="1"/>
  <c r="A240" i="14" s="1"/>
  <c r="A241" i="14" s="1"/>
  <c r="A242" i="14" s="1"/>
  <c r="A243" i="14" s="1"/>
  <c r="A244" i="14" s="1"/>
  <c r="A245" i="14" s="1"/>
  <c r="A246" i="14" s="1"/>
  <c r="A247" i="14" s="1"/>
  <c r="A248" i="14" s="1"/>
  <c r="A249" i="14" s="1"/>
  <c r="A250" i="14" s="1"/>
  <c r="A251" i="14" s="1"/>
  <c r="A252" i="14" s="1"/>
  <c r="A253" i="14" s="1"/>
  <c r="A254" i="14" s="1"/>
  <c r="A255" i="14" s="1"/>
  <c r="A256" i="14" s="1"/>
  <c r="A257" i="14" s="1"/>
  <c r="A258" i="14" s="1"/>
  <c r="A259" i="14" s="1"/>
  <c r="A260" i="14" s="1"/>
  <c r="A261" i="14" s="1"/>
  <c r="A262" i="14" s="1"/>
  <c r="A263" i="14" s="1"/>
  <c r="A264" i="14" s="1"/>
  <c r="A265" i="14" s="1"/>
  <c r="A266" i="14" s="1"/>
  <c r="A267" i="14" s="1"/>
  <c r="A268" i="14" s="1"/>
  <c r="A269" i="14" s="1"/>
  <c r="A270" i="14" s="1"/>
  <c r="A271" i="14" s="1"/>
  <c r="A272" i="14" s="1"/>
  <c r="A273" i="14" s="1"/>
  <c r="A274" i="14" s="1"/>
  <c r="A275" i="14" s="1"/>
  <c r="A276" i="14" s="1"/>
  <c r="A277" i="14" s="1"/>
  <c r="A278" i="14" s="1"/>
  <c r="A279" i="14" s="1"/>
  <c r="A280" i="14" s="1"/>
  <c r="A281" i="14" s="1"/>
  <c r="A282" i="14" s="1"/>
  <c r="A283" i="14" s="1"/>
  <c r="A284" i="14" s="1"/>
  <c r="A285" i="14" s="1"/>
  <c r="A286" i="14" s="1"/>
  <c r="A287" i="14" s="1"/>
  <c r="A288" i="14" s="1"/>
  <c r="A289" i="14" s="1"/>
  <c r="A290" i="14" s="1"/>
  <c r="A291" i="14" s="1"/>
  <c r="A292" i="14" s="1"/>
  <c r="A293" i="14" s="1"/>
  <c r="A294" i="14" s="1"/>
  <c r="A295" i="14" s="1"/>
  <c r="A296" i="14" s="1"/>
  <c r="A297" i="14" s="1"/>
  <c r="A298" i="14" s="1"/>
  <c r="A299" i="14" s="1"/>
  <c r="A300" i="14" s="1"/>
  <c r="A301" i="14" s="1"/>
  <c r="A302" i="14" s="1"/>
  <c r="A303" i="14" s="1"/>
  <c r="A304" i="14" s="1"/>
  <c r="A305" i="14" s="1"/>
  <c r="A306" i="14" s="1"/>
  <c r="A307" i="14" s="1"/>
  <c r="A308" i="14" s="1"/>
  <c r="A309" i="14" s="1"/>
  <c r="A310" i="14" s="1"/>
  <c r="A311" i="14" s="1"/>
  <c r="A312" i="14" s="1"/>
  <c r="A313" i="14" s="1"/>
  <c r="A314" i="14" s="1"/>
  <c r="A315" i="14" s="1"/>
  <c r="A316" i="14" s="1"/>
  <c r="A317" i="14" s="1"/>
  <c r="A318" i="14" s="1"/>
  <c r="A319" i="14" s="1"/>
  <c r="A320" i="14" s="1"/>
  <c r="A321" i="14" s="1"/>
  <c r="A322" i="14" s="1"/>
  <c r="A323" i="14" s="1"/>
  <c r="A324" i="14" s="1"/>
  <c r="A325" i="14" s="1"/>
  <c r="A326" i="14" s="1"/>
  <c r="A327" i="14" s="1"/>
  <c r="A328" i="14" s="1"/>
  <c r="A329" i="14" s="1"/>
  <c r="A330" i="14" s="1"/>
  <c r="A331" i="14" s="1"/>
  <c r="A332" i="14" s="1"/>
  <c r="A333" i="14" s="1"/>
  <c r="A334" i="14" s="1"/>
  <c r="A335" i="14" s="1"/>
  <c r="A336" i="14" s="1"/>
  <c r="A337" i="14" s="1"/>
  <c r="A338" i="14" s="1"/>
  <c r="A339" i="14" s="1"/>
  <c r="A340" i="14" s="1"/>
  <c r="A341" i="14" s="1"/>
  <c r="A342" i="14" s="1"/>
  <c r="A343" i="14" s="1"/>
  <c r="A344" i="14" s="1"/>
  <c r="A345" i="14" s="1"/>
  <c r="A346" i="14" s="1"/>
  <c r="A347" i="14" s="1"/>
  <c r="A348" i="14" s="1"/>
  <c r="A349" i="14" s="1"/>
  <c r="A350" i="14" s="1"/>
  <c r="A351" i="14" s="1"/>
  <c r="A352" i="14" s="1"/>
  <c r="A353" i="14" s="1"/>
  <c r="A354" i="14" s="1"/>
  <c r="A355" i="14" s="1"/>
  <c r="A356" i="14" s="1"/>
  <c r="A357" i="14" s="1"/>
  <c r="A358" i="14" s="1"/>
  <c r="A359" i="14" s="1"/>
  <c r="A360" i="14" s="1"/>
  <c r="A361" i="14" s="1"/>
  <c r="A362" i="14" s="1"/>
  <c r="A363" i="14" s="1"/>
  <c r="A364" i="14" s="1"/>
  <c r="A365" i="14" s="1"/>
  <c r="A366" i="14" s="1"/>
  <c r="A367" i="14" s="1"/>
  <c r="A368" i="14" s="1"/>
  <c r="A369" i="14" s="1"/>
  <c r="A370" i="14" s="1"/>
  <c r="A371" i="14" s="1"/>
  <c r="A372" i="14" s="1"/>
  <c r="A373" i="14" s="1"/>
  <c r="A374" i="14" s="1"/>
  <c r="A375" i="14" s="1"/>
  <c r="A376" i="14" s="1"/>
  <c r="A377" i="14" s="1"/>
  <c r="A378" i="14" s="1"/>
  <c r="A379" i="14" s="1"/>
  <c r="A380" i="14" s="1"/>
  <c r="A381" i="14" s="1"/>
  <c r="A382" i="14" s="1"/>
  <c r="A383" i="14" s="1"/>
  <c r="A384" i="14" s="1"/>
  <c r="A385" i="14" s="1"/>
  <c r="A386" i="14" s="1"/>
  <c r="A387" i="14" s="1"/>
  <c r="A388" i="14" s="1"/>
  <c r="A389" i="14" s="1"/>
  <c r="A390" i="14" s="1"/>
  <c r="A391" i="14" s="1"/>
  <c r="A392" i="14" s="1"/>
  <c r="A393" i="14" s="1"/>
  <c r="A394" i="14" s="1"/>
  <c r="A395" i="14" s="1"/>
  <c r="A396" i="14" s="1"/>
  <c r="A397" i="14" s="1"/>
  <c r="A398" i="14" s="1"/>
  <c r="A399" i="14" s="1"/>
  <c r="A400" i="14" s="1"/>
  <c r="A401" i="14" s="1"/>
  <c r="A402" i="14" s="1"/>
  <c r="A403" i="14" s="1"/>
  <c r="A404" i="14" s="1"/>
  <c r="A405" i="14" s="1"/>
  <c r="A406" i="14" s="1"/>
  <c r="A407" i="14" s="1"/>
  <c r="A408" i="14" s="1"/>
  <c r="A409" i="14" s="1"/>
  <c r="A410" i="14" s="1"/>
  <c r="A411" i="14" s="1"/>
  <c r="A412" i="14" s="1"/>
  <c r="A413" i="14" s="1"/>
  <c r="A414" i="14" s="1"/>
  <c r="A415" i="14" s="1"/>
  <c r="A416" i="14" s="1"/>
  <c r="A417" i="14" s="1"/>
  <c r="A418" i="14" s="1"/>
  <c r="A419" i="14" s="1"/>
  <c r="A420" i="14" s="1"/>
  <c r="A421" i="14" s="1"/>
  <c r="A422" i="14" s="1"/>
  <c r="A423" i="14" s="1"/>
  <c r="A424" i="14" s="1"/>
  <c r="A425" i="14" s="1"/>
  <c r="A426" i="14" s="1"/>
  <c r="A427" i="14" s="1"/>
  <c r="A428" i="14" s="1"/>
  <c r="A429" i="14" s="1"/>
  <c r="A430" i="14" s="1"/>
  <c r="A431" i="14" s="1"/>
  <c r="A432" i="14" s="1"/>
  <c r="A433" i="14" s="1"/>
  <c r="A434" i="14" s="1"/>
  <c r="A435" i="14" s="1"/>
  <c r="A436" i="14" s="1"/>
  <c r="A437" i="14" s="1"/>
  <c r="A438" i="14" s="1"/>
  <c r="A439" i="14" s="1"/>
  <c r="A440" i="14" s="1"/>
  <c r="A441" i="14" s="1"/>
  <c r="A442" i="14" s="1"/>
  <c r="A443" i="14" s="1"/>
  <c r="A444" i="14" s="1"/>
  <c r="A445" i="14" s="1"/>
  <c r="A446" i="14" s="1"/>
  <c r="A447" i="14" s="1"/>
  <c r="A448" i="14" s="1"/>
  <c r="A449" i="14" s="1"/>
  <c r="A450" i="14" s="1"/>
  <c r="A451" i="14" s="1"/>
  <c r="A452" i="14" s="1"/>
  <c r="A453" i="14" s="1"/>
  <c r="A454" i="14" s="1"/>
  <c r="A455" i="14" s="1"/>
  <c r="A456" i="14" s="1"/>
  <c r="A457" i="14" s="1"/>
  <c r="A458" i="14" s="1"/>
  <c r="A459" i="14" s="1"/>
  <c r="A460" i="14" s="1"/>
  <c r="A461" i="14" s="1"/>
  <c r="A462" i="14" s="1"/>
  <c r="A463" i="14" s="1"/>
  <c r="A464" i="14" s="1"/>
  <c r="A465" i="14" s="1"/>
  <c r="A466" i="14" s="1"/>
  <c r="A467" i="14" s="1"/>
  <c r="A468" i="14" s="1"/>
  <c r="A469" i="14" s="1"/>
  <c r="A470" i="14" s="1"/>
  <c r="A471" i="14" s="1"/>
  <c r="A472" i="14" s="1"/>
  <c r="A473" i="14" s="1"/>
  <c r="A474" i="14" s="1"/>
  <c r="A475" i="14" s="1"/>
  <c r="A476" i="14" s="1"/>
  <c r="A477" i="14" s="1"/>
  <c r="A478" i="14" s="1"/>
  <c r="A479" i="14" s="1"/>
  <c r="A480" i="14" s="1"/>
  <c r="A481" i="14" s="1"/>
  <c r="A482" i="14" s="1"/>
  <c r="A483" i="14" s="1"/>
  <c r="A484" i="14" s="1"/>
  <c r="A485" i="14" s="1"/>
  <c r="A486" i="14" s="1"/>
  <c r="A487" i="14" s="1"/>
  <c r="A488" i="14" s="1"/>
  <c r="A489" i="14" s="1"/>
  <c r="A490" i="14" s="1"/>
  <c r="A491" i="14" s="1"/>
  <c r="A492" i="14" s="1"/>
  <c r="A493" i="14" s="1"/>
  <c r="A494" i="14" s="1"/>
  <c r="A495" i="14" s="1"/>
  <c r="A496" i="14" s="1"/>
  <c r="A497" i="14" s="1"/>
  <c r="A498" i="14" s="1"/>
  <c r="A499" i="14" s="1"/>
  <c r="A500" i="14" s="1"/>
  <c r="A501" i="14" s="1"/>
  <c r="A502" i="14" s="1"/>
  <c r="A503" i="14" s="1"/>
  <c r="A504" i="14" s="1"/>
  <c r="A505" i="14" s="1"/>
  <c r="A506" i="14" s="1"/>
  <c r="A507" i="14" s="1"/>
  <c r="A508" i="14" s="1"/>
  <c r="A509" i="14" s="1"/>
  <c r="A510" i="14" s="1"/>
  <c r="A511" i="14" s="1"/>
  <c r="A512" i="14" s="1"/>
  <c r="A513" i="14" s="1"/>
  <c r="A514" i="14" s="1"/>
  <c r="A515" i="14" s="1"/>
  <c r="A516" i="14" s="1"/>
  <c r="A517" i="14" s="1"/>
  <c r="A518" i="14" s="1"/>
  <c r="A519" i="14" s="1"/>
  <c r="A520" i="14" s="1"/>
  <c r="A521" i="14" s="1"/>
  <c r="A522" i="14" s="1"/>
  <c r="A523" i="14" s="1"/>
  <c r="A524" i="14" s="1"/>
  <c r="A525" i="14" s="1"/>
  <c r="A526" i="14" s="1"/>
  <c r="A527" i="14" s="1"/>
  <c r="A528" i="14" s="1"/>
  <c r="A529" i="14" s="1"/>
  <c r="A530" i="14" s="1"/>
  <c r="A531" i="14" s="1"/>
  <c r="A532" i="14" s="1"/>
  <c r="A533" i="14" s="1"/>
  <c r="A534" i="14" s="1"/>
  <c r="A535" i="14" s="1"/>
  <c r="A536" i="14" s="1"/>
  <c r="A537" i="14" s="1"/>
  <c r="A538" i="14" s="1"/>
  <c r="A539" i="14" s="1"/>
  <c r="A540" i="14" s="1"/>
  <c r="A541" i="14" s="1"/>
  <c r="A542" i="14" s="1"/>
  <c r="A543" i="14" s="1"/>
  <c r="A544" i="14" s="1"/>
  <c r="A545" i="14" s="1"/>
  <c r="A546" i="14" s="1"/>
  <c r="A547" i="14" s="1"/>
  <c r="A548" i="14" s="1"/>
  <c r="A549" i="14" s="1"/>
  <c r="A550" i="14" s="1"/>
  <c r="A551" i="14" s="1"/>
  <c r="A552" i="14" s="1"/>
  <c r="A553" i="14" s="1"/>
  <c r="A554" i="14" s="1"/>
  <c r="A555" i="14" s="1"/>
  <c r="A556" i="14" s="1"/>
  <c r="A557" i="14" s="1"/>
  <c r="A558" i="14" s="1"/>
  <c r="A559" i="14" s="1"/>
  <c r="A560" i="14" s="1"/>
  <c r="A561" i="14" s="1"/>
  <c r="A562" i="14" s="1"/>
  <c r="A563" i="14" s="1"/>
  <c r="A564" i="14" s="1"/>
  <c r="A565" i="14" s="1"/>
  <c r="A566" i="14" s="1"/>
  <c r="A567" i="14" s="1"/>
  <c r="A568" i="14" s="1"/>
  <c r="A569" i="14" s="1"/>
  <c r="A570" i="14" s="1"/>
  <c r="A571" i="14" s="1"/>
  <c r="A572" i="14" s="1"/>
  <c r="A573" i="14" s="1"/>
  <c r="A574" i="14" s="1"/>
  <c r="A575" i="14" s="1"/>
  <c r="A576" i="14" s="1"/>
  <c r="A577" i="14" s="1"/>
  <c r="A578" i="14" s="1"/>
  <c r="A579" i="14" s="1"/>
  <c r="A580" i="14" s="1"/>
  <c r="A581" i="14" s="1"/>
  <c r="A582" i="14" s="1"/>
  <c r="A583" i="14" s="1"/>
  <c r="A584" i="14" s="1"/>
  <c r="A585" i="14" s="1"/>
  <c r="A586" i="14" s="1"/>
  <c r="A587" i="14" s="1"/>
  <c r="A588" i="14" s="1"/>
  <c r="A589" i="14" s="1"/>
  <c r="A590" i="14" s="1"/>
  <c r="A591" i="14" s="1"/>
  <c r="A592" i="14" s="1"/>
  <c r="A593" i="14" s="1"/>
  <c r="A594" i="14" s="1"/>
  <c r="A595" i="14" s="1"/>
  <c r="A596" i="14" s="1"/>
  <c r="A597" i="14" s="1"/>
  <c r="A598" i="14" s="1"/>
  <c r="A599" i="14" s="1"/>
  <c r="A600" i="14" s="1"/>
  <c r="A601" i="14" s="1"/>
  <c r="A602" i="14" s="1"/>
  <c r="A603" i="14" s="1"/>
  <c r="A604" i="14" s="1"/>
  <c r="A605" i="14" s="1"/>
  <c r="A606" i="14" s="1"/>
  <c r="A607" i="14" s="1"/>
  <c r="A608" i="14" s="1"/>
  <c r="A609" i="14" s="1"/>
  <c r="A610" i="14" s="1"/>
  <c r="A611" i="14" s="1"/>
  <c r="A612" i="14" s="1"/>
  <c r="A613" i="14" s="1"/>
  <c r="A614" i="14" s="1"/>
  <c r="A615" i="14" s="1"/>
  <c r="A616" i="14" s="1"/>
  <c r="A617" i="14" s="1"/>
  <c r="A618" i="14" s="1"/>
  <c r="A619" i="14" s="1"/>
  <c r="A620" i="14" s="1"/>
  <c r="A621" i="14" s="1"/>
  <c r="A622" i="14" s="1"/>
  <c r="A623" i="14" s="1"/>
  <c r="A624" i="14" s="1"/>
  <c r="A625" i="14" s="1"/>
  <c r="A626" i="14" s="1"/>
  <c r="A627" i="14" s="1"/>
  <c r="A628" i="14" s="1"/>
  <c r="A629" i="14" s="1"/>
  <c r="A630" i="14" s="1"/>
  <c r="A631" i="14" s="1"/>
  <c r="A632" i="14" s="1"/>
  <c r="A633" i="14" s="1"/>
  <c r="A634" i="14" s="1"/>
  <c r="A635" i="14" s="1"/>
  <c r="A636" i="14" s="1"/>
  <c r="A637" i="14" s="1"/>
  <c r="A638" i="14" s="1"/>
  <c r="A639" i="14" s="1"/>
  <c r="A640" i="14" s="1"/>
  <c r="A641" i="14" s="1"/>
  <c r="A642" i="14" s="1"/>
  <c r="A643" i="14" s="1"/>
  <c r="A644" i="14" s="1"/>
  <c r="A645" i="14" s="1"/>
  <c r="A646" i="14" s="1"/>
  <c r="A647" i="14" s="1"/>
  <c r="A648" i="14" s="1"/>
  <c r="A649" i="14" s="1"/>
  <c r="A650" i="14" s="1"/>
  <c r="A651" i="14" s="1"/>
  <c r="A652" i="14" s="1"/>
  <c r="A653" i="14" s="1"/>
  <c r="A654" i="14" s="1"/>
  <c r="A655" i="14" s="1"/>
  <c r="A656" i="14" s="1"/>
  <c r="A657" i="14" s="1"/>
  <c r="A658" i="14" s="1"/>
  <c r="A659" i="14" s="1"/>
  <c r="A660" i="14" s="1"/>
  <c r="A661" i="14" s="1"/>
  <c r="A662" i="14" s="1"/>
  <c r="A663" i="14" s="1"/>
  <c r="A664" i="14" s="1"/>
  <c r="A665" i="14" s="1"/>
  <c r="A666" i="14" s="1"/>
  <c r="A667" i="14" s="1"/>
  <c r="A668" i="14" s="1"/>
  <c r="A669" i="14" s="1"/>
  <c r="A670" i="14" s="1"/>
  <c r="A671" i="14" s="1"/>
  <c r="A672" i="14" s="1"/>
  <c r="A673" i="14" s="1"/>
  <c r="A674" i="14" s="1"/>
  <c r="A675" i="14" s="1"/>
  <c r="A676" i="14" s="1"/>
  <c r="A677" i="14" s="1"/>
  <c r="A678" i="14" s="1"/>
  <c r="A679" i="14" s="1"/>
  <c r="A680" i="14" s="1"/>
  <c r="A681" i="14" s="1"/>
  <c r="A682" i="14" s="1"/>
  <c r="A683" i="14" s="1"/>
  <c r="A684" i="14" s="1"/>
  <c r="A685" i="14" s="1"/>
  <c r="A686" i="14" s="1"/>
  <c r="A687" i="14" s="1"/>
  <c r="A688" i="14" s="1"/>
  <c r="A689" i="14" s="1"/>
  <c r="A690" i="14" s="1"/>
  <c r="A691" i="14" s="1"/>
  <c r="A692" i="14" s="1"/>
  <c r="A693" i="14" s="1"/>
  <c r="A694" i="14" s="1"/>
  <c r="A695" i="14" s="1"/>
  <c r="A696" i="14" s="1"/>
  <c r="A697" i="14" s="1"/>
  <c r="A698" i="14" s="1"/>
  <c r="A699" i="14" s="1"/>
  <c r="A700" i="14" s="1"/>
  <c r="A701" i="14" s="1"/>
  <c r="A702" i="14" s="1"/>
  <c r="A703" i="14" s="1"/>
  <c r="A704" i="14" s="1"/>
  <c r="A705" i="14" s="1"/>
  <c r="A706" i="14" s="1"/>
  <c r="A707" i="14" s="1"/>
  <c r="A708" i="14" s="1"/>
  <c r="A709" i="14" s="1"/>
  <c r="A710" i="14" s="1"/>
  <c r="A711" i="14" s="1"/>
  <c r="A712" i="14" s="1"/>
  <c r="A713" i="14" s="1"/>
  <c r="A714" i="14" s="1"/>
  <c r="A715" i="14" s="1"/>
  <c r="A716" i="14" s="1"/>
  <c r="A717" i="14" s="1"/>
  <c r="A718" i="14" s="1"/>
  <c r="A719" i="14" s="1"/>
  <c r="A720" i="14" s="1"/>
  <c r="A721" i="14" s="1"/>
  <c r="A722" i="14" s="1"/>
  <c r="A723" i="14" s="1"/>
  <c r="A724" i="14" s="1"/>
  <c r="A725" i="14" s="1"/>
  <c r="A726" i="14" s="1"/>
  <c r="A727" i="14" s="1"/>
  <c r="A728" i="14" s="1"/>
  <c r="A729" i="14" s="1"/>
  <c r="A730" i="14" s="1"/>
  <c r="A731" i="14" s="1"/>
  <c r="A732" i="14" s="1"/>
  <c r="A733" i="14" s="1"/>
  <c r="A734" i="14" s="1"/>
  <c r="A735" i="14" s="1"/>
  <c r="A736" i="14" s="1"/>
  <c r="A737" i="14" s="1"/>
  <c r="A738" i="14" s="1"/>
  <c r="A739" i="14" s="1"/>
  <c r="A740" i="14" s="1"/>
  <c r="A741" i="14" s="1"/>
  <c r="A742" i="14" s="1"/>
  <c r="A743" i="14" s="1"/>
  <c r="A744" i="14" s="1"/>
  <c r="A745" i="14" s="1"/>
  <c r="A746" i="14" s="1"/>
  <c r="A747" i="14" s="1"/>
  <c r="A748" i="14" s="1"/>
  <c r="A749" i="14" s="1"/>
  <c r="A750" i="14" s="1"/>
  <c r="A751" i="14" s="1"/>
  <c r="A752" i="14" s="1"/>
  <c r="A753" i="14" s="1"/>
  <c r="A754" i="14" s="1"/>
  <c r="A755" i="14" s="1"/>
  <c r="A756" i="14" s="1"/>
  <c r="A757" i="14" s="1"/>
  <c r="A758" i="14" s="1"/>
  <c r="A759" i="14" s="1"/>
  <c r="A760" i="14" s="1"/>
  <c r="A761" i="14" s="1"/>
  <c r="A762" i="14" s="1"/>
  <c r="A763" i="14" s="1"/>
  <c r="A764" i="14" s="1"/>
  <c r="A765" i="14" s="1"/>
  <c r="A766" i="14" s="1"/>
  <c r="A767" i="14" s="1"/>
  <c r="A768" i="14" s="1"/>
  <c r="A769" i="14" s="1"/>
  <c r="A770" i="14" s="1"/>
  <c r="A771" i="14" s="1"/>
  <c r="A772" i="14" s="1"/>
  <c r="A773" i="14" s="1"/>
  <c r="A774" i="14" s="1"/>
  <c r="A775" i="14" s="1"/>
  <c r="A776" i="14" s="1"/>
  <c r="A777" i="14" s="1"/>
  <c r="A778" i="14" s="1"/>
  <c r="A779" i="14" s="1"/>
  <c r="A780" i="14" s="1"/>
  <c r="A781" i="14" s="1"/>
  <c r="A782" i="14" s="1"/>
  <c r="A783" i="14" s="1"/>
  <c r="A784" i="14" s="1"/>
  <c r="A785" i="14" s="1"/>
  <c r="A786" i="14" s="1"/>
  <c r="A787" i="14" s="1"/>
  <c r="A788" i="14" s="1"/>
  <c r="A789" i="14" s="1"/>
  <c r="A790" i="14" s="1"/>
  <c r="A791" i="14" s="1"/>
  <c r="A792" i="14" s="1"/>
  <c r="A793" i="14" s="1"/>
  <c r="A794" i="14" s="1"/>
  <c r="A795" i="14" s="1"/>
  <c r="A796" i="14" s="1"/>
  <c r="A797" i="14" s="1"/>
  <c r="A798" i="14" s="1"/>
  <c r="A799" i="14" s="1"/>
  <c r="I3" i="19"/>
  <c r="I4" i="19"/>
  <c r="I5" i="19"/>
  <c r="I6" i="19"/>
  <c r="I7" i="19"/>
  <c r="I8" i="19"/>
  <c r="I9" i="19"/>
  <c r="I10" i="19"/>
  <c r="I11" i="19"/>
  <c r="I12" i="19"/>
  <c r="I13" i="19"/>
  <c r="I14" i="19"/>
  <c r="I15" i="19"/>
  <c r="I16" i="19"/>
  <c r="I17" i="19"/>
  <c r="I18" i="19"/>
  <c r="I19" i="19"/>
  <c r="I2" i="19"/>
  <c r="I21" i="17"/>
  <c r="I20" i="17"/>
  <c r="I19" i="17"/>
  <c r="I18" i="17"/>
  <c r="I17" i="17"/>
  <c r="I16" i="17"/>
  <c r="I15" i="17"/>
  <c r="I14" i="17"/>
  <c r="I13" i="17"/>
  <c r="I12" i="17"/>
  <c r="I11" i="17"/>
  <c r="I10" i="17"/>
  <c r="I9" i="17"/>
  <c r="I8" i="17"/>
  <c r="I7" i="17"/>
  <c r="I6" i="17"/>
  <c r="I5" i="17"/>
  <c r="I4" i="17"/>
  <c r="I3" i="17"/>
  <c r="I2" i="17"/>
  <c r="I3" i="18"/>
  <c r="I4" i="18"/>
  <c r="I5" i="18"/>
  <c r="I6" i="18"/>
  <c r="I7" i="18"/>
  <c r="I8" i="18"/>
  <c r="I9" i="18"/>
  <c r="I10" i="18"/>
  <c r="I11" i="18"/>
  <c r="I12" i="18"/>
  <c r="I13" i="18"/>
  <c r="I14" i="18"/>
  <c r="I15" i="18"/>
  <c r="I16" i="18"/>
  <c r="I17" i="18"/>
  <c r="I18" i="18"/>
  <c r="I19" i="18"/>
  <c r="I20" i="18"/>
  <c r="I21" i="18"/>
  <c r="I22" i="18"/>
  <c r="I23" i="18"/>
  <c r="I24" i="18"/>
  <c r="I25" i="18"/>
  <c r="I26" i="18"/>
  <c r="I27" i="18"/>
  <c r="I28" i="18"/>
  <c r="I29" i="18"/>
  <c r="I30" i="18"/>
  <c r="I31" i="18"/>
  <c r="I32" i="18"/>
  <c r="I33" i="18"/>
  <c r="I34" i="18"/>
  <c r="I35" i="18"/>
  <c r="I36" i="18"/>
  <c r="I37" i="18"/>
  <c r="I38" i="18"/>
  <c r="I39" i="18"/>
  <c r="I40" i="18"/>
  <c r="I41" i="18"/>
  <c r="I42" i="18"/>
  <c r="I43" i="18"/>
  <c r="I44" i="18"/>
  <c r="I45" i="18"/>
  <c r="I46" i="18"/>
  <c r="I47" i="18"/>
  <c r="I48" i="18"/>
  <c r="I49" i="18"/>
  <c r="I50" i="18"/>
  <c r="I51" i="18"/>
  <c r="I52" i="18"/>
  <c r="I53" i="18"/>
  <c r="I54" i="18"/>
  <c r="I55" i="18"/>
  <c r="I56" i="18"/>
  <c r="I57" i="18"/>
  <c r="I58" i="18"/>
  <c r="I59" i="18"/>
  <c r="I60" i="18"/>
  <c r="I61" i="18"/>
  <c r="I62" i="18"/>
  <c r="I63" i="18"/>
  <c r="I64" i="18"/>
  <c r="I65" i="18"/>
  <c r="I66" i="18"/>
  <c r="I67" i="18"/>
  <c r="I68" i="18"/>
  <c r="I69" i="18"/>
  <c r="I70" i="18"/>
  <c r="I71" i="18"/>
  <c r="I72" i="18"/>
  <c r="I73" i="18"/>
  <c r="I74" i="18"/>
  <c r="I75" i="18"/>
  <c r="I76" i="18"/>
  <c r="I77" i="18"/>
  <c r="I78" i="18"/>
  <c r="I79" i="18"/>
  <c r="I80" i="18"/>
  <c r="I81" i="18"/>
  <c r="I82" i="18"/>
  <c r="I83" i="18"/>
  <c r="I84" i="18"/>
  <c r="I85" i="18"/>
  <c r="I86" i="18"/>
  <c r="I87" i="18"/>
  <c r="I88" i="18"/>
  <c r="I89" i="18"/>
  <c r="I90" i="18"/>
  <c r="I91" i="18"/>
  <c r="I92" i="18"/>
  <c r="I93" i="18"/>
  <c r="I94" i="18"/>
  <c r="I95" i="18"/>
  <c r="I96" i="18"/>
  <c r="I97" i="18"/>
  <c r="I98" i="18"/>
  <c r="I99" i="18"/>
  <c r="I100" i="18"/>
  <c r="I101" i="18"/>
  <c r="I102" i="18"/>
  <c r="I103" i="18"/>
  <c r="I104" i="18"/>
  <c r="I105" i="18"/>
  <c r="I106" i="18"/>
  <c r="I107" i="18"/>
  <c r="I108" i="18"/>
  <c r="I109" i="18"/>
  <c r="I110" i="18"/>
  <c r="I111" i="18"/>
  <c r="I112" i="18"/>
  <c r="I113" i="18"/>
  <c r="I114" i="18"/>
  <c r="I115" i="18"/>
  <c r="I116" i="18"/>
  <c r="I117" i="18"/>
  <c r="I118" i="18"/>
  <c r="I119" i="18"/>
  <c r="I120" i="18"/>
  <c r="I121" i="18"/>
  <c r="I122" i="18"/>
  <c r="I123" i="18"/>
  <c r="I124" i="18"/>
  <c r="I125" i="18"/>
  <c r="I126" i="18"/>
  <c r="I127" i="18"/>
  <c r="I128" i="18"/>
  <c r="I129" i="18"/>
  <c r="I130" i="18"/>
  <c r="I131" i="18"/>
  <c r="I132" i="18"/>
  <c r="I133" i="18"/>
  <c r="I2" i="18"/>
  <c r="I52" i="15"/>
  <c r="I47" i="15"/>
  <c r="I46" i="15"/>
  <c r="I44" i="15"/>
  <c r="I43" i="15"/>
  <c r="I42" i="15"/>
  <c r="I38" i="15"/>
  <c r="I37" i="15"/>
  <c r="I35" i="15"/>
  <c r="I34" i="15"/>
  <c r="I33" i="15"/>
  <c r="I32" i="15"/>
  <c r="I31" i="15"/>
  <c r="I30" i="15"/>
  <c r="I29" i="15"/>
  <c r="I28" i="15"/>
  <c r="I27" i="15"/>
  <c r="I26" i="15"/>
  <c r="I25" i="15"/>
  <c r="I24" i="15"/>
  <c r="I23" i="15"/>
  <c r="I22" i="15"/>
  <c r="I21" i="15"/>
  <c r="I20" i="15"/>
  <c r="I19" i="15"/>
  <c r="I18" i="15"/>
  <c r="I17" i="15"/>
  <c r="I16" i="15"/>
  <c r="I15" i="15"/>
  <c r="I14" i="15"/>
  <c r="I13" i="15"/>
  <c r="I12" i="15"/>
  <c r="I11" i="15"/>
  <c r="I10" i="15"/>
  <c r="I9" i="15"/>
  <c r="I8" i="15"/>
  <c r="I7" i="15"/>
  <c r="I6" i="15"/>
  <c r="I5" i="15"/>
  <c r="I4" i="15"/>
  <c r="I3" i="15"/>
  <c r="I2" i="15"/>
  <c r="I3" i="16"/>
  <c r="I4" i="16"/>
  <c r="I5" i="16"/>
  <c r="I6" i="16"/>
  <c r="I7" i="16"/>
  <c r="I8" i="16"/>
  <c r="I9" i="16"/>
  <c r="I10" i="16"/>
  <c r="I11" i="16"/>
  <c r="I12" i="16"/>
  <c r="I13" i="16"/>
  <c r="I14" i="16"/>
  <c r="I15" i="16"/>
  <c r="I16" i="16"/>
  <c r="I17" i="16"/>
  <c r="I18" i="16"/>
  <c r="I19" i="16"/>
  <c r="I20" i="16"/>
  <c r="I21" i="16"/>
  <c r="I22" i="16"/>
  <c r="I23" i="16"/>
  <c r="I24" i="16"/>
  <c r="I25" i="16"/>
  <c r="I26" i="16"/>
  <c r="I27" i="16"/>
  <c r="I28" i="16"/>
  <c r="I29" i="16"/>
  <c r="I30" i="16"/>
  <c r="I31" i="16"/>
  <c r="I32" i="16"/>
  <c r="I33" i="16"/>
  <c r="I34" i="16"/>
  <c r="I35" i="16"/>
  <c r="I36" i="16"/>
  <c r="I37" i="16"/>
  <c r="I38" i="16"/>
  <c r="I39" i="16"/>
  <c r="I40" i="16"/>
  <c r="I41" i="16"/>
  <c r="I42" i="16"/>
  <c r="I43" i="16"/>
  <c r="I44" i="16"/>
  <c r="I45" i="16"/>
  <c r="I46" i="16"/>
  <c r="I47" i="16"/>
  <c r="I48" i="16"/>
  <c r="I49" i="16"/>
  <c r="I50" i="16"/>
  <c r="I51" i="16"/>
  <c r="I2" i="16"/>
  <c r="I3" i="14"/>
  <c r="I4" i="14"/>
  <c r="I5" i="14"/>
  <c r="I6" i="14"/>
  <c r="I7" i="14"/>
  <c r="I8" i="14"/>
  <c r="I9" i="14"/>
  <c r="I10" i="14"/>
  <c r="I11" i="14"/>
  <c r="I12" i="14"/>
  <c r="I13" i="14"/>
  <c r="I14" i="14"/>
  <c r="I15" i="14"/>
  <c r="I16" i="14"/>
  <c r="I17" i="14"/>
  <c r="I18" i="14"/>
  <c r="I19" i="14"/>
  <c r="I20" i="14"/>
  <c r="I21" i="14"/>
  <c r="I22" i="14"/>
  <c r="I23" i="14"/>
  <c r="I24" i="14"/>
  <c r="I25" i="14"/>
  <c r="I26" i="14"/>
  <c r="I27" i="14"/>
  <c r="I28" i="14"/>
  <c r="I29" i="14"/>
  <c r="I30" i="14"/>
  <c r="I31" i="14"/>
  <c r="I32" i="14"/>
  <c r="I33" i="14"/>
  <c r="I34" i="14"/>
  <c r="I35" i="14"/>
  <c r="I36" i="14"/>
  <c r="I37" i="14"/>
  <c r="I38" i="14"/>
  <c r="I39" i="14"/>
  <c r="I40" i="14"/>
  <c r="I41" i="14"/>
  <c r="I42" i="14"/>
  <c r="I43" i="14"/>
  <c r="I44" i="14"/>
  <c r="I45" i="14"/>
  <c r="I46" i="14"/>
  <c r="I47" i="14"/>
  <c r="I48" i="14"/>
  <c r="I49" i="14"/>
  <c r="I50" i="14"/>
  <c r="I51" i="14"/>
  <c r="I52" i="14"/>
  <c r="I53" i="14"/>
  <c r="I54" i="14"/>
  <c r="I55" i="14"/>
  <c r="I56" i="14"/>
  <c r="I57" i="14"/>
  <c r="I58" i="14"/>
  <c r="I59" i="14"/>
  <c r="I60" i="14"/>
  <c r="I61" i="14"/>
  <c r="I62" i="14"/>
  <c r="I63" i="14"/>
  <c r="I64" i="14"/>
  <c r="I65" i="14"/>
  <c r="I66" i="14"/>
  <c r="I67" i="14"/>
  <c r="I68" i="14"/>
  <c r="I69" i="14"/>
  <c r="I70" i="14"/>
  <c r="I71" i="14"/>
  <c r="I72" i="14"/>
  <c r="I73" i="14"/>
  <c r="I74" i="14"/>
  <c r="I75" i="14"/>
  <c r="I76" i="14"/>
  <c r="I77" i="14"/>
  <c r="I78" i="14"/>
  <c r="I79" i="14"/>
  <c r="I80" i="14"/>
  <c r="I81" i="14"/>
  <c r="I82" i="14"/>
  <c r="I83" i="14"/>
  <c r="I84" i="14"/>
  <c r="I85" i="14"/>
  <c r="I86" i="14"/>
  <c r="I87" i="14"/>
  <c r="I88" i="14"/>
  <c r="I89" i="14"/>
  <c r="I90" i="14"/>
  <c r="I91" i="14"/>
  <c r="I92" i="14"/>
  <c r="I93" i="14"/>
  <c r="I94" i="14"/>
  <c r="I95" i="14"/>
  <c r="I96" i="14"/>
  <c r="I97" i="14"/>
  <c r="I98" i="14"/>
  <c r="I99" i="14"/>
  <c r="I100" i="14"/>
  <c r="I101" i="14"/>
  <c r="I102" i="14"/>
  <c r="I103" i="14"/>
  <c r="I104" i="14"/>
  <c r="I105" i="14"/>
  <c r="I106" i="14"/>
  <c r="I107" i="14"/>
  <c r="I108" i="14"/>
  <c r="I109" i="14"/>
  <c r="I110" i="14"/>
  <c r="I111" i="14"/>
  <c r="I112" i="14"/>
  <c r="I113" i="14"/>
  <c r="I114" i="14"/>
  <c r="I115" i="14"/>
  <c r="I116" i="14"/>
  <c r="I117" i="14"/>
  <c r="I118" i="14"/>
  <c r="I119" i="14"/>
  <c r="I120" i="14"/>
  <c r="I121" i="14"/>
  <c r="I122" i="14"/>
  <c r="I123" i="14"/>
  <c r="I124" i="14"/>
  <c r="I125" i="14"/>
  <c r="I126" i="14"/>
  <c r="I2" i="14"/>
  <c r="J66" i="16" l="1"/>
  <c r="J68" i="19"/>
  <c r="M8" i="19"/>
  <c r="M7" i="19"/>
  <c r="M6" i="19"/>
  <c r="M5" i="19"/>
  <c r="M4" i="19"/>
  <c r="M2" i="19"/>
  <c r="M19" i="17"/>
  <c r="M18" i="17"/>
  <c r="M17" i="17"/>
  <c r="M16" i="17"/>
  <c r="M15" i="17"/>
  <c r="M14" i="17"/>
  <c r="M13" i="17"/>
  <c r="M12" i="17"/>
  <c r="M11" i="17"/>
  <c r="M10" i="17"/>
  <c r="M9" i="17"/>
  <c r="M8" i="17"/>
  <c r="M7" i="17"/>
  <c r="M6" i="17"/>
  <c r="M5" i="17"/>
  <c r="M4" i="17"/>
  <c r="M3" i="17"/>
  <c r="M2" i="17"/>
  <c r="M95" i="18"/>
  <c r="M94" i="18"/>
  <c r="M93" i="18"/>
  <c r="M92" i="18"/>
  <c r="M91" i="18"/>
  <c r="M87" i="18"/>
  <c r="M86" i="18"/>
  <c r="M85" i="18"/>
  <c r="M81" i="18"/>
  <c r="M80" i="18"/>
  <c r="M78" i="18"/>
  <c r="M77" i="18"/>
  <c r="M76" i="18"/>
  <c r="M72" i="18"/>
  <c r="M71" i="18"/>
  <c r="M69" i="18"/>
  <c r="M48" i="18"/>
  <c r="M47" i="18"/>
  <c r="M46" i="18"/>
  <c r="M45" i="18"/>
  <c r="M44" i="18"/>
  <c r="M43" i="18"/>
  <c r="M42" i="18"/>
  <c r="M41" i="18"/>
  <c r="M40" i="18"/>
  <c r="M39" i="18"/>
  <c r="M38" i="18"/>
  <c r="M37" i="18"/>
  <c r="M34" i="18"/>
  <c r="M32" i="18"/>
  <c r="M31" i="18"/>
  <c r="M30" i="18"/>
  <c r="M29" i="18"/>
  <c r="M28" i="18"/>
  <c r="M27" i="18"/>
  <c r="M26" i="18"/>
  <c r="M25" i="18"/>
  <c r="M24" i="18"/>
  <c r="M23" i="18"/>
  <c r="M22" i="18"/>
  <c r="M21" i="18"/>
  <c r="M20" i="18"/>
  <c r="M19" i="18"/>
  <c r="M18" i="18"/>
  <c r="M17" i="18"/>
  <c r="M16" i="18"/>
  <c r="M12" i="18"/>
  <c r="M11" i="18"/>
  <c r="M9" i="18"/>
  <c r="M8" i="18"/>
  <c r="M7" i="18"/>
  <c r="M6" i="18"/>
  <c r="M5" i="18"/>
  <c r="M4" i="18"/>
  <c r="M3" i="18"/>
  <c r="M2" i="18"/>
  <c r="M50" i="15"/>
  <c r="M43" i="15"/>
  <c r="M42" i="15"/>
  <c r="M38" i="15"/>
  <c r="M37" i="15"/>
  <c r="M35" i="15"/>
  <c r="M34" i="15"/>
  <c r="M33" i="15"/>
  <c r="M32" i="15"/>
  <c r="M31" i="15"/>
  <c r="M30" i="15"/>
  <c r="M29" i="15"/>
  <c r="M28" i="15"/>
  <c r="M27" i="15"/>
  <c r="M26" i="15"/>
  <c r="M25" i="15"/>
  <c r="M24" i="15"/>
  <c r="M23" i="15"/>
  <c r="M22" i="15"/>
  <c r="M21" i="15"/>
  <c r="M20" i="15"/>
  <c r="M19" i="15"/>
  <c r="M18" i="15"/>
  <c r="M17" i="15"/>
  <c r="M16" i="15"/>
  <c r="M15" i="15"/>
  <c r="M14" i="15"/>
  <c r="M13" i="15"/>
  <c r="M12" i="15"/>
  <c r="M11" i="15"/>
  <c r="M10" i="15"/>
  <c r="M9" i="15"/>
  <c r="M8" i="15"/>
  <c r="M7" i="15"/>
  <c r="M6" i="15"/>
  <c r="M5" i="15"/>
  <c r="M4" i="15"/>
  <c r="M3" i="15"/>
  <c r="M2" i="15"/>
  <c r="M14" i="16"/>
  <c r="M13" i="16"/>
  <c r="M6" i="16"/>
  <c r="M125" i="14"/>
  <c r="M124" i="14"/>
  <c r="M123" i="14"/>
  <c r="M122" i="14"/>
  <c r="M121" i="14"/>
  <c r="M120" i="14"/>
  <c r="M119" i="14"/>
  <c r="M118" i="14"/>
  <c r="M117" i="14"/>
  <c r="M116" i="14"/>
  <c r="M114" i="14"/>
  <c r="M113" i="14"/>
  <c r="M111" i="14"/>
  <c r="M108" i="14"/>
  <c r="M107" i="14"/>
  <c r="M106" i="14"/>
  <c r="M103" i="14"/>
  <c r="M101" i="14"/>
  <c r="M100" i="14"/>
  <c r="M99" i="14"/>
  <c r="M98" i="14"/>
  <c r="M97" i="14"/>
  <c r="M96" i="14"/>
  <c r="M95" i="14"/>
  <c r="M94" i="14"/>
  <c r="M93" i="14"/>
  <c r="M92" i="14"/>
  <c r="M91" i="14"/>
  <c r="M89" i="14"/>
  <c r="M88" i="14"/>
  <c r="M87" i="14"/>
  <c r="M86" i="14"/>
  <c r="M85" i="14"/>
  <c r="M84" i="14"/>
  <c r="M83" i="14"/>
  <c r="M82" i="14"/>
  <c r="M81" i="14"/>
  <c r="M80" i="14"/>
  <c r="M79" i="14"/>
  <c r="M78" i="14"/>
  <c r="M77" i="14"/>
  <c r="M76" i="14"/>
  <c r="M75" i="14"/>
  <c r="M74" i="14"/>
  <c r="M73" i="14"/>
  <c r="M72" i="14"/>
  <c r="M71" i="14"/>
  <c r="M58" i="14"/>
  <c r="C13" i="19"/>
  <c r="C14" i="19" s="1"/>
  <c r="C15" i="19" s="1"/>
  <c r="C16" i="19" s="1"/>
  <c r="C17" i="19" s="1"/>
  <c r="C18" i="19" s="1"/>
  <c r="C19" i="19" s="1"/>
  <c r="C20" i="19" s="1"/>
  <c r="C21" i="19" s="1"/>
  <c r="C22" i="19" s="1"/>
  <c r="C23" i="19" s="1"/>
  <c r="C24" i="19" s="1"/>
  <c r="C25" i="19" s="1"/>
  <c r="C26" i="19" s="1"/>
  <c r="C27" i="19" s="1"/>
  <c r="C28" i="19" s="1"/>
  <c r="C29" i="19" s="1"/>
  <c r="C30" i="19" s="1"/>
  <c r="C31" i="19" s="1"/>
  <c r="C32" i="19" s="1"/>
  <c r="C33" i="19" s="1"/>
  <c r="C34" i="19" s="1"/>
  <c r="C35" i="19" s="1"/>
  <c r="C36" i="19" s="1"/>
  <c r="C37" i="19" s="1"/>
  <c r="C38" i="19" s="1"/>
  <c r="B13" i="19"/>
  <c r="B14" i="19" s="1"/>
  <c r="B15" i="19" s="1"/>
  <c r="B16" i="19" s="1"/>
  <c r="B17" i="19" s="1"/>
  <c r="B18" i="19" s="1"/>
  <c r="B19" i="19" s="1"/>
  <c r="B20" i="19" s="1"/>
  <c r="B21" i="19" s="1"/>
  <c r="B22" i="19" s="1"/>
  <c r="B23" i="19" s="1"/>
  <c r="B24" i="19" s="1"/>
  <c r="B25" i="19" s="1"/>
  <c r="B26" i="19" s="1"/>
  <c r="B27" i="19" s="1"/>
  <c r="B28" i="19" s="1"/>
  <c r="B29" i="19" s="1"/>
  <c r="B30" i="19" s="1"/>
  <c r="B31" i="19" s="1"/>
  <c r="B32" i="19" s="1"/>
  <c r="J67" i="16" l="1"/>
  <c r="J69" i="19"/>
  <c r="C37" i="16"/>
  <c r="B37" i="16"/>
  <c r="J70" i="19" l="1"/>
  <c r="C2" i="19"/>
  <c r="C18" i="16"/>
  <c r="B18" i="16"/>
  <c r="C24" i="18"/>
  <c r="B24" i="18"/>
  <c r="J2" i="19"/>
  <c r="B2" i="19"/>
  <c r="J71" i="19" l="1"/>
  <c r="C7" i="17"/>
  <c r="C8" i="17" s="1"/>
  <c r="C10" i="15"/>
  <c r="C11" i="15" s="1"/>
  <c r="D33" i="14"/>
  <c r="J72" i="19" l="1"/>
  <c r="D34" i="14"/>
  <c r="J6" i="15"/>
  <c r="J7" i="15"/>
  <c r="J73" i="19" l="1"/>
  <c r="X4" i="22" l="1"/>
  <c r="W12" i="22"/>
  <c r="Y12" i="22" s="1"/>
  <c r="S17" i="22"/>
  <c r="V17" i="22" s="1"/>
  <c r="W17" i="22"/>
  <c r="Y17" i="22" s="1"/>
  <c r="S22" i="22"/>
  <c r="V22" i="22" s="1"/>
  <c r="S27" i="22" s="1"/>
  <c r="V27" i="22" s="1"/>
  <c r="W22" i="22"/>
  <c r="Y22" i="22" s="1"/>
  <c r="S32" i="22"/>
  <c r="V32" i="22" s="1"/>
  <c r="W27" i="22"/>
  <c r="Y27" i="22" s="1"/>
  <c r="S37" i="22" l="1"/>
  <c r="V37" i="22" s="1"/>
  <c r="W32" i="22"/>
  <c r="Y32" i="22" s="1"/>
  <c r="W11" i="22"/>
  <c r="Y11" i="22" s="1"/>
  <c r="S16" i="22"/>
  <c r="V16" i="22" s="1"/>
  <c r="W10" i="22"/>
  <c r="S15" i="22"/>
  <c r="V15" i="22" s="1"/>
  <c r="X9" i="22"/>
  <c r="Y9" i="22" s="1"/>
  <c r="S14" i="22"/>
  <c r="V14" i="22" s="1"/>
  <c r="Y4" i="22"/>
  <c r="X14" i="22" l="1"/>
  <c r="S19" i="22"/>
  <c r="V19" i="22" s="1"/>
  <c r="W15" i="22"/>
  <c r="Y15" i="22" s="1"/>
  <c r="S20" i="22"/>
  <c r="V20" i="22" s="1"/>
  <c r="S25" i="22" s="1"/>
  <c r="V25" i="22" s="1"/>
  <c r="Y10" i="22"/>
  <c r="W16" i="22"/>
  <c r="S21" i="22"/>
  <c r="V21" i="22" s="1"/>
  <c r="S26" i="22" s="1"/>
  <c r="V26" i="22" s="1"/>
  <c r="S42" i="22"/>
  <c r="V42" i="22" s="1"/>
  <c r="W37" i="22"/>
  <c r="Y37" i="22" s="1"/>
  <c r="V1" i="22" l="1"/>
  <c r="S24" i="22"/>
  <c r="V24" i="22" s="1"/>
  <c r="S47" i="22"/>
  <c r="V47" i="22" s="1"/>
  <c r="W42" i="22"/>
  <c r="Y42" i="22" s="1"/>
  <c r="W21" i="22"/>
  <c r="Y21" i="22" s="1"/>
  <c r="Y16" i="22"/>
  <c r="W20" i="22"/>
  <c r="X19" i="22"/>
  <c r="Y19" i="22" s="1"/>
  <c r="Y14" i="22"/>
  <c r="S29" i="22" l="1"/>
  <c r="V29" i="22" s="1"/>
  <c r="X24" i="22"/>
  <c r="S30" i="22"/>
  <c r="V30" i="22" s="1"/>
  <c r="W25" i="22"/>
  <c r="Y25" i="22" s="1"/>
  <c r="Y20" i="22"/>
  <c r="S31" i="22"/>
  <c r="V31" i="22" s="1"/>
  <c r="W26" i="22"/>
  <c r="S52" i="22"/>
  <c r="V52" i="22" s="1"/>
  <c r="W47" i="22"/>
  <c r="Y47" i="22" s="1"/>
  <c r="S57" i="22" l="1"/>
  <c r="V57" i="22" s="1"/>
  <c r="W52" i="22"/>
  <c r="Y52" i="22" s="1"/>
  <c r="Y26" i="22"/>
  <c r="S36" i="22"/>
  <c r="V36" i="22" s="1"/>
  <c r="W31" i="22"/>
  <c r="Y31" i="22" s="1"/>
  <c r="S35" i="22"/>
  <c r="V35" i="22" s="1"/>
  <c r="W30" i="22"/>
  <c r="Y24" i="22"/>
  <c r="S34" i="22"/>
  <c r="V34" i="22" s="1"/>
  <c r="X29" i="22"/>
  <c r="Y29" i="22" l="1"/>
  <c r="S39" i="22"/>
  <c r="V39" i="22" s="1"/>
  <c r="X34" i="22"/>
  <c r="Y30" i="22"/>
  <c r="S40" i="22"/>
  <c r="V40" i="22" s="1"/>
  <c r="W35" i="22"/>
  <c r="S41" i="22"/>
  <c r="V41" i="22" s="1"/>
  <c r="W36" i="22"/>
  <c r="Y36" i="22" s="1"/>
  <c r="S62" i="22"/>
  <c r="V62" i="22" s="1"/>
  <c r="W62" i="22" s="1"/>
  <c r="Y62" i="22" s="1"/>
  <c r="W57" i="22"/>
  <c r="Y57" i="22" s="1"/>
  <c r="S46" i="22" l="1"/>
  <c r="V46" i="22" s="1"/>
  <c r="W41" i="22"/>
  <c r="Y41" i="22" s="1"/>
  <c r="Y35" i="22"/>
  <c r="S45" i="22"/>
  <c r="V45" i="22" s="1"/>
  <c r="W40" i="22"/>
  <c r="Y34" i="22"/>
  <c r="S44" i="22"/>
  <c r="V44" i="22" s="1"/>
  <c r="X39" i="22"/>
  <c r="Y39" i="22" l="1"/>
  <c r="S49" i="22"/>
  <c r="V49" i="22" s="1"/>
  <c r="X44" i="22"/>
  <c r="Y40" i="22"/>
  <c r="S50" i="22"/>
  <c r="V50" i="22" s="1"/>
  <c r="W45" i="22"/>
  <c r="S51" i="22"/>
  <c r="V51" i="22" s="1"/>
  <c r="W46" i="22"/>
  <c r="Y46" i="22" s="1"/>
  <c r="S56" i="22" l="1"/>
  <c r="V56" i="22" s="1"/>
  <c r="W51" i="22"/>
  <c r="Y51" i="22" s="1"/>
  <c r="Y45" i="22"/>
  <c r="W1" i="22"/>
  <c r="S55" i="22"/>
  <c r="V55" i="22" s="1"/>
  <c r="W50" i="22"/>
  <c r="Y50" i="22" s="1"/>
  <c r="Y44" i="22"/>
  <c r="Y1" i="22" s="1"/>
  <c r="AB8" i="22" s="1"/>
  <c r="X1" i="22"/>
  <c r="S54" i="22"/>
  <c r="V54" i="22" s="1"/>
  <c r="X49" i="22"/>
  <c r="Y49" i="22" s="1"/>
  <c r="AB4" i="22" l="1"/>
  <c r="AB10" i="22" s="1"/>
  <c r="S59" i="22"/>
  <c r="V59" i="22" s="1"/>
  <c r="X59" i="22" s="1"/>
  <c r="Y59" i="22" s="1"/>
  <c r="X54" i="22"/>
  <c r="Y54" i="22" s="1"/>
  <c r="S60" i="22"/>
  <c r="V60" i="22" s="1"/>
  <c r="W60" i="22" s="1"/>
  <c r="Y60" i="22" s="1"/>
  <c r="W55" i="22"/>
  <c r="Y55" i="22" s="1"/>
  <c r="S61" i="22"/>
  <c r="V61" i="22" s="1"/>
  <c r="W61" i="22" s="1"/>
  <c r="Y61" i="22" s="1"/>
  <c r="W56" i="22"/>
  <c r="Y56"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409" authorId="0" shapeId="0" xr:uid="{1AAEE089-7D45-4943-BF09-47C4D4AF23A5}">
      <text>
        <r>
          <rPr>
            <b/>
            <sz val="9"/>
            <color indexed="81"/>
            <rFont val="Tahoma"/>
            <family val="2"/>
          </rPr>
          <t xml:space="preserve">Author:
</t>
        </r>
      </text>
    </comment>
    <comment ref="A1410" authorId="0" shapeId="0" xr:uid="{87C1C7F5-067A-43A3-AE25-AC4729771E62}">
      <text>
        <r>
          <rPr>
            <b/>
            <sz val="9"/>
            <color indexed="81"/>
            <rFont val="Tahoma"/>
            <family val="2"/>
          </rPr>
          <t xml:space="preserve">Author: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<sst xmlns="http://schemas.openxmlformats.org/spreadsheetml/2006/main" count="20552" uniqueCount="4917">
  <si>
    <t xml:space="preserve"> </t>
  </si>
  <si>
    <t>Suppliers (Goods)</t>
  </si>
  <si>
    <t>Date</t>
  </si>
  <si>
    <t>088BC04251260002</t>
  </si>
  <si>
    <t/>
  </si>
  <si>
    <t>Particulars</t>
  </si>
  <si>
    <t>Deposit (Cr)</t>
  </si>
  <si>
    <t>Remarks</t>
  </si>
  <si>
    <t>ACH/RFU2506240981724/ICIC0000000017003934/DRBUY8417464</t>
  </si>
  <si>
    <t>26/06/2025 12:36:55 PM</t>
  </si>
  <si>
    <t>S52378880</t>
  </si>
  <si>
    <t>ACH/RFU2506240981723/ICIC0000000017003934/DRBUY8417475</t>
  </si>
  <si>
    <t>S52377772</t>
  </si>
  <si>
    <t>ACH/RFU2506240981712/ICIC0000000017003934/DRBUY8417471</t>
  </si>
  <si>
    <t>26/06/2025 12:36:54 PM</t>
  </si>
  <si>
    <t>S52378184</t>
  </si>
  <si>
    <t>ACH/RFU2506240981717/ICIC0000000017003934/DRBUY8417456</t>
  </si>
  <si>
    <t>S52378163</t>
  </si>
  <si>
    <t>ACH/RFU2506240981716/ICIC0000000017003934/DRBUY8417458</t>
  </si>
  <si>
    <t>S52378115</t>
  </si>
  <si>
    <t>TRUERECOS MICPVTLTD</t>
  </si>
  <si>
    <t>RTGS/ICICR4202506 2500554581/UTIB0002951/TRUERECOS MICPVTLTD/OCD</t>
  </si>
  <si>
    <t>S4609 3283</t>
  </si>
  <si>
    <t>RTGS- FDRLR52025062588 826845-ORIANA POWER LIMITED- 13405500003286- FDRL0009001</t>
  </si>
  <si>
    <t>S4477 0804</t>
  </si>
  <si>
    <t>TRUERECOSMICPVTLTD</t>
  </si>
  <si>
    <t>RTGS/ICICR4202506 2500528712/UTIB0002951/TRUERECOSMICPVTLTD/Equity</t>
  </si>
  <si>
    <t>S4405 4344</t>
  </si>
  <si>
    <t>RTGS- FDRLR52025062588 826664-ORIANA POWER LIMITED- 13405500003286- FDRL0009001</t>
  </si>
  <si>
    <t>S4381 2632</t>
  </si>
  <si>
    <t>ACH/RFU250328088 8018/ICIC0000000017003934/DRBUY8410731</t>
  </si>
  <si>
    <t>S4319 6122</t>
  </si>
  <si>
    <t>ACH/RFU250327088 6355/ICIC0000000017003934/DRBUY8410586</t>
  </si>
  <si>
    <t>S4319 3071</t>
  </si>
  <si>
    <t>ACH/RFU250327088 6330/ICIC0000000017003934/DRBUY8410583</t>
  </si>
  <si>
    <t>S4319 4087</t>
  </si>
  <si>
    <t>ACH/RFU250327088 6452/ICIC0000000017003934/DRBUY8410599</t>
  </si>
  <si>
    <t>S4319 4052</t>
  </si>
  <si>
    <t>ACH/RFU250327088 6355/ICIC0000000017003934/DRBUY8410587</t>
  </si>
  <si>
    <t>S4319 3530</t>
  </si>
  <si>
    <t>RTGS/ICICR4202506 2500516956/UTIB0002951/TRUERECOSMICPVTLTD/Equity</t>
  </si>
  <si>
    <t>S4314 1290</t>
  </si>
  <si>
    <t>RTGS- HDFCR5202506258 4249430-ORIANA POWER LIMITED- 50200089506209- HDFC0000240</t>
  </si>
  <si>
    <t>S4297 3232</t>
  </si>
  <si>
    <t>RTGS- SBINR12025062589 941278-ORIANA POWER LIMITED- 40101241252- SBIN0013913</t>
  </si>
  <si>
    <t>S4290 9721</t>
  </si>
  <si>
    <t>RTGS- SBINR12025062589 941288-ORIANA POWER LIMITED- 40101241252- SBIN0013913</t>
  </si>
  <si>
    <t>S4290 9147</t>
  </si>
  <si>
    <t>RTGS- SBINR12025062589 941084-ORIANA POWER LIMITED- 40101241252- SBIN0013913</t>
  </si>
  <si>
    <t>S4290 8228</t>
  </si>
  <si>
    <t>Transaction Remarks</t>
  </si>
  <si>
    <t>Cheque no / Ref No</t>
  </si>
  <si>
    <t>Transaction Posted Date</t>
  </si>
  <si>
    <t>Transaction Date</t>
  </si>
  <si>
    <t>Value Date</t>
  </si>
  <si>
    <t>Tran Id</t>
  </si>
  <si>
    <t>Sl No</t>
  </si>
  <si>
    <t>ANSALS ARCADE NOIDA</t>
  </si>
  <si>
    <t>088GT02251770002</t>
  </si>
  <si>
    <t>COMM ON GUARANTEE ISSUED</t>
  </si>
  <si>
    <t>CMS TF WBO MUMBAI</t>
  </si>
  <si>
    <t>ICICN42025062656186219</t>
  </si>
  <si>
    <t>NEFT Cr-ICIC0SF0002-GOLD MOHUR OVERSEAS-ORIANAPOWERLIMITED-ICICN42025062656186219</t>
  </si>
  <si>
    <t>RTGS Dr- ICIC0003488-ORIANA POWER LIMITED-CBXInternet- HDFCR5202506258424 9430- C66001250625113736</t>
  </si>
  <si>
    <t>Transaction Branch</t>
  </si>
  <si>
    <t>Reference No.</t>
  </si>
  <si>
    <t>Transaction Description</t>
  </si>
  <si>
    <t>RTG/FDRLR52025062588827783/ICIC/TRUERE MOUNTAIN PR</t>
  </si>
  <si>
    <t xml:space="preserve"> S2519569</t>
  </si>
  <si>
    <t xml:space="preserve">TFR </t>
  </si>
  <si>
    <t>25-06-2025</t>
  </si>
  <si>
    <t>RTG/FDRLR52025062588827583/ICIC/IMPERIAL NATURE PR</t>
  </si>
  <si>
    <t xml:space="preserve"> S630614</t>
  </si>
  <si>
    <t>RTG/STLC RE LIMITED/CBINR52025062510015294/CENTRAL</t>
  </si>
  <si>
    <t>S99422465</t>
  </si>
  <si>
    <t>RTG/FDRLR52025062588826847/SBIN/ORIANA POWER LIMIT</t>
  </si>
  <si>
    <t>S98567891</t>
  </si>
  <si>
    <t>RTG/FDRLR52025062588826846/HDFC/ORIANA POWER LIMIT</t>
  </si>
  <si>
    <t>S98567822</t>
  </si>
  <si>
    <t>RTG/FDRLR52025062588826845/ICIC/ORIANA POWER LIMIT</t>
  </si>
  <si>
    <t>S98567765</t>
  </si>
  <si>
    <t>FT IMPS/IFO/517614482724/YESB0001058/I250625145332</t>
  </si>
  <si>
    <t>S98404889</t>
  </si>
  <si>
    <t>NFT/TRUERE COSMIC P/AXOIC17645201494/AXIS BANK</t>
  </si>
  <si>
    <t>S98279654</t>
  </si>
  <si>
    <t>RTG/FDRLR52025062588826664/ICIC/ORIANA POWER LIMIT</t>
  </si>
  <si>
    <t>S97180359</t>
  </si>
  <si>
    <t>RTG/TRUERE COSMIC P/UTIBR62025062510407278/AXIS BA</t>
  </si>
  <si>
    <t>S97058257</t>
  </si>
  <si>
    <t>RTG/TRUERE COSMIC P/UTIBR62025062510406438/AXIS BA</t>
  </si>
  <si>
    <t>S97004286</t>
  </si>
  <si>
    <t>Cheque Details</t>
  </si>
  <si>
    <t>Tran ID</t>
  </si>
  <si>
    <t>Tran Type</t>
  </si>
  <si>
    <t>NSBI_PAY_25JUN5C NADRCSNA4 TRANSFER TO 3199737139131 /</t>
  </si>
  <si>
    <t>TO TRANSFER-INB NSBI PAYMENTS-</t>
  </si>
  <si>
    <t>SBI_PAY_25JUN2CT0 0RVFUA0TRANSFER TO 98561139139 /</t>
  </si>
  <si>
    <t>TO TRANSFER-INB SBI PAYMENTS-</t>
  </si>
  <si>
    <t>TRANSFER FROM 3199859044307 / ORIANA POWER LIMITED</t>
  </si>
  <si>
    <t>BY TRANSFER-RTGS UTR NO: FDRLR52025062588826847- ORIANA POWER LIMITED</t>
  </si>
  <si>
    <t>TRANSFER FROM 41314638691 ORIANA POWER LIMITED /</t>
  </si>
  <si>
    <t>BY TRANSFER- MARGIN RELEASED-</t>
  </si>
  <si>
    <t>RTGS INB: CRJ9944482 TRANSFER TO 99827044308 / ORIANA POWER ICICI</t>
  </si>
  <si>
    <t>TO TRANSFER-INB RTGS UTR NO: SBINR12025062589941288- ORIANA POWER ICICI</t>
  </si>
  <si>
    <t>RTGS INB: CRJ9944197 TRANSFER TO 4599111044305 / ORIANA POWER ICICI</t>
  </si>
  <si>
    <t>TO TRANSFER-INB RTGS UTR NO: SBINR12025062589941084- ORIANA POWER ICICI</t>
  </si>
  <si>
    <t>RTGS INB: CRJ9944196 TRANSFER TO 4599113044303 / ORIANA POWER ICICI</t>
  </si>
  <si>
    <t>TO TRANSFER-INB RTGS UTR NO: SBINR12025062589941278- ORIANA POWER ICICI</t>
  </si>
  <si>
    <t>TRANSFER TO 41420107021 ORIANA POWER LIMITED /</t>
  </si>
  <si>
    <t>WITHDRAWAL TRANSFER--</t>
  </si>
  <si>
    <t>S52379312</t>
  </si>
  <si>
    <t>ACH/RFU2506240981715/ICIC0000000017003934/DRBUY8417473</t>
  </si>
  <si>
    <t>S52378936</t>
  </si>
  <si>
    <t>ACH/RFU2506240981718/ICIC0000000017003934/DRBUY8417460</t>
  </si>
  <si>
    <t>S52379379</t>
  </si>
  <si>
    <t>ACH/RFU2506240981721/ICIC0000000017003934/DRBUY8417466</t>
  </si>
  <si>
    <t>S52379755</t>
  </si>
  <si>
    <t>ACH/RFU2506240981719/ICIC0000000017003934/DRBUY8417462</t>
  </si>
  <si>
    <t>S52378356</t>
  </si>
  <si>
    <t>ACH/RFU2506240981722/ICIC0000000017003934/DRBUY8417477</t>
  </si>
  <si>
    <t>CHRG/IMPS/3436/24-06-2025</t>
  </si>
  <si>
    <t xml:space="preserve"> S5994292</t>
  </si>
  <si>
    <t>Reference No</t>
  </si>
  <si>
    <t>Running Balance</t>
  </si>
  <si>
    <t>B/F..</t>
  </si>
  <si>
    <t>- -</t>
  </si>
  <si>
    <t>014BG01251760002-COM M-GTEE-MAYUR VIHAR</t>
  </si>
  <si>
    <t>014BG01251760002-MM- BOOKED-MAYUR VIHAR</t>
  </si>
  <si>
    <t>Penal for Non Subm ission of SS May 25</t>
  </si>
  <si>
    <t>GST on Penal for Non S ubmission of SS May 25</t>
  </si>
  <si>
    <t>TRANSFER FROM 3199855044301 / ORIANA POWER LIMITED</t>
  </si>
  <si>
    <t>TRANSFER FROM 4698336044307 / TATA CAPITAL LIMITED</t>
  </si>
  <si>
    <t>S61308730</t>
  </si>
  <si>
    <t>27/06/2025 12:18:48 PM</t>
  </si>
  <si>
    <t>ACH/RFU2506250983364/ICIC0000000017003934/DRBUY8440228</t>
  </si>
  <si>
    <t>S61308779</t>
  </si>
  <si>
    <t>27/06/2025 12:18:49 PM</t>
  </si>
  <si>
    <t>ACH/RFU2506250983380/ICIC0000000017003934/DRBUY8440234</t>
  </si>
  <si>
    <t>S61307845</t>
  </si>
  <si>
    <t>27/06/2025 12:18:50 PM</t>
  </si>
  <si>
    <t>ACH/RFU2506250983367/ICIC0000000017003934/DRBUY8440232</t>
  </si>
  <si>
    <t>S61308384</t>
  </si>
  <si>
    <t>ACH/RFU2506250982862/ICIC0000000017003934/DRBUY8440230</t>
  </si>
  <si>
    <t>S61310436</t>
  </si>
  <si>
    <t>27/06/2025 12:19:04 PM</t>
  </si>
  <si>
    <t>ACH/RFU2506250983383/ICIC0000000017003934/DRBUY8440224</t>
  </si>
  <si>
    <t>S61310969</t>
  </si>
  <si>
    <t>ACH/RFU2506250983307/ICIC0000000017003934/DRBUY8440226</t>
  </si>
  <si>
    <t>S64978304</t>
  </si>
  <si>
    <t>27/06/2025 06:02:35 PM</t>
  </si>
  <si>
    <t>NEFT-ICICN22025062730912095-NTPC VIDYUT VYAPAR NIGAM LIMITED-NTPC VIDYUT VYAPAR N-0104SLNEFTPL-ICIC</t>
  </si>
  <si>
    <t>RCPUT NORTH</t>
  </si>
  <si>
    <t>FT - 008827062500117 Cr - 50200094648143 - ORIANA POWER LIMITED</t>
  </si>
  <si>
    <t>27/06/2025 20:06:00</t>
  </si>
  <si>
    <t>LIQUIDATION OF LOCAL BILL UNDER LC</t>
  </si>
  <si>
    <t>27/06/2025 14:15:03</t>
  </si>
  <si>
    <t>27-06-2025</t>
  </si>
  <si>
    <t>S23893829</t>
  </si>
  <si>
    <t>CHRG/IMPS/25000/25-06-2025</t>
  </si>
  <si>
    <t>S27176572</t>
  </si>
  <si>
    <t>NFT/FBPT251782406675/PSIB/TRUERE GUJ PVT LTD/I2706</t>
  </si>
  <si>
    <t xml:space="preserve">   TO TRANSFER-INB RTGS UTR NO: SBINR12025062790264270--THE NEW INDIA ASSURANCE CO LTD</t>
  </si>
  <si>
    <t>RTGS INB: CRK5629805                              TRANSFER TO 4599113044303 / THE NEW INDIA ASSURANCE CO LTD</t>
  </si>
  <si>
    <t xml:space="preserve">   TO TRANSFER-INB NSBI PAYMENTS--</t>
  </si>
  <si>
    <t xml:space="preserve">NSBI_PAY_26JUNCNADRDOCP0               TRANSFER TO 98561139139 / </t>
  </si>
  <si>
    <t xml:space="preserve">NSBI_PAY_25JUN4CNADRDDAT6               TRANSFER TO 98561139139 / </t>
  </si>
  <si>
    <t xml:space="preserve">   TO TRANSFER-INB SBI PAYMENTS-MD AMANULLAH 2312133--</t>
  </si>
  <si>
    <t xml:space="preserve">SBI_PAY_26JUNCT00RVWQF6               TRANSFER TO 35091423135                           Mr. MD  AMANULLAH / </t>
  </si>
  <si>
    <t xml:space="preserve">   TO TRANSFER-INB SBI PAYMENTS-CENTRAL ENERGY SOLUTION--</t>
  </si>
  <si>
    <t xml:space="preserve">SBI_PAY_27JUNCT00RXCEF1               TRANSFER TO 35140228629                           CENTRAL ENERGY SOLUTIO / </t>
  </si>
  <si>
    <t xml:space="preserve">   TO TRANSFER-INB RTGS UTR NO: SBINR12025062790309426--BAJAJ ALLIANZ GENERAL INSURANCE</t>
  </si>
  <si>
    <t>RTGS INB: CRK5760116                              TRANSFER TO 4599108044309 / BAJAJ ALLIANZ GENERAL INSURANCE</t>
  </si>
  <si>
    <t xml:space="preserve">NSBI_PAY_27JUN3CNADRFYWP2               TRANSFER TO 98561139139 / </t>
  </si>
  <si>
    <t xml:space="preserve">   TO TRANSFER-INB SBI PAYMENTS--</t>
  </si>
  <si>
    <t xml:space="preserve">SBI_PAY_27JUN2CT00RXJPD4               TRANSFER TO 98561139139 / </t>
  </si>
  <si>
    <t xml:space="preserve">   TO TRANSFER-INB RTGS UTR NO: SBINR12025062790339362--SHIVA CONSTRUCTION</t>
  </si>
  <si>
    <t>RTGS INB: CRK7005653                              TRANSFER TO 99827044308 / SHIVA CONSTRUCTION</t>
  </si>
  <si>
    <t>Txn Date</t>
  </si>
  <si>
    <t>Description</t>
  </si>
  <si>
    <t>Ref No./Cheque No.</t>
  </si>
  <si>
    <t>Branch Code</t>
  </si>
  <si>
    <t>NFT/TRUERE COSMIC P/AXOIC17859744404/AXIS BANK</t>
  </si>
  <si>
    <t>S28189345</t>
  </si>
  <si>
    <t>RTG/FDRLR52025062888833337/PSIB/TRUERE GUJ PVT LTD</t>
  </si>
  <si>
    <t>S33259622</t>
  </si>
  <si>
    <t xml:space="preserve">NSBI_PAY_27JUN4CNADRGHCR2               TRANSFER TO 98561139139 / </t>
  </si>
  <si>
    <t xml:space="preserve">SBI_PAY_27JUN4CT00RXLSJ3               TRANSFER TO 98561139139 / </t>
  </si>
  <si>
    <t xml:space="preserve">SBI_PAY_28JUNCT00RYAXE2               TRANSFER TO 98561139139 / </t>
  </si>
  <si>
    <t xml:space="preserve">NSBI_PAY_28JUNCNADRGWTR4               TRANSFER TO 98561139139 / </t>
  </si>
  <si>
    <t>Invoice Discounting Paid (Invoice Mart)</t>
  </si>
  <si>
    <t xml:space="preserve">   BY TRANSFER-RTGS UTR NO: FDRLR52025063088834401--ORIANA POWER LIMITED</t>
  </si>
  <si>
    <t xml:space="preserve">   TO TRANSFER-INB RTGS UTR NO: SBINR12025063090472452--ORIANA POWER LIMITED FEDERAL CC</t>
  </si>
  <si>
    <t>RTGS INB: CRL0781132                              TRANSFER TO 4599108044309 / ORIANA POWER LIMITED FEDERAL CC</t>
  </si>
  <si>
    <t xml:space="preserve">   TO TRANSFER-INB NEFT UTR NO: SBIN225181821364--QUICK E TAX SERVICES</t>
  </si>
  <si>
    <t>NEFT INB: CNADRIMEP9                              TRANSFER TO 4697161044302 / QUICK E TAX SERVICES</t>
  </si>
  <si>
    <t xml:space="preserve">   TO TRANSFER-INB RTGS UTR NO: SBINR12025063090593723--NANDED CRAN SERVICE</t>
  </si>
  <si>
    <t>RTGS INB: CRL1326343                              TRANSFER TO 4599108044309 / NANDED CRAN SERVICE</t>
  </si>
  <si>
    <t xml:space="preserve">   BY TRANSFER-INB--</t>
  </si>
  <si>
    <t xml:space="preserve">CT00RZNEE1               TRANSFER FROM 42180466856                         STOCKWELL SOLAR SERVIC / </t>
  </si>
  <si>
    <t xml:space="preserve">CT00RZNDX4               TRANSFER FROM 42180466856                         STOCKWELL SOLAR SERVIC / </t>
  </si>
  <si>
    <t xml:space="preserve">CT00RZNCP8               TRANSFER FROM 42180466856                         STOCKWELL SOLAR SERVIC / </t>
  </si>
  <si>
    <t xml:space="preserve">CT00RZNCB4               TRANSFER FROM 42180466856                         STOCKWELL SOLAR SERVIC / </t>
  </si>
  <si>
    <t xml:space="preserve">CT00RZNDC1               TRANSFER FROM 42180466856                         STOCKWELL SOLAR SERVIC / </t>
  </si>
  <si>
    <t xml:space="preserve">CT00RZNDQ6               TRANSFER FROM 42180466856                         STOCKWELL SOLAR SERVIC / </t>
  </si>
  <si>
    <t xml:space="preserve">CT00RZNIO4               TRANSFER FROM 42180466856                         STOCKWELL SOLAR SERVIC / </t>
  </si>
  <si>
    <t xml:space="preserve">CT00RZNHV5               TRANSFER FROM 42180466856                         STOCKWELL SOLAR SERVIC / </t>
  </si>
  <si>
    <t xml:space="preserve">CT00RZNGD3               TRANSFER FROM 42180466856                         STOCKWELL SOLAR SERVIC / </t>
  </si>
  <si>
    <t xml:space="preserve">CT00RZNGA6               TRANSFER FROM 42180466856                         STOCKWELL SOLAR SERVIC / </t>
  </si>
  <si>
    <t xml:space="preserve">CT00RZNGP5               TRANSFER FROM 42180466856                         STOCKWELL SOLAR SERVIC / </t>
  </si>
  <si>
    <t xml:space="preserve">CT00RZNHA3               TRANSFER FROM 42180466856                         STOCKWELL SOLAR SERVIC / </t>
  </si>
  <si>
    <t xml:space="preserve">   BY TRANSFER-RTGS UTR NO: ICICR42025063000599998--TATA CAPITAL LIMITED</t>
  </si>
  <si>
    <t xml:space="preserve">   TO TRANSFER-INB RTGS UTR NO: SBINR12025063090605773--SAATVIK GREEN ENERGY LTD</t>
  </si>
  <si>
    <t>RTGS INB: CRL2052031                              TRANSFER TO 4599110044305 / SAATVIK GREEN ENERGY LTD</t>
  </si>
  <si>
    <t xml:space="preserve">   TO TRANSFER-INB RTGS UTR NO: SBINR12025063090605776--SAATVIK GREEN ENERGY LTD</t>
  </si>
  <si>
    <t>RTGS INB: CRL2008601                              TRANSFER TO 4599113044303 / SAATVIK GREEN ENERGY LTD</t>
  </si>
  <si>
    <t xml:space="preserve">   TO TRANSFER-INB RTGS UTR NO: SBINR12025063090605814--SAATVIK GREEN ENERGY LTD</t>
  </si>
  <si>
    <t>RTGS INB: CRL1992944                              TRANSFER TO 4599112044304 / SAATVIK GREEN ENERGY LTD</t>
  </si>
  <si>
    <t xml:space="preserve">   TO TRANSFER-INB NEFT UTR NO: SBIN325181880485--SAATVIK GREEN ENERGY LTD</t>
  </si>
  <si>
    <t>NEFT INB: CNADRJIVH0                              TRANSFER TO 4698144044304 / SAATVIK GREEN ENERGY LTD</t>
  </si>
  <si>
    <t xml:space="preserve">   TO TRANSFER-INB RTGS UTR NO: SBINR12025063090608780--KIANA ENERGY SOLUTIONS LLP</t>
  </si>
  <si>
    <t>RTGS INB: CRL2418616                              TRANSFER TO 99827044308 / KIANA ENERGY SOLUTIONS LLP</t>
  </si>
  <si>
    <t xml:space="preserve">   TO TRANSFER-INB RTGS UTR NO: SBINR12025063090608828--KIANA ENERGY SOLUTIONS LLP</t>
  </si>
  <si>
    <t>RTGS INB: CRL2418620                              TRANSFER TO 4599113044303 / KIANA ENERGY SOLUTIONS LLP</t>
  </si>
  <si>
    <t xml:space="preserve">   DEBIT INTEREST---</t>
  </si>
  <si>
    <t xml:space="preserve"> / </t>
  </si>
  <si>
    <t>S83669375</t>
  </si>
  <si>
    <t>30/06/2025 11:13:38 AM</t>
  </si>
  <si>
    <t>RTGS-FDRLR52025063088833904-ORIANA POWER LIMITED-13405500003286-FDRL0009001</t>
  </si>
  <si>
    <t>S84670627</t>
  </si>
  <si>
    <t>30/06/2025 12:15:43 PM</t>
  </si>
  <si>
    <t>ACH/RFU2506270986667/ICIC0000000017003934/DRBUY8457946</t>
  </si>
  <si>
    <t>S84670949</t>
  </si>
  <si>
    <t>30/06/2025 12:15:44 PM</t>
  </si>
  <si>
    <t>ACH/RFU2506270986714/ICIC0000000017003934/DRBUY8457874</t>
  </si>
  <si>
    <t>S84677533</t>
  </si>
  <si>
    <t>30/06/2025 12:15:49 PM</t>
  </si>
  <si>
    <t>ACH/RFU2506270986708/ICIC0000000017003934/DRBUY8456941</t>
  </si>
  <si>
    <t>S84681803</t>
  </si>
  <si>
    <t>30/06/2025 12:15:53 PM</t>
  </si>
  <si>
    <t>ACH/RFU2506280986989/ICIC0000000017003934/DRBUY8457949</t>
  </si>
  <si>
    <t>S84681928</t>
  </si>
  <si>
    <t>30/06/2025 12:15:54 PM</t>
  </si>
  <si>
    <t>ACH/RFU2506270986710/ICIC0000000017003934/DRBUY8457944</t>
  </si>
  <si>
    <t>S84683821</t>
  </si>
  <si>
    <t>30/06/2025 12:15:55 PM</t>
  </si>
  <si>
    <t>ACH/RFU2504020892703/ICIC0000000017003934/DRBUY8458662</t>
  </si>
  <si>
    <t>S84684000</t>
  </si>
  <si>
    <t>ACH/RFU2504020892703/ICIC0000000017003934/DRBUY8458661</t>
  </si>
  <si>
    <t>S84706722</t>
  </si>
  <si>
    <t>30/06/2025 12:16:20 PM</t>
  </si>
  <si>
    <t>ACH/RFU2506270986698/ICIC0000000017003934/DRBUY8456930</t>
  </si>
  <si>
    <t>S85280545</t>
  </si>
  <si>
    <t>30/06/2025 12:44:08 PM</t>
  </si>
  <si>
    <t>RTGS-FDRLR52025063088834398-ORIANA POWER LIMITED-13405500003286-FDRL0009001</t>
  </si>
  <si>
    <t>S87916530</t>
  </si>
  <si>
    <t>30/06/2025 03:07:14 PM</t>
  </si>
  <si>
    <t>NTS/0031NFLG00074626-SWIFT/THE GUYANA ENERGY AGENCY</t>
  </si>
  <si>
    <t>S87917467</t>
  </si>
  <si>
    <t>NTS/0031NFLG00074626-Commission/THE GUYANA ENERGYAGENCY</t>
  </si>
  <si>
    <t>30-06-2025</t>
  </si>
  <si>
    <t>RTG/FDRLR52025063088833902/HDFC/ORIANA POWER LIMIT</t>
  </si>
  <si>
    <t>S58787518</t>
  </si>
  <si>
    <t>RTG/FDRLR52025063088833903/YESB/ORIANA POWER LIMIT</t>
  </si>
  <si>
    <t>S58787620</t>
  </si>
  <si>
    <t>RTG/FDRLR52025063088833904/ICIC/ORIANA POWER LIMIT</t>
  </si>
  <si>
    <t>S58787715</t>
  </si>
  <si>
    <t>NFT/FBPT251812430520/HDFC/AADITECH INSPECTIONS SER</t>
  </si>
  <si>
    <t>S58893445</t>
  </si>
  <si>
    <t>RTG/FDRLR52025063088834395/YESB/ORIANA POWER LIMIT</t>
  </si>
  <si>
    <t>S60285289</t>
  </si>
  <si>
    <t>RTG/FDRLR52025063088834396/ICIC/ORIANA POWER LIMIT</t>
  </si>
  <si>
    <t>S60285369</t>
  </si>
  <si>
    <t>RTG/FDRLR52025063088834397/HDFC/ORIANA POWER LIMIT</t>
  </si>
  <si>
    <t>S60285462</t>
  </si>
  <si>
    <t>RTG/FDRLR52025063088834398/ICIC/ORIANA POWER LIMIT</t>
  </si>
  <si>
    <t>S60285552</t>
  </si>
  <si>
    <t>RTG/FDRLR52025063088834399/UTIB/ORIANA POWER LIMIT</t>
  </si>
  <si>
    <t>S60285662</t>
  </si>
  <si>
    <t>RTG/FDRLR52025063088834401/SBIN/ORIANA POWER LIMIT</t>
  </si>
  <si>
    <t>S60285924</t>
  </si>
  <si>
    <t>RTG/ORIANA POWER LI/SBINR12025063090472452/SBI</t>
  </si>
  <si>
    <t>S60375646</t>
  </si>
  <si>
    <t>13405500003286:Int.Coll:01-06-2025 to 30-06-2025</t>
  </si>
  <si>
    <t>S70386533</t>
  </si>
  <si>
    <t>STD INS TO 13405400000317 / ORIANA POWER LIMITED</t>
  </si>
  <si>
    <t>S71031216</t>
  </si>
  <si>
    <t>STD INS TO 13405400000325 / ORIANA POWER LIMITED</t>
  </si>
  <si>
    <t>S71031218</t>
  </si>
  <si>
    <t>STD INS TO 13405400000333 / ORIANA POWER LIMITED</t>
  </si>
  <si>
    <t>S71031223</t>
  </si>
  <si>
    <t>STD INS TO 13405400000341 / ORIANA POWER LIMITED</t>
  </si>
  <si>
    <t>S71031231</t>
  </si>
  <si>
    <t>RTGS Cr-FDRL0009001-ORIANA POWER LIMITED-ORIANA POWER LIMITEDRUPAL-FDRLR52025063088833903</t>
  </si>
  <si>
    <t>FDRLR52025063088833903</t>
  </si>
  <si>
    <t>RTGS Cr-FDRL0009001-ORIANA POWER LIMITED-ORIANA POWER LIMITEDRUPAL-FDRLR52025063088834395</t>
  </si>
  <si>
    <t>FDRLR52025063088834395</t>
  </si>
  <si>
    <t>136BG01251810002-COMM-GTEE-MAYUR VIHAR</t>
  </si>
  <si>
    <t>136BG01251810002-000000000000</t>
  </si>
  <si>
    <t>136BG01251810002-MM-BOOKED-MAYUR VIHAR</t>
  </si>
  <si>
    <t>136BG01251810002-CHGS-STMP-PAPER-MAYUR VIHAR</t>
  </si>
  <si>
    <t>136BG01251810002-ADJ-ENT-MAYUR VIHAR</t>
  </si>
  <si>
    <t>136BG01251810007-MM-BOOKED-MAYUR VIHAR</t>
  </si>
  <si>
    <t>136BG01251810007-000000000000</t>
  </si>
  <si>
    <t>136BG01251810007-COMM-GTEE-MAYUR VIHAR</t>
  </si>
  <si>
    <t>Debit Interest Capitalized</t>
  </si>
  <si>
    <t>30/06/2025 11:05:52</t>
  </si>
  <si>
    <t>RTGS Cr-FDRL0009001-ORIANA POWER LIMITED-ORIANA POWER LIMITED-FDRLR52025063088833902</t>
  </si>
  <si>
    <t>FDRLR52025063088833902</t>
  </si>
  <si>
    <t>FORT</t>
  </si>
  <si>
    <t>30/06/2025 12:44:03</t>
  </si>
  <si>
    <t>RTGS Cr-FDRL0009001-ORIANA POWER LIMITED-ORIANA POWER LIMITED-FDRLR52025063088834397</t>
  </si>
  <si>
    <t>FDRLR52025063088834397</t>
  </si>
  <si>
    <t>30/06/2025 15:11:09</t>
  </si>
  <si>
    <t>ACH C- RFU2506240981088-SELCR16444425</t>
  </si>
  <si>
    <t>000139877400</t>
  </si>
  <si>
    <t>30/06/2025 15:11:13</t>
  </si>
  <si>
    <t>ACH C- RFU2506250982348-SELCR16444439</t>
  </si>
  <si>
    <t>000139877440</t>
  </si>
  <si>
    <t>30/06/2025 15:11:27</t>
  </si>
  <si>
    <t>ACH C- RFU2506270986042-SELCR16444574</t>
  </si>
  <si>
    <t>000139878686</t>
  </si>
  <si>
    <t>ACH C- RFU2506270986042-SELCR16444588</t>
  </si>
  <si>
    <t>000139878689</t>
  </si>
  <si>
    <t>ACH C- RFU2506270986042-SELCR16444587</t>
  </si>
  <si>
    <t>000139878690</t>
  </si>
  <si>
    <t>ACH C- RFU2506270986042-SELCR16444586</t>
  </si>
  <si>
    <t>000139878691</t>
  </si>
  <si>
    <t>ACH C- RFU2506270986042-SELCR16444585</t>
  </si>
  <si>
    <t>000139878692</t>
  </si>
  <si>
    <t>ACH C- RFU2506270986042-SELCR16444584</t>
  </si>
  <si>
    <t>000139878693</t>
  </si>
  <si>
    <t>ACH C- RFU2506270986042-SELCR16444583</t>
  </si>
  <si>
    <t>000139878694</t>
  </si>
  <si>
    <t>30/06/2025 15:11:28</t>
  </si>
  <si>
    <t>ACH C- RFU2506270986042-SELCR16444582</t>
  </si>
  <si>
    <t>000139878678</t>
  </si>
  <si>
    <t>ACH C- RFU2506270986042-SELCR16444581</t>
  </si>
  <si>
    <t>000139878679</t>
  </si>
  <si>
    <t>ACH C- RFU2506270986042-SELCR16444580</t>
  </si>
  <si>
    <t>000139878680</t>
  </si>
  <si>
    <t>ACH C- RFU2506270986042-SELCR16444579</t>
  </si>
  <si>
    <t>000139878681</t>
  </si>
  <si>
    <t>ACH C- RFU2506270986042-SELCR16444578</t>
  </si>
  <si>
    <t>000139878682</t>
  </si>
  <si>
    <t>ACH C- RFU2506270986042-SELCR16444577</t>
  </si>
  <si>
    <t>000139878683</t>
  </si>
  <si>
    <t>ACH C- RFU2506270986042-SELCR16444576</t>
  </si>
  <si>
    <t>000139878684</t>
  </si>
  <si>
    <t>ACH C- RFU2506270986042-SELCR16444575</t>
  </si>
  <si>
    <t>000139878685</t>
  </si>
  <si>
    <t>ACH C- RFU2506270986042-SELCR16444590</t>
  </si>
  <si>
    <t>000139878088</t>
  </si>
  <si>
    <t>ACH C- RFU2506270986042-SELCR16444589</t>
  </si>
  <si>
    <t>000139878090</t>
  </si>
  <si>
    <t>ACH C- RFU2506270986042-SELCR16444591</t>
  </si>
  <si>
    <t>000139878102</t>
  </si>
  <si>
    <t>30/06/2025 17:25:36</t>
  </si>
  <si>
    <t>RTGS Dr-SBIN0013913-ZANSKAR SOLAR RAJ PRIVATE LIMITED-CBX Internet-HDFCR52025063086078090-C79420300625164928</t>
  </si>
  <si>
    <t>HDFCR52025063086078090</t>
  </si>
  <si>
    <t>CBX Internet System Mumbai</t>
  </si>
  <si>
    <t>01/07/2025 02:13:03</t>
  </si>
  <si>
    <t>Interest debited till 30-JUN-2025</t>
  </si>
  <si>
    <t>NOIDA SECTOR 16</t>
  </si>
  <si>
    <t>Tran Date</t>
  </si>
  <si>
    <t>CHQNO</t>
  </si>
  <si>
    <t>Transaction Particulars</t>
  </si>
  <si>
    <t>Branch Name</t>
  </si>
  <si>
    <t>RTGS/FDRLR52025063088834399/ORIANA POWER LIMITED/FEDERAL BANK/URGENT</t>
  </si>
  <si>
    <t>RTGS HUB</t>
  </si>
  <si>
    <t>Interest for [   D13889005]</t>
  </si>
  <si>
    <t>CBB NEW DELHI</t>
  </si>
  <si>
    <t>Interest for [   D13709110]</t>
  </si>
  <si>
    <t>Interest for [   D13892534]</t>
  </si>
  <si>
    <t>Interest for [   D13706621]</t>
  </si>
  <si>
    <t>Interest for [   D13714322]</t>
  </si>
  <si>
    <t>Withdrawal (Dr)</t>
  </si>
  <si>
    <t>Category</t>
  </si>
  <si>
    <t>ORIANA POWER LIMITED</t>
  </si>
  <si>
    <t>NTPC VIDYUT VYAPAR NIGAM LIMITED</t>
  </si>
  <si>
    <t>THE GUYANA ENERGY AGENCY</t>
  </si>
  <si>
    <t>STLC RE LIMITED</t>
  </si>
  <si>
    <t>AADITECH INSPECTIONS SER</t>
  </si>
  <si>
    <t>ORIANA POWER LIMIT</t>
  </si>
  <si>
    <t>TRUERE COSMIC P</t>
  </si>
  <si>
    <t>TRUERE GUJ PVT LTD</t>
  </si>
  <si>
    <t>IMPERIAL NATURE PR</t>
  </si>
  <si>
    <t>TRUERE MOUNTAIN PR</t>
  </si>
  <si>
    <t>01/07/2025 03:50:02</t>
  </si>
  <si>
    <t>Penal Charges</t>
  </si>
  <si>
    <t>01/07/2025 11:39:32</t>
  </si>
  <si>
    <t>RTGS Cr-SBIN0062203-RENERGY DYNAMICS PRIVATE LIMITED-Oriana Power Limited-SBINR12025070190632251</t>
  </si>
  <si>
    <t>SBINR12025070190632251</t>
  </si>
  <si>
    <t>01/07/2025 12:46:00</t>
  </si>
  <si>
    <t>RTGS Dr-ICIC0003488-ORIANA POWER LIMITED-CBX Internet-HDFCR52025070186300722-C06751010725121213</t>
  </si>
  <si>
    <t>HDFCR52025070186300722</t>
  </si>
  <si>
    <t>02/07/2025 19:02:29</t>
  </si>
  <si>
    <t>COMM ON LOCAL LC ISSUED</t>
  </si>
  <si>
    <t>088LC03251830003</t>
  </si>
  <si>
    <t>S97456271</t>
  </si>
  <si>
    <t>01/07/2025 07:19:35 AM</t>
  </si>
  <si>
    <t>NTS/DE-0031NDLG00171524-Pos Ex Commission-01-Jul-25 to 31-Jul-25</t>
  </si>
  <si>
    <t>S97491862</t>
  </si>
  <si>
    <t>01/07/2025 07:22:14 AM</t>
  </si>
  <si>
    <t>NTS/DE-0031NDLG00166524-Pos Ex Commission-01-Jul-25 to 31-Jul-25</t>
  </si>
  <si>
    <t>S1190193</t>
  </si>
  <si>
    <t>01/07/2025 12:14:10 PM</t>
  </si>
  <si>
    <t>ACH/M1  RI 280625 000347/ICIC0000000017603097/DRBUY8470652</t>
  </si>
  <si>
    <t>S1192309</t>
  </si>
  <si>
    <t>01/07/2025 12:14:23 PM</t>
  </si>
  <si>
    <t>ACH/M1  RI 280625 000360/ICIC0000000017603097/DRBUY8470051</t>
  </si>
  <si>
    <t>S1193427</t>
  </si>
  <si>
    <t>ACH/M1  RI 280625 000361/ICIC0000000017603097/DRBUY8469917</t>
  </si>
  <si>
    <t>S1195282</t>
  </si>
  <si>
    <t>01/07/2025 12:14:31 PM</t>
  </si>
  <si>
    <t>ACH/RFU2504020892474/ICIC0000000017003934/DRBUY8474870</t>
  </si>
  <si>
    <t>S1194545</t>
  </si>
  <si>
    <t>01/07/2025 12:14:35 PM</t>
  </si>
  <si>
    <t>ACH/RFU2506280986979/ICIC0000000017003934/DRBUY8471954</t>
  </si>
  <si>
    <t>S1197270</t>
  </si>
  <si>
    <t>01/07/2025 12:14:36 PM</t>
  </si>
  <si>
    <t>ACH/RFU2506280986973/ICIC0000000017003934/DRBUY8471956</t>
  </si>
  <si>
    <t>S1199385</t>
  </si>
  <si>
    <t>01/07/2025 12:14:49 PM</t>
  </si>
  <si>
    <t>ACH/RFU2504020892462/ICIC0000000017003934/DRBUY8474865</t>
  </si>
  <si>
    <t>S1199983</t>
  </si>
  <si>
    <t>01/07/2025 12:14:54 PM</t>
  </si>
  <si>
    <t>ACH/RFU2504020892447/ICIC0000000017003934/DRBUY8474863</t>
  </si>
  <si>
    <t>S1756846</t>
  </si>
  <si>
    <t>01/07/2025 12:46:49 PM</t>
  </si>
  <si>
    <t>RTGS-HDFCR52025070186300722-ORIANA POWER LIMITED-50200089506209-HDFC0000240</t>
  </si>
  <si>
    <t>S10943305</t>
  </si>
  <si>
    <t>02/07/2025 06:25:38 AM</t>
  </si>
  <si>
    <t>348851000004:Int.Coll:02-06-2025 to 01-07-2025</t>
  </si>
  <si>
    <t>S14213548</t>
  </si>
  <si>
    <t>02/07/2025 12:18:21 PM</t>
  </si>
  <si>
    <t>ACH/RFU2507010989344/ICIC0000000017003934/DRBUY8484523</t>
  </si>
  <si>
    <t>S14213618</t>
  </si>
  <si>
    <t>02/07/2025 12:18:23 PM</t>
  </si>
  <si>
    <t>ACH/RFU2507010989381/ICIC0000000017003934/DRBUY8484527</t>
  </si>
  <si>
    <t>S14213645</t>
  </si>
  <si>
    <t>02/07/2025 12:18:24 PM</t>
  </si>
  <si>
    <t>ACH/RFU2507010989038/ICIC0000000017003934/DRBUY8484521</t>
  </si>
  <si>
    <t>S14214093</t>
  </si>
  <si>
    <t>02/07/2025 12:18:25 PM</t>
  </si>
  <si>
    <t>ACH/RFU2507010989404/ICIC0000000017003934/DRBUY8484525</t>
  </si>
  <si>
    <t>S14213745</t>
  </si>
  <si>
    <t>02/07/2025 12:18:26 PM</t>
  </si>
  <si>
    <t>ACH/RFU2507010989605/ICIC0000000017003934/DRBUY8484529</t>
  </si>
  <si>
    <t>S14213354</t>
  </si>
  <si>
    <t>02/07/2025 12:18:27 PM</t>
  </si>
  <si>
    <t>ACH/RFU2507010989298/ICIC0000000017003934/DRBUY8484517</t>
  </si>
  <si>
    <t>S14214592</t>
  </si>
  <si>
    <t>ACH/RFU2507010989069/ICIC0000000017003934/DRBUY8484519</t>
  </si>
  <si>
    <t>S14215475</t>
  </si>
  <si>
    <t>02/07/2025 12:18:42 PM</t>
  </si>
  <si>
    <t>ACH/RFU2504030893493/ICIC0000000017003934/DRBUY8485416</t>
  </si>
  <si>
    <t>S14216327</t>
  </si>
  <si>
    <t>ACH/RFU2504030893475/ICIC0000000017003934/DRBUY8485414</t>
  </si>
  <si>
    <t>S14216739</t>
  </si>
  <si>
    <t>ACH/RFU2504030893496/ICIC0000000017003934/DRBUY8485417</t>
  </si>
  <si>
    <t>S14216347</t>
  </si>
  <si>
    <t>02/07/2025 12:18:43 PM</t>
  </si>
  <si>
    <t>ACH/RFU2504030893488/ICIC0000000017003934/DRBUY8485415</t>
  </si>
  <si>
    <t>S19623619</t>
  </si>
  <si>
    <t>02/07/2025 08:11:05 PM</t>
  </si>
  <si>
    <t>RTGS-UTIBR72025070200025468-DALMIA CEMENT  BHARAT LIMITED-911020006847918-UTIB0001183</t>
  </si>
  <si>
    <t>01-07-2025</t>
  </si>
  <si>
    <t>S86086475</t>
  </si>
  <si>
    <t>18% PENAL CHARGES JUNE-2025 - 13405500003286</t>
  </si>
  <si>
    <t>S86086490</t>
  </si>
  <si>
    <t>4% PENAL CHARGES JUNE-2025 - 13405500003286</t>
  </si>
  <si>
    <t>TO CLEARING-Chq No. 766753 CIT   BMW INDIA FINANCIAL SERV--766753</t>
  </si>
  <si>
    <t xml:space="preserve"> / 766753</t>
  </si>
  <si>
    <t>BMW INDIA FINANCIAL SERV</t>
  </si>
  <si>
    <t>DEBIT-ACHDr SCBL00061000013587 STAN CHART BAN--</t>
  </si>
  <si>
    <t>STAN CHART BAN</t>
  </si>
  <si>
    <t xml:space="preserve"> TO TRANSFER-INB RTGS UTR NO: SBINR12025070190667697--THE NEW INDIA ASSURANCE CO LTD</t>
  </si>
  <si>
    <t>RTGS INB: CRL3421573 TRANSFER TO 4599113044303 / THE NEW INDIA ASSURANCE CO LTD</t>
  </si>
  <si>
    <t>THE NEW INDIA ASSURANCE CO LTD</t>
  </si>
  <si>
    <t xml:space="preserve">   TO TRANSFER-INB 01JULY PAYMENTS--</t>
  </si>
  <si>
    <t xml:space="preserve">NSBI_PAY_01JULY2CNADRLNYD8               TRANSFER TO 3199737139131 / </t>
  </si>
  <si>
    <t xml:space="preserve">   TO TRANSFER-INB SBI PAYMENTS 01JULY--</t>
  </si>
  <si>
    <t xml:space="preserve">SBI_PAY_01JULYCT00SAYEO3               TRANSFER TO 98561139139 / </t>
  </si>
  <si>
    <t xml:space="preserve">   TO TRANSFER-INB NEFT UTR NO: SBIN525183769522--UP AND RENEWABLE ENERGY DEVELOPEMEN</t>
  </si>
  <si>
    <t>UP AND RENEWABLE ENERGY DEVELOPEMEN</t>
  </si>
  <si>
    <t xml:space="preserve">   TO TRANSFER-INB NEFT UTR NO: SBIN525183769134--ISN ELECTRONICTENDER SERVICES PVT</t>
  </si>
  <si>
    <t>NEFT INB: CNADRLTIB7                              TRANSFER TO 4698138044302 / ISN ELECTRONICTENDER SERVICES PVT</t>
  </si>
  <si>
    <t>ISN ELECTRONICTENDER SERVICES PVT</t>
  </si>
  <si>
    <t xml:space="preserve">   TO TRANSFER-INB RTGS UTR NO: SBINR12025070290776741--UP AND RENEWABLE ENERGY DEVELOPEMEN</t>
  </si>
  <si>
    <t>RTGS INB: CRL5920116                              TRANSFER TO 4599113044303 / UP AND RENEWABLE ENERGY DEVELOPEMEN</t>
  </si>
  <si>
    <t xml:space="preserve">   BY TRANSFER-INB Advance payment to Dealer--</t>
  </si>
  <si>
    <t xml:space="preserve">CT00SBTOB5               TRANSFER FROM 40423378133                         OPPL ASSETS PRIVATE LI / </t>
  </si>
  <si>
    <t xml:space="preserve">CT00SBTSM3               TRANSFER FROM 42286115402                         SOLUXE POWER SPV PRIVA / </t>
  </si>
  <si>
    <t xml:space="preserve">CT00SBUBS0               TRANSFER FROM 41278256531                         ASHLYN DEL SPV PRIVATE / </t>
  </si>
  <si>
    <t xml:space="preserve">CT00SBUXN7               TRANSFER FROM 40016219212                         OPPL SPV HAR PVT LTD / </t>
  </si>
  <si>
    <t xml:space="preserve">CT00SBWPA6               TRANSFER FROM 41449991824                         ZANSKAR SOLAR RAJ PRIV / </t>
  </si>
  <si>
    <t xml:space="preserve">CT00SBUGA4               TRANSFER FROM 40853240636                         OPPL DEL SPV PVT LTD / </t>
  </si>
  <si>
    <t xml:space="preserve">CT00SBUSH7               TRANSFER FROM 20519283297                         TRUERE DEL PRIVATE LIM / </t>
  </si>
  <si>
    <t xml:space="preserve">   TO TRANSFER-INB SBI PAYMENTS 02JULY--</t>
  </si>
  <si>
    <t xml:space="preserve">SBI_PAY_02JULYCT00SBSDO5               TRANSFER TO 98561139139 / </t>
  </si>
  <si>
    <t xml:space="preserve">   TO TRANSFER-INB RTGS UTR NO: SBINR12025070290866874--SOLSTICE ENERGY</t>
  </si>
  <si>
    <t>RTGS INB: CRL6452227                              TRANSFER TO 4599110044305 / SOLSTICE ENERGY</t>
  </si>
  <si>
    <t>SOLSTICE ENERGY</t>
  </si>
  <si>
    <t xml:space="preserve">   TO TRANSFER-INB 02JULY4 PAYMENTS--</t>
  </si>
  <si>
    <t xml:space="preserve">NSBI_PAY_02JULY4CNADRMMOI5               TRANSFER TO 98561139139 / </t>
  </si>
  <si>
    <t>DEBIT-CMP MANDATE DEBIT Bajaj Finance Ltd. - DD--</t>
  </si>
  <si>
    <t>DEBIT-ACHDr NACH00000000056470 KISETSU0207202--</t>
  </si>
  <si>
    <t>CT00RVZOY6 TRANSFER FROM 20519801628 TRUERE UP 2 PRIVATE LI /</t>
  </si>
  <si>
    <t>TRUERE UP 2 PRIVATE LI</t>
  </si>
  <si>
    <t>NEFT INB: CNADRLTKA1 TRANSFER TO 4697162044301 / UP AND RENEWABLE ENERGY DEVELOPEMEN</t>
  </si>
  <si>
    <t>penal charge</t>
  </si>
  <si>
    <t>Bajaj Finance Ltd</t>
  </si>
  <si>
    <t>Advance from customer</t>
  </si>
  <si>
    <t>CC Intrest paid</t>
  </si>
  <si>
    <t>Paid for discounting</t>
  </si>
  <si>
    <t>DALMIA CEMENT  BHARAT LIMITED</t>
  </si>
  <si>
    <t>Commission paid</t>
  </si>
  <si>
    <t>Paid to suppliers</t>
  </si>
  <si>
    <t xml:space="preserve">NSBI_PAY_03JULYCRL8273436               TRANSFER TO 98561139139 / </t>
  </si>
  <si>
    <t xml:space="preserve">   TO TRANSFER-INB SBI PAYMENTS-TRUERE CURRENT PVT LTD--</t>
  </si>
  <si>
    <t xml:space="preserve">SBI_PAY_03JULYCT00SCFCL5               TRANSFER TO 42972254254                           TRUERE CURRENT PRIVATE / </t>
  </si>
  <si>
    <t>TRUERE CURRENT PVT LTD</t>
  </si>
  <si>
    <t xml:space="preserve">   BY TRANSFER-IMPS/518415948255/kmb-XX212-PENNY VE/INSTASPAC--</t>
  </si>
  <si>
    <t xml:space="preserve">TRANSFER FROM 4698318162094 / </t>
  </si>
  <si>
    <t xml:space="preserve">   TO TRANSFER-INB NSBI_PAY--</t>
  </si>
  <si>
    <t xml:space="preserve">NSBI_PAY_03JULY2CNADROGLH5 TRANSFER TO 98561139139 / </t>
  </si>
  <si>
    <t xml:space="preserve">   TO TRANSFER-INB SBI PAYMENTS-NITIN KATOCH_2405185--</t>
  </si>
  <si>
    <t xml:space="preserve">SBI_PAY_03JULY2CT00SCULA7  TRANSFER TO 38487196858                           Mr. NITIN  KATOCH / </t>
  </si>
  <si>
    <t>NITIN KATOCH</t>
  </si>
  <si>
    <t xml:space="preserve">   TO TRANSFER-INB RTGS UTR NO: SBINR12025070391001503--ICICI CAR LOAN</t>
  </si>
  <si>
    <t>RTGS INB: CRL8679112  TRANSFER TO 99827044308 / ICICI CAR LOAN</t>
  </si>
  <si>
    <t>ICICI CAR LOAN</t>
  </si>
  <si>
    <t xml:space="preserve">   TO TRANSFER-INB RTGS UTR NO: SBINR12025070391006669--SUNDIOR TECHNOLOGIES PVT LTD</t>
  </si>
  <si>
    <t>RTGS INB: CRL8711440 TRANSFER TO 4599108044309 / SUNDIOR TECHNOLOGIES PVT LTD</t>
  </si>
  <si>
    <t>SUNDIOR TECHNOLOGIES PVT LTD</t>
  </si>
  <si>
    <t>TO CLEARING-Chq No. 219514 PMB   clearingcdmloans--219514</t>
  </si>
  <si>
    <t xml:space="preserve"> / 219514</t>
  </si>
  <si>
    <t xml:space="preserve">   TO TRANSFER-INB NSBI PAY--</t>
  </si>
  <si>
    <t xml:space="preserve">NSBI_PAY_04JULYCNADRQDGW8               TRANSFER TO 98561139139 / </t>
  </si>
  <si>
    <t>TO TRANSFER-INB SBI PAYMENTS--</t>
  </si>
  <si>
    <t xml:space="preserve">SBI_PAY_04JULYCT00SEAJO7               TRANSFER TO 98561139139 / </t>
  </si>
  <si>
    <t xml:space="preserve">   DEBIT-ACHDr HDFC00065000003219 TATACAPFINSERL--</t>
  </si>
  <si>
    <t>Other Expenses</t>
  </si>
  <si>
    <t>TATACAPFINSERL</t>
  </si>
  <si>
    <t xml:space="preserve">NSBI_PAY_05JUL1CNADRRVGQ5               TRANSFER TO 98561139139 / </t>
  </si>
  <si>
    <t xml:space="preserve">NSBI_PAY_05JULCNADRRTWA7               TRANSFER TO 98561139139 / </t>
  </si>
  <si>
    <t xml:space="preserve">   BY TRANSFER-RTGS UTR NO: HDFCR52025070788193387--ORIANA POWER LIMITED</t>
  </si>
  <si>
    <t>TRANSFER FROM 4698337044306 / ORIANA POWER LIMITED</t>
  </si>
  <si>
    <t>HDFC</t>
  </si>
  <si>
    <t xml:space="preserve">   BY TRANSFER-RTGS UTR NO: HDFCR52025070788468669--UNIPACK PACKAGING PRIVATE LIMITED</t>
  </si>
  <si>
    <t>TRANSFER FROM 3199855044301 / UNIPACK PACKAGING PRIVATE LIMITED</t>
  </si>
  <si>
    <t>UNIPACK PACKAGING PRIVATE LIMITED</t>
  </si>
  <si>
    <t xml:space="preserve">   TO TRANSFER-INB--</t>
  </si>
  <si>
    <t xml:space="preserve">crn25070701335795CK00JKJCA4               TRANSFER TO 40221401946                           CBDT TIN 2.0 POOLING A / </t>
  </si>
  <si>
    <t xml:space="preserve">crn25070701340865CK00JKJER3               TRANSFER TO 40221308562                           CBDT TIN 2.0 POOLING A / </t>
  </si>
  <si>
    <t xml:space="preserve">crn25070701349453CK00JKJFV1               TRANSFER TO 40221402430                           CBDT TIN 2.0 POOLING A / </t>
  </si>
  <si>
    <t xml:space="preserve">   TO TRANSFER-INB SBI PAYMENTS-SJVN GREEN ENERGY LIMITED--</t>
  </si>
  <si>
    <t xml:space="preserve">SBI_PAY_07JULYCT00SHCNF7               TRANSFER TO 40946180057                           SJVN GREEN ENERGY LIMI / </t>
  </si>
  <si>
    <t>SJVN GREEN ENERGY LIMI</t>
  </si>
  <si>
    <t xml:space="preserve">NSBI_PAY_07JULYCNADRUJQX5               TRANSFER TO 98561139139 / </t>
  </si>
  <si>
    <t>rent</t>
  </si>
  <si>
    <t>Site insurance renewal</t>
  </si>
  <si>
    <t xml:space="preserve">   TO TRANSFER-INB SALARY NON SBI EMPS--</t>
  </si>
  <si>
    <t xml:space="preserve">JUN_NSBI_SALARY_252603CNADRVFZC7               TRANSFER TO 3199737139131 / </t>
  </si>
  <si>
    <t xml:space="preserve">JUN_NSBI_STIPEND_252603CNADRVIYC3               TRANSFER TO 98561139139 / </t>
  </si>
  <si>
    <t xml:space="preserve">   TO TRANSFER-INB SALARY DIRs--</t>
  </si>
  <si>
    <t xml:space="preserve">DIR_SALARY_20252603CNADRUVRM7               TRANSFER TO 98561139139 / </t>
  </si>
  <si>
    <t xml:space="preserve">   TO TRANSFER-INB SALARY SBI EMPS--</t>
  </si>
  <si>
    <t xml:space="preserve">JUN_STIPEND_252603CT00SHONU9               TRANSFER TO 98561139139 / </t>
  </si>
  <si>
    <t>TO TRANSFER-INB JUN_SALARY_252603|SALARY SBI EMPS---</t>
  </si>
  <si>
    <t xml:space="preserve">CT00SHONU8CT00SHRHX4               TRANSFER TO 98561139139 / </t>
  </si>
  <si>
    <t xml:space="preserve">SBI_PAY_08JULYCT00SIFRK6 TRANSFER TO 98561139139 / </t>
  </si>
  <si>
    <t>Certification charges Inv 36/25-26</t>
  </si>
  <si>
    <t>Certification charges Inv 326/24-25</t>
  </si>
  <si>
    <t>TO TRANSFER-INB NSBI PAY--</t>
  </si>
  <si>
    <t xml:space="preserve">NSBI_PAY_08JULYCNADRWFWZ3 TRANSFER TO 98561139139 / </t>
  </si>
  <si>
    <t>Advance for warehouse expense</t>
  </si>
  <si>
    <t>Advance for site expenses</t>
  </si>
  <si>
    <t>F &amp; F</t>
  </si>
  <si>
    <t>TO TRANSFER-INB NEFT UTR NO: SBIN425189713463--SANJEEV KUMAR</t>
  </si>
  <si>
    <t>NEFT INB: CNADRWGDF2 TRANSFER TO 4698145044303 / SANJEEV KUMAR</t>
  </si>
  <si>
    <t>For Salary Jun 25</t>
  </si>
  <si>
    <t>TO TRANSFER-INB NEFT UTR NO: SBIN425189716647--KAUSTUBH KHERA</t>
  </si>
  <si>
    <t>NEFT INB: CNADRWLUG5 TRANSFER TO 3197942044308 / KAUSTUBH KHERA</t>
  </si>
  <si>
    <t>For Legal Counselling Charges Jun 25</t>
  </si>
  <si>
    <t>JASK EXPORTS PVT LTD</t>
  </si>
  <si>
    <t>OFFICE-SEC125</t>
  </si>
  <si>
    <t>Office rent jask 3rd Floor Inv 119</t>
  </si>
  <si>
    <t>KAUSTUBH KHERA</t>
  </si>
  <si>
    <t>For Legal Counselling Charges Jun 25 Inv 002</t>
  </si>
  <si>
    <t>MEDIHSE TRAINING ACADEMY LLP</t>
  </si>
  <si>
    <t>Ledger Balance</t>
  </si>
  <si>
    <t>NEERAJ KUMAR 2501278</t>
  </si>
  <si>
    <t>Advance for Office Renov Work</t>
  </si>
  <si>
    <t>PRABHU CONSTRUCTION</t>
  </si>
  <si>
    <t>DALMIA-128MW</t>
  </si>
  <si>
    <t>Guest House Setup Charges Inv 12</t>
  </si>
  <si>
    <t>PREMIUM PRINTERS PRIVATE LIMITED</t>
  </si>
  <si>
    <t>For I'd cards of 13 Nos. Inv 55</t>
  </si>
  <si>
    <t>PRIYA 2408225</t>
  </si>
  <si>
    <t>Advance for Office Expenses</t>
  </si>
  <si>
    <t>SOLONET ENTERPRISES</t>
  </si>
  <si>
    <t>GEDA-MPA-3MW</t>
  </si>
  <si>
    <t>Balance I &amp; C PI 36</t>
  </si>
  <si>
    <t>SUBRATA DAS</t>
  </si>
  <si>
    <t>DALMIA-4MW</t>
  </si>
  <si>
    <t xml:space="preserve">Security deposit </t>
  </si>
  <si>
    <t>Rent for Jun 25</t>
  </si>
  <si>
    <t>Rent for Jul 25</t>
  </si>
  <si>
    <t>VINOD KUMAR 2411266</t>
  </si>
  <si>
    <t>BPCL-PRAYAGRAJ-71MW</t>
  </si>
  <si>
    <t>Advance Site Expenses</t>
  </si>
  <si>
    <t xml:space="preserve">   DEBIT-ACHDr BARB00136000009936 BOB LOAN COLLE--</t>
  </si>
  <si>
    <t>BOB LOAN COLLE</t>
  </si>
  <si>
    <t xml:space="preserve">   TO TRANSFER-INB NEFT UTR NO: SBIN225191203992--SOLAR ENERGY CORP OF INDIA LTD</t>
  </si>
  <si>
    <t>NEFT INB: CNADRYQYZ4                              TRANSFER TO 4698150044305 / SOLAR ENERGY CORP OF INDIA LTD</t>
  </si>
  <si>
    <t>SOLAR ENERGY CORP OF INDIA LTD</t>
  </si>
  <si>
    <t xml:space="preserve">   TO TRANSFER-INB RTGS UTR NO: SBINR12025071091717039--SOLAR ENERGY CORP OF INDIA LTD</t>
  </si>
  <si>
    <t>RTGS INB: CRN4406295                              TRANSFER TO 4599109044308 / SOLAR ENERGY CORP OF INDIA LTD</t>
  </si>
  <si>
    <t>BY TRANSFER-TRANSFER FROM--</t>
  </si>
  <si>
    <t xml:space="preserve">TRANSFER FROM 42294364902   SOLARITHIC POWER SPV P / </t>
  </si>
  <si>
    <t>SOLARITHIC POWER SPV P</t>
  </si>
  <si>
    <t>TO TRANSFER-INB RTGS UTR NO: SBINR12025071091740200--BAJAJ ALLIANZ GENERAL INSURANCE</t>
  </si>
  <si>
    <t>RTGS INB: CRN4588872                              TRANSFER TO 99827044308 / BAJAJ ALLIANZ GENERAL INSURANCE</t>
  </si>
  <si>
    <t>BAJAJ ALLIANZ GENERAL INSURANCE</t>
  </si>
  <si>
    <t>TO TRANSFER-INB SBI PAYMENTS-TRUERE SURYA PVT LTD--</t>
  </si>
  <si>
    <t xml:space="preserve">SBI_PAY_10JULYCT00SKJKK3               TRANSFER TO 42981204245                           TRUERE SURYA PRIVATE L / </t>
  </si>
  <si>
    <t>TRUERE SURYA PVT LTD</t>
  </si>
  <si>
    <t>TRUERE GUJ SPV PVT LTD</t>
  </si>
  <si>
    <t xml:space="preserve">NSBI_PAY_10JULYCRN4609019               TRANSFER TO 98561139139 / </t>
  </si>
  <si>
    <t>Advance</t>
  </si>
  <si>
    <t>TRUERE MOUNTAIN PVT LTD</t>
  </si>
  <si>
    <t>TRUERE OCEAN PVT LTD</t>
  </si>
  <si>
    <t>TRUERE SOCIAL PVT LTD</t>
  </si>
  <si>
    <t>TRUERE GREEN PVT LTD</t>
  </si>
  <si>
    <t>TRUERE SPV 2 PVT LTD</t>
  </si>
  <si>
    <t>BY TRANSFER-UPI/CR/687609206416/JAI VARD/BARB/9818097665/Sent--</t>
  </si>
  <si>
    <t xml:space="preserve">TRANSFER FROM 4897737162096 / </t>
  </si>
  <si>
    <t>JAI VARD</t>
  </si>
  <si>
    <t>TO TRANSFER-INB NEFT UTR NO: SBIN425192103467--NTPC Vidyut Vyapar Nigam Limited</t>
  </si>
  <si>
    <t>NEFT INB: CNADSAZQQ7 TRANSFER TO 4698148044300 / NTPC Vidyut Vyapar Nigam Limited</t>
  </si>
  <si>
    <t>NTPC Vidyut Vyapar Nigam Limited</t>
  </si>
  <si>
    <t>TO TRANSFER-INB NEFT UTR NO: SBIN425192106176--ISN ELECTRONICTENDER SERVICES PVT</t>
  </si>
  <si>
    <t>NEFT INB: CNADSAZTP9 TRANSFER TO 4698145044303 / ISN ELECTRONICTENDER SERVICES PVT</t>
  </si>
  <si>
    <t>ELECTRONICTENDER SERVICES PVT</t>
  </si>
  <si>
    <t>TO TRANSFER-INB RTGS UTR NO: SBINR12025071191841425--NTPC Vidyut Vyapar Nigam Limited</t>
  </si>
  <si>
    <t>RTGS INB: CRN6173251 TRANSFER TO 4599112044304 / NTPC Vidyut Vyapar Nigam Limited</t>
  </si>
  <si>
    <t xml:space="preserve"> FB33017</t>
  </si>
  <si>
    <t>REV PENAL CHARGES JUNE-2025 - 13405500003286</t>
  </si>
  <si>
    <t>Penal charge reversal</t>
  </si>
  <si>
    <t xml:space="preserve"> FB41748</t>
  </si>
  <si>
    <t>PENAL CHARGES 3RD &amp;4TH JUNE-2025 - 13405500003286</t>
  </si>
  <si>
    <t>Penal charge</t>
  </si>
  <si>
    <t>S63605106</t>
  </si>
  <si>
    <t>RTG/FDRLR52025070788849175/UTIB/TRUERE SPV2 PRIVAT</t>
  </si>
  <si>
    <t>TRUERE SPV2 PRIVAT</t>
  </si>
  <si>
    <t>S65941312</t>
  </si>
  <si>
    <t>NFT/FBPT251882876184/ICIC/SSS ELECTRICAL POWER PRI</t>
  </si>
  <si>
    <t>SSS ELECTRICAL POWER PRI</t>
  </si>
  <si>
    <t>S67402343</t>
  </si>
  <si>
    <t>RTG/FDRLR52025070788850169/ICIC/INNOVEST VENTURES/</t>
  </si>
  <si>
    <t>INNOVEST VENTURES lease paymentt</t>
  </si>
  <si>
    <t>S93332247</t>
  </si>
  <si>
    <t>RTG/FDRLR52025070988854127/SBIN/TRUERE SURYA PRIVA</t>
  </si>
  <si>
    <t>TRUERE SURYA PRIVA</t>
  </si>
  <si>
    <t xml:space="preserve"> S9354910</t>
  </si>
  <si>
    <t>NFT/FBPT251913053581/ICIC/TRUERE SPLITWATERS PRIVA</t>
  </si>
  <si>
    <t>TRUERE SPLITWATERS PRIVA</t>
  </si>
  <si>
    <t>S20741347</t>
  </si>
  <si>
    <t>NFT/FBPT251923097485/HDFC/POWER GRID CORPORATION O</t>
  </si>
  <si>
    <t xml:space="preserve">POWER GRID CORPORATION </t>
  </si>
  <si>
    <t>S24011251</t>
  </si>
  <si>
    <t>NFT/FBPT251923108224/ICIC/DANISH POWER LIMITEDFRLY</t>
  </si>
  <si>
    <t>DANISH POWER LIMITEDFRLY</t>
  </si>
  <si>
    <t>S24335190</t>
  </si>
  <si>
    <t>NFT/FBPT251923112173/UTIB/TRUERE ZODIAC PRIVATE LI</t>
  </si>
  <si>
    <t>TRUERE ZODIAC PRIVATE LI</t>
  </si>
  <si>
    <t>088BC04251470005</t>
  </si>
  <si>
    <t>088BC04251470006</t>
  </si>
  <si>
    <t>07/07/2025 12:16:31</t>
  </si>
  <si>
    <t>RTGS Dr-SBIN0013913-ORIANA POWER LIMITED-CBX Internet-HDFCR52025070788193387-C69974070725113833</t>
  </si>
  <si>
    <t>HDFCR52025070788193387</t>
  </si>
  <si>
    <t>SBI</t>
  </si>
  <si>
    <t>10/07/2025 11:45:17</t>
  </si>
  <si>
    <t>Rev of Penal GST NCB2615317164010</t>
  </si>
  <si>
    <t>ARUMBAKKAM-BACK OFFICE</t>
  </si>
  <si>
    <t>Penal reversal</t>
  </si>
  <si>
    <t>10/07/2025 19:22:31</t>
  </si>
  <si>
    <t>088LC03251910007</t>
  </si>
  <si>
    <t>10/07/2025 19:26:59</t>
  </si>
  <si>
    <t>IMPS-519119096835-NAVEEN KUMAR SHARMA-ICIC-xxxxxxxx4098-InvOPL2526PI001</t>
  </si>
  <si>
    <t>519119096835</t>
  </si>
  <si>
    <t>NAVEEN KUMAR SHARMA</t>
  </si>
  <si>
    <t>11/07/2025 13:43:46</t>
  </si>
  <si>
    <t>088BC04251350001</t>
  </si>
  <si>
    <t>11/07/2025 15:51:10</t>
  </si>
  <si>
    <t>RTGS Cr-SBIN0062203-RENERGY DYNAMICS PRIVATE LIMITED-Oriana Power Limited-SBINR12025071191852431</t>
  </si>
  <si>
    <t>SBINR12025071191852431</t>
  </si>
  <si>
    <t>RENERGY DYNAMICS PRIVATE LIMITED</t>
  </si>
  <si>
    <t>S25966641</t>
  </si>
  <si>
    <t>03/07/2025 12:17:45 PM</t>
  </si>
  <si>
    <t>ACH/RFU2504040894872/ICIC0000000017003934/DRBUY8496996</t>
  </si>
  <si>
    <t>Invoice Discounting</t>
  </si>
  <si>
    <t>S25967849</t>
  </si>
  <si>
    <t>ACH/RFU2507020990748/ICIC0000000017003934/DRBUY8495403</t>
  </si>
  <si>
    <t>S25967310</t>
  </si>
  <si>
    <t>03/07/2025 12:17:48 PM</t>
  </si>
  <si>
    <t>ACH/M1  RI 010725 001683/ICIC0000000017603097/DRBUY8491189</t>
  </si>
  <si>
    <t>S25967322</t>
  </si>
  <si>
    <t>ACH/M1  RI 010725 001681/ICIC0000000017603097/DRBUY8491617</t>
  </si>
  <si>
    <t>S25968777</t>
  </si>
  <si>
    <t>ACH/M1  RI 010725 001684/ICIC0000000017603097/DRBUY8491065</t>
  </si>
  <si>
    <t>S25969498</t>
  </si>
  <si>
    <t>03/07/2025 12:17:58 PM</t>
  </si>
  <si>
    <t>ACH/M1  RI 010725 001263/ICIC0000000017603097/DRBUY8490788</t>
  </si>
  <si>
    <t>S25968670</t>
  </si>
  <si>
    <t>03/07/2025 12:17:59 PM</t>
  </si>
  <si>
    <t>ACH/M1  RI 010725 001258/ICIC0000000017603097/DRBUY8490793</t>
  </si>
  <si>
    <t>S25970062</t>
  </si>
  <si>
    <t>03/07/2025 12:18:01 PM</t>
  </si>
  <si>
    <t>ACH/M1  RI 010725 001195/ICIC0000000017603097/DRBUY8492879</t>
  </si>
  <si>
    <t>S25970207</t>
  </si>
  <si>
    <t>03/07/2025 12:18:05 PM</t>
  </si>
  <si>
    <t>ACH/RFU2504040895056/ICIC0000000017003934/DRBUY8497001</t>
  </si>
  <si>
    <t>S25971510</t>
  </si>
  <si>
    <t>03/07/2025 12:18:09 PM</t>
  </si>
  <si>
    <t>ACH/M1  RI 010725 001219/ICIC0000000017603097/DRBUY8491290</t>
  </si>
  <si>
    <t>S25971631</t>
  </si>
  <si>
    <t>03/07/2025 12:18:12 PM</t>
  </si>
  <si>
    <t>ACH/RFU2504040895054/ICIC0000000017003934/DRBUY8497000</t>
  </si>
  <si>
    <t>S25972960</t>
  </si>
  <si>
    <t>ACH/RFU2507020990696/ICIC0000000017003934/DRBUY8495395</t>
  </si>
  <si>
    <t>S25972523</t>
  </si>
  <si>
    <t>03/07/2025 12:18:13 PM</t>
  </si>
  <si>
    <t>ACH/RFU2504040895053/ICIC0000000017003934/DRBUY8496999</t>
  </si>
  <si>
    <t>S25973012</t>
  </si>
  <si>
    <t>ACH/RFU2504040894874/ICIC0000000017003934/DRBUY8496998</t>
  </si>
  <si>
    <t>S25973302</t>
  </si>
  <si>
    <t>03/07/2025 12:18:18 PM</t>
  </si>
  <si>
    <t>ACH/RFU2507020990768/ICIC0000000017003934/DRBUY8495401</t>
  </si>
  <si>
    <t>S25972881</t>
  </si>
  <si>
    <t>03/07/2025 12:18:19 PM</t>
  </si>
  <si>
    <t>ACH/RFU2507020990671/ICIC0000000017003934/DRBUY8495397</t>
  </si>
  <si>
    <t>S25973321</t>
  </si>
  <si>
    <t>ACH/RFU2507020990760/ICIC0000000017003934/DRBUY8495399</t>
  </si>
  <si>
    <t>S25975088</t>
  </si>
  <si>
    <t>03/07/2025 12:18:24 PM</t>
  </si>
  <si>
    <t>ACH/RFU2504040894873/ICIC0000000017003934/DRBUY8496997</t>
  </si>
  <si>
    <t>S25975103</t>
  </si>
  <si>
    <t>03/07/2025 12:18:25 PM</t>
  </si>
  <si>
    <t>ACH/RFU2504040895057/ICIC0000000017003934/DRBUY8497002</t>
  </si>
  <si>
    <t>S26578324</t>
  </si>
  <si>
    <t>03/07/2025 01:11:13 PM</t>
  </si>
  <si>
    <t>NTS/0031NDLG00192325-Commission/JK CEMENT LIMITED</t>
  </si>
  <si>
    <t>JK CEMENT LIMITED</t>
  </si>
  <si>
    <t>S38469402</t>
  </si>
  <si>
    <t>04/07/2025 01:56:53 PM</t>
  </si>
  <si>
    <t>ACH/RFU2504070895942/ICIC0000000017003934/DRBUY8509183</t>
  </si>
  <si>
    <t>S38473390</t>
  </si>
  <si>
    <t>04/07/2025 01:57:05 PM</t>
  </si>
  <si>
    <t>ACH/RFU2504050895700/ICIC0000000017003934/DRBUY8509154</t>
  </si>
  <si>
    <t>S38473416</t>
  </si>
  <si>
    <t>ACH/RFU2504050895698/ICIC0000000017003934/DRBUY8509153</t>
  </si>
  <si>
    <t>S38473440</t>
  </si>
  <si>
    <t>ACH/RFU2504050895703/ICIC0000000017003934/DRBUY8509156</t>
  </si>
  <si>
    <t>S39646113</t>
  </si>
  <si>
    <t>04/07/2025 03:53:58 PM</t>
  </si>
  <si>
    <t>IMPS Chg May-25+GST</t>
  </si>
  <si>
    <t>M3233484</t>
  </si>
  <si>
    <t>04/07/2025 06:10:16 PM</t>
  </si>
  <si>
    <t>TRFR TO:BG STAMP PAPER CHARGE ORIANA</t>
  </si>
  <si>
    <t>S51176554</t>
  </si>
  <si>
    <t>05/07/2025 12:17:28 PM</t>
  </si>
  <si>
    <t>ACH/M1  RI 040725 001469/ICIC0000000017603097/DRBUY8516260</t>
  </si>
  <si>
    <t>S51176779</t>
  </si>
  <si>
    <t>05/07/2025 12:17:32 PM</t>
  </si>
  <si>
    <t>ACH/M1  RI 040725 001613/ICIC0000000017603097/DRBUY8516054</t>
  </si>
  <si>
    <t>S51176992</t>
  </si>
  <si>
    <t>05/07/2025 12:17:36 PM</t>
  </si>
  <si>
    <t>ACH/RFU2507040994362/ICIC0000000017003934/DRBUY8519458</t>
  </si>
  <si>
    <t>S51177004</t>
  </si>
  <si>
    <t>ACH/RFU2507040994326/ICIC0000000017003934/DRBUY8519460</t>
  </si>
  <si>
    <t>S51177028</t>
  </si>
  <si>
    <t>ACH/RFU2507040994326/ICIC0000000017003934/DRBUY8519462</t>
  </si>
  <si>
    <t>S72948352</t>
  </si>
  <si>
    <t>07/07/2025 04:13:10 PM</t>
  </si>
  <si>
    <t>NTS/0031NIBLC0020626 Other_Charges</t>
  </si>
  <si>
    <t>S72947818</t>
  </si>
  <si>
    <t>07/07/2025 04:13:11 PM</t>
  </si>
  <si>
    <t>NTS/0031NIBLC0020626 Commission/VIJAYSHREE STEEL INDUSTRIES</t>
  </si>
  <si>
    <t>VIJAYSHREE STEEL INDUSTRIES</t>
  </si>
  <si>
    <t>S72948969</t>
  </si>
  <si>
    <t>07/07/2025 04:13:12 PM</t>
  </si>
  <si>
    <t>NTS/0031NIBLC0020626 IMP_579642/VIJAYSHREE STEEL INDUSTRIES</t>
  </si>
  <si>
    <t>S81707116</t>
  </si>
  <si>
    <t>08/07/2025 12:15:45 PM</t>
  </si>
  <si>
    <t>ACH/RFU2507050995006/ICIC0000000017003934/DRBUY8544273</t>
  </si>
  <si>
    <t>S81707277</t>
  </si>
  <si>
    <t>08/07/2025 12:15:47 PM</t>
  </si>
  <si>
    <t>ACH/RFU2507050994980/ICIC0000000017003934/DRBUY8544275</t>
  </si>
  <si>
    <t>S81708296</t>
  </si>
  <si>
    <t>ACH/RFU2507050994988/ICIC0000000017003934/DRBUY8544271</t>
  </si>
  <si>
    <t>S91492431</t>
  </si>
  <si>
    <t>09/07/2025 11:44:27 AM</t>
  </si>
  <si>
    <t>NTS/0031NIBLC0020826 Other_Charges</t>
  </si>
  <si>
    <t>Other_Charges</t>
  </si>
  <si>
    <t>S91492988</t>
  </si>
  <si>
    <t>NTS/0031NIBLC0020826 Commission/VIJAYSHREE STEEL INDUSTRIES</t>
  </si>
  <si>
    <t>S91492475</t>
  </si>
  <si>
    <t>09/07/2025 11:44:28 AM</t>
  </si>
  <si>
    <t>NTS/0031NIBLC0020826 IMP_581996/VIJAYSHREE STEEL INDUSTRIES</t>
  </si>
  <si>
    <t>S92483782</t>
  </si>
  <si>
    <t>09/07/2025 01:12:47 PM</t>
  </si>
  <si>
    <t>CMS/ LANOD00047732751C1378307167ORIANA POWER P0/I</t>
  </si>
  <si>
    <t>ORIANA POWER P0</t>
  </si>
  <si>
    <t>S92692532</t>
  </si>
  <si>
    <t>09/07/2025 01:35:36 PM</t>
  </si>
  <si>
    <t>ACH/RFU2507080998259/ICIC0000000017003934/DRBUY8572352</t>
  </si>
  <si>
    <t>S92693144</t>
  </si>
  <si>
    <t>ACH/RFU2507080998153/ICIC0000000017003934/DRBUY8572355</t>
  </si>
  <si>
    <t>M3445331</t>
  </si>
  <si>
    <t>09/07/2025 06:27:18 PM</t>
  </si>
  <si>
    <t>348810003788: Closure Proceeds</t>
  </si>
  <si>
    <t>Closure Proceeds</t>
  </si>
  <si>
    <t>S699490</t>
  </si>
  <si>
    <t>10/07/2025 07:21:36 AM</t>
  </si>
  <si>
    <t>BIL/Auto Loan XX60074 EMI Oriana P</t>
  </si>
  <si>
    <t>S4824715</t>
  </si>
  <si>
    <t>10/07/2025 12:40:13 PM</t>
  </si>
  <si>
    <t>ACH/RFU2507090999675/ICIC0000000017003934/DRBUY8579951</t>
  </si>
  <si>
    <t>S4824469</t>
  </si>
  <si>
    <t>10/07/2025 12:40:15 PM</t>
  </si>
  <si>
    <t>ACH/RFU2507080998632/ICIC0000000017003934/DRBUY8579949</t>
  </si>
  <si>
    <t>S4824782</t>
  </si>
  <si>
    <t>ACH/RFU2507090999690/ICIC0000000017003934/DRBUY8579947</t>
  </si>
  <si>
    <t>S4824851</t>
  </si>
  <si>
    <t>10/07/2025 12:40:17 PM</t>
  </si>
  <si>
    <t>ACH/RFU2507090999808/ICIC0000000017003934/DRBUY8579943</t>
  </si>
  <si>
    <t>S4827349</t>
  </si>
  <si>
    <t>10/07/2025 12:40:28 PM</t>
  </si>
  <si>
    <t>ACH/RFU2507091000090/ICIC0000000017003934/DRBUY8580603</t>
  </si>
  <si>
    <t>S4827838</t>
  </si>
  <si>
    <t>ACH/RFU2507090999650/ICIC0000000017003934/DRBUY8580607</t>
  </si>
  <si>
    <t>S4827385</t>
  </si>
  <si>
    <t>10/07/2025 12:40:29 PM</t>
  </si>
  <si>
    <t>ACH/RFU2507091000088/ICIC0000000017003934/DRBUY8580605</t>
  </si>
  <si>
    <t>M3387801</t>
  </si>
  <si>
    <t>10/07/2025 03:42:07 PM</t>
  </si>
  <si>
    <t>348813009271: Closure Proceeds</t>
  </si>
  <si>
    <t>M3390879</t>
  </si>
  <si>
    <t>10/07/2025 03:48:03 PM</t>
  </si>
  <si>
    <t>348813009218: Closure Proceeds</t>
  </si>
  <si>
    <t>03-07-2025 19:01:36</t>
  </si>
  <si>
    <t>014BG01251760002-COMM-GTEE-MAYUR VIHAR</t>
  </si>
  <si>
    <t>014BG01251760002-000000000000</t>
  </si>
  <si>
    <t>GTEE-MAYUR VIHAR</t>
  </si>
  <si>
    <t>03-07-2025 20:28:26</t>
  </si>
  <si>
    <t>014BG01251760002-ADJ-ENT-MAYUR VIHAR</t>
  </si>
  <si>
    <t>ADJ-ENT</t>
  </si>
  <si>
    <t>03-07-2025 20:28:27</t>
  </si>
  <si>
    <t>Due Date</t>
  </si>
  <si>
    <t>Status</t>
  </si>
  <si>
    <t>HDFC BANK</t>
  </si>
  <si>
    <t>UTTAM STRUCTURES LLP</t>
  </si>
  <si>
    <t>088LC03251280002</t>
  </si>
  <si>
    <t>Acceptance Marked On TOL</t>
  </si>
  <si>
    <t>ELECTROTECH INDIA</t>
  </si>
  <si>
    <t>088LC03251180006</t>
  </si>
  <si>
    <t>ICICI BANK</t>
  </si>
  <si>
    <t>0031NILC0115125</t>
  </si>
  <si>
    <t>0031NILC0115425</t>
  </si>
  <si>
    <t>ESENNAR TRANSFORMERS PVT LTD</t>
  </si>
  <si>
    <t>088LC03251210004</t>
  </si>
  <si>
    <t>KARAMTARA ENGINEERING</t>
  </si>
  <si>
    <t>0031NILC0114725</t>
  </si>
  <si>
    <t>KARAMTARA ENGINEERING LTD</t>
  </si>
  <si>
    <t>088LC03250630002</t>
  </si>
  <si>
    <t>088LC03250660007</t>
  </si>
  <si>
    <t>0031NILC0114825</t>
  </si>
  <si>
    <t>GOOD LUCK INDIA LIMITED</t>
  </si>
  <si>
    <t>0031NILC0114925</t>
  </si>
  <si>
    <t>0031NILC0115525</t>
  </si>
  <si>
    <t>MAHAVIR TRANSMISSION LIMITED</t>
  </si>
  <si>
    <t>088LC03251560001</t>
  </si>
  <si>
    <t>Awaiting Acceptance</t>
  </si>
  <si>
    <t>ABC TRANSFORMERS PVT LTD.</t>
  </si>
  <si>
    <t>088LC03251260007</t>
  </si>
  <si>
    <t>088LC03251270005</t>
  </si>
  <si>
    <t>AGARWAL FASTNERS PVT LTD -1000063355</t>
  </si>
  <si>
    <t>ELECTROTECH INDIA -1000198841</t>
  </si>
  <si>
    <t>VIJAYSHREE STEEL INDUSTRIES -1000210718</t>
  </si>
  <si>
    <t>GAUTAM SOLAR PRIVATE LIMITED -1000166153</t>
  </si>
  <si>
    <t>JAGDAMBA INFRA DEVELOPERS -1000248781</t>
  </si>
  <si>
    <t>GP ECO SOLUTIONS INDIA LIMITED -1000201058</t>
  </si>
  <si>
    <t>NEXAUM ENERGY PRIVATE LIMITED -1000199772</t>
  </si>
  <si>
    <t>Paid</t>
  </si>
  <si>
    <t>S.no</t>
  </si>
  <si>
    <t>s.no</t>
  </si>
  <si>
    <t>Nature</t>
  </si>
  <si>
    <t>Beneficiery</t>
  </si>
  <si>
    <t>Invoice No.</t>
  </si>
  <si>
    <t>Payment Date</t>
  </si>
  <si>
    <t>Paid Amount (D)</t>
  </si>
  <si>
    <t>Balance payable</t>
  </si>
  <si>
    <t>Running Balance Payable (C - D)</t>
  </si>
  <si>
    <t>Bank</t>
  </si>
  <si>
    <t>LC no.</t>
  </si>
  <si>
    <t>Requirement</t>
  </si>
  <si>
    <t>Ingram</t>
  </si>
  <si>
    <t>SF DIGITAL SIGNAGES</t>
  </si>
  <si>
    <t>IPR TECHNOLOGIES Pvt Ltd</t>
  </si>
  <si>
    <t>GOLDI SUN Pvt Ltd</t>
  </si>
  <si>
    <t>BUILTUP INDIA STRUCTURES Pvt Ltd</t>
  </si>
  <si>
    <t>FARADAY ELECTRICALS Pvt Ltd</t>
  </si>
  <si>
    <t>SURYALOGIX Pvt Ltd</t>
  </si>
  <si>
    <t>GE VERNOVA T&amp;D INDIA Ltd</t>
  </si>
  <si>
    <t>NOVACORE ENTERPRISES</t>
  </si>
  <si>
    <t>NESPRO RENEWABLE ENERGY SOLUTIONS</t>
  </si>
  <si>
    <t>NEXAUM ENERGY Pvt Ltd</t>
  </si>
  <si>
    <t>ENGINEERS ENTERPRISE</t>
  </si>
  <si>
    <t>M B CONTROL &amp; SYSTEMS PVT LTD</t>
  </si>
  <si>
    <t>VASHI INTEGRATED SOLUTIONS Ltd</t>
  </si>
  <si>
    <t>SUN ELECTRICALS</t>
  </si>
  <si>
    <t>ELECTROMECH POWER (I) Pvt Ltd</t>
  </si>
  <si>
    <t>GANDAS INDUSTRIES Pvt Ltd</t>
  </si>
  <si>
    <t>DANISH Pvt Ltd</t>
  </si>
  <si>
    <t>CREATOR POLY EXTRUSIONS LLP</t>
  </si>
  <si>
    <t>YATHARTH POWER</t>
  </si>
  <si>
    <t>CTR MANUFATURING INDUSTRIES Pvt Ltd</t>
  </si>
  <si>
    <t>SHREE BALAJI ENTERPRISES</t>
  </si>
  <si>
    <t>GREEN SHADE CONSULTANTS</t>
  </si>
  <si>
    <t>VECTOR ENGINEERS (UK)</t>
  </si>
  <si>
    <t>VOLTEDGE SOLUTIONS</t>
  </si>
  <si>
    <t>POOJA SHREE CONSTRUCTION COMPANY</t>
  </si>
  <si>
    <t>NIA EXPRESS GROUPS</t>
  </si>
  <si>
    <t>VISTAAR LOGISTIC SOLUTIONS</t>
  </si>
  <si>
    <t>BHARDWAJ TRANSPORT CORPORATION</t>
  </si>
  <si>
    <t>SANVIGO ELECTRIC</t>
  </si>
  <si>
    <t>AGARWAL FASTNERS Pvt Ltd</t>
  </si>
  <si>
    <t>ATB SECURITY</t>
  </si>
  <si>
    <t>SUNRISE INDUSTRIES</t>
  </si>
  <si>
    <t>RAAJRATNA VENTURES Ltd</t>
  </si>
  <si>
    <t>SHREE NARSINGH ELECTRIC CO.</t>
  </si>
  <si>
    <t>ALFA INTERCONTINENTAL Pvt Ltd</t>
  </si>
  <si>
    <t>STAUBLI TEC SYSTEM INDIA Pvt Ltd</t>
  </si>
  <si>
    <t>INFRAR SOLUTIONS</t>
  </si>
  <si>
    <t>A N ELECTRICALS</t>
  </si>
  <si>
    <t>KAILASH TUBES</t>
  </si>
  <si>
    <t>KANVYA TOOLS AND TECHNOLOGY</t>
  </si>
  <si>
    <t>SINGH TRADERS</t>
  </si>
  <si>
    <t>GK XIANGHE ELECTRICALS Pvt Ltd</t>
  </si>
  <si>
    <t>A.B.S METAL LABEL</t>
  </si>
  <si>
    <t>KESHAV KRIPA POLYPLAST L L P</t>
  </si>
  <si>
    <t>SNILLRIK INTERNATIONAL Pvt Ltd</t>
  </si>
  <si>
    <t>R R ENTERPRISES</t>
  </si>
  <si>
    <t>SOLAR MOUNTING SYSTEM SOLUTIONS</t>
  </si>
  <si>
    <t>V K GROUP SYSTEM</t>
  </si>
  <si>
    <t>SHRI SANMATI ELECTRICALS</t>
  </si>
  <si>
    <t>AERON INDUSTRIES</t>
  </si>
  <si>
    <t>YASH TECHNOCRAT</t>
  </si>
  <si>
    <t>J.K DEFENCE FIRE ENGG.SERVICES</t>
  </si>
  <si>
    <t>ADAPTIVE ENGINEERING Pvt Ltd</t>
  </si>
  <si>
    <t>SUN SOLISTA</t>
  </si>
  <si>
    <t>ASK ME IDEAS TECH SERVICES</t>
  </si>
  <si>
    <t>RENOSYS AUTOMATION</t>
  </si>
  <si>
    <t>COMCON ELECTRONICS Pvt Ltd</t>
  </si>
  <si>
    <t>ABC TRANSFORMERS Pvt Ltd</t>
  </si>
  <si>
    <t>JYOTI ERECTORS Pvt Ltd</t>
  </si>
  <si>
    <t>ELECTRO CONTROL CABLES</t>
  </si>
  <si>
    <t>SANJEEV CRANE SERVICE</t>
  </si>
  <si>
    <t>A.B PAL ELECTRICALS PVT Ltd</t>
  </si>
  <si>
    <t>GS ELECTROTECH Pvt Ltd</t>
  </si>
  <si>
    <t>PIONEER EN TECH Pvt Ltd</t>
  </si>
  <si>
    <t>GOYAL TRADER</t>
  </si>
  <si>
    <t>MICROMAP ELECTRONIC SYSTEMS Pvt Ltd</t>
  </si>
  <si>
    <t>J K  ELECTRICALS</t>
  </si>
  <si>
    <t>CHHABI ELECTRICALS Pvt Ltd</t>
  </si>
  <si>
    <t>UNIX ENGINEERS</t>
  </si>
  <si>
    <t>ALLIED POWER SOLUTIONS Pvt Ltd</t>
  </si>
  <si>
    <t>KRUTI TECHNO ENGINEERING Pvt Ltd</t>
  </si>
  <si>
    <t>SOLARIX SYSTEMS</t>
  </si>
  <si>
    <t>LIGHT AND TILE A UNIT OF BATH TAPS</t>
  </si>
  <si>
    <t>GP ECO SOLUTIONS</t>
  </si>
  <si>
    <t>INGRAM MICRO INDIA Pvt Ltd</t>
  </si>
  <si>
    <t>LC/BG Payable</t>
  </si>
  <si>
    <t>satvik</t>
  </si>
  <si>
    <t>Confirmed</t>
  </si>
  <si>
    <t>EMD</t>
  </si>
  <si>
    <t>Not Meeting QR</t>
  </si>
  <si>
    <t>If awarded</t>
  </si>
  <si>
    <t>CPBG</t>
  </si>
  <si>
    <t>Awarded</t>
  </si>
  <si>
    <t>CPSG</t>
  </si>
  <si>
    <t>Net flow</t>
  </si>
  <si>
    <t xml:space="preserve">   TO TRANSFER-INB NSBI PAY 11JULY2--</t>
  </si>
  <si>
    <t xml:space="preserve">NSBI_PAY_11JULY2CNADSBUFM0               TRANSFER TO 98561139139 / </t>
  </si>
  <si>
    <t xml:space="preserve">NSBI_PAY_11JULYCNADSBUNJ8               TRANSFER TO 98561139139 / </t>
  </si>
  <si>
    <t>Warehouse, Electricity</t>
  </si>
  <si>
    <t xml:space="preserve">   TO TRANSFER-INB NSBI PAY 11JULY3--</t>
  </si>
  <si>
    <t xml:space="preserve">NSBI_PAY_11JULY3CNADSCLLU9               TRANSFER TO 98561139139 / </t>
  </si>
  <si>
    <t xml:space="preserve">   TO TRANSFER-INB SBI PAYMENTS-SHUBHAM RAI 217754--</t>
  </si>
  <si>
    <t xml:space="preserve">SBI_PAY_11JULY3CT00SMAJL6               TRANSFER TO 20143853377                           Mr. SHUBHAM  RAI / </t>
  </si>
  <si>
    <t xml:space="preserve">SBI_PAY_11JULYCT00SLSEC7               TRANSFER TO 98561139139 / </t>
  </si>
  <si>
    <t>Site exp</t>
  </si>
  <si>
    <t xml:space="preserve">SBI_PAY_11JULY2CT00SLSEC2               TRANSFER TO 98561139139 / </t>
  </si>
  <si>
    <t>BY TRANSFER-NEFT*HDFC0000240*HDFCH00363141665*SHREE CEMENT LIM-</t>
  </si>
  <si>
    <t>SHREE CEMENT LIM-</t>
  </si>
  <si>
    <t>EPF</t>
  </si>
  <si>
    <t>ESIC</t>
  </si>
  <si>
    <t xml:space="preserve">   BY TRANSFER-RTGS UTR NO: HDFCR52025071591049484--STOCKWELL SOLAR SERVICES PRIVATE LI</t>
  </si>
  <si>
    <t>TRANSFER FROM 4698336044307 / STOCKWELL SOLAR SERVICES PRIVATE LI</t>
  </si>
  <si>
    <t>STOCKWELL SOLAR SERVICES PRIVATE LI</t>
  </si>
  <si>
    <t xml:space="preserve">   BY TRANSFER-RTGS UTR NO: ICICR42025071600516433--ORIANA POWER LIMITED</t>
  </si>
  <si>
    <t>TRANSFER FROM 4698336044307 / ORIANA POWER LIMITED</t>
  </si>
  <si>
    <t>ICICI</t>
  </si>
  <si>
    <t xml:space="preserve">   TO TRANSFER-INB RTGS UTR NO: SBINR12025071692271236--SAATVIK GREEN ENERGY LTD</t>
  </si>
  <si>
    <t>RTGS INB: CRO5774569                              TRANSFER TO 4599112044304 / SAATVIK GREEN ENERGY LTD</t>
  </si>
  <si>
    <t>SAATVIK GREEN ENERGY LTD</t>
  </si>
  <si>
    <t xml:space="preserve">   TO TRANSFER-INB RTGS UTR NO: SBINR12025071692271450--SAATVIK GREEN ENERGY LTD</t>
  </si>
  <si>
    <t>RTGS INB: CRO6710937                              TRANSFER TO 4599111044305 / SAATVIK GREEN ENERGY LTD</t>
  </si>
  <si>
    <t xml:space="preserve">KIRAN </t>
  </si>
  <si>
    <t>SANDEEP KUMAR DWIVEDI</t>
  </si>
  <si>
    <t>Monthly Vehicle Rent 02 June 25</t>
  </si>
  <si>
    <t>KEERTHI ELECTRONICS &amp; FURNITURES</t>
  </si>
  <si>
    <t>Repair &amp; Maintenance Inv 816</t>
  </si>
  <si>
    <t xml:space="preserve">KAMAL NARENDER AND CO </t>
  </si>
  <si>
    <t>Consultancy Fee Haryana Inv 34</t>
  </si>
  <si>
    <t>SWATANTRA PRATAP YADAV_2412272</t>
  </si>
  <si>
    <t>Advance for PPE at site</t>
  </si>
  <si>
    <t>SANDEEP BHATT 2504306</t>
  </si>
  <si>
    <t>STOA Application Fees 21 to 25th July</t>
  </si>
  <si>
    <t>ARJUN SINGH 2312138</t>
  </si>
  <si>
    <t>For Material at site</t>
  </si>
  <si>
    <t xml:space="preserve">   BY TRANSFER-RTGS UTR NO: UTIBR62025071814633187--TRUERE COSMIC PRIVATE LIMITED</t>
  </si>
  <si>
    <t>TRANSFER FROM 4698336044307 / TRUERE COSMIC PRIVATE LIMITED</t>
  </si>
  <si>
    <t xml:space="preserve">   BY TRANSFER-RTGS UTR NO: PSIBR22025071800177954--TRUERE GUJ SPV PRIVATE LIMITED</t>
  </si>
  <si>
    <t>TRANSFER FROM 4698335044308 / TRUERE GUJ SPV PRIVATE LIMITED</t>
  </si>
  <si>
    <t xml:space="preserve">   BY TRANSFER-INB Payment towards Invoice/Bill--</t>
  </si>
  <si>
    <t xml:space="preserve">CT00SRORZ3               TRANSFER FROM 20519801628                         TRUERE UP 2 PRIVATE LI / </t>
  </si>
  <si>
    <t xml:space="preserve">   TO TRANSFER-INB RTGS UTR NO: SBINR12025071892605858--TRUERE GREEN PRIVATE LIMITED</t>
  </si>
  <si>
    <t>RTGS INB: CRP0918305                              TRANSFER TO 4599110044305 / TRUERE GREEN PRIVATE LIMITED</t>
  </si>
  <si>
    <t xml:space="preserve">SBI_PAY_18JULYCT00SRUIG3               TRANSFER TO 98561139139 / </t>
  </si>
  <si>
    <t xml:space="preserve">NSBI_PAY_18JULYCNADSMQDD5               TRANSFER TO 98561139139 / </t>
  </si>
  <si>
    <t>S37877080</t>
  </si>
  <si>
    <t>NFT/FBPT251933156088/SBIN/GIRDHAR AND CO/I12072515</t>
  </si>
  <si>
    <t>GIRDHAR AND CO</t>
  </si>
  <si>
    <t>14-07-2025</t>
  </si>
  <si>
    <t>S62427922</t>
  </si>
  <si>
    <t>NFT/FBPT251953176871/ICIC/CENTRAL DEPOSITORY SERVI</t>
  </si>
  <si>
    <t>CDSL E voting</t>
  </si>
  <si>
    <t>S63397194</t>
  </si>
  <si>
    <t>NFT/FBPT251953191518/ICIC/ISN ELECTRONICTENDER SER</t>
  </si>
  <si>
    <t xml:space="preserve">ELECTRONICTENDER </t>
  </si>
  <si>
    <t>S65774704</t>
  </si>
  <si>
    <t>NFT/FBPT251953212545/ICIC/CENTRAL DEPOSITORY SERVI</t>
  </si>
  <si>
    <t>CDSL annual fees</t>
  </si>
  <si>
    <t>S68027872</t>
  </si>
  <si>
    <t>RTG/FDRLR52025071488864377/ICIC/IMPERIAL NATURE PV</t>
  </si>
  <si>
    <t>IMPERIAL NATURE PV</t>
  </si>
  <si>
    <t>18-07-2025</t>
  </si>
  <si>
    <t>S19768660</t>
  </si>
  <si>
    <t>NFT/FBPT251993392774/BARB/VAISHVIK PRINTERS/I18072</t>
  </si>
  <si>
    <t>VAISHVIK PRINTERS</t>
  </si>
  <si>
    <t>16/07/2025 07:24:23</t>
  </si>
  <si>
    <t>CC 000652942XXXXXX2059 Autopay SI-TAD</t>
  </si>
  <si>
    <t>NETBANK, MUMBAI</t>
  </si>
  <si>
    <t>16/07/2025 17:41:51</t>
  </si>
  <si>
    <t>088LC03251970005</t>
  </si>
  <si>
    <t>18/07/2025 12:47:17</t>
  </si>
  <si>
    <t>088BC04250210005</t>
  </si>
  <si>
    <t>S36682394</t>
  </si>
  <si>
    <t>14/07/2025 12:14:06 PM</t>
  </si>
  <si>
    <t>ACH/RFU2507111003292/ICIC0000000017003934/DRBUY8615463</t>
  </si>
  <si>
    <t>S36682244</t>
  </si>
  <si>
    <t>14/07/2025 12:14:07 PM</t>
  </si>
  <si>
    <t>ACH/RFU2507111002911/ICIC0000000017003934/DRBUY8615466</t>
  </si>
  <si>
    <t>S36682411</t>
  </si>
  <si>
    <t>ACH/RFU2507111002971/ICIC0000000017003934/DRBUY8615462</t>
  </si>
  <si>
    <t>S36683388</t>
  </si>
  <si>
    <t>ACH/RFU2507111003504/ICIC0000000017003934/DRBUY8615468</t>
  </si>
  <si>
    <t>S36682260</t>
  </si>
  <si>
    <t>14/07/2025 12:14:08 PM</t>
  </si>
  <si>
    <t>ACH/RFU2507111003495/ICIC0000000017003934/DRBUY8615472</t>
  </si>
  <si>
    <t>S36683434</t>
  </si>
  <si>
    <t>ACH/RFU2507111003502/ICIC0000000017003934/DRBUY8615470</t>
  </si>
  <si>
    <t>S36683448</t>
  </si>
  <si>
    <t>14/07/2025 12:14:09 PM</t>
  </si>
  <si>
    <t>ACH/RFU2507111003459/ICIC0000000017003934/DRBUY8615478</t>
  </si>
  <si>
    <t>S36683484</t>
  </si>
  <si>
    <t>ACH/RFU2507111003247/ICIC0000000017003934/DRBUY8615474</t>
  </si>
  <si>
    <t>S36683496</t>
  </si>
  <si>
    <t>14/07/2025 12:14:10 PM</t>
  </si>
  <si>
    <t>ACH/RFU2507111003199/ICIC0000000017003934/DRBUY8615475</t>
  </si>
  <si>
    <t>S36683511</t>
  </si>
  <si>
    <t>14/07/2025 12:14:11 PM</t>
  </si>
  <si>
    <t>ACH/RFU2507111003122/ICIC0000000017003934/DRBUY8615481</t>
  </si>
  <si>
    <t>S36683887</t>
  </si>
  <si>
    <t>ACH/RFU2507111003323/ICIC0000000017003934/DRBUY8615479</t>
  </si>
  <si>
    <t>S36682668</t>
  </si>
  <si>
    <t>14/07/2025 12:14:12 PM</t>
  </si>
  <si>
    <t>ACH/RFU2507111003479/ICIC0000000017003934/DRBUY8615456</t>
  </si>
  <si>
    <t>S36682740</t>
  </si>
  <si>
    <t>14/07/2025 12:14:13 PM</t>
  </si>
  <si>
    <t>ACH/RFU2507111003425/ICIC0000000017003934/DRBUY8615454</t>
  </si>
  <si>
    <t>S36683623</t>
  </si>
  <si>
    <t>ACH/RFU2507111003407/ICIC0000000017003934/DRBUY8615460</t>
  </si>
  <si>
    <t>S36683689</t>
  </si>
  <si>
    <t>14/07/2025 12:14:15 PM</t>
  </si>
  <si>
    <t>ACH/RFU2507111003498/ICIC0000000017003934/DRBUY8615458</t>
  </si>
  <si>
    <t>S36684163</t>
  </si>
  <si>
    <t>14/07/2025 12:14:18 PM</t>
  </si>
  <si>
    <t>ACH/RFU2504150904235/ICIC0000000017003934/DRBUY8616996</t>
  </si>
  <si>
    <t>S36684274</t>
  </si>
  <si>
    <t>14/07/2025 12:14:21 PM</t>
  </si>
  <si>
    <t>ACH/RFU2504150904175/ICIC0000000017003934/DRBUY8616983</t>
  </si>
  <si>
    <t>S37446366</t>
  </si>
  <si>
    <t>14/07/2025 01:29:39 PM</t>
  </si>
  <si>
    <t>NTS/0031NIBLC0035826 Commission/KARAMTARA ENGINEERING LIMITED</t>
  </si>
  <si>
    <t>KARAMTARA ENGINEERING LIMITED</t>
  </si>
  <si>
    <t>S37446669</t>
  </si>
  <si>
    <t>NTS/0031NIBLC0035826 Other_Charges</t>
  </si>
  <si>
    <t>S37446713</t>
  </si>
  <si>
    <t>14/07/2025 01:29:40 PM</t>
  </si>
  <si>
    <t>NTS/0011NOBC00000826 IMP_586023/KARAMTARA ENGINEERING LIMITED</t>
  </si>
  <si>
    <t>M3426000</t>
  </si>
  <si>
    <t>14/07/2025 02:44:33 PM</t>
  </si>
  <si>
    <t>348810003786: Closure Proceeds</t>
  </si>
  <si>
    <t>M3451842</t>
  </si>
  <si>
    <t>15/07/2025 02:57:11 PM</t>
  </si>
  <si>
    <t>CASH PAID:gaurav 0031 NOIDACHQ,137</t>
  </si>
  <si>
    <t>Petty cash</t>
  </si>
  <si>
    <t>S57588934</t>
  </si>
  <si>
    <t>16/07/2025 11:56:48 AM</t>
  </si>
  <si>
    <t>RTGS/ICICR42025071600516396/CNRB0002137/DEVENDRAYADUVANSHI2207060/Partial</t>
  </si>
  <si>
    <t>DEVENDRAYADUVANSHI</t>
  </si>
  <si>
    <t>S57588491</t>
  </si>
  <si>
    <t>16/07/2025 11:56:49 AM</t>
  </si>
  <si>
    <t>INF/NEFT/ICICN42025071654166205/YESB0001058/Advance for office exp/KUMARRAJGAURAV2</t>
  </si>
  <si>
    <t>KUMARRAJGAURAV</t>
  </si>
  <si>
    <t>S57588507</t>
  </si>
  <si>
    <t>INF/NEFT/ICICN42025071654166214/SBIN0015750/Advance for site visit/MDAMANULLAH2312</t>
  </si>
  <si>
    <t>Advance for site visit</t>
  </si>
  <si>
    <t>S57588310</t>
  </si>
  <si>
    <t>16/07/2025 11:56:50 AM</t>
  </si>
  <si>
    <t>INF/NEFT/ICICN42025071654166322/HDFC0004153/STOA Application Fees/SANDEEPBHATT250</t>
  </si>
  <si>
    <t>STOA Application Fees</t>
  </si>
  <si>
    <t>S57589018</t>
  </si>
  <si>
    <t>INF/NEFT/ICICN42025071654166233/HDFC0004318/Advance for site exp/SANDEEPSINGHGUR</t>
  </si>
  <si>
    <t>Advance for site exp</t>
  </si>
  <si>
    <t>S57589057</t>
  </si>
  <si>
    <t>16/07/2025 11:56:51 AM</t>
  </si>
  <si>
    <t>INF/NEFT/ICICN42025071654166238/SBIN0005456/Advance for site visit/SONUKUMAR240619</t>
  </si>
  <si>
    <t>S57589542</t>
  </si>
  <si>
    <t>RTGS/ICICR42025071600516403/UTIB0000593/SISLIMITED/50</t>
  </si>
  <si>
    <t>SISLIMITED</t>
  </si>
  <si>
    <t>S57588617</t>
  </si>
  <si>
    <t>16/07/2025 11:56:52 AM</t>
  </si>
  <si>
    <t>RTGS/ICICR42025071600516433/SBIN0013913/ORIANAPOWERSBI/Bank</t>
  </si>
  <si>
    <t>S57784993</t>
  </si>
  <si>
    <t>16/07/2025 12:15:13 PM</t>
  </si>
  <si>
    <t>ACH/RFU2507151007064/ICIC0000000017003934/DRBUY8646351</t>
  </si>
  <si>
    <t>S57785003</t>
  </si>
  <si>
    <t>16/07/2025 12:15:14 PM</t>
  </si>
  <si>
    <t>ACH/RFU2507151006428/ICIC0000000017003934/DRBUY8646353</t>
  </si>
  <si>
    <t>S57785010</t>
  </si>
  <si>
    <t>ACH/RFU2507151007118/ICIC0000000017003934/DRBUY8646355</t>
  </si>
  <si>
    <t>S57785047</t>
  </si>
  <si>
    <t>16/07/2025 12:15:15 PM</t>
  </si>
  <si>
    <t>ACH/RFU2507151006603/ICIC0000000017003934/DRBUY8646361</t>
  </si>
  <si>
    <t>S57785873</t>
  </si>
  <si>
    <t>ACH/RFU2507151006584/ICIC0000000017003934/DRBUY8646363</t>
  </si>
  <si>
    <t>S57785081</t>
  </si>
  <si>
    <t>16/07/2025 12:15:16 PM</t>
  </si>
  <si>
    <t>ACH/RFU2507151007229/ICIC0000000017003934/DRBUY8646358</t>
  </si>
  <si>
    <t>S57785475</t>
  </si>
  <si>
    <t>ACH/RFU2507151006632/ICIC0000000017003934/DRBUY8646359</t>
  </si>
  <si>
    <t>S66469771</t>
  </si>
  <si>
    <t>17/07/2025 12:15:47 PM</t>
  </si>
  <si>
    <t>ACH/RFU2507161007936/ICIC0000000017003934/DRBUY8659104</t>
  </si>
  <si>
    <t>S66469835</t>
  </si>
  <si>
    <t>ACH/RFU2507161007924/ICIC0000000017003934/DRBUY8659102</t>
  </si>
  <si>
    <t>S66474580</t>
  </si>
  <si>
    <t>17/07/2025 12:16:05 PM</t>
  </si>
  <si>
    <t>ACH/RFU2507161007969/ICIC0000000017003934/DRBUY8659108</t>
  </si>
  <si>
    <t>S66474612</t>
  </si>
  <si>
    <t>ACH/RFU2507161007931/ICIC0000000017003934/DRBUY8659106</t>
  </si>
  <si>
    <t>S66480181</t>
  </si>
  <si>
    <t>17/07/2025 12:16:13 PM</t>
  </si>
  <si>
    <t>ACH/M1  RI 150725 001595/ICIC0000000017603097/DRBUY8655258</t>
  </si>
  <si>
    <t>S66482257</t>
  </si>
  <si>
    <t>17/07/2025 12:16:22 PM</t>
  </si>
  <si>
    <t>ACH/M1  RI 150725 001635/ICIC0000000017603097/DRBUY8655809</t>
  </si>
  <si>
    <t>S66483148</t>
  </si>
  <si>
    <t>17/07/2025 12:16:24 PM</t>
  </si>
  <si>
    <t>ACH/M1  RI 150725 001505/ICIC0000000017603097/DRBUY8653373</t>
  </si>
  <si>
    <t>S74999585</t>
  </si>
  <si>
    <t>18/07/2025 12:17:37 PM</t>
  </si>
  <si>
    <t>ACH/RFU2504190909181/ICIC0000000017003934/DRBUY8674998</t>
  </si>
  <si>
    <t>S74997743</t>
  </si>
  <si>
    <t>18/07/2025 12:17:38 PM</t>
  </si>
  <si>
    <t>ACH/RFU2504190909180/ICIC0000000017003934/DRBUY8674997</t>
  </si>
  <si>
    <t>S74998070</t>
  </si>
  <si>
    <t>18/07/2025 12:17:45 PM</t>
  </si>
  <si>
    <t>ACH/RFU2504190909024/ICIC0000000017003934/DRBUY8674971</t>
  </si>
  <si>
    <t>S74999157</t>
  </si>
  <si>
    <t>18/07/2025 12:17:47 PM</t>
  </si>
  <si>
    <t>ACH/RFU2504190909131/ICIC0000000017003934/DRBUY8674991</t>
  </si>
  <si>
    <t>S75000316</t>
  </si>
  <si>
    <t>18/07/2025 12:17:53 PM</t>
  </si>
  <si>
    <t>ACH/RFU2507171009986/ICIC0000000017003934/DRBUY8673503</t>
  </si>
  <si>
    <t>S75000347</t>
  </si>
  <si>
    <t>18/07/2025 12:17:54 PM</t>
  </si>
  <si>
    <t>ACH/RFU2507171009932/ICIC0000000017003934/DRBUY8673507</t>
  </si>
  <si>
    <t>S75000765</t>
  </si>
  <si>
    <t>ACH/RFU2507161008367/ICIC0000000017003934/DRBUY8673505</t>
  </si>
  <si>
    <t>Contingency</t>
  </si>
  <si>
    <t>Fixed</t>
  </si>
  <si>
    <r>
      <rPr>
        <sz val="10"/>
        <rFont val="Aptos"/>
        <family val="2"/>
      </rPr>
      <t>25-Jun-2025
11:50:00</t>
    </r>
  </si>
  <si>
    <r>
      <rPr>
        <sz val="10"/>
        <rFont val="Aptos"/>
        <family val="2"/>
      </rPr>
      <t>HDFCR520250625842 49430</t>
    </r>
  </si>
  <si>
    <r>
      <rPr>
        <sz val="10"/>
        <rFont val="Aptos"/>
        <family val="2"/>
      </rPr>
      <t>25-Jun-2025
12:14:57</t>
    </r>
  </si>
  <si>
    <r>
      <rPr>
        <sz val="10"/>
        <rFont val="Aptos"/>
        <family val="2"/>
      </rPr>
      <t>088GT02251760002</t>
    </r>
  </si>
  <si>
    <r>
      <rPr>
        <sz val="10"/>
        <rFont val="Aptos"/>
        <family val="2"/>
      </rPr>
      <t>25-Jun-2025
15:11:57</t>
    </r>
  </si>
  <si>
    <r>
      <rPr>
        <sz val="10"/>
        <rFont val="Aptos"/>
        <family val="2"/>
      </rPr>
      <t>RTGS Cr- FDRL0009001-ORIANA POWER LIMITED- ORIANA POWER LIMITED- FDRLR5202506258882 6846</t>
    </r>
  </si>
  <si>
    <r>
      <rPr>
        <sz val="10"/>
        <rFont val="Aptos"/>
        <family val="2"/>
      </rPr>
      <t>FDRLR520250625888 26846</t>
    </r>
  </si>
  <si>
    <r>
      <rPr>
        <sz val="10"/>
        <rFont val="Aptos"/>
        <family val="2"/>
      </rPr>
      <t>26-Jun-2025
11:54:46</t>
    </r>
  </si>
  <si>
    <r>
      <rPr>
        <sz val="10"/>
        <rFont val="Aptos"/>
        <family val="2"/>
      </rPr>
      <t>NEFT Cr- ICIC0SF0002-GOLD MOHUR OVERSEAS- ORIANAPOWERLIMITED
- ICICN4202506265618 6219</t>
    </r>
  </si>
  <si>
    <r>
      <rPr>
        <sz val="10"/>
        <rFont val="Aptos"/>
        <family val="2"/>
      </rPr>
      <t>ICICN420250626561 86219</t>
    </r>
  </si>
  <si>
    <r>
      <rPr>
        <sz val="10"/>
        <rFont val="Aptos"/>
        <family val="2"/>
      </rPr>
      <t>014BG012517600
02-000000000000</t>
    </r>
  </si>
  <si>
    <r>
      <rPr>
        <sz val="10"/>
        <rFont val="Aptos"/>
        <family val="2"/>
      </rPr>
      <t>BY TRANSFER-INB
Payment towards Invoice/Bill-</t>
    </r>
  </si>
  <si>
    <t>25/06/2025
11:43:39 AM</t>
  </si>
  <si>
    <t>25/06/2025
11:43:47 AM</t>
  </si>
  <si>
    <t>25/06/2025
11:43:50 AM</t>
  </si>
  <si>
    <t>25/06/2025
11:50:50 AM</t>
  </si>
  <si>
    <t>25/06/2025
12:10:30 PM</t>
  </si>
  <si>
    <t>25/06/2025
12:16:28 PM</t>
  </si>
  <si>
    <t>25/06/2025
12:16:29 PM</t>
  </si>
  <si>
    <t>25/06/2025
12:16:30 PM</t>
  </si>
  <si>
    <t>25/06/2025
12:16:47 PM</t>
  </si>
  <si>
    <t>25/06/2025
01:22:43 PM</t>
  </si>
  <si>
    <t>25/06/2025
01:49:18 PM</t>
  </si>
  <si>
    <t>25/06/2025
03:12:14 PM</t>
  </si>
  <si>
    <t>25/06/2025
05:29:16 PM</t>
  </si>
  <si>
    <t>Net Payable</t>
  </si>
  <si>
    <t>S79057547</t>
  </si>
  <si>
    <t>18/07/2025 07:20:42 PM</t>
  </si>
  <si>
    <t>GSTREV:0031NDLG00166524:170725</t>
  </si>
  <si>
    <t>S79492344</t>
  </si>
  <si>
    <t>18/07/2025 07:43:33 PM</t>
  </si>
  <si>
    <t>NTS/0031NDLG00196125-Handling charges/DAMODAR VALLEY CORPORATION</t>
  </si>
  <si>
    <t>S79492360</t>
  </si>
  <si>
    <t>18/07/2025 07:43:34 PM</t>
  </si>
  <si>
    <t>NTS/CAN-RE-0031NDLG00196125</t>
  </si>
  <si>
    <t>S81171548</t>
  </si>
  <si>
    <t>19/07/2025 03:23:33 AM</t>
  </si>
  <si>
    <t>RTGS/ICICR42025071900500878/SBIN0013913/ORIANAPOWERLIMITEDSBI/Bank</t>
  </si>
  <si>
    <t>S83405884</t>
  </si>
  <si>
    <t>19/07/2025 12:13:19 PM</t>
  </si>
  <si>
    <t>ACH/RFU2504210910075/ICIC0000000017003934/DRBUY8693072</t>
  </si>
  <si>
    <t>S83405470</t>
  </si>
  <si>
    <t>19/07/2025 12:13:20 PM</t>
  </si>
  <si>
    <t>ACH/RFU2504210910103/ICIC0000000017003934/DRBUY8693074</t>
  </si>
  <si>
    <t>S83655738</t>
  </si>
  <si>
    <t>19/07/2025 12:30:32 PM</t>
  </si>
  <si>
    <t>NTS/0031NIBLC0027026 Other_Charges</t>
  </si>
  <si>
    <t>S83656247</t>
  </si>
  <si>
    <t>19/07/2025 12:30:33 PM</t>
  </si>
  <si>
    <t>NTS/0031NIBLC0027026 Commission/VIJAYSHREE STEEL INDUSTRIES</t>
  </si>
  <si>
    <t>S83655785</t>
  </si>
  <si>
    <t>19/07/2025 12:30:34 PM</t>
  </si>
  <si>
    <t>NTS/0031NIBLC0027026 IMP_594016/VIJAYSHREE STEEL INDUSTRIES</t>
  </si>
  <si>
    <t>M3243658</t>
  </si>
  <si>
    <t>19/07/2025 12:30:54 PM</t>
  </si>
  <si>
    <t>S86571296</t>
  </si>
  <si>
    <t>19/07/2025 06:52:56 PM</t>
  </si>
  <si>
    <t>GSTREV:0031NDLG00196125:180725</t>
  </si>
  <si>
    <t>S96606248</t>
  </si>
  <si>
    <t>21/07/2025 12:17:10 PM</t>
  </si>
  <si>
    <t>ACH/M1  RI 180725 001457/ICIC0000000017603097/DRBUY8704680</t>
  </si>
  <si>
    <t>S96607588</t>
  </si>
  <si>
    <t>ACH/M1  RI 180725 001638/ICIC0000000017603097/DRBUY8704853</t>
  </si>
  <si>
    <t>S96607757</t>
  </si>
  <si>
    <t>ACH/M1  RI 180725 001596/ICIC0000000017603097/DRBUY8705572</t>
  </si>
  <si>
    <t>S96607606</t>
  </si>
  <si>
    <t>21/07/2025 12:17:11 PM</t>
  </si>
  <si>
    <t>ACH/RFU2507181011242/ICIC0000000017003934/DRBUY8707557</t>
  </si>
  <si>
    <t>S96607619</t>
  </si>
  <si>
    <t>ACH/M1  RI 180725 001240/ICIC0000000017603097/DRBUY8706484</t>
  </si>
  <si>
    <t>S96606581</t>
  </si>
  <si>
    <t>21/07/2025 12:17:12 PM</t>
  </si>
  <si>
    <t>ACH/RFU2507181010887/ICIC0000000017003934/DRBUY8707559</t>
  </si>
  <si>
    <t>S96607651</t>
  </si>
  <si>
    <t>ACH/RFU2507191012592/ICIC0000000017003934/DRBUY8708314</t>
  </si>
  <si>
    <t>S96607653</t>
  </si>
  <si>
    <t>ACH/RFU2507191012161/ICIC0000000017003934/DRBUY8707527</t>
  </si>
  <si>
    <t>S96607145</t>
  </si>
  <si>
    <t>21/07/2025 12:17:13 PM</t>
  </si>
  <si>
    <t>ACH/RFU2504220911912/ICIC0000000017003934/DRBUY8709509</t>
  </si>
  <si>
    <t>S96607709</t>
  </si>
  <si>
    <t>ACH/RFU2507191012139/ICIC0000000017003934/DRBUY8707533</t>
  </si>
  <si>
    <t>S96607829</t>
  </si>
  <si>
    <t>ACH/RFU2507191012165/ICIC0000000017003934/DRBUY8707523</t>
  </si>
  <si>
    <t>S96607698</t>
  </si>
  <si>
    <t>21/07/2025 12:17:14 PM</t>
  </si>
  <si>
    <t>ACH/RFU2507181010866/ICIC0000000017003934/DRBUY8707548</t>
  </si>
  <si>
    <t>S96606665</t>
  </si>
  <si>
    <t>21/07/2025 12:17:15 PM</t>
  </si>
  <si>
    <t>ACH/RFU2507191012524/ICIC0000000017003934/DRBUY8708316</t>
  </si>
  <si>
    <t>S96608285</t>
  </si>
  <si>
    <t>ACH/RFU2504220911889/ICIC0000000017003934/DRBUY8709507</t>
  </si>
  <si>
    <t>S96607941</t>
  </si>
  <si>
    <t>21/07/2025 12:17:16 PM</t>
  </si>
  <si>
    <t>ACH/RFU2507171010459/ICIC0000000017003934/DRBUY8707550</t>
  </si>
  <si>
    <t>S96608302</t>
  </si>
  <si>
    <t>ACH/RFU2504220911916/ICIC0000000017003934/DRBUY8709510</t>
  </si>
  <si>
    <t>S96608317</t>
  </si>
  <si>
    <t>ACH/RFU2507181011046/ICIC0000000017003934/DRBUY8707553</t>
  </si>
  <si>
    <t>S96606718</t>
  </si>
  <si>
    <t>21/07/2025 12:17:17 PM</t>
  </si>
  <si>
    <t>ACH/RFU2507181011030/ICIC0000000017003934/DRBUY8707563</t>
  </si>
  <si>
    <t>S96606737</t>
  </si>
  <si>
    <t>ACH/RFU2507191012161/ICIC0000000017003934/DRBUY8707529</t>
  </si>
  <si>
    <t>S96607961</t>
  </si>
  <si>
    <t>ACH/RFU2507181011259/ICIC0000000017003934/DRBUY8707560</t>
  </si>
  <si>
    <t>S96608347</t>
  </si>
  <si>
    <t>ACH/RFU2507191012139/ICIC0000000017003934/DRBUY8707531</t>
  </si>
  <si>
    <t>S96608049</t>
  </si>
  <si>
    <t>21/07/2025 12:17:18 PM</t>
  </si>
  <si>
    <t>ACH/RFU2507191012534/ICIC0000000017003934/DRBUY8708312</t>
  </si>
  <si>
    <t>S96608373</t>
  </si>
  <si>
    <t>ACH/RFU2507181011120/ICIC0000000017003934/DRBUY8707546</t>
  </si>
  <si>
    <t>S96609258</t>
  </si>
  <si>
    <t>ACH/RFU2507191012161/ICIC0000000017003934/DRBUY8707525</t>
  </si>
  <si>
    <t>S96608428</t>
  </si>
  <si>
    <t>21/07/2025 12:17:19 PM</t>
  </si>
  <si>
    <t>ACH/RFU2507181010852/ICIC0000000017003934/DRBUY8707545</t>
  </si>
  <si>
    <t>S96608919</t>
  </si>
  <si>
    <t>ACH/RFU2504220911883/ICIC0000000017003934/DRBUY8709506</t>
  </si>
  <si>
    <t>S96609290</t>
  </si>
  <si>
    <t>ACH/RFU2507181011291/ICIC0000000017003934/DRBUY8707555</t>
  </si>
  <si>
    <t>S96608081</t>
  </si>
  <si>
    <t>21/07/2025 12:17:20 PM</t>
  </si>
  <si>
    <t>ACH/RFU2507191012165/ICIC0000000017003934/DRBUY8707521</t>
  </si>
  <si>
    <t>S96608939</t>
  </si>
  <si>
    <t>ACH/RFU2507181010934/ICIC0000000017003934/DRBUY8708317</t>
  </si>
  <si>
    <t>S96609321</t>
  </si>
  <si>
    <t>ACH/RFU2504220911871/ICIC0000000017003934/DRBUY8709505</t>
  </si>
  <si>
    <t>S96608513</t>
  </si>
  <si>
    <t>21/07/2025 12:17:21 PM</t>
  </si>
  <si>
    <t>ACH/RFU2507191012165/ICIC0000000017003934/DRBUY8707519</t>
  </si>
  <si>
    <t>S97175016</t>
  </si>
  <si>
    <t>21/07/2025 01:09:09 PM</t>
  </si>
  <si>
    <t>NTS/0031NIBLC0035926 Commission/KARAMTARA ENGINEERING</t>
  </si>
  <si>
    <t>S97176138</t>
  </si>
  <si>
    <t>NTS/0031NIBLC0035926 Other_Charges</t>
  </si>
  <si>
    <t>S97175492</t>
  </si>
  <si>
    <t>21/07/2025 01:09:10 PM</t>
  </si>
  <si>
    <t>NTS/0011NOBC00000726 IMP_594878/KARAMTARA ENGINEERING</t>
  </si>
  <si>
    <t>M3288084</t>
  </si>
  <si>
    <t>21/07/2025 01:09:50 PM</t>
  </si>
  <si>
    <t>348810003785: Closure Proceeds</t>
  </si>
  <si>
    <t xml:space="preserve">CT00STEYM8               TRANSFER FROM 41278256531                         ASHLYN DEL SPV PRIVATE / </t>
  </si>
  <si>
    <t xml:space="preserve">   TO TRANSFER-INB RTGS UTR NO: SBINR12025072192787385--RRECL JAIPUR</t>
  </si>
  <si>
    <t>RTGS INB: CRP5991172 TRANSFER TO 4599111044305 / RRECL JAIPUR</t>
  </si>
  <si>
    <t xml:space="preserve">   TO TRANSFER-INB Advance payment to Dealer--</t>
  </si>
  <si>
    <t xml:space="preserve">CT00STMCK0 TRANSFER TO 42294364902 SOLARITHIC POWER SPV P / </t>
  </si>
  <si>
    <t xml:space="preserve">CT00STPUA1               TRANSFER FROM 38115536075                         STOCKWELL SOLAR SERVIC / </t>
  </si>
  <si>
    <t xml:space="preserve">   BY TRANSFER-CMP BHARAT COKING COAL LTD--</t>
  </si>
  <si>
    <t xml:space="preserve">CMP00000001194114110AOXJ656176               TRANSFER FROM 10229056029                         BCCL SALARY ACCOUNTS / </t>
  </si>
  <si>
    <t>BCCL</t>
  </si>
  <si>
    <t xml:space="preserve">   BY TRANSFER-RTGS UTR NO: CBINR12025072110022180--KIANA ENERGY SOLUTIONS LLP</t>
  </si>
  <si>
    <t>TRANSFER FROM 3199855044301 / KIANA ENERGY SOLUTIONS LLP</t>
  </si>
  <si>
    <t>KIANA ENERGY SOLUTIONS LLP</t>
  </si>
  <si>
    <t xml:space="preserve">   BY TRANSFER-RTGS UTR NO: CBINR12025072110022616--KIANA ENERGY SOLUTIONS LLP</t>
  </si>
  <si>
    <t>TRANSFER FROM 4698336044307 / KIANA ENERGY SOLUTIONS LLP</t>
  </si>
  <si>
    <t>CC 000442145XXXXXX9048 Autopay SI-TAD</t>
  </si>
  <si>
    <t>branch</t>
  </si>
  <si>
    <t>truere spv 2</t>
  </si>
  <si>
    <t xml:space="preserve">   TO TRANSFER-INB RTGS UTR NO: SBINR12025072292876936--SAATVIK GREEN ENERGY LTD</t>
  </si>
  <si>
    <t>RTGS INB: CRP6691272                              TRANSFER TO 4599113044303 / SAATVIK GREEN ENERGY LTD</t>
  </si>
  <si>
    <t xml:space="preserve">   BY TRANSFER-RTGS UTR NO: CBINR52025072210003826--KIANA ENERGY SOLUTIONS LLP</t>
  </si>
  <si>
    <t>TRANSFER FROM 4698337044306 / KIANA ENERGY SOLUTIONS LLP</t>
  </si>
  <si>
    <t>S5336087</t>
  </si>
  <si>
    <t>22/07/2025 12:10:28 PM</t>
  </si>
  <si>
    <t>ACH/RFU2507211013891/ICIC0000000017003934/DRBUY8719949</t>
  </si>
  <si>
    <t>S5339024</t>
  </si>
  <si>
    <t>22/07/2025 12:10:29 PM</t>
  </si>
  <si>
    <t>ACH/RFU2507211013884/ICIC0000000017003934/DRBUY8719752</t>
  </si>
  <si>
    <t>S5339381</t>
  </si>
  <si>
    <t>ACH/RFU2507181011796/ICIC0000000017003934/DRBUY8719750</t>
  </si>
  <si>
    <t>S5338479</t>
  </si>
  <si>
    <t>22/07/2025 12:10:30 PM</t>
  </si>
  <si>
    <t>ACH/RFU2507211013884/ICIC0000000017003934/DRBUY8719756</t>
  </si>
  <si>
    <t>S5339673</t>
  </si>
  <si>
    <t>ACH/RFU2507211013884/ICIC0000000017003934/DRBUY8719754</t>
  </si>
  <si>
    <t>S5337177</t>
  </si>
  <si>
    <t>22/07/2025 12:10:31 PM</t>
  </si>
  <si>
    <t>ACH/RFU2504230912403/ICIC0000000017003934/DRBUY8721322</t>
  </si>
  <si>
    <t>S5339693</t>
  </si>
  <si>
    <t>ACH/RFU2507181011112/ICIC0000000017003934/DRBUY8719758</t>
  </si>
  <si>
    <t>S5339228</t>
  </si>
  <si>
    <t>22/07/2025 12:10:32 PM</t>
  </si>
  <si>
    <t>ACH/RFU2504230912367/ICIC0000000017003934/DRBUY8721292</t>
  </si>
  <si>
    <t>S5341678</t>
  </si>
  <si>
    <t>22/07/2025 12:10:55 PM</t>
  </si>
  <si>
    <t>ACH/RFU2507211013891/ICIC0000000017003934/DRBUY8719947</t>
  </si>
  <si>
    <t>S5343991</t>
  </si>
  <si>
    <t>ACH/RFU2507211013786/ICIC0000000017003934/DRBUY8719943</t>
  </si>
  <si>
    <t>S5344001</t>
  </si>
  <si>
    <t>ACH/RFU2507211013786/ICIC0000000017003934/DRBUY8719941</t>
  </si>
  <si>
    <t>S5344028</t>
  </si>
  <si>
    <t>22/07/2025 12:10:56 PM</t>
  </si>
  <si>
    <t>ACH/RFU2507211013786/ICIC0000000017003934/DRBUY8719939</t>
  </si>
  <si>
    <t>ALFA INTERCONTINENTAL PRIVATE</t>
  </si>
  <si>
    <t>SNS INFRATECH PVT. LTD</t>
  </si>
  <si>
    <t>SG POWER PRODUCTS PRIVATE LIMITED</t>
  </si>
  <si>
    <t>THERMAX LIMITED</t>
  </si>
  <si>
    <t>BHARADWAJ TRANSPORT CORPORATION -1000204555</t>
  </si>
  <si>
    <t>SUN ELECTRICALS -1000017965</t>
  </si>
  <si>
    <t>SHANKY FINANCIAL SERVICES -1000184910</t>
  </si>
  <si>
    <t>SHREE BALAJI ENTERPRISES -1000258885</t>
  </si>
  <si>
    <t>BUILTUP INDIA STRUCTURES PRIVATE LIMITED -1000258907</t>
  </si>
  <si>
    <t>PEGASUS CAPITAL -1000259332</t>
  </si>
  <si>
    <t>CREATOR POLY EXTRUSIONS LLP -1000207550</t>
  </si>
  <si>
    <t>A B C TRANSFORMERS PVT LTD -1000241007</t>
  </si>
  <si>
    <t>NESPRO RENEWABLE ENERGY SOLUTIONS -1000259309</t>
  </si>
  <si>
    <t xml:space="preserve">   BY TRANSFER-RTGS UTR NO: UTIBR72025072300420546--STEER ENGINEERING PRIVATE LIMITED</t>
  </si>
  <si>
    <t>TRANSFER FROM 4698336044307 / STEER ENGINEERING PRIVATE LIMITED</t>
  </si>
  <si>
    <t>STEER ENGINEERING PRIVATE LIMITED</t>
  </si>
  <si>
    <t>ABUJAR ALI 2304069</t>
  </si>
  <si>
    <t xml:space="preserve">Site expenses reimbursement </t>
  </si>
  <si>
    <t>AKASH 2305083</t>
  </si>
  <si>
    <t>For Fooding and Conveyance reimbursement</t>
  </si>
  <si>
    <t>ABHISHEK BAIRAWA 2412273</t>
  </si>
  <si>
    <t>Reimbursement upto Jun 25</t>
  </si>
  <si>
    <t>ASHOK KUMAR ARORA</t>
  </si>
  <si>
    <t>Office Electricity Jun25</t>
  </si>
  <si>
    <t>ASIAN INDUSTRIAL SECURITY SERVICES</t>
  </si>
  <si>
    <t>Security Services at site Inv 1978</t>
  </si>
  <si>
    <t>Security Services at site Inv 1979</t>
  </si>
  <si>
    <t>Security Services at site Inv 1994</t>
  </si>
  <si>
    <t>Security Services at site Inv 1995</t>
  </si>
  <si>
    <t>DELHI SECURITY &amp; MANPOWER SERVICE PVT LTD</t>
  </si>
  <si>
    <t>Security services June 25 Inv 15</t>
  </si>
  <si>
    <t>Security services June 25 Inv 16</t>
  </si>
  <si>
    <t>Security services June 25 Inv 17</t>
  </si>
  <si>
    <t>Security services June 25 Inv 18</t>
  </si>
  <si>
    <t>Security services June 25 Inv 19</t>
  </si>
  <si>
    <t>Security services June 25 Inv 20</t>
  </si>
  <si>
    <t>Security services June 25 Inv 21</t>
  </si>
  <si>
    <t>DEVENDER KUMAR YADAV_2504312</t>
  </si>
  <si>
    <t>DEVENDRA KISHAN YADUVANSHI_2207060</t>
  </si>
  <si>
    <t xml:space="preserve">For CT &amp; PT Inspection fees </t>
  </si>
  <si>
    <t>INDRA DEVI</t>
  </si>
  <si>
    <t>Guest House Electricity June 25</t>
  </si>
  <si>
    <t>Guest House Rent June 25</t>
  </si>
  <si>
    <t>KESHAV ARRORA 2502281</t>
  </si>
  <si>
    <t>For Gst office visit</t>
  </si>
  <si>
    <t>MADHUSUOODHANAN P</t>
  </si>
  <si>
    <t>MANGIAMO PATISSERIE</t>
  </si>
  <si>
    <t>For chocolate Inv 47</t>
  </si>
  <si>
    <t>MATA RANI ENTERPRISES</t>
  </si>
  <si>
    <t>Office cleaning accessries Inv 443</t>
  </si>
  <si>
    <t xml:space="preserve">MITHLESH KUMAR PARKING </t>
  </si>
  <si>
    <t>For Parking 16.07.25 to 16.08.25</t>
  </si>
  <si>
    <t>RAYS GLOBAL SERVICES</t>
  </si>
  <si>
    <t>Passport Fee Inv 507</t>
  </si>
  <si>
    <t>Travel Insurance Inv 622</t>
  </si>
  <si>
    <t>VFS Canada Inv 506</t>
  </si>
  <si>
    <t>Visa Fee Japan Inv 590</t>
  </si>
  <si>
    <t>Visa Fee Japan Inv 606</t>
  </si>
  <si>
    <t>RJS EXPRESS LOGISTICS</t>
  </si>
  <si>
    <t>Courier services Inv 86</t>
  </si>
  <si>
    <t>Courier to GUYANA Inv 87</t>
  </si>
  <si>
    <t>SADASHIV DATTU HAKE</t>
  </si>
  <si>
    <t>Monthly vehicle rent Inv 02</t>
  </si>
  <si>
    <t>SAJAN SAIN 2311121</t>
  </si>
  <si>
    <t>Site expense reimbursement</t>
  </si>
  <si>
    <t>STOA Application Fees 26 to 30th July</t>
  </si>
  <si>
    <t>SIS LIMITED</t>
  </si>
  <si>
    <t>Gst Payment of 24000007</t>
  </si>
  <si>
    <t>Gst Payment of 24000008</t>
  </si>
  <si>
    <t>SKILLED AND DIGITAL SECURITY PVT LTD</t>
  </si>
  <si>
    <t>Security services Mar 25 Inv 08</t>
  </si>
  <si>
    <t>SKYLINE FINANCIAL SERVICES PVT LTD</t>
  </si>
  <si>
    <t>SNIPER SYSTEMS &amp; SOLUTIONS PVT LTD</t>
  </si>
  <si>
    <t>For New domain Inv 2229</t>
  </si>
  <si>
    <t xml:space="preserve">TECHNO FACILITY  AND MANAGEMENT SERVICES </t>
  </si>
  <si>
    <t>Security services Apr 25 Inv 17</t>
  </si>
  <si>
    <t xml:space="preserve">TECHNO FACILITY AND MANAGEMENT SERVICES </t>
  </si>
  <si>
    <t>Security services Mar 25 Inv 113</t>
  </si>
  <si>
    <t>VERDINHO GODINHO</t>
  </si>
  <si>
    <t>Guest House Rent Jun 25 Balance</t>
  </si>
  <si>
    <t>Guest House Rent May 25 Balance</t>
  </si>
  <si>
    <t>VIJAY S KUTE</t>
  </si>
  <si>
    <t>Consultancy Fee Kerala Gst Inv 129</t>
  </si>
  <si>
    <t xml:space="preserve">   BY TRANSFER-RTGS UTR NO: ICICR42025072300512267--STOCKWELL SOLAR SERVICES PRIVATE LI</t>
  </si>
  <si>
    <t xml:space="preserve">   BY TRANSFER-NEFTRRSBIN525204253274(23-07-25)--</t>
  </si>
  <si>
    <t xml:space="preserve">TRANSFER FROM 99507044302 / </t>
  </si>
  <si>
    <t xml:space="preserve">   BY TRANSFER-RTGS UTR NO: CBINR52025072310015365--KIANA ENERGY SOLUTIONS LLP</t>
  </si>
  <si>
    <t>TRUERE COSMIC PVT LTD</t>
  </si>
  <si>
    <t xml:space="preserve">   TO TRANSFER-INB SBI PAYMENTS-TRUERE SOLAR PVT LTD--</t>
  </si>
  <si>
    <t xml:space="preserve">SBI_PAY_23JULYCT00SVNFD8               TRANSFER TO 20518347481                           TRUERE SOLAR PRIVATE L / </t>
  </si>
  <si>
    <t>TRUERE SOLAR PVT LTD</t>
  </si>
  <si>
    <t xml:space="preserve">   BY TRANSFER-RTGS UTR NO: CBINR12025072310016698--KIANA ENERGY SOLUTIONS LLP</t>
  </si>
  <si>
    <t xml:space="preserve">   BY TRANSFER-NEFT*CBIN0283916*CBINH25204814283*KIANA ENERGY SOL--</t>
  </si>
  <si>
    <t xml:space="preserve">TRANSFER FROM 99509044300 / </t>
  </si>
  <si>
    <t>OM SAI TOUR &amp; TRAVELS</t>
  </si>
  <si>
    <t>Travelling expense Inv 081-101</t>
  </si>
  <si>
    <t>PRAHALAD KUMAR 2409237</t>
  </si>
  <si>
    <t>Partial Site Expense Reimbursement Feb 25</t>
  </si>
  <si>
    <t>Partial Site Expense Reimbursement Mar 25</t>
  </si>
  <si>
    <t>SHYAMJI GUPTA_2410252</t>
  </si>
  <si>
    <t>Advance for warehouse</t>
  </si>
  <si>
    <t>SUMAN MOTHER DAIRY</t>
  </si>
  <si>
    <t>Milk expense Jask office</t>
  </si>
  <si>
    <t>Vehicle Rent Inv 02 - Refunded due to Bank Error</t>
  </si>
  <si>
    <t>RTGS Cr-SBIN0013913-ORIANA POWER LIMITED-ORIANA POWER LIMITED-SBINR12025072493113533</t>
  </si>
  <si>
    <t>RTGS Cr-SBIN0013913-ORIANA POWER LIMITED-ORIANA POWER LIMITED-SBINR12025072513288805</t>
  </si>
  <si>
    <t>NTS/0031NDDG00107925-Commission/DALMIA CEMENT BHARAT LIMITED</t>
  </si>
  <si>
    <t>348810003783: Closure Proceeds</t>
  </si>
  <si>
    <t>RTGS-SBINR12025072493113620-ORIANA POWER LIMITED-40101241252-SBIN0013913</t>
  </si>
  <si>
    <t>ACH/RFU2507221015606/ICIC0000000017003934/DRBUY8750748</t>
  </si>
  <si>
    <t>ACH/RFU2507221015612/ICIC0000000017003934/DRBUY8750750</t>
  </si>
  <si>
    <t>ACH/RFU2507221015615/ICIC0000000017003934/DRBUY8750752</t>
  </si>
  <si>
    <t>NTS/0031NIBLC0028226 Commission/GOOD LUCK INDIA LIMITED</t>
  </si>
  <si>
    <t>NTS/0031NIBLC0028226 Other_Charges</t>
  </si>
  <si>
    <t>NTS/0031NIBLC0028226 IMP_599562/GOOD LUCK INDIA LIMITED</t>
  </si>
  <si>
    <t>NTS/0031NIBLC0027426 Other_Charges</t>
  </si>
  <si>
    <t>NTS/0031NIBLC0027426 Commission/VIJAYSHREE STEEL INDUSTRIES</t>
  </si>
  <si>
    <t>NTS/0031NIBLC0027426 IMP_599915/VIJAYSHREE STEEL INDUSTRIES</t>
  </si>
  <si>
    <t>ACH/RFU2507241018154/ICIC0000000017003934/DRBUY8767238</t>
  </si>
  <si>
    <t>ACH/RFU2507241018191/ICIC0000000017003934/DRBUY8767225</t>
  </si>
  <si>
    <t>ACH/RFU2507241018287/ICIC0000000017003934/DRBUY8767233</t>
  </si>
  <si>
    <t>ACH/RFU2507241018169/ICIC0000000017003934/DRBUY8767229</t>
  </si>
  <si>
    <t>RTGS-SBINR12025072513288819-ORIANA POWER LIMITED-40101241252-SBIN0013913</t>
  </si>
  <si>
    <t>INF/INFT/041041135721/Lease Rent/INNOVESTVENTURE</t>
  </si>
  <si>
    <t xml:space="preserve">   WITHDRAWAL TRANSFER---</t>
  </si>
  <si>
    <t>DALMIA CEMENT BHARAT LIMITED</t>
  </si>
  <si>
    <t>Lease Ren</t>
  </si>
  <si>
    <t xml:space="preserve">   TO TRANSFER-INB RTGS UTR NO: SBINR12025072493113533--ORIANA POWER LIMITED</t>
  </si>
  <si>
    <t xml:space="preserve">   TO TRANSFER-INB RTGS UTR NO: SBINR12025072493113620--ORIANA POWER ICICI</t>
  </si>
  <si>
    <t xml:space="preserve">   BY TRANSFER-RTGS UTR NO: HDFCR52025072493980099--SHREE CEMENT LIMITED</t>
  </si>
  <si>
    <t xml:space="preserve">   TO TRANSFER-INB Partial reimbursement--</t>
  </si>
  <si>
    <t xml:space="preserve">   BY TRANSFER- bg margin released--</t>
  </si>
  <si>
    <t xml:space="preserve">   BY TRANSFER-RTGS UTR NO: ICICR42025072500554616--STOCKWELL SOLAR SERVICES PRIVATE LI</t>
  </si>
  <si>
    <t xml:space="preserve">   BY TRANSFER-CMP STOCKWELL SOLAR SERVICEs PVT LTD--</t>
  </si>
  <si>
    <t xml:space="preserve">   TO TRANSFER-INB RTGS UTR NO: SBINR12025072593362837--SAATVIK GREEN ENERGY LTD</t>
  </si>
  <si>
    <t xml:space="preserve">   TO TRANSFER-INB RTGS UTR NO: SBINR12025072593363145--SAATVIK GREEN ENERGY LTD</t>
  </si>
  <si>
    <t>SHREE CEMENT LIMITED</t>
  </si>
  <si>
    <t>TRUERE UP1 PRIVATE LIM</t>
  </si>
  <si>
    <t>Consignee</t>
  </si>
  <si>
    <t>Location</t>
  </si>
  <si>
    <t>EPC Projects</t>
  </si>
  <si>
    <t>Po date</t>
  </si>
  <si>
    <t>Capacity (MWp)</t>
  </si>
  <si>
    <t>Basic</t>
  </si>
  <si>
    <t>GST</t>
  </si>
  <si>
    <t>Sales order</t>
  </si>
  <si>
    <t>Actual Cost</t>
  </si>
  <si>
    <t>Payment terms</t>
  </si>
  <si>
    <t>Payment Milestone-Event</t>
  </si>
  <si>
    <t>(Payment %)</t>
  </si>
  <si>
    <t>Type</t>
  </si>
  <si>
    <t>Billed For</t>
  </si>
  <si>
    <t>Biling date</t>
  </si>
  <si>
    <t>Billing</t>
  </si>
  <si>
    <t>Bill amt</t>
  </si>
  <si>
    <t>% of work completetion</t>
  </si>
  <si>
    <t>Credit Period in days</t>
  </si>
  <si>
    <t>COD as per PO</t>
  </si>
  <si>
    <t>Month</t>
  </si>
  <si>
    <t>Year</t>
  </si>
  <si>
    <t>Week</t>
  </si>
  <si>
    <t>Expected date</t>
  </si>
  <si>
    <t>Forcasted Date</t>
  </si>
  <si>
    <t>Amt to be received (A)</t>
  </si>
  <si>
    <t>Amt recd. (B1)</t>
  </si>
  <si>
    <t>TDS (B2)</t>
  </si>
  <si>
    <t>Pmt O/s (A-B)</t>
  </si>
  <si>
    <t>LOI</t>
  </si>
  <si>
    <t>LOA</t>
  </si>
  <si>
    <t>Tender date</t>
  </si>
  <si>
    <t>Delay days</t>
  </si>
  <si>
    <t>Pmt status</t>
  </si>
  <si>
    <t>Gross Margin</t>
  </si>
  <si>
    <t>Schedule Variance</t>
  </si>
  <si>
    <t>Cost Variance</t>
  </si>
  <si>
    <t>CPI</t>
  </si>
  <si>
    <t>NALWA SPECIAL STEEL ltd</t>
  </si>
  <si>
    <t>Raigarh</t>
  </si>
  <si>
    <t>NALWA-RAIGARH-2500KW</t>
  </si>
  <si>
    <t>20% ADVANCE WITH ABG</t>
  </si>
  <si>
    <t>ABG</t>
  </si>
  <si>
    <t>Supply</t>
  </si>
  <si>
    <t xml:space="preserve">70% ON PRORATA BASIS UPON DELIVERY OF MATERIAL AT SITE </t>
  </si>
  <si>
    <t>Dispatch</t>
  </si>
  <si>
    <t>Modules</t>
  </si>
  <si>
    <t>OPL-25-26-UP0146</t>
  </si>
  <si>
    <t>Solar PV Inverter</t>
  </si>
  <si>
    <t>OPL-25-26-UP0150</t>
  </si>
  <si>
    <t>Solar BOS</t>
  </si>
  <si>
    <t>OPL-25-26-UP0050</t>
  </si>
  <si>
    <t>OPL-25-26-UP0086</t>
  </si>
  <si>
    <t>OPL-25-26-UP0088</t>
  </si>
  <si>
    <t>OPL-25-26-UP0090</t>
  </si>
  <si>
    <t>OPL-25-26-UP0094</t>
  </si>
  <si>
    <t>OPL-25-26-UP0127</t>
  </si>
  <si>
    <t>OPL-25-26-UP0128</t>
  </si>
  <si>
    <t>OPL-25-26-UP0129</t>
  </si>
  <si>
    <t>OPL-25-26-UP0133</t>
  </si>
  <si>
    <t>OPL-25-26-UP0142</t>
  </si>
  <si>
    <t>OPL-25-26-UP0143</t>
  </si>
  <si>
    <t>OPL-25-26-UP0151</t>
  </si>
  <si>
    <t>LT panel pending to dispatch</t>
  </si>
  <si>
    <t>OPL/25-26/UP0175</t>
  </si>
  <si>
    <t>OPL/25-26/UP0180</t>
  </si>
  <si>
    <t>5% ON COMMISSIONING AND PBG SUBMISSION</t>
  </si>
  <si>
    <t>I&amp;C</t>
  </si>
  <si>
    <t>Service</t>
  </si>
  <si>
    <t>5% ON PG TEST COMPLETION</t>
  </si>
  <si>
    <t>Testing</t>
  </si>
  <si>
    <t>20% advance payment with ABG</t>
  </si>
  <si>
    <t>5% on commissioning and PBG submission</t>
  </si>
  <si>
    <t>5% on PR test completion</t>
  </si>
  <si>
    <t>GOLD MOHUR OVERSEAS</t>
  </si>
  <si>
    <t>Raipur, Chhattisgarh</t>
  </si>
  <si>
    <t>GOLDMO-CG-555.18KW</t>
  </si>
  <si>
    <t xml:space="preserve">30 % of PO value as advance with purchase order. </t>
  </si>
  <si>
    <t xml:space="preserve">60 % of PO value against Proforma invoice for PV modules and inverters ready for dispatch at the supplier’s godown. </t>
  </si>
  <si>
    <t>Solar PV Modules</t>
  </si>
  <si>
    <t>OPL-25-26-UP0068</t>
  </si>
  <si>
    <t>OPL-25-26-UP0010</t>
  </si>
  <si>
    <t>Solar BOS Supply</t>
  </si>
  <si>
    <t>OPL-24-25-UP0794</t>
  </si>
  <si>
    <t>OPL-25-26-UP0011</t>
  </si>
  <si>
    <t>OPL-25-26-UP0080</t>
  </si>
  <si>
    <t>OPL/25-26/UP0162</t>
  </si>
  <si>
    <t>NO BOS supply pending</t>
  </si>
  <si>
    <t xml:space="preserve">5% of PO value shall be after charging of the inverters - commissioning of the solar plant. </t>
  </si>
  <si>
    <t>I&amp;C1</t>
  </si>
  <si>
    <t>I &amp; C Services</t>
  </si>
  <si>
    <t>OPL/25-26/UP0178</t>
  </si>
  <si>
    <t>5% of PO value shall be within 1 week after commissioning of the solar plant.</t>
  </si>
  <si>
    <t>I&amp;C2</t>
  </si>
  <si>
    <t>BHARAT PETROLEUM CORPORATION Ltd</t>
  </si>
  <si>
    <t>PRAYAGRAJ</t>
  </si>
  <si>
    <t>Upon delivery and acceptance of all PV modules at site and installation of MMS (40% of Contract Price)</t>
  </si>
  <si>
    <t>Supply of Solar PV Modules</t>
  </si>
  <si>
    <t>OPL-24-25-UP0601</t>
  </si>
  <si>
    <t>All supply of equipment shall be considered for payment on a pro-rata basis of 10 MW.</t>
  </si>
  <si>
    <t>OPL-24-25-UP0637</t>
  </si>
  <si>
    <t>OPL-24-25-UP0749</t>
  </si>
  <si>
    <t>OPL-24-25-UP0769</t>
  </si>
  <si>
    <t>OPL-24-25-UP0770</t>
  </si>
  <si>
    <t>OPL-24-25-UP0795</t>
  </si>
  <si>
    <t>OPL-24-25-UP0746</t>
  </si>
  <si>
    <t>Installation of Modules</t>
  </si>
  <si>
    <t>Upon Complete Delivery of Inverter and Junction boxes at Site and installation of MMS Column Post  (8% of Contract Price)</t>
  </si>
  <si>
    <t>Supply of Inverter</t>
  </si>
  <si>
    <t>OPL-24-25-UP0692</t>
  </si>
  <si>
    <t>Supply of Junction Box</t>
  </si>
  <si>
    <t>OPL-24-25-UP0745</t>
  </si>
  <si>
    <t>Installation &amp; Civil Work for MMS</t>
  </si>
  <si>
    <t>Installation and Civil Works of Inverter &amp; Junction Boxes</t>
  </si>
  <si>
    <t>Upon complete delivery of Module Mounting Structure at Site(5% of Contract Price )</t>
  </si>
  <si>
    <t>Supply of Module Mounting Structure</t>
  </si>
  <si>
    <t>OPL-24-25-UP0561</t>
  </si>
  <si>
    <t>Upon delivery of Balance of Systems including Cables, HT Panels, Transmission Line Towers, Transmission Line Conductor etc. at site  (20% of Contract Price )</t>
  </si>
  <si>
    <t>Supply of  AC Cables</t>
  </si>
  <si>
    <t>OPL-24-25-UP0680</t>
  </si>
  <si>
    <t>Supply of MC4 connectors</t>
  </si>
  <si>
    <t>OPL-24-25-UP0703</t>
  </si>
  <si>
    <t>Supply of Earthing material</t>
  </si>
  <si>
    <t>OPL-24-25-UP0777</t>
  </si>
  <si>
    <t>Supply of Illumination</t>
  </si>
  <si>
    <t>OPL-24-25-UP0818</t>
  </si>
  <si>
    <t>Supply of Communication Cable</t>
  </si>
  <si>
    <t>OPL-24-25-UP0775</t>
  </si>
  <si>
    <t>Supply of CCTV camera</t>
  </si>
  <si>
    <t>OPL-24-25-UP0796</t>
  </si>
  <si>
    <t>Supply of  HT Panels</t>
  </si>
  <si>
    <t>OPL-24-25-UP0702</t>
  </si>
  <si>
    <t>Supply of UPS and Battery</t>
  </si>
  <si>
    <t>OPL-24-25-UP0817</t>
  </si>
  <si>
    <t>Fire Protection System</t>
  </si>
  <si>
    <t>OPL-24-25-UP0764</t>
  </si>
  <si>
    <t>Supply of SCADA &amp; WMS</t>
  </si>
  <si>
    <t>OPL-24-25-UP0797</t>
  </si>
  <si>
    <t>Supply of Transmission Line Conductor</t>
  </si>
  <si>
    <t>OPL-24-25-UP0772</t>
  </si>
  <si>
    <t>Supply of MS Steel for Tower structure</t>
  </si>
  <si>
    <t>OPL/25-26/UP0182</t>
  </si>
  <si>
    <t>Supply of Insulators for Tower Structure</t>
  </si>
  <si>
    <t>OPL/25-26/UP0183</t>
  </si>
  <si>
    <t>Supply of Module cleaning system</t>
  </si>
  <si>
    <t>OPL/25-26/UP0184</t>
  </si>
  <si>
    <t>Supply of Isolator</t>
  </si>
  <si>
    <t>OPL-24-25-UP0765</t>
  </si>
  <si>
    <t>Supply of LA</t>
  </si>
  <si>
    <t>OPL-24-25-UP0766</t>
  </si>
  <si>
    <t>Installation and Civil work for BOS items</t>
  </si>
  <si>
    <t>Upon delivery of Transformers and installation of Transmission Line and Modules (7 % of Contract Price )</t>
  </si>
  <si>
    <t>Supply of Inverter Duty Transformer</t>
  </si>
  <si>
    <t>OPL-24-25-UP0771</t>
  </si>
  <si>
    <t>Supply of  DC Cables</t>
  </si>
  <si>
    <t>OPL-24-25-UP0689</t>
  </si>
  <si>
    <t>Supply of  Auxiliary Transformer</t>
  </si>
  <si>
    <t>OPL/25-26/UP0181</t>
  </si>
  <si>
    <t>Supply of Power Transformer</t>
  </si>
  <si>
    <t>OPL-24-25-UP0748</t>
  </si>
  <si>
    <t>Supply of 132 KV CT &amp; PT</t>
  </si>
  <si>
    <t>OPL/25-26/UP0185</t>
  </si>
  <si>
    <t>Supply of 132 KV Breaker</t>
  </si>
  <si>
    <t>OPL-24-25-UP0776</t>
  </si>
  <si>
    <t>Construction of Inverter Control room</t>
  </si>
  <si>
    <t>Construction of Main Control room</t>
  </si>
  <si>
    <t>Upon achieving Commissioning of the Plant and Successful Operational Acceptance Test (10% of Supply Contract Price)</t>
  </si>
  <si>
    <t>Installation &amp; Civil Work for Evacuation Infra</t>
  </si>
  <si>
    <t>Upon achieving Completion of the Facilities (10% of Supply Contract Price )</t>
  </si>
  <si>
    <t>Completetion</t>
  </si>
  <si>
    <t>Testing &amp; Commissioning of Complete Solar plant</t>
  </si>
  <si>
    <t>Kannuar International Airport ltd</t>
  </si>
  <si>
    <t>Kannur</t>
  </si>
  <si>
    <t>KIAL-KANNUR-4MW</t>
  </si>
  <si>
    <t>75% of the supply after delivery of the item</t>
  </si>
  <si>
    <t>Solar PV Modules - KIAL-KANNUR-4MW</t>
  </si>
  <si>
    <t>Solar Inverters - KIAL-KANNUR-4MW</t>
  </si>
  <si>
    <t>Module Mounting Structure : Column - KIAL-KANNUR-4MW</t>
  </si>
  <si>
    <t>Module Mounting Structure : Rafters - KIAL-KANNUR-4MW</t>
  </si>
  <si>
    <t>Module Mounting Structure : Purlins - KIAL-KANNUR-4MW</t>
  </si>
  <si>
    <t>Roofing Sheets - KIAL-KANNUR-4MW</t>
  </si>
  <si>
    <t>Gutter System - KIAL-KANNUR-4MW</t>
  </si>
  <si>
    <t>Downspout for Gutter System - KIAL-KANNUR-4MW</t>
  </si>
  <si>
    <t>CPVC Pipe 6" Diameter : GM - KIAL-KANNUR-4MW"</t>
  </si>
  <si>
    <t>CPVC Pipe 6" Diameter : Carport - KIAL-KANNUR-4MW"</t>
  </si>
  <si>
    <t>Walkway - KIAL-KANNUR-4MW</t>
  </si>
  <si>
    <t>HDPE Pipes - KIAL-KANNUR-4MW</t>
  </si>
  <si>
    <t>Module Mounting Structures : Carport - KIAL-KANNUR-4MW</t>
  </si>
  <si>
    <t>Module Mounting Structure : Columns 5mm : GM - KIAL-KANNUR-4MW</t>
  </si>
  <si>
    <t>Module Mounting Structure : excluding Columns - KIAL-KANNUR-4MW</t>
  </si>
  <si>
    <t>DC and AC Cables with Accessories - KIAL-KANNUR-4MW</t>
  </si>
  <si>
    <t>Compact Sub-station (CSS) with Panels - KIAL-KANNUR-4MW</t>
  </si>
  <si>
    <t>33 KV Panel - KIAL-KANNUR-4MW</t>
  </si>
  <si>
    <t>3C x 300 Sqmm Cable - KIAL-KANNUR-4MW</t>
  </si>
  <si>
    <t>Lightning System - KIAL-KANNUR-4MW</t>
  </si>
  <si>
    <t>Weather Monitoring System - KIAL-KANNUR-4MW</t>
  </si>
  <si>
    <t>SCADA System - KIAL-KANNUR-4MW</t>
  </si>
  <si>
    <t>15% of the supply value after the completion of the installation</t>
  </si>
  <si>
    <t>Earthing Work - KIAL-KANNUR-4MW</t>
  </si>
  <si>
    <t>Concrete Laying Work - KIAL-KANNUR-4MW</t>
  </si>
  <si>
    <t>Footings Concrete Laying Work - KIAL-KANNUR-4MW</t>
  </si>
  <si>
    <t>Steel Reinforcement Placing Work - KIAL-KANNUR-4MW</t>
  </si>
  <si>
    <t>M Sand Filing Work - KIAL-KANNUR-4MW</t>
  </si>
  <si>
    <t>Civil Work for Module Mounting Structure - KIAL-KANNUR-4MW</t>
  </si>
  <si>
    <t>Civil Work for Compact Substation (CSS) - KIAL-KANNUR-4MW</t>
  </si>
  <si>
    <t>Civil Work for String Inverters - KIAL-KANNUR-4MW</t>
  </si>
  <si>
    <t>Shifting Work of existing 33 KV feeder of 5 MVA 33-11KV - KIAL-KANNUR-4MW</t>
  </si>
  <si>
    <t>KSEBL and CEIG Approvals - KIAL-KANNUR-4MW</t>
  </si>
  <si>
    <t>SLDC Interface Configuration for the SCADA System  - KIAL-KANNUR-4MW</t>
  </si>
  <si>
    <t>Construction &amp; Commissioning of PEB Control Room (incl. Supply &amp; Design)  - KIAL-KANNUR-4MW</t>
  </si>
  <si>
    <t>10% on Successful Completion.</t>
  </si>
  <si>
    <t>Installation Testing &amp; Commissioning Charges - KIAL-KANNUR-4MW</t>
  </si>
  <si>
    <t>Dalmia Cement (Bharat) Ltd</t>
  </si>
  <si>
    <t>WB</t>
  </si>
  <si>
    <t>10% Advance against ABG valid till commissioning + 3 months claim period.</t>
  </si>
  <si>
    <t>ABG1</t>
  </si>
  <si>
    <t>Sales</t>
  </si>
  <si>
    <t>80% against receipt of materail at site RA Bill, as per billing schedule Prorata within 30 days.</t>
  </si>
  <si>
    <t>PV MODULES</t>
  </si>
  <si>
    <t>OPL-24-25-UP0156</t>
  </si>
  <si>
    <t>INVERTER</t>
  </si>
  <si>
    <t>OPL-24-25-UP0150</t>
  </si>
  <si>
    <t>MMS GALVANUME</t>
  </si>
  <si>
    <t>OPL-24-25-UP0286</t>
  </si>
  <si>
    <t>MMS HDG</t>
  </si>
  <si>
    <t>OPL-24-25-UP0178</t>
  </si>
  <si>
    <t>DC CABLE-6 SQ.MM,CU</t>
  </si>
  <si>
    <t>OPL-24-25-UP0219</t>
  </si>
  <si>
    <t>AC CABLE</t>
  </si>
  <si>
    <t>OPL-24-25-UP0292</t>
  </si>
  <si>
    <t>HT CABLE</t>
  </si>
  <si>
    <t>EARTHING MATERIALS</t>
  </si>
  <si>
    <t>OPL-24-25-UP0180</t>
  </si>
  <si>
    <t>OPL-24-25-UP0220</t>
  </si>
  <si>
    <t>OPL-24-25-UP0427</t>
  </si>
  <si>
    <t>OPL-24-25-CN0041</t>
  </si>
  <si>
    <t>LA FOR PV PLANT</t>
  </si>
  <si>
    <t>CABLE CONNECTORS AND CABLE ACCESSORIES</t>
  </si>
  <si>
    <t>OPL-24-25-UP0288</t>
  </si>
  <si>
    <t>WEATHER MONITORING STATION INCL.SIM</t>
  </si>
  <si>
    <t>OPL-24-25-UP0455</t>
  </si>
  <si>
    <t>MODULE CLEANING SYSTEM CONDUIT</t>
  </si>
  <si>
    <t>LT PANEL</t>
  </si>
  <si>
    <t>INVERTER DUTY TRANSFORMER</t>
  </si>
  <si>
    <t>SCADA AND ITS ACCESSORIES</t>
  </si>
  <si>
    <t>OPL-24-25-UP0588</t>
  </si>
  <si>
    <t xml:space="preserve"> SWITCHGEARS</t>
  </si>
  <si>
    <t>OPL-24-25-UP0305</t>
  </si>
  <si>
    <t>PLANT PERIPHERAL LIGHTING SYSTEM</t>
  </si>
  <si>
    <t>METERING CUBICLE AND OTHER ACCESSORIES</t>
  </si>
  <si>
    <t>CCTV AND RELATED ACCESSORIES</t>
  </si>
  <si>
    <t>SPARES</t>
  </si>
  <si>
    <t>POTA CABIN</t>
  </si>
  <si>
    <t>OPL-24-25-UP0261</t>
  </si>
  <si>
    <t>OTHER BOS ITEMS</t>
  </si>
  <si>
    <t>OPL-24-25-UP0217</t>
  </si>
  <si>
    <t>10% at commissioning against PBG valid for 1 Year from date of commissioning + 3 months claim period</t>
  </si>
  <si>
    <t>Work</t>
  </si>
  <si>
    <t>PRECAST BOUNDARY WALL</t>
  </si>
  <si>
    <t>OPL-24-25-CN0037</t>
  </si>
  <si>
    <t>OPL-24-25-UP0767</t>
  </si>
  <si>
    <t>10% ABG.</t>
  </si>
  <si>
    <t>ABG2</t>
  </si>
  <si>
    <t>OPL-24-25-UP0600</t>
  </si>
  <si>
    <t>80% AFTER RCPT+</t>
  </si>
  <si>
    <t>OPL-24-25-UP0768</t>
  </si>
  <si>
    <t>10% AFTER PBG</t>
  </si>
  <si>
    <t>VARDHMAN Fabrics</t>
  </si>
  <si>
    <t>MP</t>
  </si>
  <si>
    <t>VARDHMAN Fabrics MP 3.66 MWp</t>
  </si>
  <si>
    <t>10% Advance Payment: Upon issuance of PO acceptance and submission of an Advance Bank Guarantee (ABG) with a list of approvals-permissions-clearances.</t>
  </si>
  <si>
    <r>
      <t>35% Payment</t>
    </r>
    <r>
      <rPr>
        <sz val="10"/>
        <color rgb="FF000000"/>
        <rFont val="Aptos"/>
        <family val="2"/>
      </rPr>
      <t>: Upon receipt of all major equipment (DC Cables, LT Cables, SPV modules, structures, Power Conditioning Units, Transformers, Data Logger, WMS, etc.) at the site, as per mutually agreed receipt and invoicing schedule.</t>
    </r>
  </si>
  <si>
    <t xml:space="preserve">Solar PV Modules </t>
  </si>
  <si>
    <t>OPL-23-24-UP172</t>
  </si>
  <si>
    <t>Solar Inverters</t>
  </si>
  <si>
    <t>OPL-23-24-UP174</t>
  </si>
  <si>
    <t>Module Mounting Structure</t>
  </si>
  <si>
    <t>OPL-24-25-UP0097</t>
  </si>
  <si>
    <t>Transformers</t>
  </si>
  <si>
    <t>OPL-24-25-UP0443</t>
  </si>
  <si>
    <t>HT Breaker Board</t>
  </si>
  <si>
    <t>LT Breaker Panel</t>
  </si>
  <si>
    <t>HT Cables</t>
  </si>
  <si>
    <t>OPL-24-25-UP0243</t>
  </si>
  <si>
    <t>LT Cables</t>
  </si>
  <si>
    <t>DC Cables</t>
  </si>
  <si>
    <t>Rest of Power Evacuation</t>
  </si>
  <si>
    <t>OPL-24-25-UP0107</t>
  </si>
  <si>
    <t>OPL-24-25-UP0330</t>
  </si>
  <si>
    <t>OPL-24-25-UP0247</t>
  </si>
  <si>
    <t>OPL-24-25-UP0475</t>
  </si>
  <si>
    <t>OPL-24-25-UP0530</t>
  </si>
  <si>
    <t>OPL-24-25-CN0044</t>
  </si>
  <si>
    <t>OPL-24-25-UP0567</t>
  </si>
  <si>
    <t>Lightning Arrestor</t>
  </si>
  <si>
    <t>Walkway</t>
  </si>
  <si>
    <t>BOS with Weather Monitoring System</t>
  </si>
  <si>
    <t>Safety Line</t>
  </si>
  <si>
    <r>
      <t>15% Payment</t>
    </r>
    <r>
      <rPr>
        <sz val="10"/>
        <color rgb="FF000000"/>
        <rFont val="Aptos"/>
        <family val="2"/>
      </rPr>
      <t>: After complete installation of all materials and equipment (modules, string inverters, transformers, all power evacuation equipment, interconnection, and completion of installation).</t>
    </r>
  </si>
  <si>
    <t xml:space="preserve">Installation &amp; Commissioning </t>
  </si>
  <si>
    <t>20% payment, On successful testing and commissioning of entire rooftop solar power pv project.</t>
  </si>
  <si>
    <t>20% successful Completetion of PG test against extention of ABG warranty period and submission of PBG and O&amp;M</t>
  </si>
  <si>
    <t>PG test</t>
  </si>
  <si>
    <t>10% of advance on PO acceptance and ABG submission</t>
  </si>
  <si>
    <t>35% receipt of material</t>
  </si>
  <si>
    <t>OPL-23-24-UP173</t>
  </si>
  <si>
    <t>OPL-24-25-UP0002</t>
  </si>
  <si>
    <t>OPL-24-25-CN0001</t>
  </si>
  <si>
    <t>OPL-24-25-UP0005</t>
  </si>
  <si>
    <t>OPL-23-24-UP175</t>
  </si>
  <si>
    <t>OPL-24-25-UP0098</t>
  </si>
  <si>
    <t>OPL-24-25-UP0444</t>
  </si>
  <si>
    <t>OPL-24-25-UP0568</t>
  </si>
  <si>
    <t>OPL-24-25-UP0106</t>
  </si>
  <si>
    <t>OPL-24-25-UP0116</t>
  </si>
  <si>
    <t>OPL-24-25-UP0244</t>
  </si>
  <si>
    <t>OPL-24-25-UP0298</t>
  </si>
  <si>
    <t>OPL-24-25-UP0299</t>
  </si>
  <si>
    <t>OPL-24-25-CN0036</t>
  </si>
  <si>
    <t>OPL/24-25/UP0575</t>
  </si>
  <si>
    <t>Operations &amp; Management Services (Year 1)</t>
  </si>
  <si>
    <t>Operations &amp; Management Services (Year 2)</t>
  </si>
  <si>
    <t>Operations &amp; Management Services (Year 3)</t>
  </si>
  <si>
    <t>Operations &amp; Management Services (Year 4)</t>
  </si>
  <si>
    <t>Operations &amp; Management Services (Year 5)</t>
  </si>
  <si>
    <t>Swans Enterprises</t>
  </si>
  <si>
    <t>TAMILNADU</t>
  </si>
  <si>
    <t>Swans Enterprises TAMILNADU 12.50 MWP</t>
  </si>
  <si>
    <t>10 % of PO value as advance payment.</t>
  </si>
  <si>
    <t xml:space="preserve">30 % of PO value against proforma invoice after procuring BOS material ready for dispatch at the supplier’s godown. </t>
  </si>
  <si>
    <t>SOLAR BOS SUPPLY</t>
  </si>
  <si>
    <t>45 % of PO value against proforma invoice on providing the shipping documents and delivery schedule of PV modules and inverters ready for dispatch at the supplier’s godown.</t>
  </si>
  <si>
    <t>SOLAR PV MODULES</t>
  </si>
  <si>
    <t>OPL-24-25-UP0307</t>
  </si>
  <si>
    <t>OPL-24-25-UP0309</t>
  </si>
  <si>
    <t>OPL-24-25-UP0310</t>
  </si>
  <si>
    <t>OPL-24-25-UP0311</t>
  </si>
  <si>
    <t>OPL-24-25-UP0312</t>
  </si>
  <si>
    <t>OPL-24-25-UP0313</t>
  </si>
  <si>
    <t>OPL-24-25-UP0327</t>
  </si>
  <si>
    <t>OPL-24-25-UP0328</t>
  </si>
  <si>
    <t>OPL-24-25-UP0343</t>
  </si>
  <si>
    <t>OPL-24-25-UP0344</t>
  </si>
  <si>
    <t>OPL-24-25-UP0345</t>
  </si>
  <si>
    <t>OPL-24-25-UP0346</t>
  </si>
  <si>
    <t>OPL-24-25-UP0351</t>
  </si>
  <si>
    <t>OPL-24-25-UP0352</t>
  </si>
  <si>
    <t>OPL-24-25-UP0353</t>
  </si>
  <si>
    <t>OPL-24-25-UP0354</t>
  </si>
  <si>
    <t>OPL-24-25-UP0356</t>
  </si>
  <si>
    <t>OPL-24-25-UP0357</t>
  </si>
  <si>
    <t>OPL-24-25-UP0358</t>
  </si>
  <si>
    <t>OPL-24-25-UP0363</t>
  </si>
  <si>
    <t>OPL-24-25-UP0364</t>
  </si>
  <si>
    <t>OPL-24-25-UP0365</t>
  </si>
  <si>
    <t>OPL-24-25-UP0373</t>
  </si>
  <si>
    <t>OPL-24-25-UP0374</t>
  </si>
  <si>
    <t>SOLAR INVETER</t>
  </si>
  <si>
    <t>OPL/24-25/UP0315</t>
  </si>
  <si>
    <t xml:space="preserve">10% of PO value shall be after charging of the inverters - commissioning of the plant. </t>
  </si>
  <si>
    <t>INSTALLATION &amp; COMMISSIONING SERVICES INCL. TRANSMISSION LINES, CHARGING &amp; METERING</t>
  </si>
  <si>
    <t>5% of PO value shall be within 1 month after commissioning of the plant</t>
  </si>
  <si>
    <t>MORMUGAO PORT AUTHORITY</t>
  </si>
  <si>
    <t>Goa</t>
  </si>
  <si>
    <t>complete delivery of inverter (5% of contract value)</t>
  </si>
  <si>
    <t>Dispatch1</t>
  </si>
  <si>
    <t>Solar Inverters - MPA3000KW</t>
  </si>
  <si>
    <t>OPL-24-25-UP0142</t>
  </si>
  <si>
    <t>Upon delivery and acceptance of module at site and installation of MMS (30% of contract value)</t>
  </si>
  <si>
    <t>Dispatch2</t>
  </si>
  <si>
    <t>Solar PV Modules - MPA3000KW</t>
  </si>
  <si>
    <t>OPL-24-25-UP0183</t>
  </si>
  <si>
    <t>upon complete delivery of BOS system, Including RMU-CSS transformer etc. at site and installation of inverters and modules. (20% of contract value)</t>
  </si>
  <si>
    <t>Dispatch3</t>
  </si>
  <si>
    <t>Solar BOS Supply - MPA3000KW</t>
  </si>
  <si>
    <t>OPL-24-25-UP0704</t>
  </si>
  <si>
    <t>complete delivery of MMS (5% of contract value)</t>
  </si>
  <si>
    <t>Dispatch4</t>
  </si>
  <si>
    <t>Module Mounting Structure - MPA3000KW</t>
  </si>
  <si>
    <t>OPL-24-25-UP0171</t>
  </si>
  <si>
    <t>upon commissioning of plant (10% of contract value)</t>
  </si>
  <si>
    <t>Installation &amp; Commissioning Services (1) - MPA3000KW</t>
  </si>
  <si>
    <t>OPL-24-25-UP0809</t>
  </si>
  <si>
    <t>upon achieving sucessful Operational acceptance test. (10% of contract value)</t>
  </si>
  <si>
    <t>Installation &amp; Commissioning Services (2) - MPA3000KW</t>
  </si>
  <si>
    <t>1.5% of contract value</t>
  </si>
  <si>
    <t>O&amp;M1</t>
  </si>
  <si>
    <t>Operations &amp; Management Services - MPA3000KW (Year 1)</t>
  </si>
  <si>
    <t>O&amp;M2</t>
  </si>
  <si>
    <t>Operations &amp; Management Services - MPA3000KW (Year 2)</t>
  </si>
  <si>
    <t>O&amp;M3</t>
  </si>
  <si>
    <t>Operations &amp; Management Services - MPA3000KW (Year 3)</t>
  </si>
  <si>
    <t>O&amp;M4</t>
  </si>
  <si>
    <t>Operations &amp; Management Services - MPA3000KW (Year 4)</t>
  </si>
  <si>
    <t>O&amp;M5</t>
  </si>
  <si>
    <t>Operations &amp; Management Services - MPA3000KW (Year 5)</t>
  </si>
  <si>
    <t>2.5% of contract value</t>
  </si>
  <si>
    <t>O&amp;M6</t>
  </si>
  <si>
    <t>Operations &amp; Management Services - MPA3000KW (Year 6)</t>
  </si>
  <si>
    <t>O&amp;M7</t>
  </si>
  <si>
    <t>Operations &amp; Management Services - MPA3000KW (Year 7)</t>
  </si>
  <si>
    <t>O&amp;M8</t>
  </si>
  <si>
    <t>Operations &amp; Management Services - MPA3000KW (Year 8)</t>
  </si>
  <si>
    <t>O&amp;M9</t>
  </si>
  <si>
    <t>Operations &amp; Management Services - MPA3000KW (Year 9)</t>
  </si>
  <si>
    <t>O&amp;M10</t>
  </si>
  <si>
    <t>Operations &amp; Management Services - MPA3000KW (Year 10)</t>
  </si>
  <si>
    <t>Jay Bee Laminations Ltd</t>
  </si>
  <si>
    <t>Noida,UP</t>
  </si>
  <si>
    <t>JAYBEE-GN-120.95KW</t>
  </si>
  <si>
    <t>30% of Advance payment</t>
  </si>
  <si>
    <t>60% against PI</t>
  </si>
  <si>
    <t>Solar invertors</t>
  </si>
  <si>
    <t>Solar BOS supply</t>
  </si>
  <si>
    <t>OPL/25-26/UP0186</t>
  </si>
  <si>
    <t>DG-PV synchronisation panel</t>
  </si>
  <si>
    <t>OPL/25-26/UP0189</t>
  </si>
  <si>
    <t>5% after charging commissioning of plant</t>
  </si>
  <si>
    <t>Installation charge</t>
  </si>
  <si>
    <t>5% after 1 week</t>
  </si>
  <si>
    <t>Shree Cement Ltd</t>
  </si>
  <si>
    <t>Panipat</t>
  </si>
  <si>
    <t>SHREECEM-PNIPT-1.8MW</t>
  </si>
  <si>
    <t>10%, against submission of Order Acceptance, Pro-Forma Invoice, and Advance Bank Guarantee (ABG) with SFMS confirmation.</t>
  </si>
  <si>
    <t>2.5% submission of:Preliminary GA drawings ,Major equipment GTP,Plant layout drawing ,Civil foundation drawings</t>
  </si>
  <si>
    <t>Super Structure (Rafter, Purlin, Bracing &amp; Other)</t>
  </si>
  <si>
    <t>OPL/24-25/UP0263</t>
  </si>
  <si>
    <t>2.5% Unpriced PO copy or shipping mark for bought-out items like MMS, Central Inverter, HT Panel, Transformer.</t>
  </si>
  <si>
    <t>Solar Inverter</t>
  </si>
  <si>
    <t>OPL/24-25/CN0089</t>
  </si>
  <si>
    <t>Inverter Duty Transformer</t>
  </si>
  <si>
    <t>OPL/24-25/UP0264</t>
  </si>
  <si>
    <t>Aux Transformer &amp; Aux LT Panel</t>
  </si>
  <si>
    <t>OPL/24-25/UP0459</t>
  </si>
  <si>
    <t>HT Panel</t>
  </si>
  <si>
    <t>75% receipt of material at site on a pro-rata basis.</t>
  </si>
  <si>
    <t>Fastners (SS &amp; HDG)</t>
  </si>
  <si>
    <t>OPL/24-25/UP0424</t>
  </si>
  <si>
    <t>OPL/24-25/CN0092</t>
  </si>
  <si>
    <t>DC Cable</t>
  </si>
  <si>
    <t>OPL/24-25/UP0700</t>
  </si>
  <si>
    <t>OPL/24-25/UP0425</t>
  </si>
  <si>
    <t>LT Panel</t>
  </si>
  <si>
    <t>LT &amp; HT Cables</t>
  </si>
  <si>
    <t>SCADA with all Accessories</t>
  </si>
  <si>
    <t>CCTV System</t>
  </si>
  <si>
    <t>OPL/24-25/UP0691</t>
  </si>
  <si>
    <t>Fire Alarm System</t>
  </si>
  <si>
    <t>Plant Lighting &amp; Accessories</t>
  </si>
  <si>
    <t>EARTHING MATERIAL FOR SOLAR POWER PLANT</t>
  </si>
  <si>
    <t>OPL/24-25/UP0293</t>
  </si>
  <si>
    <t>OPL/24-25/UP0438</t>
  </si>
  <si>
    <t>OPL/24-25/CN0090</t>
  </si>
  <si>
    <t>LA FOR SOLAR POWER PLANT</t>
  </si>
  <si>
    <t>WMS &amp; Data Logger</t>
  </si>
  <si>
    <t>Operational Spares (as per Annex-12)</t>
  </si>
  <si>
    <t>10% Successful installation &amp; commissioning, PG test,Submission of Performance Bank Guarantee (PBG) for 10% of order value.</t>
  </si>
  <si>
    <t>E&amp;C</t>
  </si>
  <si>
    <t>70% of order value on prorata basis upon E&amp;C</t>
  </si>
  <si>
    <t>Installation of Module Mounting Structure</t>
  </si>
  <si>
    <t>OPL/24-25/UP0537</t>
  </si>
  <si>
    <t>OPL/24-25/UP0778</t>
  </si>
  <si>
    <t>Fixing of Inverter</t>
  </si>
  <si>
    <t>Fixing of Modules</t>
  </si>
  <si>
    <t>OPL/25-26/UP0033</t>
  </si>
  <si>
    <t>Laying of DC Cable</t>
  </si>
  <si>
    <t>Laying of LT &amp; HT Cable</t>
  </si>
  <si>
    <t>Installation of Earthing System</t>
  </si>
  <si>
    <t>Installation of LA</t>
  </si>
  <si>
    <t>Installation of SCADA</t>
  </si>
  <si>
    <t>Installation of WMS &amp; Data Logger (Incl Cable Work)</t>
  </si>
  <si>
    <t>Installation of LT Panel</t>
  </si>
  <si>
    <t>Installation of HT Panel</t>
  </si>
  <si>
    <t>Aux Trandformer &amp; Aux LT Panels</t>
  </si>
  <si>
    <t>Submission of Statutory Approval</t>
  </si>
  <si>
    <t>Installation of CCTV &amp; Misc</t>
  </si>
  <si>
    <t>Installation of Area Lighting</t>
  </si>
  <si>
    <t>10% upon PBG</t>
  </si>
  <si>
    <t>Testing1</t>
  </si>
  <si>
    <t>10% upon PRT</t>
  </si>
  <si>
    <t>Testing2</t>
  </si>
  <si>
    <t>CiVil</t>
  </si>
  <si>
    <t>work</t>
  </si>
  <si>
    <t>Civil Auguring &amp; Column Post Casting</t>
  </si>
  <si>
    <t>OPL/24-25/UP0779</t>
  </si>
  <si>
    <t>Inverter Foundation (With Shed)</t>
  </si>
  <si>
    <t>LT Panel Foundation (With Shed)</t>
  </si>
  <si>
    <t>HT Panel Foundation (With Shed)</t>
  </si>
  <si>
    <t>Transformer Foundation &amp; Fencing Work</t>
  </si>
  <si>
    <t>OPL/25-26/UP0117</t>
  </si>
  <si>
    <t>Cable Trench and Bed Foramtion</t>
  </si>
  <si>
    <t>Other Misc Foundations and Civil Work</t>
  </si>
  <si>
    <t>ERT &amp; soil test</t>
  </si>
  <si>
    <t>Container based control room cum office</t>
  </si>
  <si>
    <t>Road &amp; Internal Pathway Development</t>
  </si>
  <si>
    <t>Water Drainage and Seweage Work</t>
  </si>
  <si>
    <t>Module Cleaning System and Water Storage</t>
  </si>
  <si>
    <t>Other Misc Works</t>
  </si>
  <si>
    <t>10 % upon PBG</t>
  </si>
  <si>
    <t>10 % upon pr test</t>
  </si>
  <si>
    <t>STLC RE ltd</t>
  </si>
  <si>
    <t>BAP</t>
  </si>
  <si>
    <t>JKLC-BAP-12.15MW</t>
  </si>
  <si>
    <t>20% advance along with Purchase order.</t>
  </si>
  <si>
    <t>25% against PV module / Inverters /BESS readiness at supplier end, before dispatch.</t>
  </si>
  <si>
    <t>Solar PV Modules - JKLC-BAP-12.15MW</t>
  </si>
  <si>
    <t>OPL/24-25/RJ032</t>
  </si>
  <si>
    <t>OPL/24-25/RJ042</t>
  </si>
  <si>
    <t>Solar Inverter - JKLC-BAP-12.15MW</t>
  </si>
  <si>
    <t>OPL/24-25/RJ021</t>
  </si>
  <si>
    <t>10% against structure dispatch proof/PI.</t>
  </si>
  <si>
    <t>Solar Structure - JKLC-BAP-12.15MW</t>
  </si>
  <si>
    <t>OPL/24-25/RJ016</t>
  </si>
  <si>
    <t>OPL/24-25/RJ031</t>
  </si>
  <si>
    <t>5% after electrical charging</t>
  </si>
  <si>
    <t>Charging</t>
  </si>
  <si>
    <t>DC Cables - JKLC-BAP-12.15MW</t>
  </si>
  <si>
    <t>OPL/25-26/RJ0001</t>
  </si>
  <si>
    <t>OPL/25-26/RJ0015</t>
  </si>
  <si>
    <t>OPL/25-26/RJ0018</t>
  </si>
  <si>
    <t>10% against dispatch / PI of BOS material.</t>
  </si>
  <si>
    <t>LT Cables - JKLC-BAP-12.15MW</t>
  </si>
  <si>
    <t>OPL/25-26/RJ0002</t>
  </si>
  <si>
    <t>ACDB - JKLC-BAP-12.15MW</t>
  </si>
  <si>
    <t>HT Cables - JKLC-BAP-12.15MW</t>
  </si>
  <si>
    <t>HT Panels - JKLC-BAP-12.15MW</t>
  </si>
  <si>
    <t>Transformer HT System - JKLC-BAP-12.15MW</t>
  </si>
  <si>
    <t>Balance of System - JKLC-BAP-12.15MW (AC, DC Accessories, Module Cleaning System, MC4, Conduit, Earthing &amp; LA, Consumables)</t>
  </si>
  <si>
    <t>OPL/25-26/RJ0003</t>
  </si>
  <si>
    <t>OPL/25-26/RJ0011</t>
  </si>
  <si>
    <t>OPL/25-26/RJ0013</t>
  </si>
  <si>
    <t>10% after installation of MMS/ Solar panel and DC work.</t>
  </si>
  <si>
    <t>Installation &amp; Commissioning - JKLC-BAP-12.15MW (including Civil Work)</t>
  </si>
  <si>
    <t>Containerized Energy Storage Solutions 
of 450 kW/903 kWh - JKLC-BAP-12.15MW</t>
  </si>
  <si>
    <t>Solar Photovoltaic (SPV) Crystalline Modules</t>
  </si>
  <si>
    <t>10% against Team mobilization at site.</t>
  </si>
  <si>
    <t>Team</t>
  </si>
  <si>
    <t>10% after handover of project.</t>
  </si>
  <si>
    <t>HOTP</t>
  </si>
  <si>
    <t>NTPC VIDYUT VYAPAR NIGAM ltd</t>
  </si>
  <si>
    <t>BARH GM</t>
  </si>
  <si>
    <t>NTPC Bargh GM</t>
  </si>
  <si>
    <t>Module Mounting Structure (MMS)</t>
  </si>
  <si>
    <t>OPL/24-25/UP0832</t>
  </si>
  <si>
    <t>Power Conditioning Unit/ Inverter</t>
  </si>
  <si>
    <t>OPL/24-25/UP0095</t>
  </si>
  <si>
    <t>Others</t>
  </si>
  <si>
    <t>OPL/24-25/UP0802</t>
  </si>
  <si>
    <t>AC Cables</t>
  </si>
  <si>
    <t>Inverter Transformer</t>
  </si>
  <si>
    <t>Suitable Energy Metering Arrangement</t>
  </si>
  <si>
    <t>Earthing and lightning Protection</t>
  </si>
  <si>
    <t>Conduits, pipes and accessories</t>
  </si>
  <si>
    <t>Suitable ACB’s/MCCB or LBS and ACDB’s</t>
  </si>
  <si>
    <t>Module Washing System</t>
  </si>
  <si>
    <t>Switchgear</t>
  </si>
  <si>
    <t>Evacuation system</t>
  </si>
  <si>
    <t>Remote Monitoring system</t>
  </si>
  <si>
    <t>Misc. Equipment which is required for the project (other than Specified Above)</t>
  </si>
  <si>
    <t>Local Transportation of Plant &amp; Equipment of Solar PV Project (GROUND MOUNTED)</t>
  </si>
  <si>
    <t>Services</t>
  </si>
  <si>
    <t>Installation Services for Entire Equipment
 (GROUND MOUNTED SOLAR PV PROJECT)</t>
  </si>
  <si>
    <t>OPL/24-25/UP0107</t>
  </si>
  <si>
    <t>Civil &amp; Allied Works
 (GROUND MOUNTED SOLAR PV PROJECT)</t>
  </si>
  <si>
    <t>Amount linked to safety
 (GROUND MOUNTED SOLAR PV PROJECT)</t>
  </si>
  <si>
    <t>O&amp;M for 1st Year</t>
  </si>
  <si>
    <t>O&amp;M</t>
  </si>
  <si>
    <t>O&amp;M for 2nd Year</t>
  </si>
  <si>
    <t>O&amp;M for 3rd Year</t>
  </si>
  <si>
    <t>KANTI GM</t>
  </si>
  <si>
    <t>NTPC Kanti GM</t>
  </si>
  <si>
    <t>OPL/24-25/UP0830</t>
  </si>
  <si>
    <t>OPL/24-25/UP0096</t>
  </si>
  <si>
    <t>OPL/24-25/UP0800</t>
  </si>
  <si>
    <t>OPL/24-25/UP0108</t>
  </si>
  <si>
    <t>NSTPS GM</t>
  </si>
  <si>
    <t>NTPC-NSTPS GM</t>
  </si>
  <si>
    <t>OPL/24-25/UP0838</t>
  </si>
  <si>
    <t>OPL/24-25/UP0097</t>
  </si>
  <si>
    <t>OPL/24-25/UP0808</t>
  </si>
  <si>
    <t>OPL/24-25/UP0109</t>
  </si>
  <si>
    <t>NTPC-Barauhni GM</t>
  </si>
  <si>
    <t>OPL/24-25/UP0837</t>
  </si>
  <si>
    <t>OPL/24-25/CN0003</t>
  </si>
  <si>
    <t>OPL/24-25/UP0105</t>
  </si>
  <si>
    <t>OPL/24-25/UP0807</t>
  </si>
  <si>
    <t>OPL/24-25/UP0115</t>
  </si>
  <si>
    <t>NTPC-BARH RT</t>
  </si>
  <si>
    <t>BHARAT COKING COAL ltd</t>
  </si>
  <si>
    <t>BCCL/CIL</t>
  </si>
  <si>
    <t>Submission of Topo/Soil Survey Reports</t>
  </si>
  <si>
    <t>Submission of Report on Land survey, Transmission Route survey, Soil test, Site selection, Submission of Design Basis Report and GA drawing (5% of supply Price)</t>
  </si>
  <si>
    <t>Soil test</t>
  </si>
  <si>
    <t>Submission of TL Route Survey Report</t>
  </si>
  <si>
    <t>OPL/23-24/UP032</t>
  </si>
  <si>
    <t>OPL/24-25/CN0009</t>
  </si>
  <si>
    <t>OP/CN/23-24/002</t>
  </si>
  <si>
    <t>OPL/23-24/UP169</t>
  </si>
  <si>
    <t>Submission of Array &amp; String Layout</t>
  </si>
  <si>
    <t>OPL/24-25/UP0143</t>
  </si>
  <si>
    <t>Submission of Earthing Layout</t>
  </si>
  <si>
    <t>OPL/23-24/UP033</t>
  </si>
  <si>
    <t>Submission of Fencing Layout</t>
  </si>
  <si>
    <t>Submission of MCR &amp; ICR Layout</t>
  </si>
  <si>
    <t>Submission of Module &amp; MMS GA Drawing</t>
  </si>
  <si>
    <t>Submission of DC &amp; AC SLD</t>
  </si>
  <si>
    <t>Submission of GA Drawing Inverter</t>
  </si>
  <si>
    <t>Tong tester (Clampon meter)</t>
  </si>
  <si>
    <t>Supply of BOS and other items on Pro Rata basis except sl. No. 2 to 3 above. (20% of supply Price)</t>
  </si>
  <si>
    <t>Earth resistance meter</t>
  </si>
  <si>
    <t>OPL/24-25/UP0453</t>
  </si>
  <si>
    <t>Manual thermal imaging camera</t>
  </si>
  <si>
    <t>Drone based thermal imaging camera</t>
  </si>
  <si>
    <t>PV array analyser</t>
  </si>
  <si>
    <t>Inverter</t>
  </si>
  <si>
    <t>Inverter Duty Transformers</t>
  </si>
  <si>
    <t>OPL/23-24/UP073</t>
  </si>
  <si>
    <t>HT Panels</t>
  </si>
  <si>
    <t>OPL/24-25/UP0141</t>
  </si>
  <si>
    <t>LT Panels</t>
  </si>
  <si>
    <t>OPL/24-25/UP0571</t>
  </si>
  <si>
    <t>OPL/24-25/UP0467</t>
  </si>
  <si>
    <t>OPL/24-25/CN0078</t>
  </si>
  <si>
    <t>OPL/24-25/UP0633</t>
  </si>
  <si>
    <t>OPL/24-25/UP0008</t>
  </si>
  <si>
    <t>Control &amp; Communication Cables</t>
  </si>
  <si>
    <t>MC4 Connectors (Male+female)</t>
  </si>
  <si>
    <t>OPL/24-25/UP0634</t>
  </si>
  <si>
    <t>Termination Kits</t>
  </si>
  <si>
    <t>OPL/24-25/UP0573</t>
  </si>
  <si>
    <t>OPL/24-25/UP0534</t>
  </si>
  <si>
    <t>OPL/24-25/CN0079</t>
  </si>
  <si>
    <t>Conduits</t>
  </si>
  <si>
    <t>OPL/24-25/UP0635</t>
  </si>
  <si>
    <t>Earthing Strip</t>
  </si>
  <si>
    <t>OPL/24-25/UP0452</t>
  </si>
  <si>
    <t>ESE Lightening Arrester</t>
  </si>
  <si>
    <t>Outdoor Illumination</t>
  </si>
  <si>
    <t>OPL/24-25/UP0574</t>
  </si>
  <si>
    <t>OPL/24-25/UP0572</t>
  </si>
  <si>
    <t>Module Cleaning System</t>
  </si>
  <si>
    <t>OPL/24-25/UP0636</t>
  </si>
  <si>
    <t>Transmission Line - 33 kV</t>
  </si>
  <si>
    <t>OPL/24-25/UP0693</t>
  </si>
  <si>
    <t>SCADA &amp; WMS</t>
  </si>
  <si>
    <t>OPL/24-25/UP0454</t>
  </si>
  <si>
    <t>Spanner set (D &amp; Ring type)</t>
  </si>
  <si>
    <t>OPL/24-25/UP0747</t>
  </si>
  <si>
    <t>Cutting plier</t>
  </si>
  <si>
    <t>Nose plier</t>
  </si>
  <si>
    <t>Monkey plier</t>
  </si>
  <si>
    <t>Screw driver set</t>
  </si>
  <si>
    <t>Lug crimping tool for control cable</t>
  </si>
  <si>
    <t>Dust blower</t>
  </si>
  <si>
    <t>Earth rod set</t>
  </si>
  <si>
    <t>Torque wrench</t>
  </si>
  <si>
    <t>Hand drill machine</t>
  </si>
  <si>
    <t>Hand Cutter &amp; Grinder</t>
  </si>
  <si>
    <t>Motorised spanner set</t>
  </si>
  <si>
    <t>LOTO set</t>
  </si>
  <si>
    <t>Columns</t>
  </si>
  <si>
    <t>Supply of MMS on Pro rata basis (10% of supply Price)</t>
  </si>
  <si>
    <t>Rafter</t>
  </si>
  <si>
    <t>OPL/23-24/UP181</t>
  </si>
  <si>
    <t>Purlins</t>
  </si>
  <si>
    <t>OPL/24-25/UP0007</t>
  </si>
  <si>
    <t>Bracings</t>
  </si>
  <si>
    <t>Fasteners</t>
  </si>
  <si>
    <t>Supply of Solar PV Modules at Project Site 
(On Pro-Rata Basis)</t>
  </si>
  <si>
    <t>Supply of PV Modules at the Project Site on pro-rata basis (60% of supply Price)</t>
  </si>
  <si>
    <t>OPL/23-24/UP047</t>
  </si>
  <si>
    <t>OPL/23-24/UP048</t>
  </si>
  <si>
    <t>OPL/23-24/UP050</t>
  </si>
  <si>
    <t>MC-4 Crimping tool</t>
  </si>
  <si>
    <t>OPL/23-24/UP062</t>
  </si>
  <si>
    <t>Supply of tools, tackles and measuring instruments (5% of supply Price)</t>
  </si>
  <si>
    <t>Tool box</t>
  </si>
  <si>
    <t>5kV IR tester</t>
  </si>
  <si>
    <t>Multimeter</t>
  </si>
  <si>
    <t>5% retention Moneny upon PBG</t>
  </si>
  <si>
    <t>Retention money</t>
  </si>
  <si>
    <t>Retention</t>
  </si>
  <si>
    <t>MMS Installation</t>
  </si>
  <si>
    <t>Against monthly RA bills for the Works executed at site with respect to the milestones achieved as per the project schedule furnished by the Contractor (75 % of Works Price)</t>
  </si>
  <si>
    <t>Module Installation</t>
  </si>
  <si>
    <t>OPL/24-25/UP0822</t>
  </si>
  <si>
    <t>Inverter Installation</t>
  </si>
  <si>
    <t>IDT Installation</t>
  </si>
  <si>
    <t>HT &amp; LT Panel Installation</t>
  </si>
  <si>
    <t>DC Cable Installation &amp; Termination</t>
  </si>
  <si>
    <t>AC Cable Installation &amp; Termination</t>
  </si>
  <si>
    <t>SCADA &amp; WMS Installation</t>
  </si>
  <si>
    <t>Area cleaning</t>
  </si>
  <si>
    <t>Piling works</t>
  </si>
  <si>
    <t>MCR Foundations</t>
  </si>
  <si>
    <t>MCR Columns &amp; Slabs</t>
  </si>
  <si>
    <t>ICR Foundation</t>
  </si>
  <si>
    <t>Inverter Transformer Foundation</t>
  </si>
  <si>
    <t>Foundation works</t>
  </si>
  <si>
    <t>Mast erection</t>
  </si>
  <si>
    <t>Stringing</t>
  </si>
  <si>
    <t>Upon Successful Commissioning of the entire Project</t>
  </si>
  <si>
    <t>Upon Successful Commissioning of the entire Project (15 % of Works Price)</t>
  </si>
  <si>
    <t>Upon Successful Performance Guarantee Test</t>
  </si>
  <si>
    <t>Upon Successful Performance Guarantee Test (10 % of Works Price)</t>
  </si>
  <si>
    <t>Credit Note</t>
  </si>
  <si>
    <t>OPL/2526/UCN/002</t>
  </si>
  <si>
    <t>OPL/24-25/CN0002</t>
  </si>
  <si>
    <t>Extra Billing</t>
  </si>
  <si>
    <t>OPL/24-25/UP0622</t>
  </si>
  <si>
    <t>OPL/25-26/UP0006</t>
  </si>
  <si>
    <t>U-SOLAR CLEAN ENERGY SOLUTIONS Pvt ltd</t>
  </si>
  <si>
    <t>RENEW PHOTOVOLTAICS PVT ltd</t>
  </si>
  <si>
    <t>Munjal showa Ltd</t>
  </si>
  <si>
    <t>ELGRIS SOLAR POWER SYSTEMS pvt ltd</t>
  </si>
  <si>
    <t>Karnataka</t>
  </si>
  <si>
    <t>Ground Mounted Solar Power Plant In Karnataka</t>
  </si>
  <si>
    <t>10% advance</t>
  </si>
  <si>
    <t>20% against mobilization</t>
  </si>
  <si>
    <t>20% after piling work</t>
  </si>
  <si>
    <t>20% against PI before Structure dispatch</t>
  </si>
  <si>
    <t>20% against PI before dispatch balance of system and inverter</t>
  </si>
  <si>
    <t>5% against installation of modules and inverter</t>
  </si>
  <si>
    <t>3% against charging</t>
  </si>
  <si>
    <t>2% after completion</t>
  </si>
  <si>
    <t>Unipack Packaging Pvt ltd</t>
  </si>
  <si>
    <t>Unipack Packaging-156 kWp, Bawal, HR</t>
  </si>
  <si>
    <t>OPL/25-26/UP0004</t>
  </si>
  <si>
    <t>OPL/25-26/UP0009</t>
  </si>
  <si>
    <t>OPL/24-25/UP0815</t>
  </si>
  <si>
    <t>OPL/25-26/UP0018</t>
  </si>
  <si>
    <t>OPL/25-26/UP0083</t>
  </si>
  <si>
    <t>DG-PV SYNCHRONIZATION PANEL &amp; ZERO EXPORT
DEVICE PLC BASED</t>
  </si>
  <si>
    <t>Installation &amp; Commissioning Services</t>
  </si>
  <si>
    <t>OPL/25-26/UP0157</t>
  </si>
  <si>
    <t>Unipack Packaging-78 kWp, Bawal, HR</t>
  </si>
  <si>
    <t>OPL/24-25/UP0774</t>
  </si>
  <si>
    <t>OPL/25-26/UP0008</t>
  </si>
  <si>
    <t>OPL/24-25/UP0814</t>
  </si>
  <si>
    <t>OPL/25-26/UP0005</t>
  </si>
  <si>
    <t>OPL/25-26/UP0082</t>
  </si>
  <si>
    <t>OPL/25-26/UP0156</t>
  </si>
  <si>
    <t>CASTAMET WORKS PVT LTD</t>
  </si>
  <si>
    <t>AJMER</t>
  </si>
  <si>
    <t>Supply Billing Break Up - CASTAMET WORKS PVT LTD, AJMER (0.5 MWp)</t>
  </si>
  <si>
    <t>Column Post</t>
  </si>
  <si>
    <t>OPL/24-25/UP0517</t>
  </si>
  <si>
    <t>String Inverter</t>
  </si>
  <si>
    <t>EXTENSION PANEL FOR SOLAR POWER PLANT</t>
  </si>
  <si>
    <t>LT ACDB FOR SOLAR POWER PLANT</t>
  </si>
  <si>
    <t>PLANT LIGHTING FOR SOLAR POWER PLANT</t>
  </si>
  <si>
    <t>OPL/24-25/UP0516</t>
  </si>
  <si>
    <t>OPL/24-25/UP0439</t>
  </si>
  <si>
    <t>AC CABLES FOR SOLAR POWER PLANT</t>
  </si>
  <si>
    <t>DATA LOGGER, PYRANOMETER AND OTHER INSTRUMENTS FOR SOLAR POWER PLANT</t>
  </si>
  <si>
    <t>PVDG SYNCHRONIZER</t>
  </si>
  <si>
    <t>MISCELLANEOUS ITEMS (FIRE EXTINGUISHER, SAFETY EQUIPMENTS, MODULE CLEANING SYSTEM ETC)</t>
  </si>
  <si>
    <t>OPL/24-25/UP0279</t>
  </si>
  <si>
    <t>OPL/24-25/UP0556</t>
  </si>
  <si>
    <t>Service Billing Break Up - CASTAMET WORKS PVT LTD, AJMER (0.5 MWp)</t>
  </si>
  <si>
    <t>OPL/24-25/UP0528</t>
  </si>
  <si>
    <t>Laying of AC/DC Cable</t>
  </si>
  <si>
    <t>Earthing &amp; LA Installation</t>
  </si>
  <si>
    <t>Installation of Pyranometer, Data Logger and Others</t>
  </si>
  <si>
    <t>OPL/24-25/UP0557</t>
  </si>
  <si>
    <t>Installation of Extension Panel</t>
  </si>
  <si>
    <t>Installation of net metering connection &amp; Approval</t>
  </si>
  <si>
    <t>Installation of PVDG synchronizer</t>
  </si>
  <si>
    <t>Installation of Area Lighting &amp; Other Misc items</t>
  </si>
  <si>
    <t>Civil Billing Break Up - CASTAMET WORKS PVT LTD, AJMER (0.5 MWp)</t>
  </si>
  <si>
    <t>Inverter &amp; LT ACDB Foundation</t>
  </si>
  <si>
    <t>Extension Panel Foundation</t>
  </si>
  <si>
    <t>Lightening arrestor, lighting pole foundation</t>
  </si>
  <si>
    <t xml:space="preserve">Cable Trench and Bed Formation </t>
  </si>
  <si>
    <t xml:space="preserve">Other Misc Foundations and Civil Work </t>
  </si>
  <si>
    <t>Civil Billing Break Up - Panipat Solar Project (1.8 MWp)</t>
  </si>
  <si>
    <t xml:space="preserve">Water Drainage and Seweage Work </t>
  </si>
  <si>
    <t>Othe Misc foundation &amp; Works</t>
  </si>
  <si>
    <t>SUNVIK STEELS Pvt ltd</t>
  </si>
  <si>
    <t>Chitradurga, Karnataka</t>
  </si>
  <si>
    <t>SUNVIK STEELS Pvt ltd 29 MWp</t>
  </si>
  <si>
    <t>10% advance of PV module value along with PO (Against PDC)</t>
  </si>
  <si>
    <t>OPL/23-24/UP045</t>
  </si>
  <si>
    <t>90% against irrevocable (transferable) LC of 60 days from a Scheduled First-Class Bank, LC discounting cost is in client scope. LC Shall be given against material readiness/ inspection at vendor end.</t>
  </si>
  <si>
    <t>OPL/23-24/UP063</t>
  </si>
  <si>
    <t>OPL/24-25/UP0001</t>
  </si>
  <si>
    <t>5% of BOS value advance along with PO against ABG cum PBG</t>
  </si>
  <si>
    <t>5% of BOS value against team mobilization</t>
  </si>
  <si>
    <t>MMS-Columns</t>
  </si>
  <si>
    <t>OPL/23-24/UP044</t>
  </si>
  <si>
    <t>70% of BOS value against material delivery at site, Lot wise, as per agreed billing breakup</t>
  </si>
  <si>
    <t>OPL/23-24/UP049</t>
  </si>
  <si>
    <t>10% of BOS value against installation of MMS/Modules</t>
  </si>
  <si>
    <t>MMS-Rafter</t>
  </si>
  <si>
    <t>OPL/23-24/UP058</t>
  </si>
  <si>
    <t>5% of BOS value against commissioning readiness</t>
  </si>
  <si>
    <t>OPL/23-24/UP060</t>
  </si>
  <si>
    <t>5% of BOS value against submission of BG of 1 year from COD.</t>
  </si>
  <si>
    <t>MMS-Purlin</t>
  </si>
  <si>
    <t>OPL/23-24/UP059</t>
  </si>
  <si>
    <t>OPL/23-24/UP061</t>
  </si>
  <si>
    <t>OPL/23-24/UP056</t>
  </si>
  <si>
    <t>OPL/23-24/UP089</t>
  </si>
  <si>
    <t>OPL/23-24/UP076</t>
  </si>
  <si>
    <t>HT AC Cables</t>
  </si>
  <si>
    <t>OPL/23-24/UP057</t>
  </si>
  <si>
    <t>LT AC Cables</t>
  </si>
  <si>
    <t>Earthing Material</t>
  </si>
  <si>
    <t>OPL/23-24/UP128</t>
  </si>
  <si>
    <t>OPL/23-24/UP164</t>
  </si>
  <si>
    <t>Power Transformer</t>
  </si>
  <si>
    <t>CT</t>
  </si>
  <si>
    <t>PT</t>
  </si>
  <si>
    <t>Isolator</t>
  </si>
  <si>
    <t>LT Power &amp; Control Cable</t>
  </si>
  <si>
    <t>Circuit breaker</t>
  </si>
  <si>
    <t>Earthing material</t>
  </si>
  <si>
    <t>Conductor</t>
  </si>
  <si>
    <t>OPL/23-24/UP154</t>
  </si>
  <si>
    <t>Insulator and harwares</t>
  </si>
  <si>
    <t>Structure</t>
  </si>
  <si>
    <t>Services for BOS</t>
  </si>
  <si>
    <t>OPL/23-24/UP090</t>
  </si>
  <si>
    <t>MMS Piling</t>
  </si>
  <si>
    <t>OPL/23-24/UP077</t>
  </si>
  <si>
    <t>Miscellaneous Civil-Road, drainage, ICR &amp; MCR</t>
  </si>
  <si>
    <t>OPL/23-24/UP091</t>
  </si>
  <si>
    <t>Services for 66kv Switchyard</t>
  </si>
  <si>
    <t>Civil works- Equipment &amp; tower foundations</t>
  </si>
  <si>
    <t>INDIAN SYNTHETIC RUBBER PVT LTD</t>
  </si>
  <si>
    <t>ISRPl</t>
  </si>
  <si>
    <t>OPPL/22-23/UP053</t>
  </si>
  <si>
    <t>OPPL/22-23/UP069</t>
  </si>
  <si>
    <t>OPPL/22-23/UP071</t>
  </si>
  <si>
    <t>OPPL/22-23/UP070</t>
  </si>
  <si>
    <t>Mounting Structure, Walkway, Roof Access &amp; Lifeline</t>
  </si>
  <si>
    <t>Control Instrumentation Cabling</t>
  </si>
  <si>
    <t>Transformer</t>
  </si>
  <si>
    <t>OPPL/22-23/UP084</t>
  </si>
  <si>
    <t>LV combiner Box &amp; LV Switchgear Panels 
(interconnection)</t>
  </si>
  <si>
    <t>HT Cable</t>
  </si>
  <si>
    <t>HV Switchgear</t>
  </si>
  <si>
    <t>OPPL/22-23/UP105</t>
  </si>
  <si>
    <t>Earthing &amp; Lightning Protection</t>
  </si>
  <si>
    <t>Datalogger/SCADA System, WMS, Workstation etc</t>
  </si>
  <si>
    <t>Other Miscellaneous Parts</t>
  </si>
  <si>
    <t>Design &amp; Engineering Services</t>
  </si>
  <si>
    <t>OPPL/22-23/UP057</t>
  </si>
  <si>
    <t>Supply of Mandatory Spare parts</t>
  </si>
  <si>
    <t>OPPL/22-23/UP204</t>
  </si>
  <si>
    <t>OPPL/22-23/UP217</t>
  </si>
  <si>
    <t>Operation &amp; Maintenance 
(for 2 years) (Qtr wise)</t>
  </si>
  <si>
    <t>OPL/23-24/UP012</t>
  </si>
  <si>
    <t>OPL/23-24/UP052</t>
  </si>
  <si>
    <t>OPL/23-24/UP069</t>
  </si>
  <si>
    <t>OPL/23-24/UP192</t>
  </si>
  <si>
    <t>OPL/24-25/UP0462</t>
  </si>
  <si>
    <t>OPL/24-25/UP0463</t>
  </si>
  <si>
    <t>OPL/24-25/UP0686</t>
  </si>
  <si>
    <t>OPL/24-25/UP0842</t>
  </si>
  <si>
    <t>Design Service-ISRPL-PANIPAT-516KW</t>
  </si>
  <si>
    <t>Installation-ISRPL-PANIPAT-516KW</t>
  </si>
  <si>
    <t>Spares-ISRPL-PANIPAT-516KW</t>
  </si>
  <si>
    <t>DC Cable-ISRPL-PANIPAT-516KW</t>
  </si>
  <si>
    <t>OPL/24-25/UP0551</t>
  </si>
  <si>
    <t>Inverter-ISRPL-PANIPAT-516KW</t>
  </si>
  <si>
    <t>LT Cable-ISRPL-PANIPAT-516KW</t>
  </si>
  <si>
    <t>MMS-ISRPL-PANIPAT-516KW</t>
  </si>
  <si>
    <t>Control Instrumentation Cabling-ISRPL-PANIPAT-516KW</t>
  </si>
  <si>
    <t>LV Combiner Box and LV Switchgear Panels Interconnection-ISRPL-PANIPAT-516KW</t>
  </si>
  <si>
    <t>HT Cable-ISRPL-PANIPAT-516KW</t>
  </si>
  <si>
    <t>HV Switchgear-ISRPL-PANIPAT-516KW</t>
  </si>
  <si>
    <t>Earthing and Lightning protection-ISRPL-PANIPAT-516KW</t>
  </si>
  <si>
    <t>Data logger /SCADA system, WMS, work station etc.-ISRPL-PANIPAT-516KW</t>
  </si>
  <si>
    <t>Other Miscellaneous parts-ISRPL-PANIPAT-516KW</t>
  </si>
  <si>
    <t>OPL/24-25/UP0550</t>
  </si>
  <si>
    <t>PV Module-ISRPL-PANIPAT-516KW</t>
  </si>
  <si>
    <t>Operation &amp; Maintenance Q1 FY 25-26- ISRPL-PANIPAT-2.75MW</t>
  </si>
  <si>
    <t>OPL/25-26/UP0148</t>
  </si>
  <si>
    <t>Operation &amp; Maintenance Q1 FY 25-26- ISRPL-PANIPAT-516KW</t>
  </si>
  <si>
    <t>OPL/25-26/UP0149</t>
  </si>
  <si>
    <t>HINDUSTAN PETROLEUM CORP LTD</t>
  </si>
  <si>
    <t>HPCL</t>
  </si>
  <si>
    <t>Supply of MMS at Site</t>
  </si>
  <si>
    <t>OPPL/21-22/UP044</t>
  </si>
  <si>
    <t>Supply of Solar Power Plant Material such as Panels, Inverters</t>
  </si>
  <si>
    <t>OPPL/21-22/UP073</t>
  </si>
  <si>
    <t>Supply of Complete Transmission Line &amp; Substation Bay
Material including transformer</t>
  </si>
  <si>
    <t>OPPL/21-22/UP070</t>
  </si>
  <si>
    <t>BOS for Solar power plant</t>
  </si>
  <si>
    <t>OPPL/21-22/UP069</t>
  </si>
  <si>
    <t>Installation and commissioning</t>
  </si>
  <si>
    <t>OPPL/22-23/UP172</t>
  </si>
  <si>
    <t>Final approvals &amp; documentation</t>
  </si>
  <si>
    <t>Document Submission &amp; Issuance of GO</t>
  </si>
  <si>
    <t>OPPL/21-22/UP041</t>
  </si>
  <si>
    <t>On Submission of Electrical Single Line Diagram, Solar plant 
layout, Elevation Plan, Manufacturing Structural Drawings 
certified by a Chartered Structural Engineer, Technical 
Specification sheet of the offered make Modules , inverter 
SMB and BOS Equipment, test reports, Detailed Bill of 
material , Lightning and Earthing design and drawings, 
cable sizes design, integration arrangement.</t>
  </si>
  <si>
    <t>On completion of Soil Testing, Site grading, leveling, clearing 
of site, site filling (if required) etc. and on Completion of 
foundation for ground mounted part of solar plant along with 
main legs of structures.</t>
  </si>
  <si>
    <t>OPPL/21-22/UP068</t>
  </si>
  <si>
    <t>Complete Installation of Solar Power Plant till Transformer 
alongwith punchpoint clearance</t>
  </si>
  <si>
    <t>OPPL/22-23/UP035</t>
  </si>
  <si>
    <t>Complete Installation of Transmission Line &amp; Bay, alongwith 
CEIG, Connectivity &amp; Commissioning Approvals including 
Railway, Highway approvals</t>
  </si>
  <si>
    <t>OPPL/22-23/UP173</t>
  </si>
  <si>
    <t>Testing &amp; Commissioning of Solar Plant including grid
synchronization</t>
  </si>
  <si>
    <t>Performance Testing &amp; Training at Site</t>
  </si>
  <si>
    <t>Reimbursement of Exps</t>
  </si>
  <si>
    <t>OPPL/22-23/HPCL/Reimb-01</t>
  </si>
  <si>
    <t>OPPL/22-23/HPCL/Reimb-02</t>
  </si>
  <si>
    <t>OPPL/22-23/HPCL/Reimb-03</t>
  </si>
  <si>
    <t>OPPL/22-23/HPCL/Reimb-04</t>
  </si>
  <si>
    <t>OPPL/22-23/HPCL/Reimb-05</t>
  </si>
  <si>
    <t>OPPL/22-23/HPCL/Reimb-06</t>
  </si>
  <si>
    <t>OPPL/22-23/HPCL/Reimb-07</t>
  </si>
  <si>
    <t>After Completion of 1st year</t>
  </si>
  <si>
    <t>After Completion of 2nd year</t>
  </si>
  <si>
    <t>After Completion of 3rd year</t>
  </si>
  <si>
    <t>After Completion of 4th year</t>
  </si>
  <si>
    <t>After Completion of 5th year</t>
  </si>
  <si>
    <t>UDAIPUR CEMENT WORKS ltd</t>
  </si>
  <si>
    <t>UDAIPUR</t>
  </si>
  <si>
    <t>Udaipur Cements Floating Solar Project 27.50</t>
  </si>
  <si>
    <t>OPL/23-24/UP180</t>
  </si>
  <si>
    <t>Solar Inverters (Sungrow)</t>
  </si>
  <si>
    <t>OPL/24-25/UP0085</t>
  </si>
  <si>
    <t>Solar Floaters</t>
  </si>
  <si>
    <t>OPL/23-24/UP127</t>
  </si>
  <si>
    <t>ACDB</t>
  </si>
  <si>
    <t>OPL/24-25/UP0241</t>
  </si>
  <si>
    <t>Transformer HT System</t>
  </si>
  <si>
    <t>OPL/24-25/UP0173</t>
  </si>
  <si>
    <t>Balance of System 
(AC, DC Accessories,  Module Cleaning System, 
Conduit, Earthing &amp; LA, Consumables)</t>
  </si>
  <si>
    <t>OPL/24-25/UP0040</t>
  </si>
  <si>
    <t>OPL/24-25/UP0112</t>
  </si>
  <si>
    <t>OPL/24-25/UP0152</t>
  </si>
  <si>
    <t>OPL/24-25/UP0153</t>
  </si>
  <si>
    <t>OPL/24-25/UP0191</t>
  </si>
  <si>
    <t>OPL/24-25/UP0242</t>
  </si>
  <si>
    <t>OPL/24-25/UP0436</t>
  </si>
  <si>
    <t>OPL/24-25/UP437</t>
  </si>
  <si>
    <t>Solar Floaters (Sungrow)</t>
  </si>
  <si>
    <t>OPL/24-25/UP0170</t>
  </si>
  <si>
    <t>SKILL COUNCIL FOR GREEN JOBS</t>
  </si>
  <si>
    <t>Bhopal</t>
  </si>
  <si>
    <t>AIIMS Bhopal</t>
  </si>
  <si>
    <t>OPL/23-24/UP125</t>
  </si>
  <si>
    <t>Solar Modules</t>
  </si>
  <si>
    <t>OPL/23-24/UP136</t>
  </si>
  <si>
    <t>Inverters, BOS, Installation &amp; Commissioning Services</t>
  </si>
  <si>
    <t>OPL/24-25/UP0058</t>
  </si>
  <si>
    <t>OPL/24-25/UP0082</t>
  </si>
  <si>
    <t>OPL/24-25/UP0323</t>
  </si>
  <si>
    <t>BOS</t>
  </si>
  <si>
    <t>PSSCIVE Bhopal</t>
  </si>
  <si>
    <t>OPL/23-24/UP126</t>
  </si>
  <si>
    <t>OPL/23-24/UP137</t>
  </si>
  <si>
    <t>OPL/24-25/UP0059</t>
  </si>
  <si>
    <t>OPL/24-25/UP0083</t>
  </si>
  <si>
    <t>OPL/24-25/UP0324</t>
  </si>
  <si>
    <t>Delhi</t>
  </si>
  <si>
    <t>Safdarjung Hospital</t>
  </si>
  <si>
    <t>OPPL/22-23/UP059</t>
  </si>
  <si>
    <t>OPPL/22-23/UP083</t>
  </si>
  <si>
    <t>OPPL/22-23/UP075</t>
  </si>
  <si>
    <t>OPPL/22-23/UP184</t>
  </si>
  <si>
    <t>OPPL/22-23/UP185</t>
  </si>
  <si>
    <t>OPPL/22-23/UP186</t>
  </si>
  <si>
    <t>Gurugram</t>
  </si>
  <si>
    <t>Civil Hospital, Sec 10 Gurugram</t>
  </si>
  <si>
    <t>OPPL/22-23/UP046</t>
  </si>
  <si>
    <t>OPPL/22-23/UP062</t>
  </si>
  <si>
    <t>OPPL/22-23/UP072</t>
  </si>
  <si>
    <t>OPPL/22-23/UP187</t>
  </si>
  <si>
    <t>OPPL/22-23/UP188</t>
  </si>
  <si>
    <t>OPPL/22-23/UP189</t>
  </si>
  <si>
    <t xml:space="preserve">Government College for Girls, Sec 14 Gurugram </t>
  </si>
  <si>
    <t>OPPL/22-23/UP047</t>
  </si>
  <si>
    <t>OPPL/22-23/UP063</t>
  </si>
  <si>
    <t>OPPL/22-23/UP073</t>
  </si>
  <si>
    <t>OPPL/22-23/UP190</t>
  </si>
  <si>
    <t>OPPL/22-23/UP191</t>
  </si>
  <si>
    <t>OPPL/22-23/UP192</t>
  </si>
  <si>
    <t>MMM Hospital</t>
  </si>
  <si>
    <t>OPPL/21-22/UP043</t>
  </si>
  <si>
    <t>Solar Modules, Inverter &amp; BOS</t>
  </si>
  <si>
    <t>OPPL/21-22/UP050</t>
  </si>
  <si>
    <t>Installation &amp; Commissioning Services (incl. BOS)</t>
  </si>
  <si>
    <t>OPPL/21-22/UP053</t>
  </si>
  <si>
    <t>OPPL/22-23/UP207</t>
  </si>
  <si>
    <t>OPPL/22-23/UP208</t>
  </si>
  <si>
    <t>OPPL/22-23/UP209</t>
  </si>
  <si>
    <t>TATA MEMORIAL CENTRE</t>
  </si>
  <si>
    <t>OPL/23-24/UP191</t>
  </si>
  <si>
    <t>OPL/25-26/UP0017</t>
  </si>
  <si>
    <t>Solar PV Modules &amp; its associated works</t>
  </si>
  <si>
    <t>OPPL/22-23/UP041</t>
  </si>
  <si>
    <t>OPPL/22-23/UP020</t>
  </si>
  <si>
    <t>Solar Inverter / PCU</t>
  </si>
  <si>
    <t>AC &amp; Communication Cables</t>
  </si>
  <si>
    <t>OPPL/22-23/UP033</t>
  </si>
  <si>
    <t>ACDB's &amp; Panels</t>
  </si>
  <si>
    <t>Lightning Protection System</t>
  </si>
  <si>
    <t>Water/Module Cleaning System</t>
  </si>
  <si>
    <t>Weather Monitoring System</t>
  </si>
  <si>
    <t>Plant/DATA Monitoring System</t>
  </si>
  <si>
    <t>Earthing Protection System</t>
  </si>
  <si>
    <t>OPPL/22-23/UP008</t>
  </si>
  <si>
    <t>Control Room &amp; Carport lighting</t>
  </si>
  <si>
    <t>OPPL/22-23/UP054</t>
  </si>
  <si>
    <t>OPPL/22-23/UP068</t>
  </si>
  <si>
    <t>Net Metering Equipment &amp; solar /Grid/DG controller</t>
  </si>
  <si>
    <t xml:space="preserve">Solar Inverter / PCU </t>
  </si>
  <si>
    <t>PUSHPAK AIRPORT LEASING SOLUTION pvt Ltd</t>
  </si>
  <si>
    <t>PARK INDUSTRIES pvt Ltd</t>
  </si>
  <si>
    <t>20% advance with PO, supplier will give ABG of 20% PO value with 6 month validity</t>
  </si>
  <si>
    <t>60% po value Against performa invoice for PV modules &amp; inverters ready for dispatch</t>
  </si>
  <si>
    <t>20% PO value shall be after charging of the inverter/ Commissioning of plant</t>
  </si>
  <si>
    <t>STOCKWELL SOLAR SERVICES PVT LTD</t>
  </si>
  <si>
    <t>U-SOLAR CLEAN ENERGY SOLUTIONS pvt ltd</t>
  </si>
  <si>
    <t>J K LAKSHMI CEMENT ltd</t>
  </si>
  <si>
    <t>J K LAKSHMI CEMENT LTD (DL)</t>
  </si>
  <si>
    <t>INDKIYO FOODIEEZ pvt ltd</t>
  </si>
  <si>
    <t>ENERGYM FITNESS</t>
  </si>
  <si>
    <t>4PEL SOLAR ENERGY pvt ltd</t>
  </si>
  <si>
    <t>ABREL RENEWABLES EPC LTD</t>
  </si>
  <si>
    <t>BAIJNATH MAHARAJ</t>
  </si>
  <si>
    <t>MRS BECTORS FOOD SPECIALITIES ltd</t>
  </si>
  <si>
    <t>40% Advance</t>
  </si>
  <si>
    <t>30% Against PI</t>
  </si>
  <si>
    <t>20% against fixing of solar panel</t>
  </si>
  <si>
    <t>5% on charging of inverters</t>
  </si>
  <si>
    <t>5% on one week after Commissioning And Completetion of project</t>
  </si>
  <si>
    <t xml:space="preserve">40% Advance </t>
  </si>
  <si>
    <t>20% after Fixing of solar Panel</t>
  </si>
  <si>
    <t>Nexaum Energy pvt ltd (DR)</t>
  </si>
  <si>
    <t>NITERRA INDIA PVT LTD</t>
  </si>
  <si>
    <t>Haryana</t>
  </si>
  <si>
    <t>NGK</t>
  </si>
  <si>
    <t>RAIPUR HANDLING &amp; INFRASTRUCTURE pvt ltd</t>
  </si>
  <si>
    <t>RENEW PHOTOVOLTAICS PVT LTD</t>
  </si>
  <si>
    <t>ACH/RFU2507251020089/ICIC0000000017003934/DRBUY8785265</t>
  </si>
  <si>
    <t>ACH/RFU2504290919754/ICIC0000000017003934/DRBUY8787835</t>
  </si>
  <si>
    <t>ACH/RFU2507251020213/ICIC0000000017003934/DRBUY8786823</t>
  </si>
  <si>
    <t>ACH/RFU2507251020213/ICIC0000000017003934/DRBUY8786821</t>
  </si>
  <si>
    <t>ACH/RFU2504280918288/ICIC0000000017003934/DRBUY8787589</t>
  </si>
  <si>
    <t>ACH/RFU2507251020230/ICIC0000000017003934/DRBUY8786809</t>
  </si>
  <si>
    <t>ACH/RFU2507251020230/ICIC0000000017003934/DRBUY8786807</t>
  </si>
  <si>
    <t>ACH/RFU2507251020230/ICIC0000000017003934/DRBUY8786813</t>
  </si>
  <si>
    <t>ACH/RFU2507251020230/ICIC0000000017003934/DRBUY8786810</t>
  </si>
  <si>
    <t>ACH/RFU2507251020213/ICIC0000000017003934/DRBUY8786826</t>
  </si>
  <si>
    <t>ACH/RFU2507251020320/ICIC0000000017003934/DRBUY8786837</t>
  </si>
  <si>
    <t>ACH/RFU2507251020345/ICIC0000000017003934/DRBUY8786830</t>
  </si>
  <si>
    <t>ACH/RFU2507251020213/ICIC0000000017003934/DRBUY8786825</t>
  </si>
  <si>
    <t>ACH/RFU2507251020230/ICIC0000000017003934/DRBUY8786815</t>
  </si>
  <si>
    <t>ACH/RFU2507251020213/ICIC0000000017003934/DRBUY8786818</t>
  </si>
  <si>
    <t>ACH/RFU2507251020279/ICIC0000000017003934/DRBUY8786834</t>
  </si>
  <si>
    <t>ACH/M1  RI 250725 001349/ICIC0000000017603097/DRBUY8783523</t>
  </si>
  <si>
    <t>ACH/M1  RI 250725 001407/ICIC0000000017603097/DRBUY8780818</t>
  </si>
  <si>
    <t>ACH/M1  RI 250725 001360/ICIC0000000017603097/DRBUY8782330</t>
  </si>
  <si>
    <t>NTS/0031NIBLC0035726 Other_Charges</t>
  </si>
  <si>
    <t>NTS/0031NIBLC0035726 Commission/VIJAYSHREE STEEL INDUSTRIES</t>
  </si>
  <si>
    <t>NTS/0031NIBLC0035726 IMP_604267/VIJAYSHREE STEEL INDUSTRIES</t>
  </si>
  <si>
    <t>NTS/0031NIBLC0028926 IMP_604251/GOOD LUCK INDIA LIMITED</t>
  </si>
  <si>
    <t>NTS/0031NIBLC0028926 Other_Charges</t>
  </si>
  <si>
    <t>NTS/0031NIBLC0028926 Commission/GOOD LUCK INDIA LIMITED</t>
  </si>
  <si>
    <t>ACH/RFU2507281022197/ICIC0000000017003934/DRBUY8801881</t>
  </si>
  <si>
    <t>ACH/RFU2507281022223/ICIC0000000017003934/DRBUY8801887</t>
  </si>
  <si>
    <t>ACH/RFU2507281022261/ICIC0000000017003934/DRBUY8801885</t>
  </si>
  <si>
    <t>ACH/RFU2507281022283/ICIC0000000017003934/DRBUY8801883</t>
  </si>
  <si>
    <t>NTS/0031NIBLC0034826 Commission/VIJAYSHREE STEEL INDUSTRIES</t>
  </si>
  <si>
    <t>NTS/0031NIBLC0034826 Other_Charges</t>
  </si>
  <si>
    <t>NTS/0031NIBLC0034826 IMP_605891/VIJAYSHREE STEEL INDUSTRIES</t>
  </si>
  <si>
    <t>ACH/RFU2507291023888/ICIC0000000017003934/DRBUY8815675</t>
  </si>
  <si>
    <t>ACH/RFU2507291023915/ICIC0000000017003934/DRBUY8815673</t>
  </si>
  <si>
    <t>ACH/RFU2507291023943/ICIC0000000017003934/DRBUY8815668</t>
  </si>
  <si>
    <t>ACH/M1  RI 290725 001390/ICIC0000000017603097/DRBUY8825704</t>
  </si>
  <si>
    <t>ACH/M1  RI 290725 001364/ICIC0000000017603097/DRBUY8825687</t>
  </si>
  <si>
    <t>ACH/M1  RI 290725 001446/ICIC0000000017603097/DRBUY8825761</t>
  </si>
  <si>
    <t>ACH/M1  RI 290725 001435/ICIC0000000017603097/DRBUY8825757</t>
  </si>
  <si>
    <t>ACH/M1  RI 290725 001431/ICIC0000000017603097/DRBUY8825751</t>
  </si>
  <si>
    <t>NTS/0031NIBLC0033526 Other_Charges</t>
  </si>
  <si>
    <t>NTS/0031NIBLC0033526 Commission/GOOD LUCK INDIA LIMITED</t>
  </si>
  <si>
    <t>NTS/0031NIBLC0033526 IMP_607205/GOOD LUCK INDIA LIMITED</t>
  </si>
  <si>
    <t>ACH/RFU2507301025719/ICIC0000000017003934/DRBUY8834386</t>
  </si>
  <si>
    <t>ACH/RFU2507301025734/ICIC0000000017003934/DRBUY8834393</t>
  </si>
  <si>
    <t>ACH/RFU2507301025708/ICIC0000000017003934/DRBUY8834390</t>
  </si>
  <si>
    <t>ACH/RFU2507301025744/ICIC0000000017003934/DRBUY8834398</t>
  </si>
  <si>
    <t>ACH/RFU2507301025749/ICIC0000000017003934/DRBUY8834401</t>
  </si>
  <si>
    <t>NTS/0031NILC0114925:SFMS</t>
  </si>
  <si>
    <t>NTS/0031NILC0114925:Commission</t>
  </si>
  <si>
    <t>RTGS-SBINR12025073194030336-ORIANA POWER LIMITED-40101241252-SBIN0013913</t>
  </si>
  <si>
    <t>RTGS-SBINR12025073194030497-ORIANA POWER LIMITED-40101241252-SBIN0013913</t>
  </si>
  <si>
    <t>NTS/DE-0031NDLG00171524-Pos Ex Commission-01-Aug-25 to 31-Aug-25</t>
  </si>
  <si>
    <t>ACH/RFU2507301025742/ICIC0000000017003934/DRBUY8846654</t>
  </si>
  <si>
    <t>ACH/RFU2505030923539/ICIC0000000017003934/DRBUY8847465</t>
  </si>
  <si>
    <t>ACH/RFU2505030923541/ICIC0000000017003934/DRBUY8847467</t>
  </si>
  <si>
    <t>ACH/RFU2505030923540/ICIC0000000017003934/DRBUY8847466</t>
  </si>
  <si>
    <t>ACH/M1  RI 300725 002226/ICIC0000000017603097/DRBUY8842681</t>
  </si>
  <si>
    <t>RTGS-FDRLR52025080188811693-ORIANA POWER LIMITED-13405500003286-FDRL0009001</t>
  </si>
  <si>
    <t>RTGS-SBINR12025080114148752-ORIANA POWER LIMITED-40101241252-SBIN0013913</t>
  </si>
  <si>
    <t>348851000004:Int.Coll:02-07-2025 to 01-08-2025</t>
  </si>
  <si>
    <t>ACH/RFU2505050925573/ICIC0000000017003934/DRBUY8858378</t>
  </si>
  <si>
    <t>ACH/RFU2508011028550/ICIC0000000017003934/DRBUY8867562</t>
  </si>
  <si>
    <t>ACH/RFU2508011028568/ICIC0000000017003934/DRBUY8867564</t>
  </si>
  <si>
    <t>ACH/RFU2508011028251/ICIC0000000017003934/DRBUY8867550</t>
  </si>
  <si>
    <t>ACH/RFU2508011028575/ICIC0000000017003934/DRBUY8867554</t>
  </si>
  <si>
    <t>ACH/RFU2508011028282/ICIC0000000017003934/DRBUY8867552</t>
  </si>
  <si>
    <t>ACH/RFU2508011028364/ICIC0000000017003934/DRBUY8867560</t>
  </si>
  <si>
    <t>ACH/RFU2508011028309/ICIC0000000017003934/DRBUY8867558</t>
  </si>
  <si>
    <t>ACH/RFU2508011028265/ICIC0000000017003934/DRBUY8867556</t>
  </si>
  <si>
    <t>ACH/RFU2505060926928/ICIC0000000017003934/DRBUY8869900</t>
  </si>
  <si>
    <t>ACH/RFU2505060926927/ICIC0000000017003934/DRBUY8869899</t>
  </si>
  <si>
    <t>ACH/M1  RI 010825 001176/ICIC0000000017603097/DRBUY8864231</t>
  </si>
  <si>
    <t>ACH/M1  RI 010825 001276/ICIC0000000017603097/DRBUY8864682</t>
  </si>
  <si>
    <t>ACH/M1  RI 010825 001246/ICIC0000000017603097/DRBUY8864612</t>
  </si>
  <si>
    <t>ACH/M1  RI 010825 001213/ICIC0000000017603097/DRBUY8864622</t>
  </si>
  <si>
    <t>ACH/M1  RI 010825 001088/ICIC0000000017603097/DRBUY8864650</t>
  </si>
  <si>
    <t>ACH/M1  RI 010825 001064/ICIC0000000017603097/DRBUY8864964</t>
  </si>
  <si>
    <t>ACH/M1  RI 010825 001144/ICIC0000000017603097/DRBUY8864497</t>
  </si>
  <si>
    <t>ACH/M1  RI 010825 001030/ICIC0000000017603097/DRBUY8865788</t>
  </si>
  <si>
    <t>ACH/M1  RI 010825 001007/ICIC0000000017603097/DRBUY8866288</t>
  </si>
  <si>
    <t>ACH/M1  RI 010825 001112/ICIC0000000017603097/DRBUY8865216</t>
  </si>
  <si>
    <t>ACH/M1  RI 010825 001552/ICIC0000000017603097/DRBUY8865526</t>
  </si>
  <si>
    <t>ACH/M1  RI 010825 000968/ICIC0000000017603097/DRBUY8865665</t>
  </si>
  <si>
    <t>ACH/M1  RI 010825 001434/ICIC0000000017603097/DRBUY8866564</t>
  </si>
  <si>
    <t>ACH/M1  RI 010825 001050/ICIC0000000017603097/DRBUY8866056</t>
  </si>
  <si>
    <t>ACH/M1  RI 010825 001434/BUYREV31511</t>
  </si>
  <si>
    <t>ACH/M1  RI 010825 001213/BUYREV31516</t>
  </si>
  <si>
    <t>ACH/M1  RI 010825 001246/BUYREV31515</t>
  </si>
  <si>
    <t>ACH/M1  RI 010825 001050/BUYREV31521</t>
  </si>
  <si>
    <t>ACH/M1  RI 010825 001030/BUYREV31522</t>
  </si>
  <si>
    <t>ACH/M1  RI 010825 001552/BUYREV31507</t>
  </si>
  <si>
    <t>ACH/M1  RI 010825 001064/BUYREV31518</t>
  </si>
  <si>
    <t>ACH/M1  RI 010825 000968/BUYREV31510</t>
  </si>
  <si>
    <t>ACH/M1  RI 010825 001276/BUYREV31514</t>
  </si>
  <si>
    <t>ACH/M1  RI 010825 001007/BUYREV31523</t>
  </si>
  <si>
    <t>ACH/M1  RI 010825 001144/BUYREV31519</t>
  </si>
  <si>
    <t>ACH/M1  RI 010825 001176/BUYREV31513</t>
  </si>
  <si>
    <t>ACH/M1  RI 010825 001088/BUYREV31517</t>
  </si>
  <si>
    <t>ACH/M1  RI 010825 001112/BUYREV31520</t>
  </si>
  <si>
    <t>ACH/M1  RI 010825 001144/ICIC0000000017603097/DRBUY8877225</t>
  </si>
  <si>
    <t>ACH/M1  RI 010825 001112/ICIC0000000017603097/DRBUY8877041</t>
  </si>
  <si>
    <t>ACH/M1  RI 010825 001552/ICIC0000000017603097/DRBUY8876575</t>
  </si>
  <si>
    <t>ACH/M1  RI 010825 000968/ICIC0000000017603097/DRBUY8875473</t>
  </si>
  <si>
    <t>ACH/M1  RI 010825 001246/ICIC0000000017603097/DRBUY8878153</t>
  </si>
  <si>
    <t>ACH/M1  RI 010825 001213/ICIC0000000017603097/DRBUY8877908</t>
  </si>
  <si>
    <t>ACH/M1  RI 010825 001088/ICIC0000000017603097/DRBUY8877484</t>
  </si>
  <si>
    <t>ACH/M1  RI 010825 001064/ICIC0000000017603097/DRBUY8877094</t>
  </si>
  <si>
    <t>ACH/M1  RI 010825 001176/ICIC0000000017603097/DRBUY8878249</t>
  </si>
  <si>
    <t>ACH/M1  RI 010825 001276/ICIC0000000017603097/DRBUY8878138</t>
  </si>
  <si>
    <t>ACH/M1  RI 010825 001030/ICIC0000000017603097/DRBUY8874780</t>
  </si>
  <si>
    <t>ACH/M1  RI 010825 001007/ICIC0000000017603097/DRBUY8875952</t>
  </si>
  <si>
    <t>ACH/M1  RI 010825 001050/ICIC0000000017603097/DRBUY8874777</t>
  </si>
  <si>
    <t>ACH/M1  RI 010825 001434/ICIC0000000017603097/DRBUY8875787</t>
  </si>
  <si>
    <t>ACH/RFU2505070928079/ICIC0000000017003934/DRBUY8881169</t>
  </si>
  <si>
    <t>ACH/RFU2505070927200/ICIC0000000017003934/DRBUY8880958</t>
  </si>
  <si>
    <t>ACH/RFU2505070927183/ICIC0000000017003934/DRBUY8880954</t>
  </si>
  <si>
    <t>NTS/0031NDLG00163824-Commission/SOLAR ENERGY CORPORATION OF INDIA LIMITED</t>
  </si>
  <si>
    <t>NTS/0031NDDG00299625-Handling charges/NUMALIGARH REFINERY LIMITED</t>
  </si>
  <si>
    <t>NTS/CAN-RE-0031NDDG00299625</t>
  </si>
  <si>
    <t>NTS/0031NIBLC0038626 Other_Charges</t>
  </si>
  <si>
    <t>NTS/0031NIBLC0038626 Commission/GOOD LUCK INDIA LIMITED</t>
  </si>
  <si>
    <t>NTS/0031NIBLC0038626 IMP_613541/GOOD LUCK INDIA LIMITED</t>
  </si>
  <si>
    <t>ACH/RFU2508051031476/ICIC0000000017003934/DRBUY8893447</t>
  </si>
  <si>
    <t>ACH/RFU2508051031590/ICIC0000000017003934/DRBUY8893439</t>
  </si>
  <si>
    <t>ACH/RFU2508051031688/ICIC0000000017003934/DRBUY8893449</t>
  </si>
  <si>
    <t>ACH/RFU2508051031581/ICIC0000000017003934/DRBUY8893441</t>
  </si>
  <si>
    <t>ACH/RFU2508051031515/ICIC0000000017003934/DRBUY8893435</t>
  </si>
  <si>
    <t>ACH/RFU2508011028531/ICIC0000000017003934/DRBUY8893443</t>
  </si>
  <si>
    <t>ACH/RFU2508051031624/ICIC0000000017003934/DRBUY8893433</t>
  </si>
  <si>
    <t>ACH/M1  RI 050825 001964/ICIC0000000017603097/DRBUY8890997</t>
  </si>
  <si>
    <t>ACH/M1  RI 050825 001580/ICIC0000000017603097/DRBUY8887989</t>
  </si>
  <si>
    <t>ACH/M1  RI 050825 001574/ICIC0000000017603097/DRBUY8889326</t>
  </si>
  <si>
    <t>ACH/M1  RI 050825 001834/ICIC0000000017603097/DRBUY8890096</t>
  </si>
  <si>
    <t>ACH/M1  RI 050825 001955/ICIC0000000017603097/DRBUY8890533</t>
  </si>
  <si>
    <t>ACH/RFU2508051031337/ICIC0000000017003934/DRBUY8893437</t>
  </si>
  <si>
    <t>CASH PAID:gaurav 0031 NOIDACHQ,136</t>
  </si>
  <si>
    <t>GSTREV:0031NDDG00299625:050825</t>
  </si>
  <si>
    <t>ACH/RFU2505090931669/ICIC0000000017003934/DRBUY8908265</t>
  </si>
  <si>
    <t>ACH/RFU2505090931669/ICIC0000000017003934/DRBUY8908266</t>
  </si>
  <si>
    <t>ACH/RFU2505090931669/ICIC0000000017003934/DRBUY8908267</t>
  </si>
  <si>
    <t>ACH/RFU2505090931672/ICIC0000000017003934/DRBUY8908268</t>
  </si>
  <si>
    <t>RTGS-UTIBR72025080700087805-DALMIA CEMENT  BHARAT LIMITED-911020006847918-UTIB0001183</t>
  </si>
  <si>
    <t>ACH/RFU2508071035056/ICIC0000000017003934/DRBUY8933171</t>
  </si>
  <si>
    <t>ACH/RFU2508071034843/ICIC0000000017003934/DRBUY8933214</t>
  </si>
  <si>
    <t>ACH/RFU2508071034843/ICIC0000000017003934/DRBUY8933216</t>
  </si>
  <si>
    <t>ACH/RFU2508071034843/ICIC0000000017003934/DRBUY8933210</t>
  </si>
  <si>
    <t>ACH/RFU2508071034843/ICIC0000000017003934/DRBUY8933218</t>
  </si>
  <si>
    <t>ACH/RFU2508071034934/ICIC0000000017003934/DRBUY8933198</t>
  </si>
  <si>
    <t>ACH/RFU2508071034934/ICIC0000000017003934/DRBUY8933195</t>
  </si>
  <si>
    <t>ACH/RFU2508071034958/ICIC0000000017003934/DRBUY8933189</t>
  </si>
  <si>
    <t>ACH/RFU2508071034958/ICIC0000000017003934/DRBUY8933187</t>
  </si>
  <si>
    <t>ACH/RFU2508071034843/ICIC0000000017003934/DRBUY8933212</t>
  </si>
  <si>
    <t>ACH/RFU2508071034934/ICIC0000000017003934/DRBUY8933200</t>
  </si>
  <si>
    <t>ACH/RFU2508071034934/ICIC0000000017003934/DRBUY8933202</t>
  </si>
  <si>
    <t>ACH/RFU2508071034934/ICIC0000000017003934/DRBUY8933196</t>
  </si>
  <si>
    <t>ACH/RFU2508071034958/ICIC0000000017003934/DRBUY8933183</t>
  </si>
  <si>
    <t>ACH/RFU2508071034958/ICIC0000000017003934/DRBUY8933181</t>
  </si>
  <si>
    <t>ACH/RFU2508071034984/ICIC0000000017003934/DRBUY8933175</t>
  </si>
  <si>
    <t>ACH/RFU2508071034958/ICIC0000000017003934/DRBUY8933185</t>
  </si>
  <si>
    <t>TRF TO FD no. 348813009916</t>
  </si>
  <si>
    <t>RTGS-CBINR52025080810016070-KIANA ENERGY SOLUTIONS LLP-00000005661124597-CBIN0283916</t>
  </si>
  <si>
    <t>RTGS/ICICR42025080800547699/HDFC0003218/SAATVIKGREENENERGYLTD/For</t>
  </si>
  <si>
    <t>INF/NEFT/ICICN42025080853037910/CNRB0019187/Ledger Balance/ANSHSOLARSERVIC</t>
  </si>
  <si>
    <t>INF/NEFT/ICICN42025080853038005/SBIN0015732/Partial Payment/GDENTERPRISES</t>
  </si>
  <si>
    <t>INF/NEFT/ICICN42025080853038011/CNRB0002933/Advance for Diesel/MAHIPALSINGH</t>
  </si>
  <si>
    <t>INF/NEFT/ICICN42025080853038016/HDFC0003979/Module Cleaning/SOLSTICEENERGY</t>
  </si>
  <si>
    <t>RTGS/ICICR42025080800554874/UTIB0001594/UVMADITYARENEWABLEINDIA/Advance</t>
  </si>
  <si>
    <t>INF/NEFT/ICICN42025080853038941/HDFC0003218/Advance for Site Exp/AKASHKAPADIYA</t>
  </si>
  <si>
    <t>RTGS/ICICR42025080800555357/PSIB0000717/TRUEREGUJSPVPVTLTD/Advance</t>
  </si>
  <si>
    <t>NTS/0031NDDG00124826-Commission/EXECUTIVE ENGINEER</t>
  </si>
  <si>
    <t>ACH/RFU2508081035348/ICIC0000000017003934/DRBUY8944070</t>
  </si>
  <si>
    <t>ACH/RFU2508081035682/ICIC0000000017003934/DRBUY8944067</t>
  </si>
  <si>
    <t>ACH/RFU2508081035349/ICIC0000000017003934/DRBUY8944065</t>
  </si>
  <si>
    <t>ACH/RFU2508081035345/ICIC0000000017003934/DRBUY8944063</t>
  </si>
  <si>
    <t>ACH/RFU2505120931718/ICIC0000000017003934/DRBUY8946373</t>
  </si>
  <si>
    <t>ACH/M1  RI 080825 000496/ICIC0000000017603097/DRBUY8940723</t>
  </si>
  <si>
    <t>ACH/RFU2508081035675/ICIC0000000017003934/DRBUY8944061</t>
  </si>
  <si>
    <t>ACH/M1  RI 080825 000508/ICIC0000000017603097/DRBUY8938010</t>
  </si>
  <si>
    <t>ACH/RFU2505120931720/ICIC0000000017003934/DRBUY8946375</t>
  </si>
  <si>
    <t>ACH/RFU2505120931719/ICIC0000000017003934/DRBUY8946374</t>
  </si>
  <si>
    <t>ACH/M1  RI 080825 000502/ICIC0000000017603097/DRBUY8939403</t>
  </si>
  <si>
    <t>ACH/RFU2505120932022/ICIC0000000017003934/DRBUY8946428</t>
  </si>
  <si>
    <t>ACH/RFU2505120932111/ICIC0000000017003934/DRBUY8946434</t>
  </si>
  <si>
    <t>ACH/RFU2505120932054/ICIC0000000017003934/DRBUY8946431</t>
  </si>
  <si>
    <t>ACH/RFU2505120931736/ICIC0000000017003934/DRBUY8946379</t>
  </si>
  <si>
    <t>ACH/RFU2505120932119/ICIC0000000017003934/DRBUY8946436</t>
  </si>
  <si>
    <t>ACH/RFU2505120931766/ICIC0000000017003934/DRBUY8946381</t>
  </si>
  <si>
    <t>ACH/RFU2505130933706/ICIC0000000017003934/DRBUY8946580</t>
  </si>
  <si>
    <t>ACH/RFU2505130933706/ICIC0000000017003934/DRBUY8946581</t>
  </si>
  <si>
    <t>ACH/RFU2505120932234/ICIC0000000017003934/DRBUY8946450</t>
  </si>
  <si>
    <t>ACH/RFU2505120932510/ICIC0000000017003934/DRBUY8946458</t>
  </si>
  <si>
    <t>NTS/0031NIBLC0039126 Commission/GOOD LUCK INDIA LIMITED</t>
  </si>
  <si>
    <t>NTS/0031NIBLC0039126 Other_Charges</t>
  </si>
  <si>
    <t>NTS/0031NIBLC0039126 IMP_618022/GOOD LUCK INDIA LIMITED</t>
  </si>
  <si>
    <t>INF/INFT/041238274281/STOCKWELL SOLAR</t>
  </si>
  <si>
    <t>RTGS/ICICR42025081100553523/HDFC0001351/ORIANAPOWERLIMITEDHDFC/Bank</t>
  </si>
  <si>
    <t>RTGS/ICICR42025081100554156/HDFC0001351/ORIANAPOWERLIMITEDHDFC/Bank</t>
  </si>
  <si>
    <t>INF/INFT/041247289881//NEXAUM ENERGY P</t>
  </si>
  <si>
    <t>INF/INFT/041247296491//NEXAUM ENERGY P</t>
  </si>
  <si>
    <t>INF/INFT/041247379741//NEXAUM ENERGY P</t>
  </si>
  <si>
    <t>RTGS-SBINR12025081295180401-OPPL ASSETS PRIVATE LIMITED-40423378133-SBIN0013913</t>
  </si>
  <si>
    <t>RTGS-UTIBR62025081218990087-TRUERE COSMIC PRIVATELIMITED-924020056612465-UTIB0002951</t>
  </si>
  <si>
    <t>ACH/M1  RI 080825 000962/ICIC0000000017603097/DRBUY8956110</t>
  </si>
  <si>
    <t>ACH/M1  RI 080825 001013/ICIC0000000017603097/DRBUY8958447</t>
  </si>
  <si>
    <t>ACH/RFU2508111038421/ICIC0000000017003934/DRBUY8961067</t>
  </si>
  <si>
    <t>ACH/RFU2508111038249/ICIC0000000017003934/DRBUY8961059</t>
  </si>
  <si>
    <t>ACH/RFU2508111038284/ICIC0000000017003934/DRBUY8961055</t>
  </si>
  <si>
    <t>ACH/RFU2505140935109/ICIC0000000017003934/DRBUY8962613</t>
  </si>
  <si>
    <t>ACH/RFU2508111038237/ICIC0000000017003934/DRBUY8961063</t>
  </si>
  <si>
    <t>ACH/RFU2508111038229/ICIC0000000017003934/DRBUY8961065</t>
  </si>
  <si>
    <t>ACH/RFU2508111037702/ICIC0000000017003934/DRBUY8961069</t>
  </si>
  <si>
    <t>ACH/RFU2508111038093/ICIC0000000017003934/DRBUY8961035</t>
  </si>
  <si>
    <t>ACH/RFU2508111038190/ICIC0000000017003934/DRBUY8961033</t>
  </si>
  <si>
    <t>ACH/RFU2508111038052/ICIC0000000017003934/DRBUY8961039</t>
  </si>
  <si>
    <t>ACH/RFU2508111037977/ICIC0000000017003934/DRBUY8961047</t>
  </si>
  <si>
    <t>ACH/RFU2508111037961/ICIC0000000017003934/DRBUY8961051</t>
  </si>
  <si>
    <t>ACH/RFU2508111038048/ICIC0000000017003934/DRBUY8961043</t>
  </si>
  <si>
    <t>RTGS/ICICR42025081200518510/HDFC0001351/ORIANAPOWERLIMITEDHDFC/Bank</t>
  </si>
  <si>
    <t>RTGS-SBINR12025081295188634-SOLUXE POWER SPV PRIVATE LIMITED-42286115402-SBIN0013913</t>
  </si>
  <si>
    <t>INF/NEFT/ICICN42025081357779186/BARB0JASRAX/GuardPayments/VimalTiwari</t>
  </si>
  <si>
    <t>INF/NEFT/ICICN42025081357779195/BARB0NAUDIA/GuardPayments/Kamlakar</t>
  </si>
  <si>
    <t>INF/NEFT/ICICN42025081357779258/SBIN0015513/GuardPayments/ParmanandPandey</t>
  </si>
  <si>
    <t>INF/NEFT/ICICN42025081357779214/PUNB0930400/GuardPayments/MahenderKumar</t>
  </si>
  <si>
    <t>INF/NEFT/ICICN42025081357779216/BARB0BUPGBX/GuardPayments/GhanshyamYadav</t>
  </si>
  <si>
    <t>INF/NEFT/ICICN42025081357779279/BARB0BUPGBX/GuardPayments/AashishYadav</t>
  </si>
  <si>
    <t>INF/NEFT/ICICN42025081357779299/BARB0BUPGBX/GuardPayments/SudhakarYadav</t>
  </si>
  <si>
    <t>INF/NEFT/ICICN42025081357779305/HDFC0002613/Monthly Vehicle Hire/RAJVEERSINGH</t>
  </si>
  <si>
    <t>INF/NEFT/ICICN42025081357779310/BARB0BUPGBX/GuardPayments/RajeshKumar</t>
  </si>
  <si>
    <t>INF/NEFT/ICICN42025081357779243/BARB0NAGAUR/For Hydra Services Inv 2/JAGDAMBACRANESE</t>
  </si>
  <si>
    <t>INF/NEFT/ICICN42025081357780782/IDIB000O503/GuardPayments/JaiPrakashPande</t>
  </si>
  <si>
    <t>INF/NEFT/ICICN42025081357780789/BARB0BUPGBX/GuardPayments/SatyamShukla</t>
  </si>
  <si>
    <t>INF/NEFT/ICICN42025081357780742/BARB0SHANKA/GuardPayments/Jaykaranpal</t>
  </si>
  <si>
    <t>INF/NEFT/ICICN42025081357780805/BARB0BASUPA/GuardPayments/ManishYadav</t>
  </si>
  <si>
    <t>INF/NEFT/ICICN42025081357780739/BARB0BUPGBX/GuardPayments/RajeshKumarYada</t>
  </si>
  <si>
    <t>INF/NEFT/ICICN42025081357780740/PUNB0930400/GuardPayments/ShivBabuYadav</t>
  </si>
  <si>
    <t>INF/NEFT/ICICN42025081357780750/SBIN0011253/GuardPayments/AanandYadav</t>
  </si>
  <si>
    <t>INF/NEFT/ICICN42025081357780807/UBIN0569437/GuardPayments/SukhRam</t>
  </si>
  <si>
    <t>INF/NEFT/ICICN42025081357780816/SBIN0015513/GuardPayments/AnilYadav</t>
  </si>
  <si>
    <t>INF/NEFT/ICICN42025081357780832/BARB0BUPGBX/GuardPayments/Mulayamyadav</t>
  </si>
  <si>
    <t>INF/NEFT/ICICN42025081357780842/SBIN0006340/GuardPayments/Harishankaryada</t>
  </si>
  <si>
    <t>INF/NEFT/ICICN42025081357780851/BARB0BUPGBX/GuardPayments/DharmenraKumar</t>
  </si>
  <si>
    <t>INF/NEFT/ICICN42025081357780775/UBIN0569437/GuardPayments/DharmenraKumar</t>
  </si>
  <si>
    <t>INF/NEFT/ICICN42025081357780889/BARB0SHANKA/GuardPayments/Pushprajyadav</t>
  </si>
  <si>
    <t>INF/NEFT/ICICN42025081357780866/SBIN0011253/GuardPayments/PravinKumar</t>
  </si>
  <si>
    <t>INF/NEFT/ICICN42025081357780875/SBIN0002838/GuardPayments/AashishKumarpal</t>
  </si>
  <si>
    <t>INF/NEFT/ICICN42025081357780893/BARB0BUPGBX/GuardPayments/Vijayshankar</t>
  </si>
  <si>
    <t>INF/NEFT/ICICN42025081357780968/BARB0SHANKA/GuardPayments/RajeshYadav</t>
  </si>
  <si>
    <t>INF/NEFT/ICICN42025081357780960/UTIB0001555/Car Rental charges/PSENTERPRISES</t>
  </si>
  <si>
    <t>INF/NEFT/ICICN42025081357780972/BARB0GEDAPS/Monthly Vehicle Hire/KUSHALTRAVELS</t>
  </si>
  <si>
    <t>INF/NEFT/ICICN42025081357780961/BARB0NAGAUR/For Hydra Services Inv 1/JAGDAMBACRANESE</t>
  </si>
  <si>
    <t>INF/NEFT/ICICN42025081357780985/SBIN0004352/Advance for Site exp/TOSHENDRARAJE25</t>
  </si>
  <si>
    <t>INF/NEFT/ICICN42025081357780918/BARB0CHIKAU/GuardPayments/RameshPashi</t>
  </si>
  <si>
    <t>INF/NEFT/ICICN42025081357780930/SBIN0015513/GuardPayments/RajuDube</t>
  </si>
  <si>
    <t>ACH/M1  RI 120825 000991/ICIC0000000017603097/DRBUY8977486</t>
  </si>
  <si>
    <t>NTS/0031NDLG00192325-Handling charges/JK CEMENT LIMITED</t>
  </si>
  <si>
    <t>NTS/CAN-RE-0031NDLG00192325</t>
  </si>
  <si>
    <t>RTGS-SBINR12025081315403799-ORIANA POWER LIMITED-40101241252-SBIN0013913</t>
  </si>
  <si>
    <t>ACH/RFU2508131040637/ICIC0000000017003934/DRBUY8996206</t>
  </si>
  <si>
    <t>ACH/RFU2508131040670/ICIC0000000017003934/DRBUY8996214</t>
  </si>
  <si>
    <t>ACH/RFU2508131040610/ICIC0000000017003934/DRBUY8996208</t>
  </si>
  <si>
    <t>ACH/RFU2508131040650/ICIC0000000017003934/DRBUY8996212</t>
  </si>
  <si>
    <t>ACH/RFU2508131040589/ICIC0000000017003934/DRBUY8996204</t>
  </si>
  <si>
    <t>ACH/RFU2508131040844/ICIC0000000017003934/DRBUY8996224</t>
  </si>
  <si>
    <t>ACH/RFU2508131040737/ICIC0000000017003934/DRBUY8996218</t>
  </si>
  <si>
    <t>ACH/RFU2508131040689/ICIC0000000017003934/DRBUY8996216</t>
  </si>
  <si>
    <t>ACH/RFU2508131041068/ICIC0000000017003934/DRBUY8996232</t>
  </si>
  <si>
    <t>ACH/RFU2508131040867/ICIC0000000017003934/DRBUY8996228</t>
  </si>
  <si>
    <t>ACH/RFU2508131041040/ICIC0000000017003934/DRBUY8996226</t>
  </si>
  <si>
    <t>ACH/RFU2508131041080/ICIC0000000017003934/DRBUY8996234</t>
  </si>
  <si>
    <t>ACH/RFU2508131041114/ICIC0000000017003934/DRBUY8996202</t>
  </si>
  <si>
    <t>ACH/RFU2508121040108/ICIC0000000017003934/DRBUY8996196</t>
  </si>
  <si>
    <t>ACH/RFU2508131040574/ICIC0000000017003934/DRBUY8996198</t>
  </si>
  <si>
    <t>ACH/RFU2508131040595/ICIC0000000017003934/DRBUY8996200</t>
  </si>
  <si>
    <t>ACH/RFU2508121039732/ICIC0000000017003934/DRBUY8996210</t>
  </si>
  <si>
    <t>ACH/RFU2508131040806/ICIC0000000017003934/DRBUY8996222</t>
  </si>
  <si>
    <t>ACH/RFU2508131040797/ICIC0000000017003934/DRBUY8996220</t>
  </si>
  <si>
    <t>ACH/RFU2508131041027/ICIC0000000017003934/DRBUY8996230</t>
  </si>
  <si>
    <t>RTGS-SBINR12025081495493099-SOLUXE POWER SPV PRIVATE LIMITED-42286115402-SBIN0013913</t>
  </si>
  <si>
    <t>RTGS-UTIBR62025081419531615-TECNIQA GREEN VENTUREPRIVATE LIMIT-921020004266279-UTIB0002951</t>
  </si>
  <si>
    <t>RTGS-SBINR12025081495500618-TRUERE SPV PRIVATE LIMITED-41878193521-SBIN0013913</t>
  </si>
  <si>
    <t>GSTREV:0031NDLG00192325:130825</t>
  </si>
  <si>
    <t>NEFT-ICICN22025081431728222-NTPC VIDYUT VYAPAR NIGAM LIMITED-NTPC VIDYUT VYAPAR N-0104SLNEFTPL-ICIC</t>
  </si>
  <si>
    <t>RTGS-HDFCR52025081451119714-STOCKWELL SOLAR SERVICES PRIVATE LI-50200108977279-HDFC0000240</t>
  </si>
  <si>
    <t>RTGS-SBINR12025081495543874-ORIANA POWER LIMITED-40101241252-SBIN0013913</t>
  </si>
  <si>
    <t>ACH/RFU2508141043984/ICIC0000000017003934/DRBUY9012708</t>
  </si>
  <si>
    <t>ACH/RFU2508141043984/ICIC0000000017003934/DRBUY9012706</t>
  </si>
  <si>
    <t>ACH/RFU2508141043985/ICIC0000000017003934/DRBUY9012705</t>
  </si>
  <si>
    <t>ACH/RFU2508141043985/ICIC0000000017003934/DRBUY9012702</t>
  </si>
  <si>
    <t>ACH/RFU2508141043985/ICIC0000000017003934/DRBUY9012701</t>
  </si>
  <si>
    <t>ACH/RFU2505170939351/ICIC0000000017003934/DRBUY9013223</t>
  </si>
  <si>
    <t>ACH/RFU2505170939293/ICIC0000000017003934/DRBUY9013220</t>
  </si>
  <si>
    <t>ACH/RFU2505170939312/ICIC0000000017003934/DRBUY9013222</t>
  </si>
  <si>
    <t>ACH/RFU2505170939266/ICIC0000000017003934/DRBUY9013216</t>
  </si>
  <si>
    <t>ACH/RFU2505170939310/ICIC0000000017003934/DRBUY9013221</t>
  </si>
  <si>
    <t>ACH/RFU2505170939266/ICIC0000000017003934/DRBUY9013215</t>
  </si>
  <si>
    <t>ACH/RFU2508141043984/ICIC0000000017003934/DRBUY9012710</t>
  </si>
  <si>
    <t>ACH/RFU2508141042377/ICIC0000000017003934/DRBUY9012712</t>
  </si>
  <si>
    <t>ACH/RFU2505170939290/ICIC0000000017003934/DRBUY9013219</t>
  </si>
  <si>
    <t>ACH/RFU2505170939396/ICIC0000000017003934/DRBUY9013224</t>
  </si>
  <si>
    <t>RTGS-HSBCR22025081631708984-HSBC TRUERE COSMIC PRIVATE LIMITED-IN HSBC 057-199689-004-HSBC0400002</t>
  </si>
  <si>
    <t>NTS/0031NIBLC0043226 Other_Charges</t>
  </si>
  <si>
    <t>NTS/0031NIBLC0043226 Commission/GOOD LUCK INDIA LIMITED</t>
  </si>
  <si>
    <t>NTS/0031NIBLC0043226 IMP_624028/GOOD LUCK INDIA LIMITED</t>
  </si>
  <si>
    <t>ACH/RFU2508141043474/ICIC0000000017003934/DRBUY9023148</t>
  </si>
  <si>
    <t>ACH/RFU2505190940161/ICIC0000000017003934/DRBUY9025024</t>
  </si>
  <si>
    <t>NTS/0031NIBLC0039426 Commission/GOOD LUCK INDIA LIMITED</t>
  </si>
  <si>
    <t>NTS/0031NIBLC0039426 Other_Charges</t>
  </si>
  <si>
    <t>NTS/0031NIBLC0039426 IMP_624933/GOOD LUCK INDIA LIMITED</t>
  </si>
  <si>
    <t>NTS/0031NDLG00130426/E-Stamping Charges</t>
  </si>
  <si>
    <t>NTS/0031NDLG00130426-Commission/WONDER CEMENT LIMITED</t>
  </si>
  <si>
    <t>TRF/OXYZO FINANCIAL SERVICES LTD/ICI</t>
  </si>
  <si>
    <t>INF/INFT/041308892221/Advance/TRUEREENERGYPVT</t>
  </si>
  <si>
    <t>INF/INFT/041308896831/Advance/TRUEREGREENPVTL</t>
  </si>
  <si>
    <t>INF/INFT/041308898461/Advance/TRUEREOCEANPVTL</t>
  </si>
  <si>
    <t>INF/INFT/041308898531/Advance/TRUERESOCIALPVT</t>
  </si>
  <si>
    <t>INF/INFT/041308898571/Advance/TRUEREMOUNTAINP</t>
  </si>
  <si>
    <t>INF/NEFT/ICICN42025081952262625/UTIB0002951/Advance/TRUERESPV2PVTLT</t>
  </si>
  <si>
    <t>RTGS/ICICR42025081900500857/SBIN0013913/ASHLYNSOLARPVTLTD/Advance</t>
  </si>
  <si>
    <t>RTGS/ICICR42025081900500843/HDFC0000348/FARADAYELECTRICALSPVTLTD/For</t>
  </si>
  <si>
    <t>RTGS/ICICR42025081900500858/SBIN0013913/TRUEREUP2PVTLTD/Advance</t>
  </si>
  <si>
    <t>RTGS/ICICR42025081900500860/SBIN0013913/OPPLSPVHARPVTLTD/Advance</t>
  </si>
  <si>
    <t>RTGS/ICICR42025081900500845/SBIN0013913/OPARSPVPVTLTD/Advance</t>
  </si>
  <si>
    <t>RTGS/ICICR42025081900500866/SBIN0009999/CGPOWERANDINDUSTRIALSOLUTIONS/For</t>
  </si>
  <si>
    <t>RTGS/ICICR42025081900500865/BKID0000160/BHARATBIJLEELIMITED/Transformer</t>
  </si>
  <si>
    <t>RTGS/ICICR42025081900500846/SBIN0013913/SOLUXEPOWERSPVPVTLTD/Advance</t>
  </si>
  <si>
    <t>RTGS/ICICR42025081900500859/SBIN0013913/TRUEREDELPVTLTD/Advance</t>
  </si>
  <si>
    <t>RTGS/ICICR42025081900500844/SBIN0013913/OPWRDELSPVPVTLTD/Advance</t>
  </si>
  <si>
    <t>RTGS/ICICR42025081900500861/SBIN0013913/OPPLSPVRAJPVTLTD/Advance</t>
  </si>
  <si>
    <t>INF/NEFT/ICICN42025081952262630/HDFC0000015/For Transformer/TECHNOCRAFTSSWI</t>
  </si>
  <si>
    <t>INF/NEFT/ICICN42025081952262632/SBIN0013913/Advance/TRUEREDEL1PVTLT</t>
  </si>
  <si>
    <t>RTGS/ICICR42025081900500862/SBIN0013913/OPPLTELNPVTLTD/Advance</t>
  </si>
  <si>
    <t>RTGS/ICICR42025081900500863/SBIN0013913/KAMETSOLARSPVPVTLTD/Advance</t>
  </si>
  <si>
    <t>RTGS/ICICR42025081900500850/HDFC0001848/A3AUTOMATIONS/Telemetry</t>
  </si>
  <si>
    <t>INF/NEFT/ICICN42025081952262581/CNRB0000411/For SCB 13 In 1 Out/MACMACHINETOOLS</t>
  </si>
  <si>
    <t>RTGS/ICICR42025081900500867/SBIN0013913/OPPLASSETSPVTLTD/Advance</t>
  </si>
  <si>
    <t>RTGS/ICICR42025081900500864/SBIN0013913/TRUERESPVPVTLTD/Advance</t>
  </si>
  <si>
    <t>RTGS/ICICR42025081900500848/SBIN0013913/TRUERECURRENTPVTLTD/Advance</t>
  </si>
  <si>
    <t>RTGS/ICICR42025081900500868/SBIN0013913/TRUEREHARSPVPVTLTD/Advance</t>
  </si>
  <si>
    <t>INF/NEFT/ICICN42025081952262592/SBIN0013913/Advance/TRUERESOLUTIONS</t>
  </si>
  <si>
    <t>INF/NEFT/ICICN42025081952262597/SBIN0013913/Advance/AVMSOLARPVTLTD</t>
  </si>
  <si>
    <t>RTGS/ICICR42025081900500958/SBIN0013913/AANSOLARPVTLTD/Advance</t>
  </si>
  <si>
    <t>RTGS/ICICR42025081900500961/SBIN0013913/OPPLGUJSPVPVTLTD/Advance</t>
  </si>
  <si>
    <t>INF/NEFT/ICICN42025081952265070/PUNB0299400/For Isolator PI 14/ELECTROMECHPOWE</t>
  </si>
  <si>
    <t>RTGS/ICICR42025081900500962/SBIN0013913/OPPLDELSPVPVTLTD/Advance</t>
  </si>
  <si>
    <t>RTGS/ICICR42025081900500963/SBIN0013913/TRUEREUP1PVTLTD/Advance</t>
  </si>
  <si>
    <t>RTGS/ICICR42025081900500935/SBIN0013913/RAAVSOLARPVTLTD/Advance</t>
  </si>
  <si>
    <t>RTGS/ICICR42025081900500938/SBIN0013913/ASHLYNDELSPVPVTLTD/Advance</t>
  </si>
  <si>
    <t>RTGS/ICICR42025081900500937/PSIB0000717/TRUEREGUJSPVPVTLTD/Advance</t>
  </si>
  <si>
    <t>RTGS/ICICR42025081900500932/SBIN0013913/RAPSOLARPVTLTD/Advance</t>
  </si>
  <si>
    <t>RTGS/ICICR42025081900500934/SBIN0013913/TRUEREGALAXYPVTLTD/Advance</t>
  </si>
  <si>
    <t>RTGS/ICICR42025081900500965/SBIN0013913/RAAVSOLARPVTLTD/Advance</t>
  </si>
  <si>
    <t>RTGS/ICICR42025081900500939/SBIN0013913/MSDSOLARPVTLTD/Advance</t>
  </si>
  <si>
    <t>RTGS/ICICR42025081900500964/SBIN0013913/TRUERESPV1PVTLTD/Advance</t>
  </si>
  <si>
    <t>RTGS/ICICR42025081900500933/SBIN0013913/OPPLDEL1SPVPVTLTD/Advance</t>
  </si>
  <si>
    <t>RTGS/ICICR42025081900500931/SBIN0013913/OPPLSPVCGPVTLTD/Advance</t>
  </si>
  <si>
    <t>RTGS/ICICR42025081900500936/YESB0000449/TRUERE100ENERGYPVTLTD/Advance</t>
  </si>
  <si>
    <t>NTS/0031NDLG00059125-Commission/THE SUPERINTENDING ENGINEER RA AND C</t>
  </si>
  <si>
    <t>RTGS/ICICR42025081900515193/UTIB0002951/TRUEREKNIGHTPVTLTD/Advance</t>
  </si>
  <si>
    <t>ACH/RFU2505210943795/ICIC0000000017003934/DRBUY9033325</t>
  </si>
  <si>
    <t>ACH/RFU2505210943912/ICIC0000000017003934/DRBUY9033331</t>
  </si>
  <si>
    <t>ACH/RFU2508181045218/ICIC0000000017003934/DRBUY9032319</t>
  </si>
  <si>
    <t>ACH/RFU2505210943736/ICIC0000000017003934/DRBUY9033309</t>
  </si>
  <si>
    <t>ACH/RFU2508181045158/ICIC0000000017003934/DRBUY9032317</t>
  </si>
  <si>
    <t>ACH/RFU2508181045181/ICIC0000000017003934/DRBUY9032323</t>
  </si>
  <si>
    <t>ACH/RFU2508181045533/ICIC0000000017003934/DRBUY9032321</t>
  </si>
  <si>
    <t>ACH/RFU2508181045130/ICIC0000000017003934/DRBUY9032325</t>
  </si>
  <si>
    <t>ACH/RFU2508191047609/ICIC0000000017003934/DRBUY9057289</t>
  </si>
  <si>
    <t>ACH/RFU2505220945761/ICIC0000000017003934/DRBUY9058565</t>
  </si>
  <si>
    <t>ACH/RFU2508191047609/ICIC0000000017003934/DRBUY9057290</t>
  </si>
  <si>
    <t>ACH/RFU2508191047281/ICIC0000000017003934/DRBUY9057292</t>
  </si>
  <si>
    <t>ACH/RFU2508191047269/ICIC0000000017003934/DRBUY9057282</t>
  </si>
  <si>
    <t>ACH/RFU2508191047609/ICIC0000000017003934/DRBUY9057286</t>
  </si>
  <si>
    <t>NTS/0031NIBLC0043426 Other_Charges</t>
  </si>
  <si>
    <t>NTS/0031NIBLC0043426 Commission/GOOD LUCK INDIA LIMITED</t>
  </si>
  <si>
    <t>NTS/0031NIBLC0043426 IMP_628444/GOOD LUCK INDIA LIMITED</t>
  </si>
  <si>
    <t>INF/INFT/041325586421/Bill Payment/NEXAUMENERGYPVT</t>
  </si>
  <si>
    <t>RTGS/ICICR42025082000533306/SBIN0013913/OPPLTELNSPVPVTLTD/Advance</t>
  </si>
  <si>
    <t>RTGS/ICICR42025082000533308/SBIN0013913/OPPLGUJSPVPVTLTD/Advance</t>
  </si>
  <si>
    <t>RTGS/ICICR42025082000533303/SBIN0013913/OPPLSPVCGPVTLTD/Advance</t>
  </si>
  <si>
    <t>RTGS/ICICR42025082000533315/SBIN0013913/ASHLYNSOLARPVTLTD/Advance</t>
  </si>
  <si>
    <t>INF/INFT/041329727491/Advance/TRUEREGREENPVTL</t>
  </si>
  <si>
    <t>RTGS/ICICR42025082000560803/SBIN0009916/TRUERECOSMICPVTLTD/Advance</t>
  </si>
  <si>
    <t>RTGS/ICICR42025082000560804/SBIN0013913/ZANSKARSOLARRAJPVTLTD/Advance</t>
  </si>
  <si>
    <t>RTGS RETURN-ICICR42025082000560803-TRUERECOSMICPVTLTD-AC01-INCORRECT ACCOUNT NUMBER AC01</t>
  </si>
  <si>
    <t>NEFT-ICICN22025082035719495-NTPC VIDYUT VYAPAR NIGAM LIMITED-NTPC VIDYUT VYAPAR N-0104SLNEFTPL-ICIC</t>
  </si>
  <si>
    <t>NEFT-ICICN22025082035719496-NTPC VIDYUT VYAPAR NIGAM LIMITED-NTPC VIDYUT VYAPAR N-0104SLNEFTPL-ICIC</t>
  </si>
  <si>
    <t>ACH/RFU2508191047608/ICIC0000000017003934/DRBUY9075165</t>
  </si>
  <si>
    <t>ACH/RFU2508201047890/ICIC0000000017003934/DRBUY9075160</t>
  </si>
  <si>
    <t>ACH/RFU2508201047890/ICIC0000000017003934/DRBUY9075156</t>
  </si>
  <si>
    <t>ACH/RFU2508201047890/ICIC0000000017003934/DRBUY9075162</t>
  </si>
  <si>
    <t>ACH/RFU2508201047936/ICIC0000000017003934/DRBUY9075148</t>
  </si>
  <si>
    <t>ACH/RFU2508201047936/ICIC0000000017003934/DRBUY9075152</t>
  </si>
  <si>
    <t>ACH/RFU2508201047936/ICIC0000000017003934/DRBUY9075154</t>
  </si>
  <si>
    <t>ACH/RFU2508201047890/ICIC0000000017003934/DRBUY9075158</t>
  </si>
  <si>
    <t>ACH/RFU2508201047936/ICIC0000000017003934/DRBUY9075150</t>
  </si>
  <si>
    <t>ACH/RFU2508201047936/ICIC0000000017003934/DRBUY9075146</t>
  </si>
  <si>
    <t>ACH/RFU2508201049104/ICIC0000000017003934/DRBUY9076353</t>
  </si>
  <si>
    <t>ACH/RFU2508201049104/ICIC0000000017003934/DRBUY9076354</t>
  </si>
  <si>
    <t>ACH/RFU2508201049104/ICIC0000000017003934/DRBUY9076357</t>
  </si>
  <si>
    <t>ACH/RFU2508201049099/ICIC0000000017003934/DRBUY9076360</t>
  </si>
  <si>
    <t>ACH/RFU2508201049099/ICIC0000000017003934/DRBUY9076358</t>
  </si>
  <si>
    <t>ACH/RFU2508201049096/ICIC0000000017003934/DRBUY9076364</t>
  </si>
  <si>
    <t>ACH/RFU2508201049099/ICIC0000000017003934/DRBUY9076362</t>
  </si>
  <si>
    <t>ACH/RFU2508201049092/ICIC0000000017003934/DRBUY9075173</t>
  </si>
  <si>
    <t>ACH/RFU2508191047608/ICIC0000000017003934/DRBUY9075169</t>
  </si>
  <si>
    <t>ACH/RFU2508191047592/ICIC0000000017003934/DRBUY9075171</t>
  </si>
  <si>
    <t>ACH/RFU2508191047608/ICIC0000000017003934/DRBUY9075167</t>
  </si>
  <si>
    <t>ACH/M1  RI 190825 001759/ICIC0000000017603097/DRBUY9066410</t>
  </si>
  <si>
    <t>Remittance ID:[0031NSMT0409826]:SOLARGIS SRO</t>
  </si>
  <si>
    <t>NTS/0031NDLG00130526/E-Stamping Charges</t>
  </si>
  <si>
    <t>NTS/0031NDLG00130526-Commission/WONDER CEMENT LTD</t>
  </si>
  <si>
    <t>NTS/CAN-RE-0031NDLG00171524</t>
  </si>
  <si>
    <t>ACH/RFU2508211050900/ICIC0000000017003934/DRBUY9091469</t>
  </si>
  <si>
    <t>ACH/RFU2508211050900/ICIC0000000017003934/DRBUY9091467</t>
  </si>
  <si>
    <t>ACH/M1  RI 210825 001297/ICIC0000000017603097/DRBUY9087451</t>
  </si>
  <si>
    <t>0031NDLG00130526</t>
  </si>
  <si>
    <t>NEFT-ICICN22025082237556905-NTPC VIDYUT VYAPAR NIGAM LIMITED-NTPC VIDYUT VYAPAR N-0104SLNEFTPL-ICIC</t>
  </si>
  <si>
    <t>MONTHLY LEASE AMOUNT</t>
  </si>
  <si>
    <t>ACH/RFU2508221052484/ICIC0000000017003934/DRBUY9109506</t>
  </si>
  <si>
    <t>ACH/RFU2505260948388/ICIC0000000017003934/DRBUY9110203</t>
  </si>
  <si>
    <t>ACH/RFU2505260948415/ICIC0000000017003934/DRBUY9110205</t>
  </si>
  <si>
    <t>ACH/RFU2505260948411/ICIC0000000017003934/DRBUY9110204</t>
  </si>
  <si>
    <t>ACH/RFU2505270949477/ICIC0000000017003934/DRBUY9110470</t>
  </si>
  <si>
    <t>ACH/RFU2505270949489/ICIC0000000017003934/DRBUY9110475</t>
  </si>
  <si>
    <t>ACH/RFU2505270949729/ICIC0000000017003934/DRBUY9110543</t>
  </si>
  <si>
    <t>ACH/RFU2508221052507/ICIC0000000017003934/DRBUY9109512</t>
  </si>
  <si>
    <t>ACH/RFU2508221051768/ICIC0000000017003934/DRBUY9109501</t>
  </si>
  <si>
    <t>ACH/RFU2508221052075/ICIC0000000017003934/DRBUY9109500</t>
  </si>
  <si>
    <t>ACH/RFU2508221051947/ICIC0000000017003934/DRBUY9109510</t>
  </si>
  <si>
    <t>ACH/RFU2508201048194/ICIC0000000017003934/DRBUY9109507</t>
  </si>
  <si>
    <t>ACH/RFU2508221052484/ICIC0000000017003934/DRBUY9109503</t>
  </si>
  <si>
    <t>ACH/RFU2505270949298/ICIC0000000017003934/DRBUY9110445</t>
  </si>
  <si>
    <t>ACH/RFU2505270949649/ICIC0000000017003934/DRBUY9110489</t>
  </si>
  <si>
    <t>ACH/RFU2505270949661/ICIC0000000017003934/DRBUY9110492</t>
  </si>
  <si>
    <t>ACH/M1  RI 210825 001228/ICIC0000000017603097/DRBUY9104548</t>
  </si>
  <si>
    <t>TRF to FD/RD 348813009973 ORIANA POWER LIMITED</t>
  </si>
  <si>
    <t>NTS/0031NDLG00137226-Commission/DAMODAR VALLEY CORPORATION</t>
  </si>
  <si>
    <t>NTS/0031NILC0032726:Commission</t>
  </si>
  <si>
    <t>TRFR TO:0031NDLG00137226</t>
  </si>
  <si>
    <t>NEFT-ICICN22025082539125900-NTPC VIDYUT VYAPAR NIGAM LIMITED-NTPC VIDYUT VYAPAR N-0104SLNEFTPL-ICIC</t>
  </si>
  <si>
    <t>NEFT-ICICN22025082539125899-NTPC VIDYUT VYAPAR NIGAM LIMITED-NTPC VIDYUT VYAPAR N-0104SLNEFTPL-ICIC</t>
  </si>
  <si>
    <t>NEFT-ICICN22025082539125896-NTPC VIDYUT VYAPAR NIGAM LIMITED-NTPC VIDYUT VYAPAR N-0104SLNEFTPL-ICIC</t>
  </si>
  <si>
    <t>NEFT-ICICN22025082539125897-NTPC VIDYUT VYAPAR NIGAM LIMITED-NTPC VIDYUT VYAPAR N-0104SLNEFTPL-ICIC</t>
  </si>
  <si>
    <t>NEFT-ICICN22025082539125898-NTPC VIDYUT VYAPAR NIGAM LIMITED-NTPC VIDYUT VYAPAR N-0104SLNEFTPL-ICIC</t>
  </si>
  <si>
    <t>NTS/0031NDLG00284925-Handling charges/HARYANA POWER PURCHASE CENTRE</t>
  </si>
  <si>
    <t>NTS/CAN-RE-0031NDLG00284925</t>
  </si>
  <si>
    <t>NTS/DE-0031NDLG00098525-Pos Ex Commission-25-Aug-25 to 24-Sep-25</t>
  </si>
  <si>
    <t>GSTREV:0031NDLG00171524:220825</t>
  </si>
  <si>
    <t>ACH/RFU2508251054867/ICIC0000000017003934/DRBUY9128067</t>
  </si>
  <si>
    <t>ACH/RFU2508251054815/ICIC0000000017003934/DRBUY9128059</t>
  </si>
  <si>
    <t>ACH/M1  RI 250825 000319/ICIC0000000017603097/DRBUY9121092</t>
  </si>
  <si>
    <t>ACH/M1  RI 250825 000208/ICIC0000000017603097/DRBUY9121439</t>
  </si>
  <si>
    <t>ACH/M1  RI 250825 000317/ICIC0000000017603097/DRBUY9121124</t>
  </si>
  <si>
    <t>ACH/M1  RI 250825 000318/ICIC0000000017603097/DRBUY9121094</t>
  </si>
  <si>
    <t>ACH/RFU2508251054815/ICIC0000000017003934/DRBUY9128066</t>
  </si>
  <si>
    <t>ACH/RFU2508251053383/ICIC0000000017003934/DRBUY9128070</t>
  </si>
  <si>
    <t>ACH/RFU2508251054815/ICIC0000000017003934/DRBUY9128062</t>
  </si>
  <si>
    <t>ACH/RFU2508251054815/ICIC0000000017003934/DRBUY9128063</t>
  </si>
  <si>
    <t>CASH PAID:Gaurav 0031 NOIDACHQ,142</t>
  </si>
  <si>
    <t>GSTREV:0031NDLG00284925:250825</t>
  </si>
  <si>
    <t>RTGS/ICICR42025082700500809/BNPA0009009/INGRAMMICROINDIAPVTLTD/Old</t>
  </si>
  <si>
    <t>RTGS-YESBR12025082700021080-JAY BEE LAMINATIONS-070181300000042-YESB0000001</t>
  </si>
  <si>
    <t>DL DISBT 60-40</t>
  </si>
  <si>
    <t>ACH/RFU2508261056350/ICIC0000000017003934/DRBUY9141789</t>
  </si>
  <si>
    <t>ACH/RFU2505300953858/ICIC0000000017003934/DRBUY9142847</t>
  </si>
  <si>
    <t>ACH/RFU2505300953896/ICIC0000000017003934/DRBUY9142855</t>
  </si>
  <si>
    <t>ACH/RFU2505300953822/ICIC0000000017003934/DRBUY9142840</t>
  </si>
  <si>
    <t>ACH/RFU2508261055953/ICIC0000000017003934/DRBUY9141805</t>
  </si>
  <si>
    <t>ACH/RFU2508261055718/ICIC0000000017003934/DRBUY9141808</t>
  </si>
  <si>
    <t>ACH/RFU2508261056631/ICIC0000000017003934/DRBUY9141796</t>
  </si>
  <si>
    <t>ACH/RFU2508261055890/ICIC0000000017003934/DRBUY9141792</t>
  </si>
  <si>
    <t>ACH/RFU2508261056485/ICIC0000000017003934/DRBUY9141793</t>
  </si>
  <si>
    <t>ACH/RFU2508261056738/ICIC0000000017003934/DRBUY9141804</t>
  </si>
  <si>
    <t>ACH/RFU2508261056374/ICIC0000000017003934/DRBUY9141801</t>
  </si>
  <si>
    <t>ACH/RFU2508261056342/ICIC0000000017003934/DRBUY9141800</t>
  </si>
  <si>
    <t>ACH/RFU2508261055828/ICIC0000000017003934/DRBUY9141797</t>
  </si>
  <si>
    <t>ACH/M1  RI 260825 001197/ICIC0000000017603097/DRBUY9149747</t>
  </si>
  <si>
    <t>ACH/M1  RI 260825 001150/ICIC0000000017603097/DRBUY9149467</t>
  </si>
  <si>
    <t>ACH/M1  RI 260825 001181/ICIC0000000017603097/DRBUY9149650</t>
  </si>
  <si>
    <t>ACH/M1  RI 260825 001188/ICIC0000000017603097/DRBUY9149698</t>
  </si>
  <si>
    <t>ACH/M1  RI 260825 001143/ICIC0000000017603097/DRBUY9149557</t>
  </si>
  <si>
    <t>ACH/M1  RI 260825 001204/ICIC0000000017603097/DRBUY9149281</t>
  </si>
  <si>
    <t>ACH/M1  RI 260825 000658/ICIC0000000017603097/DRBUY9148562</t>
  </si>
  <si>
    <t>ACH/M1  RI 260825 001101/ICIC0000000017603097/DRBUY9148153</t>
  </si>
  <si>
    <t>NTS/AMEND-RE-0031NDLG00130526</t>
  </si>
  <si>
    <t>RTGS-HDFCR52025082855390510-STOCKWELL SOLAR SERVICES PRIVATE LI-50200108977279-HDFC0000240</t>
  </si>
  <si>
    <t>ACH/RFU2508281057989/ICIC0000000017003934/DRBUY9164378</t>
  </si>
  <si>
    <t>TRF to FD/RD 348813009992 ORIANA POWER LIMITED</t>
  </si>
  <si>
    <t>RTGS-HSBCR22025082931949772-HSBC TRUERE CURRENT PRIVATE LIMITED-IN HSBC 057-257602-004-HSBC0400002</t>
  </si>
  <si>
    <t>NTS/0031NDDG00142626/E-Stamping Charges</t>
  </si>
  <si>
    <t>NTS/0031NIBLC0060926 Other_Charges</t>
  </si>
  <si>
    <t>NTS/0031NIBLC0060926 Commission/GOOD LUCK INDIA LIMITED</t>
  </si>
  <si>
    <t>NTS/0031NIBLC0060926 IMP_640545/GOOD LUCK INDIA LIMITED</t>
  </si>
  <si>
    <t>NTS/0031NDDG00142626-Printing from other branch/RAH INFOTECH PRIVATE LIMITED</t>
  </si>
  <si>
    <t>NTS/0031NDDG00142626-SFMS/RAH INFOTECH PRIVATE LIMITED</t>
  </si>
  <si>
    <t>NTS/0031NDDG00142626-Commission/RAH INFOTECH PRIVATE LIMITED</t>
  </si>
  <si>
    <t>NTS/0031NDLG00143126/E-Stamping Charges</t>
  </si>
  <si>
    <t>ACH/M1  RI 290825 001868/ICIC0000000017603097/DRBUY9177190</t>
  </si>
  <si>
    <t>ACH/M1  RI 290825 000528/ICIC0000000017603097/DRBUY9176698</t>
  </si>
  <si>
    <t>ACH/M1  RI 290825 001914/ICIC0000000017603097/DRBUY9175439</t>
  </si>
  <si>
    <t>ACH/M1  RI 290825 000485/ICIC0000000017603097/DRBUY9176937</t>
  </si>
  <si>
    <t>ACH/M1  RI 290825 001924/ICIC0000000017603097/DRBUY9175730</t>
  </si>
  <si>
    <t>ACH/M1  RI 290825 000519/ICIC0000000017603097/DRBUY9176517</t>
  </si>
  <si>
    <t>ACH/RFU2508291060849/ICIC0000000017003934/DRBUY9182646</t>
  </si>
  <si>
    <t>ACH/RFU2508291060097/ICIC0000000017003934/DRBUY9182649</t>
  </si>
  <si>
    <t>ACH/RFU2508291060841/ICIC0000000017003934/DRBUY9182650</t>
  </si>
  <si>
    <t>ACH/RFU2508291060170/ICIC0000000017003934/DRBUY9182653</t>
  </si>
  <si>
    <t>ACH/RFU2508291060859/ICIC0000000017003934/DRBUY9182661</t>
  </si>
  <si>
    <t>ACH/RFU2508291060112/ICIC0000000017003934/DRBUY9182665</t>
  </si>
  <si>
    <t>ACH/RFU2508291060403/ICIC0000000017003934/DRBUY9182662</t>
  </si>
  <si>
    <t>ACH/RFU2508291060271/ICIC0000000017003934/DRBUY9182654</t>
  </si>
  <si>
    <t>ACH/RFU2508291060251/ICIC0000000017003934/DRBUY9182657</t>
  </si>
  <si>
    <t>ACH/RFU2508291060861/ICIC0000000017003934/DRBUY9182658</t>
  </si>
  <si>
    <t>NTS/0031NDLG00143126-Commission/MARUTI SUZUKI INDIA LIMITED</t>
  </si>
  <si>
    <t>GSTREV:0031NDLG00130526:280825</t>
  </si>
  <si>
    <t>RTGS-SBINR12025083017148506-ORIANA POWER LIMITED-40101241252-SBIN0013913</t>
  </si>
  <si>
    <t>Loan Recovery For 348860000268</t>
  </si>
  <si>
    <t>ACH/RFU2506030957012/ICIC0000000017003934/DRBUY9197595</t>
  </si>
  <si>
    <t>ACH/RFU2506030957024/ICIC0000000017003934/DRBUY9197602</t>
  </si>
  <si>
    <t>ACH/RFU2506030957058/ICIC0000000017003934/DRBUY9197619</t>
  </si>
  <si>
    <t>RTGS-SBINR12025090117329160-ORIANA POWER LIMITED-40101241252-SBIN0013913</t>
  </si>
  <si>
    <t>348851000004:Int.Coll:02-08-2025 to 01-09-2025</t>
  </si>
  <si>
    <t>ACH/RFU2506040957952/ICIC0000000017003934/DRBUY9207980</t>
  </si>
  <si>
    <t>NEFT-ICICN22025090247170368-NTPC VIDYUT VYAPAR NIGAM LIMITED-NTPC VIDYUT VYAPAR N-0104SLNEFTPL-ICIC</t>
  </si>
  <si>
    <t>14116126 - 267808671 BG 5% ORIANA POWER LIMITED</t>
  </si>
  <si>
    <t>2807202517412604701</t>
  </si>
  <si>
    <t>088GT02252100001</t>
  </si>
  <si>
    <t>088GT02252100004</t>
  </si>
  <si>
    <t>088GT02252100005</t>
  </si>
  <si>
    <t>Limit trd from CC to WCDL</t>
  </si>
  <si>
    <t>NEFT Cr-SBIN0013913-ORIANA POWER LIMITED-ORIANA POWER LIMITED-SBINN52025073110916938</t>
  </si>
  <si>
    <t>SBINN52025073110916938</t>
  </si>
  <si>
    <t>IMPS-521220503174-PERFIOS SOFTWARE SOL-IDFB-xxxxxxx9432-oxyzoBankAccountValidation</t>
  </si>
  <si>
    <t>521220503174</t>
  </si>
  <si>
    <t>NEFT Cr-SBIN0013913-ORIANA POWER LIMITED-ORIANA POWER LIMITED-SBINN52025073111296690</t>
  </si>
  <si>
    <t>SBINN52025073111296690</t>
  </si>
  <si>
    <t>Interest debited till 31-JUL-2025</t>
  </si>
  <si>
    <t>AUTO INTEREST PAYMENT ON WCDL AGAINST 003LN02252110011</t>
  </si>
  <si>
    <t>003LN02252110011</t>
  </si>
  <si>
    <t>RTGS Cr-FDRL0009001-ORIANA POWER LIMITED-ORIANA POWER LIMITED-FDRLR52025080188811696</t>
  </si>
  <si>
    <t>FDRLR52025080188811696</t>
  </si>
  <si>
    <t>COMM ON GUARANTEE AMENDMENT</t>
  </si>
  <si>
    <t>RTGS Cr-SBIN0013913-ORIANA POWER LIMITED-ORIANA POWER LIMITED-SBINR12025080114148758</t>
  </si>
  <si>
    <t>SBINR12025080114148758</t>
  </si>
  <si>
    <t>088BC04251600006</t>
  </si>
  <si>
    <t>088BC04251600002</t>
  </si>
  <si>
    <t>RTGS Cr-ICIC0000011-RENERGY DYNAMICS PRIVATE LIMITED-Oriana Power Limited-ICICR42025080500541192</t>
  </si>
  <si>
    <t>ICICR42025080500541192</t>
  </si>
  <si>
    <t>RTGS Dr-SBIN0013913-ORIANA POWER LIMITED-CBX Internet-HDFCR52025080598166629-C27182050825172920</t>
  </si>
  <si>
    <t>HDFCR52025080598166629</t>
  </si>
  <si>
    <t>RTGS Dr-SBIN0013913-ORIANA POWER LIMITED-CBX Internet-HDFCR52025080798810117-C80135070825132719</t>
  </si>
  <si>
    <t>HDFCR52025080798810117</t>
  </si>
  <si>
    <t>Chq Paid-INWARD TRAN-CREDIT CARDS</t>
  </si>
  <si>
    <t>000000000009</t>
  </si>
  <si>
    <t>000000000008</t>
  </si>
  <si>
    <t>088BC04252120005</t>
  </si>
  <si>
    <t>088BC04251670009</t>
  </si>
  <si>
    <t>RTGS Cr-ICIC0000011-ORIANA POWER LIMITED-ORIANAPOWERLIMITEDHDFC-ICICR42025081100553523</t>
  </si>
  <si>
    <t>ICICR42025081100553523</t>
  </si>
  <si>
    <t>RTGS Cr-ICIC0000011-ORIANA POWER LIMITED-ORIANAPOWERLIMITEDHDFC-ICICR42025081100554156</t>
  </si>
  <si>
    <t>ICICR42025081100554156</t>
  </si>
  <si>
    <t>RTGS Cr-FDRL0009001-ORIANA POWER LIMITED-ORIANA POWER LIMITED-FDRLR52025081188831115</t>
  </si>
  <si>
    <t>FDRLR52025081188831115</t>
  </si>
  <si>
    <t>RTGS Cr-YESB0000001-ORIANA POWER LIMITED-ORIANA POWER HDFC-YESBR12025081100030926</t>
  </si>
  <si>
    <t>YESBR12025081100030926</t>
  </si>
  <si>
    <t>RTGS Cr-YESB0000001-TRUERE 100 ENERGY PRIVATE LIMITED-ORIANA POWER HDFC-YESBR12025081100029879</t>
  </si>
  <si>
    <t>YESBR12025081100029879</t>
  </si>
  <si>
    <t>RTGS Cr-SBIN0013913-SOLARITHIC POWER SPV PRIVATE LIMITE-ORIANA POWER LIMITED-SBINR12025081195132659</t>
  </si>
  <si>
    <t>SBINR12025081195132659</t>
  </si>
  <si>
    <t>RTGS Cr-SBIN0013913-TRUERE UP1 PRIVATE LIMITED-ORIANA POWER LIMITED-SBINR12025081195135342</t>
  </si>
  <si>
    <t>SBINR12025081195135342</t>
  </si>
  <si>
    <t>RTGS Cr-SBIN0013913-TRUERE SPV PRIVATE LIMITED-Oriana Power Ltd-SBINR12025081195136706</t>
  </si>
  <si>
    <t>SBINR12025081195136706</t>
  </si>
  <si>
    <t>RTGS Cr-SBIN0013913-ORIANA POWER LIMITED-ORIANA POWER LIMITED-SBINR12025081195137546</t>
  </si>
  <si>
    <t>SBINR12025081195137546</t>
  </si>
  <si>
    <t>RTGS Cr-SBIN0013913-ORIANA POWER LIMITED-ORIANA POWER LIMITED-SBINR12025081195137718</t>
  </si>
  <si>
    <t>SBINR12025081195137718</t>
  </si>
  <si>
    <t>088BC04252120006</t>
  </si>
  <si>
    <t>RTGS Cr-UTIB0001609-ORIANA POWER LIMITED-ORIANA POWER LIMITED-UTIBR62025081218998520</t>
  </si>
  <si>
    <t>UTIBR62025081218998520</t>
  </si>
  <si>
    <t>RTGS Cr-ICIC0000011-ORIANA POWER LIMITED-ORIANAPOWERLIMITEDHDFC-ICICR42025081200518510</t>
  </si>
  <si>
    <t>ICICR42025081200518510</t>
  </si>
  <si>
    <t>RTGS Cr-YESB0000001-TRUERE 100 ENERGY PRIVATE LIMITED-ORIANA POWER LIMITED-YESBR12025081200020137</t>
  </si>
  <si>
    <t>YESBR12025081200020137</t>
  </si>
  <si>
    <t>FD ORIANA POWER LIMITED Dr - 13512990000021 - Cheque Transitory Account - 1351</t>
  </si>
  <si>
    <t>RTGS Cr-ICIC0000011-RENERGY DYNAMICS PRIVATE LIMITED-Oriana Power Limited-ICICR42025081200555101</t>
  </si>
  <si>
    <t>ICICR42025081200555101</t>
  </si>
  <si>
    <t>088GT01252240006</t>
  </si>
  <si>
    <t>RTGS Cr-SBIN0013913-ORIANA POWER LIMITED-ORIANA POWER LIMITED-SBINR12025081315403801</t>
  </si>
  <si>
    <t>SBINR12025081315403801</t>
  </si>
  <si>
    <t>088BC04251720003</t>
  </si>
  <si>
    <t>NEFT Cr-SBIN0013913-SOLARITHIC POWER SPV PRIVATE LIMITE-ORIANA POWER LIMITED-SBINN52025081439019770</t>
  </si>
  <si>
    <t>SBINN52025081439019770</t>
  </si>
  <si>
    <t>RTGS Cr-HSBC0400002-HSBC TRUERE COSMIC PRIVATE LIMITED-ORIANA POWER LIMITED-HSBCR22025081631708985</t>
  </si>
  <si>
    <t>HSBCR22025081631708985</t>
  </si>
  <si>
    <t>RTGS Cr-HSBC0400002-HSBC TRUERE COSMIC PRIVATE LIMITED-ORIANA POWER LIMITED-HSBCR22025081631708983</t>
  </si>
  <si>
    <t>HSBCR22025081631708983</t>
  </si>
  <si>
    <t>IMPS-522819635069-NAVEEN KUMAR SHARMA-ICIC-xxxxxxxx4098-FIPAYASRAMSOLAR</t>
  </si>
  <si>
    <t>522819635069</t>
  </si>
  <si>
    <t>088BC04251060007</t>
  </si>
  <si>
    <t>088BC04250640004</t>
  </si>
  <si>
    <t>088BC04250880004</t>
  </si>
  <si>
    <t>088BC04251150001</t>
  </si>
  <si>
    <t>088BC04250550001</t>
  </si>
  <si>
    <t>088BC04251600004</t>
  </si>
  <si>
    <t>RTGS Cr-ICIC0000011-RENERGY DYNAMICS PRIVATE LIMITED-Oriana Power Limited-ICICR42025082200518915</t>
  </si>
  <si>
    <t>ICICR42025082200518915</t>
  </si>
  <si>
    <t>088BC04251820002</t>
  </si>
  <si>
    <t>088GT02252340007</t>
  </si>
  <si>
    <t>RTGS Dr-BNPA0009009-INGRAM MICRO INDIA PRIVATE LIMITED-CBX Internet-HDFCR52025082654314822-C06243250825185051</t>
  </si>
  <si>
    <t>HDFCR52025082654314822</t>
  </si>
  <si>
    <t>NEFT Cr-ICIC0SF0002-RENERGY DYNAMICS PRIVATE LIMITED-Oriana Power Limited-ICICN42025082656958796</t>
  </si>
  <si>
    <t>ICICN42025082656958796</t>
  </si>
  <si>
    <t>RTGS Dr-BNPA0009009-INGRAM MICRO INDIA PRIVATE LIMITED-CBX Internet-HDFCR52025082754817065-C14966260825193109</t>
  </si>
  <si>
    <t>HDFCR52025082754817065</t>
  </si>
  <si>
    <t>AUTO WCDL LIQUIDATED AGAINST 003LN02252110011</t>
  </si>
  <si>
    <t>WCDL LIQUIDATED AGAINST 003LN02252110011</t>
  </si>
  <si>
    <t>088BC04251560004</t>
  </si>
  <si>
    <t>WCDL DISBURSED</t>
  </si>
  <si>
    <t>003LN02252400031</t>
  </si>
  <si>
    <t>RTGS Cr-ICIC0000011-RENERGY DYNAMICS PRIVATE LIMITED-Oriana Power Limited-ICICR42025083000501211</t>
  </si>
  <si>
    <t>ICICR42025083000501211</t>
  </si>
  <si>
    <t>RTGS Cr-ICIC0000011-RENERGY DYNAMICS PRIVATE LIMITED-Oriana Power Limited-ICICR42025083000501210</t>
  </si>
  <si>
    <t>ICICR42025083000501210</t>
  </si>
  <si>
    <t>NEFT Cr-ICIC0SF0002-RENERGY DYNAMICS PRIVATE LIMITED-Oriana Power Limited-ICICN42025083058948321</t>
  </si>
  <si>
    <t>ICICN42025083058948321</t>
  </si>
  <si>
    <t>088LC03252420002</t>
  </si>
  <si>
    <t>RTGS Cr-ICIC0001579-RENERGY DYNAMICS PRIVATE LIMITED-ORIANA POWER LTD-ICICR52025083000647781</t>
  </si>
  <si>
    <t>ICICR52025083000647781</t>
  </si>
  <si>
    <t>RTGS Cr-ICIC0001579-RENERGY DYNAMICS PRIVATE LIMITED-ORIANA POWER LTD-ICICR52025083000647128</t>
  </si>
  <si>
    <t>ICICR52025083000647128</t>
  </si>
  <si>
    <t>RTGS Cr-ICIC0001579-RENERGY DYNAMICS PRIVATE LIMITED-ORIANA POWER LTD-ICICR52025083000646617</t>
  </si>
  <si>
    <t>ICICR52025083000646617</t>
  </si>
  <si>
    <t>RTGS Cr-ICIC0001579-RENERGY DYNAMICS PRIVATE LIMITED-ORIANA POWER LTD-ICICR52025083000651538</t>
  </si>
  <si>
    <t>ICICR52025083000651538</t>
  </si>
  <si>
    <t>RTGS Cr-ICIC0001579-RENERGY DYNAMICS PRIVATE LIMITED-ORIANA POWER LTD-ICICR52025083000652100</t>
  </si>
  <si>
    <t>ICICR52025083000652100</t>
  </si>
  <si>
    <t>RTGS Cr-ICIC0001579-RENERGY DYNAMICS PRIVATE LIMITED-ORIANA POWER LTD-ICICR52025083000652750</t>
  </si>
  <si>
    <t>ICICR52025083000652750</t>
  </si>
  <si>
    <t>NEFT Cr-ICIC0SF0002-GOLD MOHUR OVERSEAS-ORIANAPOWERLIMITED-ICICN42025083059242701</t>
  </si>
  <si>
    <t>ICICN42025083059242701</t>
  </si>
  <si>
    <t>RTGS Dr-FDRL0001340-ORIANA POWER LIMITED-CBX Internet-HDFCR52025083056201082-C67424300825182308</t>
  </si>
  <si>
    <t>HDFCR52025083056201082</t>
  </si>
  <si>
    <t>Interest debited till 31-AUG-2025</t>
  </si>
  <si>
    <t>AUTO INTEREST PAYMENT ON WCDL AGAINST 003LN02252400031</t>
  </si>
  <si>
    <t>RTGS Cr-SBIN0013913-ORIANA POWER LIMITED-ORIANA POWER LIMITED-SBINR12025090117329064</t>
  </si>
  <si>
    <t>SBINR12025090117329064</t>
  </si>
  <si>
    <t xml:space="preserve">FD Booked - 50301210887451 : ORIANA POWER LIMITED                 </t>
  </si>
  <si>
    <t>Insurance</t>
  </si>
  <si>
    <t>NFT/FBPT252063640007/HDFC/AMTEK SALES &amp;amp SERVICE</t>
  </si>
  <si>
    <t>NFT/FBPT252073685197/HDFC/BRIJESH KUMAR GAUTAM/I26</t>
  </si>
  <si>
    <t>NFT/FBPT252093706107/SBIN/AO T&amp;ampC RVPNL JODHPUR</t>
  </si>
  <si>
    <t>RTG/ORIANA POWER LI/SBINR12025073114020217/SBI</t>
  </si>
  <si>
    <t>RTG/ORIANA POWER LI/SBINR12025073194024223/SBI</t>
  </si>
  <si>
    <t>RTG/ORIANA POWER LI/SBINR12025073194024381/SBI</t>
  </si>
  <si>
    <t>RTG/ORIANA POWER LI/SBINR12025073194030229/SBI</t>
  </si>
  <si>
    <t>13405500003286:Int.Coll:01-07-2025 to 31-07-2025</t>
  </si>
  <si>
    <t>RTG/FDRLR52025080188810774/UTIB/TRUERE COSMIC PRIV</t>
  </si>
  <si>
    <t>RTG/FDRLR52025080188811696/HDFC/ORIANA POWER LIMIT</t>
  </si>
  <si>
    <t>RTG/FDRLR52025080188811694/SBIN/ORIANA POWER LIMIT</t>
  </si>
  <si>
    <t>RTG/FDRLR52025080188811693/ICIC/ORIANA POWER LIMIT</t>
  </si>
  <si>
    <t>RTG/ORIANA POWER LI/SBINR12025080114148754/SBI</t>
  </si>
  <si>
    <t>4% PENAL CHARGES JULY-2025 - 13405500003286</t>
  </si>
  <si>
    <t>RTG/FDRLR52025080588818475/PSIB/TRUERE GUJ SPV PRI</t>
  </si>
  <si>
    <t>NFT/FBPT252174146365/SBIN/MOHD JAWED MOJIBI/I05082</t>
  </si>
  <si>
    <t>NFT/FBPT252174168192/PUNB/VIJAY J/I050825168948337</t>
  </si>
  <si>
    <t>NFT/FBPT252184210574/ICIC/ISN ELECTRONICTENDER SER</t>
  </si>
  <si>
    <t>NFT/FBPT252184260044/SBIN/MOHD JAWED MOJIBI/I06082</t>
  </si>
  <si>
    <t>REV_4% PENAL CHARGES JULY-2025</t>
  </si>
  <si>
    <t>RTG/FDRLR52025080788825189/SBIN/TRUERE CURRENT PRI</t>
  </si>
  <si>
    <t>RTG/FDRLR52025080888827979/ICIC/TRUERE MOUNTAIN PR</t>
  </si>
  <si>
    <t>NFT/FBPT252234470802/BOFA/BAJAJ ALLIANZ GENERAL IN</t>
  </si>
  <si>
    <t>NFT/FBPT252234470857/ICIC/ISN ELECTRONICTENDER SER</t>
  </si>
  <si>
    <t>RTG/FDRLR52025081188831115/HDFC/ORIANA POWER LIMIT</t>
  </si>
  <si>
    <t>NFT/FBPT252234515069/KKBK/AKASH ./I110825189588541</t>
  </si>
  <si>
    <t>NFT/FBPT252234515071/BOFA/BAJAJ ALLIANZ GENERAL IN</t>
  </si>
  <si>
    <t>NFT/FBPT252234515067/SBIN/PRITAM PUJARU/I110825189</t>
  </si>
  <si>
    <t>NFT/FBPT252234517231/BOFA/BAJAJ ALLIANZ GENERAL IN</t>
  </si>
  <si>
    <t>NFT/FBPT252244530647/HDFC/HDFC ERGO GENERAL INSURA</t>
  </si>
  <si>
    <t>FT IMPS/IFO/522413999958/YESB0001058/I120825139625</t>
  </si>
  <si>
    <t>NFT/FBPT252254636740/BOFA/BAJAJ ALLIANZ GENERAL IN</t>
  </si>
  <si>
    <t>NFT/FBPT252254648103/PUNB/VIJAY J/I130825199817187</t>
  </si>
  <si>
    <t>CHRG/IMPS/10000/12-08-2025</t>
  </si>
  <si>
    <t>NFT/FBPT252264665688/YESB/KUMAR RAJ GAURAV/I140825</t>
  </si>
  <si>
    <t>RTG/FDRLR52025081488840922/UTIB/DELHI SECURITY &amp;am</t>
  </si>
  <si>
    <t>NFT/FBPT252264718386/CNRB/MAHIPAL SINGH/I140825199</t>
  </si>
  <si>
    <t>NFT/FBPT252264718385/HDFC/MD RIZWAN ALAM/I14082519</t>
  </si>
  <si>
    <t>NFT/FBPT252264718389/DEUT/Tata AIG General Insuran</t>
  </si>
  <si>
    <t>RTG/HSBC TRUERE COS/HSBCR22025081631708987/HONGKON</t>
  </si>
  <si>
    <t>NFT/FBPT252304776809/ICIC/TRUERE ENERGY PRIVATE LI</t>
  </si>
  <si>
    <t>RTG/FDRLR52025081988847174/UTIB/TRUERE KNIGHT PRIV</t>
  </si>
  <si>
    <t>FT IMPS/IFO/523115733391/YESB0001058/I190825151179</t>
  </si>
  <si>
    <t>NFT/FBPT252314832116/ICIC/ZAGGLE PREPAID OCEAN SER</t>
  </si>
  <si>
    <t>NFT/FBPT252314855665/SBIN/SUCHETA SHARMA/I19082518</t>
  </si>
  <si>
    <t>NFT/FBPT252324861872/KKBK/SOLONET ENTERPRISES/I200</t>
  </si>
  <si>
    <t>NFT/FBPT252324868232/UTIB/NTPC RENEWABLE ENERGY LI</t>
  </si>
  <si>
    <t>FT IMPS/IFO/523217979820/HDFC0001292/I200825171288</t>
  </si>
  <si>
    <t>RTG/FDRLR52025082188853776/BOFA/BAJAJ ALLIANZ GENE</t>
  </si>
  <si>
    <t>CHRG/IMPS/28000/19-08-2025</t>
  </si>
  <si>
    <t>CHRG/IMPS/9309/20-08-2025</t>
  </si>
  <si>
    <t>NFT/FBPT252344948245/HDFC/MAASHITLA SECURITIES PRI</t>
  </si>
  <si>
    <t>NFT/FBPT252344980492/YESB/KUMAR RAJ GAURAV/I220825</t>
  </si>
  <si>
    <t>NFT/FBPT252344991905/UTIB/NTPC RENEWABLE ENERGY LI</t>
  </si>
  <si>
    <t>IFN/FEDONE/I230825171529742/MAHAFOOZ AKHTAR 250634</t>
  </si>
  <si>
    <t>NFT/FBPT252355009095/SBIN/BAPURAO DIGAMBAR TAGE/I2</t>
  </si>
  <si>
    <t>NFT/FBPT252355009098/PUNB/ARPIT MISHRA/I2308251615</t>
  </si>
  <si>
    <t>NFT/FBPT252355009100/YESB/KUMAR RAJ GAURAV/I230825</t>
  </si>
  <si>
    <t>NFT/FBPT252355009096/SBIN/RAKESH SEVAKULA/I2308251</t>
  </si>
  <si>
    <t>NFT/FBPT252355009090/KKBK/AKASH ./I230825161527949</t>
  </si>
  <si>
    <t>NFT/FBPT252355009093/UTIB/SANJEEV KUMAR/I230825171</t>
  </si>
  <si>
    <t>NFT/FBPT252355009092/KKBK/VIKAS ./I23082517153041</t>
  </si>
  <si>
    <t>NFT/FBPT252355009102/KKBK/VISHAL KANOJIYA/I230825</t>
  </si>
  <si>
    <t>NFT/FBPT252355009099/ICIC/INDRAPAL SINGH/I23082517</t>
  </si>
  <si>
    <t>UPI IN/560106437058/kumarrajgaurav61-2@okici/0000</t>
  </si>
  <si>
    <t>FT IMPS/IFI/523586589112/KUMAR RAJ GAURAV/MOBTXN</t>
  </si>
  <si>
    <t>RTGS/SBINR12025073114020218/ORIANA POWER LIMITED/state BANK OF INDIA//INBORIANA POWER LIMITED AXIS</t>
  </si>
  <si>
    <t>INB/RTGS/UTIBR62025081218998520/ORIANA POWER LI/HDFC BANK/</t>
  </si>
  <si>
    <t>RTGS/SBINR12025083017148782/ORIANA POWER LIMITED/STATE BANK OF INDIA//INBORIANA POWER LIMITED AXIS</t>
  </si>
  <si>
    <t>Offset for [D13706621]</t>
  </si>
  <si>
    <t>Offset for [D13709110]</t>
  </si>
  <si>
    <t>Disb. for [D14022396/925080010175974]</t>
  </si>
  <si>
    <t xml:space="preserve">   TO TRANSFER-INB RTGS UTR NO: SBINR12025072693385622--TRUERE COSMIC PVT LTD</t>
  </si>
  <si>
    <t xml:space="preserve">   TO TRANSFER-INB RTGS UTR NO: SBINR12025072693389350--TRUERE SPV2 PVT LTD</t>
  </si>
  <si>
    <t xml:space="preserve">   TO TRANSFER-INB RTGS UTR NO: SBINR12025072693408407--SATGURU HOLIDAYS INDIA PVT LTD</t>
  </si>
  <si>
    <t>TO TRANSFER-INB RTGS UTR NO: SBINR12025072893578818-RTGS INB: CRR1649481 TRANSFER TO 4599109044308-DELHI SECURITY AND MANPOWER SERVICE</t>
  </si>
  <si>
    <t>BY TRANSFER-INB Payment towards Invoice/Bill-CT00SZHLO5               TRANSFER FROM 39952061042       MSD SOLAR PRIVATE LIMI-</t>
  </si>
  <si>
    <t>SUNRAYS INFRA</t>
  </si>
  <si>
    <t xml:space="preserve">   TO TRANSFER-INB NEFT UTR NO: SBIN525211510994--VIJAY S KUTE</t>
  </si>
  <si>
    <t xml:space="preserve">   BY TRANSFER-NEFT*HDFC0000240*HDFCH00391655723*ADITYA BIRLA CAP--</t>
  </si>
  <si>
    <t>ARAMANI TECHNOLOGIES</t>
  </si>
  <si>
    <t>MAA LAXMI ENTERPRISES</t>
  </si>
  <si>
    <t>PAINTER'S SURAJ GUDDU</t>
  </si>
  <si>
    <t>ANIKET PROJECT AND SERVICES</t>
  </si>
  <si>
    <t>SSS ELECTRICAL POWER PVT LTD</t>
  </si>
  <si>
    <t>GRAVITECH ENGINEERS LLP</t>
  </si>
  <si>
    <t>PROCYON RENEW EXPERT LLP</t>
  </si>
  <si>
    <t>SPECTRUM DIAGNOSTIC LABORATORY</t>
  </si>
  <si>
    <t>VECTOR ENGINEERS</t>
  </si>
  <si>
    <t xml:space="preserve">   TO TRANSFER-INB RTGS UTR NO: SBINR12025073193992861--MIZUHO CAPSAVE FINANCE PRIVATE LTD</t>
  </si>
  <si>
    <t xml:space="preserve">   TO TRANSFER-INB RTGS UTR NO: SBINR12025073193993000--MIZUHO CAPSAVE FINANCE PRIVATE LTD</t>
  </si>
  <si>
    <t xml:space="preserve">   TO TRANSFER-INB RTGS UTR NO: SBINR12025073194019164--HDFC  ERGO GENERAL INSURANCE CO LTD</t>
  </si>
  <si>
    <t xml:space="preserve">   TO TRANSFER-INB NEFT UTR NO: SBIN325212679621--ORIANA POWER LIMITED</t>
  </si>
  <si>
    <t>ASHISH CHAUHAN 2503298</t>
  </si>
  <si>
    <t>EBIXCASH WORLD MONEY LIMITED</t>
  </si>
  <si>
    <t xml:space="preserve">   BY TRANSFER-CMP CAPSAVEFINANCEPVTLTD 1--</t>
  </si>
  <si>
    <t xml:space="preserve">   TO TRANSFER-INB RTGS UTR NO: SBINR12025073194023678--HDFC  ERGO GENERAL INSURANCE CO LTD</t>
  </si>
  <si>
    <t xml:space="preserve">   TO TRANSFER-INB RTGS UTR NO: SBINR12025073194024223--ORIANA POWER LIMITED FEDERAL CC</t>
  </si>
  <si>
    <t xml:space="preserve">   TO TRANSFER-INB RTGS UTR NO: SBINR12025073194024381--ORIANA POWER LIMITED FEDERAL CC</t>
  </si>
  <si>
    <t xml:space="preserve">   BY TRANSFER-CMP OXYZO FINANCIAL SERVICES PRIVATE LIMITED--</t>
  </si>
  <si>
    <t xml:space="preserve">   TO TRANSFER-INB RTGS UTR NO: SBINR12025073194030117--SAATVIK GREEN ENERGY LTD</t>
  </si>
  <si>
    <t xml:space="preserve">   TO TRANSFER-INB RTGS UTR NO: SBINR12025073194030151--SAATVIK GREEN ENERGY LTD</t>
  </si>
  <si>
    <t xml:space="preserve">   TO TRANSFER-INB RTGS UTR NO: SBINR12025073194030229--ORIANA POWER LIMITED FEDERAL CC</t>
  </si>
  <si>
    <t xml:space="preserve">   TO TRANSFER-INB RTGS UTR NO: SBINR12025073194030336--ORIANA POWER ICICI</t>
  </si>
  <si>
    <t xml:space="preserve">   TO TRANSFER-INB NEFT UTR NO: SBIN325212778263--ORIANA POWER LIMITED</t>
  </si>
  <si>
    <t xml:space="preserve">   TO TRANSFER-INB RTGS UTR NO: SBINR12025073194030497--ORIANA POWER ICICI</t>
  </si>
  <si>
    <t>DEBIT INTEREST---</t>
  </si>
  <si>
    <t>TO CLEARING-Chq No. 766754 CIT   BMW INDIA FINANCIAL SERV--766754</t>
  </si>
  <si>
    <t>BY TRANSFER-RTGS UTR NO: FDRLR52025080188811694--ORIANA POWER LIMITED</t>
  </si>
  <si>
    <t>Interest on CC</t>
  </si>
  <si>
    <t>Interest on OD</t>
  </si>
  <si>
    <t>TO TRANSFER-INB NEFT UTR NO: SBIN525213384623--OXYZO FINANCIAL SERVICES LTD</t>
  </si>
  <si>
    <t>TO TRANSFER-INB--</t>
  </si>
  <si>
    <t>DEBIT-ACHDr NACH00000000056470 KISETSU0208202--</t>
  </si>
  <si>
    <t>TO TRANSFER-INB RTGS UTR NO: SBINR12025080394260134--INGRAM MICRO INDIA PVT LTD</t>
  </si>
  <si>
    <t>TO CLEARING-Chq No. 219515 PMB   clearingcdmloans--219515</t>
  </si>
  <si>
    <t xml:space="preserve">   BY TRANSFER-RTGS UTR NO: FDRLR52025080488816595--ORIANA POWER LIMITED</t>
  </si>
  <si>
    <t>MIZUHO CAPSAVE FINANCE PVT LTD</t>
  </si>
  <si>
    <t>SARVAYA FINSERV LLP</t>
  </si>
  <si>
    <t>THE NEW INDIA ASSURANCE PVT LTD</t>
  </si>
  <si>
    <t xml:space="preserve">   BY TRANSFER-NEFT*IDFB0010204*IDFBH25217573959*MIZUHOCAPSAVE FI--</t>
  </si>
  <si>
    <t xml:space="preserve">   BY TRANSFER-RTGS UTR NO: HDFCR52025080598166629--ORIANA POWER LIMITED</t>
  </si>
  <si>
    <t xml:space="preserve">   BY TRANSFER-INB Refund of CHU2323593--</t>
  </si>
  <si>
    <t xml:space="preserve">   BY TRANSFER-INB Refund of CHU2294412--</t>
  </si>
  <si>
    <t xml:space="preserve">   BY TRANSFER-INB Reversal of CNADUEHMV200022--</t>
  </si>
  <si>
    <t xml:space="preserve">   BY TRANSFER-NEFTRRSBIN425217132406(05-08-25)Incorrect Account--</t>
  </si>
  <si>
    <t xml:space="preserve">   TO TRANSFER-INB RTGS UTR NO: SBINR12025080694584403--DEVENDRA K YADUVANSHI</t>
  </si>
  <si>
    <t xml:space="preserve">   TO TRANSFER-INB RTGS UTR NO: SBINR12025080794702362--NTPC Vidyut Vyapar Nigam Limited</t>
  </si>
  <si>
    <t xml:space="preserve">   BY TRANSFER-RTGS UTR NO: FDRLR52025080700658271--RENEW PHOTOVOLTAICS PRIVATE LIMITED</t>
  </si>
  <si>
    <t xml:space="preserve">   BY TRANSFER-RTGS UTR NO: HDFCR52025080798810117--ORIANA POWER LIMITED</t>
  </si>
  <si>
    <t xml:space="preserve">   TO TRANSFER-INB SALARY SBI INTERNS--</t>
  </si>
  <si>
    <t xml:space="preserve">   TO TRANSFER-INB SALARY NON SBI INTERNS--</t>
  </si>
  <si>
    <t xml:space="preserve">   BY TRANSFER-NEFT*FDRL0009979*FDRLH25219814638*RENEW PHOTOVOLTA--</t>
  </si>
  <si>
    <t xml:space="preserve">   BY TRANSFER-IMPS/522012340105/NSD-XX008-CASHFREE/BAV--</t>
  </si>
  <si>
    <t xml:space="preserve">   BY TRANSFER-UPI/CR/387731788603/JAI VARD/BARB/9818097665/Sent--</t>
  </si>
  <si>
    <t xml:space="preserve">   BY TRANSFER-NEFT*ICIC0SF0002*ICIN422356292467*TRUERE GREEN PRI--</t>
  </si>
  <si>
    <t xml:space="preserve">   BY TRANSFER-RTGS UTR NO: FDRLR52025081100839945--RENEW PHOTOVOLTAICS PRIVATE LIMITED</t>
  </si>
  <si>
    <t xml:space="preserve">   BY TRANSFER-RTGS UTR NO: FDRLR52025081100846395--RENEW PHOTOVOLTAICS PRIVATE LIMITED</t>
  </si>
  <si>
    <t xml:space="preserve">   BY TRANSFER-RTGS UTR NO: CBINR52025081110024532--KIANA ENERGY SOLUTIONS LLP</t>
  </si>
  <si>
    <t xml:space="preserve">   BY TRANSFER-RTGS UTR NO: CBINR12025081110024642--KIANA ENERGY SOLUTIONS LLP</t>
  </si>
  <si>
    <t xml:space="preserve">   BY TRANSFER-RTGS UTR NO: CBINR12025081110024818--KIANA ENERGY SOLUTIONS LLP</t>
  </si>
  <si>
    <t xml:space="preserve">   TO TRANSFER-INB RTGS UTR NO: SBINR12025081195137546--ORIANA POWER LIMITED</t>
  </si>
  <si>
    <t xml:space="preserve">   TO TRANSFER-INB RTGS UTR NO: SBINR12025081195137718--ORIANA POWER LIMITED</t>
  </si>
  <si>
    <t xml:space="preserve">   BY TRANSFER-RTGS UTR NO: CBINR52025081210020304--KIANA ENERGY SOLUTIONS LLP</t>
  </si>
  <si>
    <t xml:space="preserve">   BY TRANSFER-RTGS UTR NO: CBINR12025081210021547--KIANA ENERGY SOLUTIONS LLP</t>
  </si>
  <si>
    <t xml:space="preserve">   BY TRANSFER-RTGS UTR NO: CBINR12025081310001129--KIANA ENERGY SOLUTIONS LLP</t>
  </si>
  <si>
    <t xml:space="preserve">   TO TRANSFER-INB 002130825758424 1012508024089 I--</t>
  </si>
  <si>
    <t>TRUERE SPV DEL 1 PVT LTD</t>
  </si>
  <si>
    <t>TRUERE SPV 1 PVT LTD</t>
  </si>
  <si>
    <t>ARJUN SINGH VERMA 2312138</t>
  </si>
  <si>
    <t>SONU KUMAR 2406194</t>
  </si>
  <si>
    <t>GAURAV SAHU 2404173</t>
  </si>
  <si>
    <t>VINOD KUMAR 2404175</t>
  </si>
  <si>
    <t xml:space="preserve">   BY TRANSFER-RTGS UTR NO: UTIBR62025081419527947--ZANSKAR SOLAR SPV PRIVATE LIMITED</t>
  </si>
  <si>
    <t xml:space="preserve">   TO TRANSFER-INB RTGS UTR NO: SBINR12025081495543874--ORIANA POWER ICICI</t>
  </si>
  <si>
    <t xml:space="preserve">   TO TRANSFER-INB RTGS UTR NO: SBINR12025081695608757--KIANA ENERGY SOLUTIONS LLP</t>
  </si>
  <si>
    <t xml:space="preserve">   BY TRANSFER-RTGS UTR NO: HSBCR22025081631708986--HSBC TRUERE COSMIC PRIVATE LIMITED</t>
  </si>
  <si>
    <t xml:space="preserve">   TO TRANSFER-INB RTGS UTR NO: SBINR12025081695608812--KIANA ENERGY SOLUTIONS LLP</t>
  </si>
  <si>
    <t xml:space="preserve">   TO TRANSFER-INB RTGS UTR NO: SBINR12025081695608899--KIANA ENERGY SOLUTIONS LLP</t>
  </si>
  <si>
    <t>TO TRANSFER-INB RTGS UTR NO: SBINR12025081895793053--NOIDA INDUSTRY EAUCTION SCHEME</t>
  </si>
  <si>
    <t>TO CLEARING-Chq No. 219628 ICI   OXYZO FINANCIAL SERVICES--219628</t>
  </si>
  <si>
    <t>TO CLEARING-Chq No. 219629 ICI   OXYZO FINANCIAL SERVICES--219629</t>
  </si>
  <si>
    <t>ABHISHEK CHAUDHARY H172720</t>
  </si>
  <si>
    <t>AJAY KUMAR PAL 2502283</t>
  </si>
  <si>
    <t>BALAL ANSARI 2409235</t>
  </si>
  <si>
    <t>DWIBROS INFRACON PVT LTD</t>
  </si>
  <si>
    <t>DEEPARAM</t>
  </si>
  <si>
    <t>HASAM DEENN</t>
  </si>
  <si>
    <t>KAMLACHAND BALACHAND DARDA</t>
  </si>
  <si>
    <t>MADHUSOODHANAN P</t>
  </si>
  <si>
    <t>P SRINIVASAN</t>
  </si>
  <si>
    <t>KUMAR RAJ GAURAV 2407207</t>
  </si>
  <si>
    <t>MAHAVEER SINGH SHEKHAWAT 2402161</t>
  </si>
  <si>
    <t>MD EHSAAN 2312139</t>
  </si>
  <si>
    <t>MUKESH KUMAR JAKHAD 2306096</t>
  </si>
  <si>
    <t>NARENDRA KUMAR 2306088</t>
  </si>
  <si>
    <t>PETRA GLOBAL LOGISTICS PVT LTD</t>
  </si>
  <si>
    <t>PRABAL DUTTA 2502285</t>
  </si>
  <si>
    <t>PRAHLAD KUMAR 2409237</t>
  </si>
  <si>
    <t>PRAVIN GUPTA 1801010</t>
  </si>
  <si>
    <t>SANDEEP SINGH GRUJAR 2402156</t>
  </si>
  <si>
    <t>SANJAY KUMAR H147890</t>
  </si>
  <si>
    <t>SARJU PRASAD 2402158</t>
  </si>
  <si>
    <t>SURESH CHAUDHARY H172745</t>
  </si>
  <si>
    <t>VIVEK RAJ 211918</t>
  </si>
  <si>
    <t>TO CLEARING-Chq No. 219868 HDF   CHAINWATT PRIVATE LIMITED--219868</t>
  </si>
  <si>
    <t xml:space="preserve">   BY TRANSFER-RTGS UTR NO: HDFCR52025082052493557--UNIPACK PACKAGING PRIVATE LIMITED</t>
  </si>
  <si>
    <t xml:space="preserve">   TO TRANSFER-INB SBI PAYMENTS-RATNAAFIN CAPITAL PVT LTD--</t>
  </si>
  <si>
    <t xml:space="preserve">   TO TRANSFER-INB RTGS UTR NO: SBINR12025082095979170--GCB CONSTRUCTION  EARTH MOVERS</t>
  </si>
  <si>
    <t xml:space="preserve">   TO TRANSFER-INB SBI PAY--</t>
  </si>
  <si>
    <t xml:space="preserve">   TO TRANSFER-INB 5 percent amount--</t>
  </si>
  <si>
    <t xml:space="preserve">   TO TRANSFER-INB NEFT UTR NO: SBIN425232387979--SHIVA CONSTRUCTION</t>
  </si>
  <si>
    <t>SHARDA</t>
  </si>
  <si>
    <t>RITA ENTERPRISES</t>
  </si>
  <si>
    <t xml:space="preserve">   TO TRANSFER-INB SBI PAY-GD ENTERPRISES--</t>
  </si>
  <si>
    <t xml:space="preserve">   TO TRANSFER-INB RTGS UTR NO: SBINR12025082096060597--TRUERE COSMIC PVT LTD</t>
  </si>
  <si>
    <t xml:space="preserve">   DR INT CREDIT---</t>
  </si>
  <si>
    <t xml:space="preserve">   TO TRANSFER-INB RTGS UTR NO: SBINR12025082296297368--TATA AIG GENERAL INSURANCE</t>
  </si>
  <si>
    <t xml:space="preserve">   TO TRANSFER-INB RTGS UTR NO: SBINR12025082296319261--TRUERE COSMIC PVT LTD</t>
  </si>
  <si>
    <t xml:space="preserve">   BY TRANSFER-RTGSR UTR NO: SBINR12025082296297368--//RETURN///RTGSRET/AC03 /RETURN/SBINR1202508229629</t>
  </si>
  <si>
    <t xml:space="preserve">   TO TRANSFER-INB RTGS UTR NO: SBINR12025082396344051--SOLONET ENTERPRISES</t>
  </si>
  <si>
    <t>ADVIK ENERGY SOLUTION PVT LTD</t>
  </si>
  <si>
    <t>AMC GREEN SOLUTION</t>
  </si>
  <si>
    <t>AMMAN CRANE SERVICES</t>
  </si>
  <si>
    <t>CG POWER AND INDUSTRIAL SOLUTION</t>
  </si>
  <si>
    <t>CHHABI ELECTRICALS PVT LTD</t>
  </si>
  <si>
    <t>CPAS TECHNOLOGIES PVT LTD</t>
  </si>
  <si>
    <t>DHIWAKAR 2505325</t>
  </si>
  <si>
    <t>GREEN HYDROGEN ASSOCIATION</t>
  </si>
  <si>
    <t>KAMALCHAND BALCHAND DARDA</t>
  </si>
  <si>
    <t>KUSHAL TRAVELS</t>
  </si>
  <si>
    <t>PACE ENERGY</t>
  </si>
  <si>
    <t>RAJVEER SINGH</t>
  </si>
  <si>
    <t>ROHTAS</t>
  </si>
  <si>
    <t>SOL WAVE PV TECHNOLOGY</t>
  </si>
  <si>
    <t>SOLO TRAVELS</t>
  </si>
  <si>
    <t>TECHNOHEAD SECURITY IT &amp; TELECOM PROJECT LLP</t>
  </si>
  <si>
    <t>UTTAM BHARAT ELECTRICALS PVT LTD</t>
  </si>
  <si>
    <t>ABHISHEK H172720</t>
  </si>
  <si>
    <t>ABUJAR 2304069</t>
  </si>
  <si>
    <t>AJAY KUMAR VERMA 2412271</t>
  </si>
  <si>
    <t>DHANJI GON 220664</t>
  </si>
  <si>
    <t>DHIVAKAR 2505325</t>
  </si>
  <si>
    <t>GANESH 2403166</t>
  </si>
  <si>
    <t>NITIN KUMAR 2406201</t>
  </si>
  <si>
    <t>PALASH DAS 2406196</t>
  </si>
  <si>
    <t>PAWAN SHARMA 2406198</t>
  </si>
  <si>
    <t>RAGHAV KUMAR SHARMA 2506346</t>
  </si>
  <si>
    <t>SANTOSH KUMAR 2502282</t>
  </si>
  <si>
    <t>SAURABH DWIVEDI 2501280</t>
  </si>
  <si>
    <t>SHUBHAM KUMAR SHUKLA H151422</t>
  </si>
  <si>
    <t>SUMIT KUMAR 2405184</t>
  </si>
  <si>
    <t>SURESH KUMAR CHOUDHARY H172745</t>
  </si>
  <si>
    <t>SYED WASIMUL HAQUE 2412274</t>
  </si>
  <si>
    <t>THILLAI NARAYANAN B</t>
  </si>
  <si>
    <t>VINAY PRAKASH 2502289</t>
  </si>
  <si>
    <t>TO TRANSFER-INB RTGS UTR NO: SBINR12025082396365659--TATA AIG GENERAL INSURANCE 438</t>
  </si>
  <si>
    <t>WITHDRAWAL TRANSFER---</t>
  </si>
  <si>
    <t xml:space="preserve">   TO TRANSFER-INB RTGS UTR NO: SBINR12025082696702228--INGRAM MICRO INDIA PVT LTD</t>
  </si>
  <si>
    <t xml:space="preserve">   TO TRANSFER-INB RTGS UTR NO: SBINR12025082696702381--INGRAM MICRO INDIA PVT LTD</t>
  </si>
  <si>
    <t>AMMAN CRANE SERVICE</t>
  </si>
  <si>
    <t>APSON COMPUTER SYSTEMS</t>
  </si>
  <si>
    <t>BATH &amp; TAPS</t>
  </si>
  <si>
    <t>CG POWER AND INDUSTRIAL SOLUTIONS LTD</t>
  </si>
  <si>
    <t>CTR MANUFACTURING INDUSTRIES PVT LTD</t>
  </si>
  <si>
    <t>FEASIBLE ENERGY</t>
  </si>
  <si>
    <t>GROLIGHT VISION PVT LTD</t>
  </si>
  <si>
    <t>INFINITE ENERGY</t>
  </si>
  <si>
    <t xml:space="preserve">MERGANSER ENERGYNE PVT LTD </t>
  </si>
  <si>
    <t>MITHLESH KUMAR PARKING</t>
  </si>
  <si>
    <t>P S ENTERPRISES</t>
  </si>
  <si>
    <t>PYTECH ENGINEERS SOLUTION</t>
  </si>
  <si>
    <t>SHANIDEV ENTERPRISES</t>
  </si>
  <si>
    <t>SHRI MAHADEV &amp; COMPANY</t>
  </si>
  <si>
    <t>SNIPER SYSTEMS &amp; SOLUIONS PVT LTD</t>
  </si>
  <si>
    <t>STELLAR ENTERPRISES</t>
  </si>
  <si>
    <t>SUPYAR CONSTRUCTION COMPANY</t>
  </si>
  <si>
    <t>TOTAL SURVEY &amp; TEST HOUSE</t>
  </si>
  <si>
    <t>VASHI INTEGRATED SOLUTIONS LTD</t>
  </si>
  <si>
    <t xml:space="preserve">VIVEK RAJ </t>
  </si>
  <si>
    <t>ANAND NEKKANTI 213886</t>
  </si>
  <si>
    <t>AKASH SINGLA 2506331</t>
  </si>
  <si>
    <t>RAHUL KUMAR 2408227</t>
  </si>
  <si>
    <t>PRAHALAD MITTAL 2411262</t>
  </si>
  <si>
    <t>KULJEET SINGH JUNEJA 2411263</t>
  </si>
  <si>
    <t>MAYANK PANDEY 2506350</t>
  </si>
  <si>
    <t>RITESH 2409246</t>
  </si>
  <si>
    <t>SUNIL KUMAR 2312129</t>
  </si>
  <si>
    <t>PRASHANT KUMAR 2409236</t>
  </si>
  <si>
    <t>TOSHENDRA RAJE 2507352</t>
  </si>
  <si>
    <t>RISHU BHARDWAJ 2410250</t>
  </si>
  <si>
    <t>LAVAKUMAR TIWARI 2507358</t>
  </si>
  <si>
    <t>RAJPAL SINGH KHANDARI 2406200</t>
  </si>
  <si>
    <t>MAHAFOOZ AKHTAR 2506349</t>
  </si>
  <si>
    <t>PRADIP ADHIKARY 2507354</t>
  </si>
  <si>
    <t>RAJESH 1901023</t>
  </si>
  <si>
    <t>ANUJ KUMAR H150880</t>
  </si>
  <si>
    <t xml:space="preserve">   BY TRANSFER-NEFT*HDFC0000240*HDFCH00446212135*SHREE CEMENT LIM--</t>
  </si>
  <si>
    <t xml:space="preserve">   BY TRANSFER-RTGS UTR NO: IBKLR92025082800096610--KANVYA TOOLS AND TECHNOLOGY</t>
  </si>
  <si>
    <t xml:space="preserve">   TO TRANSFER-INB RTGS UTR NO: SBINR12025082896864060--KIANA ENERGY SOLUTIONS LLP</t>
  </si>
  <si>
    <t xml:space="preserve">   BY TRANSFER-RTGS UTR NO: IOBAR52025082800724922--SWANS ENTERPRISES</t>
  </si>
  <si>
    <t xml:space="preserve">   TRANSFER CHARGES---</t>
  </si>
  <si>
    <t xml:space="preserve">   BY TRANSFER-RTGS UTR NO: HDFCR52025082855335471--WONDERCEMENTLTD</t>
  </si>
  <si>
    <t xml:space="preserve">   BY TRANSFER-RTGS UTR NO: HDFCR52025082855324092--WONDERCEMENTLTD</t>
  </si>
  <si>
    <t xml:space="preserve">   TO TRANSFER-INB RTGS UTR NO: SBINR12025082996985934--KIANA ENERGY SOLUTIONS LLP</t>
  </si>
  <si>
    <t xml:space="preserve">   BY TRANSFER-RTGS UTR NO: IOBAR52025082900110608--SWANS ENTERPRISES</t>
  </si>
  <si>
    <t xml:space="preserve">   BY TRANSFER-NEFTRRSBIN125242315280(30-08-25)--</t>
  </si>
  <si>
    <t xml:space="preserve">   BY TRANSFER-NEFT*HDFC0000240*HDFCH00451096158*SHREE CEMENT LIM--</t>
  </si>
  <si>
    <t>CUBIX DESIGN STUDIO</t>
  </si>
  <si>
    <t>TUNG NATH PANDEY 2507359</t>
  </si>
  <si>
    <t>MD RIZWAN ALAM 2507360</t>
  </si>
  <si>
    <t>SWATANTRA PRATAP YADAV 2412272</t>
  </si>
  <si>
    <t>THERMO CABLES LTD</t>
  </si>
  <si>
    <t>XCELERATING GROWTH PVT LTD</t>
  </si>
  <si>
    <t xml:space="preserve">   TO TRANSFER-INB SBI PAY-NEERAJ KUMAR 2501278--</t>
  </si>
  <si>
    <t xml:space="preserve">   TO TRANSFER-AS PER MAIL DT 30082025--</t>
  </si>
  <si>
    <t xml:space="preserve">   BY TRANSFER-RTGS UTR NO: UTIBR72025083000044201--SHRIRAM FINANCE LTD ERSTWHILE SHRIR</t>
  </si>
  <si>
    <t>PENAL CHARGES CC OD---</t>
  </si>
  <si>
    <t>TO CLEARING-Chq No. 766755 CIT   BMW INDIA FINANCIAL SERV--766755</t>
  </si>
  <si>
    <t>OXYZO FINANCIAL SERVICES LIMITED</t>
  </si>
  <si>
    <t>SHRIRAM FINANCE LIMITED</t>
  </si>
  <si>
    <t>BY TRANSFER-RTGS UTR NO: FDRLR52025090188881307--ORIANA POWER LIMITED</t>
  </si>
  <si>
    <t>ORIANA POWER FEDERAL CC</t>
  </si>
  <si>
    <t>ORIANA POWER HDFC CC</t>
  </si>
  <si>
    <t>ORIANA POWER YES CC</t>
  </si>
  <si>
    <t>ORIANA POWER ICICI CC</t>
  </si>
  <si>
    <t>ORIANA POWER ICICI OD</t>
  </si>
  <si>
    <t>BY TRANSFER-IMPS/524417072987/ICI-XX452-ISN ELEC/ORIANA BD--</t>
  </si>
  <si>
    <t xml:space="preserve">   DEBIT-CMP MANDATE DEBIT Bajaj Finance Ltd. - DD--</t>
  </si>
  <si>
    <t xml:space="preserve">   BY TRANSFER-RTGS UTR NO: IOBAR52025090200424755--SWANS ENTERPRISES</t>
  </si>
  <si>
    <t xml:space="preserve">   DEBIT-ACHDr NACH00000000056470 KISETSU0209202--</t>
  </si>
  <si>
    <t xml:space="preserve">   BY TRANSFER-NEFT*HDFC0000001*HDFCH00457909014*MANMOHAN MEHTA*B--</t>
  </si>
  <si>
    <t xml:space="preserve">   TO TRANSFER-INB SBI PAY-ZAMIDARA ELECTRIC CO--</t>
  </si>
  <si>
    <t>BD ENERGY SOLUTIONS</t>
  </si>
  <si>
    <t>DANISH POWER LIMITED</t>
  </si>
  <si>
    <t>DEVENDRA YADUVANSHI 2207060</t>
  </si>
  <si>
    <t>JAI VARDHAN 2105044</t>
  </si>
  <si>
    <t>MAN MOHAN MEHTA</t>
  </si>
  <si>
    <t>S S ENTERPRISES</t>
  </si>
  <si>
    <t>SHINE PRINTECH</t>
  </si>
  <si>
    <t>SHIVA CONSTRUCTION</t>
  </si>
  <si>
    <t>TRICOLITE ELECTRICAL INDUSTRIES LTD</t>
  </si>
  <si>
    <t>CINNTRA INFOTECH SOLUTIONS PVT LTD</t>
  </si>
  <si>
    <t>ACTUAL IT SOLUTIONS</t>
  </si>
  <si>
    <t>BY TRANSFER-NEFT*IDFB0010204*IDFBH25245296343*MIZUHOCAPSAVE FI--</t>
  </si>
  <si>
    <t>TRUERE SPV PRIVATE LIM</t>
  </si>
  <si>
    <t>TRUERE SPV2 PVT LTD</t>
  </si>
  <si>
    <t>CBDT TIN 2.0 POOLING A</t>
  </si>
  <si>
    <t>SATGURU HOLIDAYS INDIA PVT LTD</t>
  </si>
  <si>
    <t xml:space="preserve">OPPL DEL SPV PVT LTD </t>
  </si>
  <si>
    <t>TRUERE DEL PRIVATE LIM</t>
  </si>
  <si>
    <t xml:space="preserve">TRUERE SPV PRIVATE LIM </t>
  </si>
  <si>
    <t>DELHI SECURITY AND MANPOWER SERVICE</t>
  </si>
  <si>
    <t>MSD SOLAR PRIVATE LIMI</t>
  </si>
  <si>
    <t>Advance 20% for 33kv Metering Structure</t>
  </si>
  <si>
    <t>ADITYA BIRLA CAP</t>
  </si>
  <si>
    <t>For Civil Work Inv 3</t>
  </si>
  <si>
    <t>Hydra charges Inv 03</t>
  </si>
  <si>
    <t>Balance Payment of Painting Work Inv 02</t>
  </si>
  <si>
    <t>20% Payment of PO472 and 80% of Inv 15</t>
  </si>
  <si>
    <t>80% for Testing Inv 26</t>
  </si>
  <si>
    <t xml:space="preserve">25% of PI 020 for Testing </t>
  </si>
  <si>
    <t>Gst of Inv A00002</t>
  </si>
  <si>
    <t>Gst of Inv A00003</t>
  </si>
  <si>
    <t>Gst of Inv A00004</t>
  </si>
  <si>
    <t>Gst of Inv A00005</t>
  </si>
  <si>
    <t>Gst of Inv 144</t>
  </si>
  <si>
    <t>100% for I &amp; C Inv 0725/02</t>
  </si>
  <si>
    <t>MIZUHO CAPSAVE FINANCE PRIVATE LTD</t>
  </si>
  <si>
    <t xml:space="preserve"> STOCKWELL SOLAR SERVIC</t>
  </si>
  <si>
    <t>HDFC  ERGO GENERAL INSURANCE CO LTD</t>
  </si>
  <si>
    <t>Advance for china visit</t>
  </si>
  <si>
    <t>For Foreign Exchange canadian dollar</t>
  </si>
  <si>
    <t>For Foreign Exchange Japanese Yan</t>
  </si>
  <si>
    <t>Federal</t>
  </si>
  <si>
    <t>Axis</t>
  </si>
  <si>
    <t>Oxyzo</t>
  </si>
  <si>
    <t>OXYZO FINANCIAL SERVICES LTD</t>
  </si>
  <si>
    <t>INGRAM MICRO INDIA PVT LTD</t>
  </si>
  <si>
    <t>RENEW PHOTOVOLTAICS PRIVATE LIMITED</t>
  </si>
  <si>
    <t xml:space="preserve"> KAMET SOLAR SPV PVT LT </t>
  </si>
  <si>
    <t>TRUERE SOLAR PRIVATE L</t>
  </si>
  <si>
    <t>RENEW PHOTOVOLTA</t>
  </si>
  <si>
    <t>STOCKWELL SOLAR SERVIC</t>
  </si>
  <si>
    <t xml:space="preserve">OPPL GUJ SPV PRIVATE L </t>
  </si>
  <si>
    <t>TRUERE GREEN PRI-</t>
  </si>
  <si>
    <t xml:space="preserve">Advance </t>
  </si>
  <si>
    <t>Advance for Site Materials</t>
  </si>
  <si>
    <t>Advance for Courier of Tender Documents</t>
  </si>
  <si>
    <t>Advance for TA DA Aug 25</t>
  </si>
  <si>
    <t>Advance for Site Expenses</t>
  </si>
  <si>
    <t>NOIDA INDUSTRY EAUCTION SCHEME(Land)</t>
  </si>
  <si>
    <t>Electricity Expenses June 25</t>
  </si>
  <si>
    <t>Reimbursement upto June 25</t>
  </si>
  <si>
    <t>Guest house rent July 25</t>
  </si>
  <si>
    <t>Advance for office expenses</t>
  </si>
  <si>
    <t>Partial Reimbursement Apr 25</t>
  </si>
  <si>
    <t>Partial Reimbursement July 25</t>
  </si>
  <si>
    <t>Reimbursement upto July 25</t>
  </si>
  <si>
    <t>CHAINWATT PRIVATE LIMITED</t>
  </si>
  <si>
    <t>Raatnaa Fin</t>
  </si>
  <si>
    <t>Security Deposit</t>
  </si>
  <si>
    <t>Guest house elctricity June &amp; July</t>
  </si>
  <si>
    <t>Security Deposit warehouse</t>
  </si>
  <si>
    <t>Balance Payment On behalf of Angel Electricals</t>
  </si>
  <si>
    <t xml:space="preserve"> TRUERE COSMIC PVT LTD</t>
  </si>
  <si>
    <t>Cleaning Job April Inv 314</t>
  </si>
  <si>
    <t>Cleaning Job April Inv 316</t>
  </si>
  <si>
    <t>Cleaning Job June Inv 315</t>
  </si>
  <si>
    <t>Cleaning Job May Inv 317</t>
  </si>
  <si>
    <t>Cleaning Job May Inv 318</t>
  </si>
  <si>
    <t>Cleaning Job May Inv 319</t>
  </si>
  <si>
    <t>O &amp; M Charges 180.36 KW Inv 115</t>
  </si>
  <si>
    <t>O &amp; M Charges 180.36 KWp Inv 151</t>
  </si>
  <si>
    <t>O &amp; M Charges 181.44 KWp Inv 150</t>
  </si>
  <si>
    <t>O &amp; M Charges 194.4 KWp Inv 155</t>
  </si>
  <si>
    <t>O &amp; M Charges 194.4 KWp Inv 156</t>
  </si>
  <si>
    <t>O &amp; M Charges 237.6 KWp Inv 152</t>
  </si>
  <si>
    <t>O &amp; M Charges 237.6 KWp Inv 153</t>
  </si>
  <si>
    <t>O &amp; M Charges 2468 KWp Inv 142</t>
  </si>
  <si>
    <t>O &amp; M Charges 270 KWp Inv 148</t>
  </si>
  <si>
    <t>O &amp; M Charges 3136 KWp Inv 143</t>
  </si>
  <si>
    <t>O &amp; M Charges 3659 KWp Inv 141</t>
  </si>
  <si>
    <t>O &amp; M Charges 383.4 KWp Inv 149</t>
  </si>
  <si>
    <t>O &amp; M Charges 484 KWp Inv 147</t>
  </si>
  <si>
    <t>O &amp; M Charges 538.38 KWp Inv 145</t>
  </si>
  <si>
    <t>O &amp; M Charges 541.08 KWp Inv 144</t>
  </si>
  <si>
    <t>O &amp; M Charges 6000 KWp Inv 128</t>
  </si>
  <si>
    <t>O &amp; M Charges 611.28 KWp Inv 146</t>
  </si>
  <si>
    <t>O &amp; M Charges 6221 KWp Inv 129</t>
  </si>
  <si>
    <t>O &amp; M Charges 96.8 KWp Inv 154</t>
  </si>
  <si>
    <t>Warehouse Labour Charges Inv ACS038</t>
  </si>
  <si>
    <t>10% Advance for Panels PI 001</t>
  </si>
  <si>
    <t>Testing &amp; Commissioning Charges Inv 1152</t>
  </si>
  <si>
    <t>Amazone E Gift Voucher PI 154688</t>
  </si>
  <si>
    <t>5 Nos of ITD Covers</t>
  </si>
  <si>
    <t xml:space="preserve">Electricity Charges July </t>
  </si>
  <si>
    <t>Monthly Vehicle Running Charges Inv 010</t>
  </si>
  <si>
    <t>Cab Expenses July Inv 108 to 113 Invoice</t>
  </si>
  <si>
    <t>O &amp; M Charges July Inv 012</t>
  </si>
  <si>
    <t>Monthly Vehicle Hire &amp; Running Charges Inv 02</t>
  </si>
  <si>
    <t>Monthly Vehicle Hire &amp; Running Charges Inv 2</t>
  </si>
  <si>
    <t>Monthly Vehicle Hire &amp; Running Charges Inv 4</t>
  </si>
  <si>
    <t>Gst of Inv 030</t>
  </si>
  <si>
    <t>Gst of Inv 031</t>
  </si>
  <si>
    <t>Gst of Inv 058</t>
  </si>
  <si>
    <t>Gst of Inv 059</t>
  </si>
  <si>
    <t>Monthly Vehicle Hire Charges Inv 2</t>
  </si>
  <si>
    <t>Advance for Site Visit</t>
  </si>
  <si>
    <t>10% Advance for IDT PI 2719</t>
  </si>
  <si>
    <t>Platform Fee Ratnnafin Inv 14</t>
  </si>
  <si>
    <t>10% Advance PI 58</t>
  </si>
  <si>
    <t>Site Expenses Reimbursement upto July</t>
  </si>
  <si>
    <t>Module Cleaning Charges Inv 157</t>
  </si>
  <si>
    <t>Crane Service Inv ACS037</t>
  </si>
  <si>
    <t>For Bond Papers Inv 239</t>
  </si>
  <si>
    <t>For Cables Inv LG 551</t>
  </si>
  <si>
    <t>10% Advance for Breaker</t>
  </si>
  <si>
    <t>For CT PT 10% of PI R1</t>
  </si>
  <si>
    <t>For Fire Protection Systems Inv 1193</t>
  </si>
  <si>
    <t>Gst of Inv 01</t>
  </si>
  <si>
    <t>Gst of Inv 02</t>
  </si>
  <si>
    <t>Gst of Inv 03</t>
  </si>
  <si>
    <t>Gst of Inv 04</t>
  </si>
  <si>
    <t>Gst of Inv 05</t>
  </si>
  <si>
    <t>Balance Payment of Inv 03</t>
  </si>
  <si>
    <t>Monthly O &amp; M Charges Inv 09</t>
  </si>
  <si>
    <t>For Celebration Cake Inv 48</t>
  </si>
  <si>
    <t>For Cleaning Accessories Inv 548</t>
  </si>
  <si>
    <t>For Cleaning Accessories Inv 565</t>
  </si>
  <si>
    <t>70% of Inv 032</t>
  </si>
  <si>
    <t>Monthly Parking Charges Jask Inv 470</t>
  </si>
  <si>
    <t>Monthly Car Rental Jun Inv 3</t>
  </si>
  <si>
    <t>For Metering Structure 20% of PI 1</t>
  </si>
  <si>
    <t>Advance Rent Aug 25</t>
  </si>
  <si>
    <t>For RCC Block 70% of Inv 4 July</t>
  </si>
  <si>
    <t>For Road Works 80% of Inv 23</t>
  </si>
  <si>
    <t>For Gloves etc. PI 61</t>
  </si>
  <si>
    <t>For Microsoft Inv 3045</t>
  </si>
  <si>
    <t>For Thimbles Inv 077</t>
  </si>
  <si>
    <t>Coffee Machine Inv 525</t>
  </si>
  <si>
    <t>Monthly Rent of Coffee Machine Apr 25 Inv 273</t>
  </si>
  <si>
    <t>Monthly Rent of Coffee Machine July 25 Inv 853</t>
  </si>
  <si>
    <t>Monthly Rent of Coffee Machine Jun 25 Inv 663</t>
  </si>
  <si>
    <t>Monthly Rent of Coffee Machine May 25 Inv 500</t>
  </si>
  <si>
    <t>For Piling Work 70% of Inv 2 RA 02</t>
  </si>
  <si>
    <t>For Topographical Survey Inv 07</t>
  </si>
  <si>
    <t>For Cables Inv 2650701250</t>
  </si>
  <si>
    <t>For NTPC Anta EMD</t>
  </si>
  <si>
    <t>Shree Cement</t>
  </si>
  <si>
    <t>SWANS ENTERPRISES</t>
  </si>
  <si>
    <t>WONDERCEMENTLTD</t>
  </si>
  <si>
    <t xml:space="preserve">Interior Consultancy PI </t>
  </si>
  <si>
    <t>Advance for Site Expense</t>
  </si>
  <si>
    <t>Digital Presence Services Aug Inv 185</t>
  </si>
  <si>
    <t>SHRIRAM FINANCE LTD ERSTWHILE SHRIR</t>
  </si>
  <si>
    <t>STAN CHART BAN-</t>
  </si>
  <si>
    <t>Yes</t>
  </si>
  <si>
    <t>Repayment of  Loan &amp; interest</t>
  </si>
  <si>
    <t>Intra company transfer</t>
  </si>
  <si>
    <t>Vendor payments</t>
  </si>
  <si>
    <t>Tender</t>
  </si>
  <si>
    <t>Other Income</t>
  </si>
  <si>
    <t>Inter company support</t>
  </si>
  <si>
    <t>Revenue from operation</t>
  </si>
  <si>
    <t>Operating expenses</t>
  </si>
  <si>
    <t>Disbursement of loan</t>
  </si>
  <si>
    <t>Other finance charges</t>
  </si>
  <si>
    <t>NFT/FBPT252375037308/ICIC/ISN ELECTRONICTENDER SER</t>
  </si>
  <si>
    <t>RTG/FDRLR52025082588862212/UTIB/TRUERE COSMIC PRIV</t>
  </si>
  <si>
    <t>NFT/FBPT252375063955/SBIN/RAJATHAN RAJYA VIDYUT UT</t>
  </si>
  <si>
    <t>RTG/FDRLR52025082588863128/SBIN/RAJATHAN RAJYA VID</t>
  </si>
  <si>
    <t>NFT/FBPT252375066965/ICIC/ASHUTOSH PRATAP SINGH_24</t>
  </si>
  <si>
    <t>NFT/FBPT252385093875/ICIC/INDU BHUSHAN SHARMA/I260</t>
  </si>
  <si>
    <t>NFT/FBPT252385126882/HDFC/MAASHITLA SECURITIES PRI</t>
  </si>
  <si>
    <t>RTG/FDRLR52025082788867233/DEUT/TATA AIG GENERAL I</t>
  </si>
  <si>
    <t>NFT/FBPT252395169989/KKBK/LAVAKUMAR TIWARI/I270825</t>
  </si>
  <si>
    <t>NFT/FBPT252395169990/ICIC/RAJPAL SINGH KANDARI/I27</t>
  </si>
  <si>
    <t>NFT/FBPT252395170494/ICIC/ISN ELECTRONICTENDER SER</t>
  </si>
  <si>
    <t>NFT/FBPT252405194200/HDFC/SUNFIN SOLAR ENERGY AND</t>
  </si>
  <si>
    <t>NFT/FBPT252405241315/ICIC/ISN ELECTRONICTENDER SER</t>
  </si>
  <si>
    <t>NFT/FBPT252405241318/CITI/APAVE TIV INDIA PRIVATE</t>
  </si>
  <si>
    <t>NFT/FBPT252405241314/ICIC/VINOD KUMAR/I28082518197</t>
  </si>
  <si>
    <t>NFT/FBPT252405241312/SBIN/SJVN GREEN ENERGY LIMITE</t>
  </si>
  <si>
    <t>RTG/FDRLR52025082988874358/UBIN/SHRI BEERESHWAR CO</t>
  </si>
  <si>
    <t>NFT/FBPT252425325385/SBIN/SJVN GREEN ENERGY LIMITE</t>
  </si>
  <si>
    <t>NFT/FBPT252425346639/PUNB/ARPIT MISHRA/I3008251521</t>
  </si>
  <si>
    <t>RTG/ORIANA POWER LI/SBINR12025083017148465/SBI</t>
  </si>
  <si>
    <t>RTG/FDRLR52025083088879106/UTIB/TRUERE COSMIC PRIV</t>
  </si>
  <si>
    <t>RTG/ORIANA POWER LI/HDFCR52025083056201082/HDFC BA</t>
  </si>
  <si>
    <t>NFT/FBPT252425371295/HDFC/BRIJESH KUMAR GAUTAM/I30</t>
  </si>
  <si>
    <t>13405500003286:Int.Coll:01-08-2025 to 31-08-2025</t>
  </si>
  <si>
    <t>RTG/FDRLR52025090188880205/ICIC/TRUERE GREEN PRIVA</t>
  </si>
  <si>
    <t>RTG/FDRLR52025090188881307/SBIN/ORIANA POWER LIMIT</t>
  </si>
  <si>
    <t>RTG/ORIANA POWER LI/SBINR12025090117329135/SBI</t>
  </si>
  <si>
    <t>NFT/FBPT252445494497/HDFC/HDFC ERGO GENERAL INSURA</t>
  </si>
  <si>
    <t>NFT/FBPT252445494502/HDFC/HDFC ERGO GENERAL INSURA</t>
  </si>
  <si>
    <t>NFT/FBPT252445494519/HDFC/HDFC ERGO GENERAL INSURA</t>
  </si>
  <si>
    <t>NFT/FBPT252445494504/HDFC/HDFC ERGO GENERAL INSURA</t>
  </si>
  <si>
    <t>RTG/FDRLR52025090188881630/SBIN/TRUERE CURRENT PRI</t>
  </si>
  <si>
    <t>RTG/FDRLR52025090188881631/HDFC/HDFC ERGO GENERAL</t>
  </si>
  <si>
    <t>4% PENAL CHARGES AUGUST-2025 - 13405500003286</t>
  </si>
  <si>
    <t>Cr. to operative a/c. due to int. reversal.</t>
  </si>
  <si>
    <t>FT IMPS/IFO/524515832463/YESB0001058/I020925152580</t>
  </si>
  <si>
    <t>OPL/24-25/TN0001</t>
  </si>
  <si>
    <t>OPL/24-25/UP0840</t>
  </si>
  <si>
    <t>OPL/24-25/UP0548</t>
  </si>
  <si>
    <t>OPL/24-25/CN0061</t>
  </si>
  <si>
    <t>OPL/24-25/UP0586</t>
  </si>
  <si>
    <t>OPL/24-25/UP0609</t>
  </si>
  <si>
    <t>OPL/24-25/UP0610</t>
  </si>
  <si>
    <t>OPL/24-25/UP0623</t>
  </si>
  <si>
    <t>OPL/24-25/UP0624</t>
  </si>
  <si>
    <t>OPL/24-25/UP0626</t>
  </si>
  <si>
    <t>OPL/24-25/UP0627</t>
  </si>
  <si>
    <t>OPL/24-25/UP0681</t>
  </si>
  <si>
    <t>OPL/24-25/CN0088</t>
  </si>
  <si>
    <t>OPL/24-25/UP0687</t>
  </si>
  <si>
    <t>OPL/24-25/UP0699</t>
  </si>
  <si>
    <t>OPL/24-25/UP0816</t>
  </si>
  <si>
    <t>OPL/23-24/UP092</t>
  </si>
  <si>
    <t>OPL/23-24/UP096</t>
  </si>
  <si>
    <t>OPL/23-24/UP118</t>
  </si>
  <si>
    <t>OP/CN/23-24/003</t>
  </si>
  <si>
    <t>OPL/23-24/UP130</t>
  </si>
  <si>
    <t>OPL/23-24/UP132</t>
  </si>
  <si>
    <t>OPL/23-24/UP145</t>
  </si>
  <si>
    <t>OPL/23-24/UP153</t>
  </si>
  <si>
    <t>OPL/24-25/UP0019</t>
  </si>
  <si>
    <t>OPL/24-25/UP0068</t>
  </si>
  <si>
    <t>OPL/24-25/CN0006</t>
  </si>
  <si>
    <t>OPL/24-25/CN0007</t>
  </si>
  <si>
    <t>OPL/24-25/UP0075</t>
  </si>
  <si>
    <t>OPL/24-25/UP0131</t>
  </si>
  <si>
    <t>OPL/24-25/UP0132</t>
  </si>
  <si>
    <t>OPL/24-25/CN0023</t>
  </si>
  <si>
    <t>OPL/24-25/UP0248</t>
  </si>
  <si>
    <t>OPL/25-26/UP0014</t>
  </si>
  <si>
    <t>OPPL/23-24/UP004</t>
  </si>
  <si>
    <t>OPPL/23-24/UP005</t>
  </si>
  <si>
    <t>OPL/23-24/UP017</t>
  </si>
  <si>
    <t>OPL/23-24/UP018</t>
  </si>
  <si>
    <t>OPL/24-25/UP0625</t>
  </si>
  <si>
    <t>OPL/24-25/CN0099</t>
  </si>
  <si>
    <t>OPL/24-25/UP0167</t>
  </si>
  <si>
    <t>OPL/24-25/UP0186</t>
  </si>
  <si>
    <t>OPL/24-25/UP0230</t>
  </si>
  <si>
    <t>OPL/24-25/UP0273</t>
  </si>
  <si>
    <t>OPL/24-25/UP0472</t>
  </si>
  <si>
    <t>OPL/24-25/UP0474</t>
  </si>
  <si>
    <t>OPL/24-25/UP0541</t>
  </si>
  <si>
    <t>OPL/24-25/UP0542</t>
  </si>
  <si>
    <t>OPL/24-25/UP0543</t>
  </si>
  <si>
    <t>OPL/24-25/UP0544</t>
  </si>
  <si>
    <t>OPL/24-25/UP0545</t>
  </si>
  <si>
    <t>OPL/24-25/UP0546</t>
  </si>
  <si>
    <t>OPL/24-25/UP0547</t>
  </si>
  <si>
    <t>OPL/24-25/CN0069</t>
  </si>
  <si>
    <t>OPL/24-25/CN0070</t>
  </si>
  <si>
    <t>OPL/24-25/UP0592</t>
  </si>
  <si>
    <t>OPL/24-25/UP0593</t>
  </si>
  <si>
    <t>OPL/24-25/CN0071</t>
  </si>
  <si>
    <t>OPL/24-25/CN0072</t>
  </si>
  <si>
    <t>OPL/24-25/CN0073</t>
  </si>
  <si>
    <t>OPL/24-25/CN0074</t>
  </si>
  <si>
    <t>OPL/24-25/CN0075</t>
  </si>
  <si>
    <t>OPL/24-25/CN0076</t>
  </si>
  <si>
    <t>OPL/24-25/CN0077</t>
  </si>
  <si>
    <t>OPL/24-25/UP0594</t>
  </si>
  <si>
    <t>OPL/24-25/UP0595</t>
  </si>
  <si>
    <t>OPL/24-25/UP0596</t>
  </si>
  <si>
    <t>OPL/24-25/UP0630</t>
  </si>
  <si>
    <t>OPL/24-25/UP0631</t>
  </si>
  <si>
    <t>OPL/2526/UCN/020</t>
  </si>
  <si>
    <t>OPL/2526/UCN/021</t>
  </si>
  <si>
    <t>OPL/25-26/UP0171</t>
  </si>
  <si>
    <t>OPL/25-26/UP0172</t>
  </si>
  <si>
    <t>OPL/24-25/UP0003</t>
  </si>
  <si>
    <t>OPL/24-25/CN0004</t>
  </si>
  <si>
    <t>OPL/24-25/UP0078</t>
  </si>
  <si>
    <t>OPL/24-25/UP0216</t>
  </si>
  <si>
    <t>OPL/24-25/UP0229</t>
  </si>
  <si>
    <t>OPL/24-25/UP0269</t>
  </si>
  <si>
    <t>OPL/25-26/UP0002</t>
  </si>
  <si>
    <t>OPPL/22-23/UP157</t>
  </si>
  <si>
    <t>OPPL/22-23/UP158</t>
  </si>
  <si>
    <t>OPL/23-24/UP027</t>
  </si>
  <si>
    <t>OPL/23-24/UP029</t>
  </si>
  <si>
    <t>OPL/23-24/UP031</t>
  </si>
  <si>
    <t>OPL/23-24/UP035</t>
  </si>
  <si>
    <t>OPL/23-24/UP051</t>
  </si>
  <si>
    <t>OPL/23-24/UP064</t>
  </si>
  <si>
    <t>OPL/23-24/UP065</t>
  </si>
  <si>
    <t>OPL/23-24/UP072</t>
  </si>
  <si>
    <t>OPL/23-24/UP078</t>
  </si>
  <si>
    <t>OPL/23-24/UP081</t>
  </si>
  <si>
    <t>OPL/23-24/UP082</t>
  </si>
  <si>
    <t>OPL/24-25/UP0026</t>
  </si>
  <si>
    <t>OPL/24-25/UP0172</t>
  </si>
  <si>
    <t>OPL/24-25/CN0030</t>
  </si>
  <si>
    <t>OP/CN/22-23/001</t>
  </si>
  <si>
    <t>OPPL/22-23/UP022</t>
  </si>
  <si>
    <t>OPPL/22-23/UP025</t>
  </si>
  <si>
    <t>OPPL/22-23/UP056</t>
  </si>
  <si>
    <t>OP/CN/22-23/012</t>
  </si>
  <si>
    <t>OPL/24-25/RJ0006</t>
  </si>
  <si>
    <t>OPL/24-25/RJ0007</t>
  </si>
  <si>
    <t>OPL/24-25/RJ0008</t>
  </si>
  <si>
    <t>OPL/25-26/RJ0019</t>
  </si>
  <si>
    <t>OPL/25-26/RJ0020</t>
  </si>
  <si>
    <t>OPL/25-26/RJ0021</t>
  </si>
  <si>
    <t>OPL/25-26/UP0145</t>
  </si>
  <si>
    <t>OPL/25-26/UP0174</t>
  </si>
  <si>
    <t>OPL/25-26/UP0187</t>
  </si>
  <si>
    <t>OPL/23-24/UP037</t>
  </si>
  <si>
    <t>OPL/24-25/UP0608</t>
  </si>
  <si>
    <t>OPL/23-24/UP030</t>
  </si>
  <si>
    <t>OPL/24-25/UP0606</t>
  </si>
  <si>
    <t>OPPL/22-23/UP001</t>
  </si>
  <si>
    <t>OPPL/22-23/UP009</t>
  </si>
  <si>
    <t>OP/CN/22-23/002</t>
  </si>
  <si>
    <t>OPPL/22-23/UP016</t>
  </si>
  <si>
    <t>OPPL/22-23/UP021</t>
  </si>
  <si>
    <t>OPPL/22-23/UP027</t>
  </si>
  <si>
    <t>OPPL/22-23/UP028</t>
  </si>
  <si>
    <t>OPPL/22-23/UP129</t>
  </si>
  <si>
    <t>OPPL/22-23/UP130</t>
  </si>
  <si>
    <t>OPPL/23-24/UP001</t>
  </si>
  <si>
    <t>OPL/23-24/UP009</t>
  </si>
  <si>
    <t>OPL/23-24/UP010</t>
  </si>
  <si>
    <t>OP/CN/23-24/001</t>
  </si>
  <si>
    <t>OPL/24-25/UP0780</t>
  </si>
  <si>
    <t>OPL/25-26/UP0130</t>
  </si>
  <si>
    <t>OPL/25-26/UP0177</t>
  </si>
  <si>
    <t>OPL/24-25/UP0215</t>
  </si>
  <si>
    <t>OPL/24-25/UP0251</t>
  </si>
  <si>
    <t>OPL/24-25/CN0027</t>
  </si>
  <si>
    <t>OPL/24-25/UP0266</t>
  </si>
  <si>
    <t>OPL/24-25/UP0289</t>
  </si>
  <si>
    <t>OPL/24-25/UP0304</t>
  </si>
  <si>
    <t>OPL/24-25/UP0329</t>
  </si>
  <si>
    <t>OPL/24-25/UP0442</t>
  </si>
  <si>
    <t>OPL/24-25/CN0040</t>
  </si>
  <si>
    <t>OPL/24-25/UP0468</t>
  </si>
  <si>
    <t>OPL/24-25/UP0469</t>
  </si>
  <si>
    <t>OPL/24-25/CN0042</t>
  </si>
  <si>
    <t>OPL/24-25/UP0476</t>
  </si>
  <si>
    <t>OPL/24-25/CN0045</t>
  </si>
  <si>
    <t>OPL/24-25/UP0536</t>
  </si>
  <si>
    <t>OPL/24-25/CN0060</t>
  </si>
  <si>
    <t>OPL/24-25/UP0554</t>
  </si>
  <si>
    <t>OPL/24-25/UP0674</t>
  </si>
  <si>
    <t>OPL/24-25/CN0087</t>
  </si>
  <si>
    <t>OPL/24-25/UP0685</t>
  </si>
  <si>
    <t>Investment (Redemption) in FD</t>
  </si>
  <si>
    <t>Statutpry Dues</t>
  </si>
  <si>
    <t>CFS</t>
  </si>
  <si>
    <t>Investing Activity</t>
  </si>
  <si>
    <t>Operating Activity</t>
  </si>
  <si>
    <t>Financing Activity</t>
  </si>
  <si>
    <t>Sundry Creditors</t>
  </si>
  <si>
    <t>Opening Balance</t>
  </si>
  <si>
    <t>Closing Balance</t>
  </si>
  <si>
    <t>1-Apr-25 to 25-Jul-25</t>
  </si>
  <si>
    <t>Debit</t>
  </si>
  <si>
    <t>Credit</t>
  </si>
  <si>
    <t>Opening</t>
  </si>
  <si>
    <t>Closing</t>
  </si>
  <si>
    <t>Red</t>
  </si>
  <si>
    <t>ARMATEC FTS INDIA PVT LTD</t>
  </si>
  <si>
    <t>Atlas Copco (India) Private Limited</t>
  </si>
  <si>
    <t>BALKRISHNA BOILERS PVT. LTD</t>
  </si>
  <si>
    <t>HEYTEX TECHNICAL TEXTILES ZHANNGIANGANG CO LTD</t>
  </si>
  <si>
    <t>KLG INDUSTRIES</t>
  </si>
  <si>
    <t>LEOTRONIC SCALES PRIVATE LIMITED</t>
  </si>
  <si>
    <t>LS POWER CONTROL PVT LTD</t>
  </si>
  <si>
    <t>Maschinenfabrik Bernard Krone Gmbh &amp;Co.</t>
  </si>
  <si>
    <t>P &amp; ID EQUIPMENT SOLUTION</t>
  </si>
  <si>
    <t>ROSTFREI STEEL PVT LTD</t>
  </si>
  <si>
    <t>ROTO PUMP</t>
  </si>
  <si>
    <t>SHREDDER SOLUTIONS PVT LTD</t>
  </si>
  <si>
    <t>STEER ENGINEERING PVT LTD</t>
  </si>
  <si>
    <t>Thermax Limited</t>
  </si>
  <si>
    <t>VARDHMAN ELECTRO-MECH PVT LIMITED</t>
  </si>
  <si>
    <t>A2 GREEN ENERGY PVT. LTD.</t>
  </si>
  <si>
    <t>A 3 AUTOMATIONS</t>
  </si>
  <si>
    <t>AADITECH  INSPECTION AND SERVICES</t>
  </si>
  <si>
    <t>AASHIRWAD INDUSTRIES</t>
  </si>
  <si>
    <t>ABC TRANSFORMERS PVT LTD</t>
  </si>
  <si>
    <t>A B Pal Electricals Pvt. Ltd.</t>
  </si>
  <si>
    <t>ABS METAL LABEL</t>
  </si>
  <si>
    <t>ACSR ELECTRICALS</t>
  </si>
  <si>
    <t>ADAPTIVE ENGINEERING PRIVATE LIMITED</t>
  </si>
  <si>
    <t>ADECCO INDIA PRIVATE LIMITED</t>
  </si>
  <si>
    <t>ADVANCE EDUCARE TRAINING</t>
  </si>
  <si>
    <t>ADVIK ENERGY SOLUTIONS PVT LTD</t>
  </si>
  <si>
    <t>AEGEUS TECHNOLOGIES LIMITED</t>
  </si>
  <si>
    <t>AGARWAL FASTNERS PVT LTD</t>
  </si>
  <si>
    <t>Aggarwal Reliable Trading Co</t>
  </si>
  <si>
    <t>Agrawal Engineering Stores</t>
  </si>
  <si>
    <t>Aira Euro Automation Private Limited</t>
  </si>
  <si>
    <t>AJAY ENTERPRISES</t>
  </si>
  <si>
    <t>ALFA INTERCONTINENTAL PVT LTD</t>
  </si>
  <si>
    <t>ALISPED INDIA PVT LTD</t>
  </si>
  <si>
    <t>ALLIED MOTORS LIMITED</t>
  </si>
  <si>
    <t>ALLIED POWER SOLUTIONS PRIVATE LIMITED</t>
  </si>
  <si>
    <t>AMAN ENTERPRISES</t>
  </si>
  <si>
    <t>AMBIKA ENTERPRISES</t>
  </si>
  <si>
    <t>Amc Green Solution</t>
  </si>
  <si>
    <t>AM SQUARE TECHNOLOGY</t>
  </si>
  <si>
    <t>AM TRANSPORT CORPORATION</t>
  </si>
  <si>
    <t>Angel Electricals</t>
  </si>
  <si>
    <t>ANIKET PROJECT AND SERVICES (OPC) PRIVATE LIMITED</t>
  </si>
  <si>
    <t>ANJALI INFRA</t>
  </si>
  <si>
    <t>Anshika Enterprises</t>
  </si>
  <si>
    <t>ANSH SOLAR SERVICE</t>
  </si>
  <si>
    <t>ANVI POWER SOLUTIONS</t>
  </si>
  <si>
    <t>AON SOLAR TECHNOLOGY PVT LTD</t>
  </si>
  <si>
    <t>APAVE TIV INDIA PVT LTD</t>
  </si>
  <si>
    <t>A &amp; P Electrical Works</t>
  </si>
  <si>
    <t>ARISTA SUPPORT INC</t>
  </si>
  <si>
    <t>ARJUN GENERATORS</t>
  </si>
  <si>
    <t>ASHOK KR ARORA C-103</t>
  </si>
  <si>
    <t>ASHOK KUMAR GARG</t>
  </si>
  <si>
    <t>ASIAN ELECTROTECH INDUSTRIES LLP</t>
  </si>
  <si>
    <t>ASIATIC ELECTRICAL &amp; SWITCHGEAR</t>
  </si>
  <si>
    <t>ASSAR ELECTRICALS</t>
  </si>
  <si>
    <t>A TREDS</t>
  </si>
  <si>
    <t>Austino Industrial</t>
  </si>
  <si>
    <t>Avadhesh Kumar</t>
  </si>
  <si>
    <t>AVIONICS SPARROW PRIVATE LIMITED</t>
  </si>
  <si>
    <t>BAHETI'S APPLIANCES</t>
  </si>
  <si>
    <t>BAIDY NATH SINGH</t>
  </si>
  <si>
    <t>Bajaj Allianz General Insurance</t>
  </si>
  <si>
    <t>BAJRANG BALI BREAK DOWN SERVICES</t>
  </si>
  <si>
    <t>BAJRANG ELECTRIC WORK</t>
  </si>
  <si>
    <t>BALAJI SOLAR ENERGY SOLUTIONS</t>
  </si>
  <si>
    <t>BANSAL TRADERS</t>
  </si>
  <si>
    <t>Bd Energy Solutions</t>
  </si>
  <si>
    <t>BENTLEY SYSTEMS INDIA PVT LTD</t>
  </si>
  <si>
    <t>BHADARIYARAI SECURITY FORCE</t>
  </si>
  <si>
    <t>BHADRIYA RAI CONSTRUCTION</t>
  </si>
  <si>
    <t>BHAGWATI ICONIC PVT LTD</t>
  </si>
  <si>
    <t>BHARAT BIJLEE LIMITED</t>
  </si>
  <si>
    <t>BHARAT COKING COAL LIMITED-Washery Div.</t>
  </si>
  <si>
    <t>BHARAT CONSTRUCTION COMPANY</t>
  </si>
  <si>
    <t>BHARTI AIRTEL LTD</t>
  </si>
  <si>
    <t>BHERU SINGH CONTRACTOR</t>
  </si>
  <si>
    <t>BIGWIN BUILDSYS COATED PVT LTD</t>
  </si>
  <si>
    <t>BIRASINI TEST HOUSE</t>
  </si>
  <si>
    <t>BLUEWUD CONCEPTS PRIVATE LIMITED</t>
  </si>
  <si>
    <t>BNK ENERGY PVT LTD</t>
  </si>
  <si>
    <t>BN POWER INFRA PVT LTD</t>
  </si>
  <si>
    <t>Bombay Ply</t>
  </si>
  <si>
    <t>BOSE ABASAN PRAKALPA</t>
  </si>
  <si>
    <t>B R ARCHSTRUCT</t>
  </si>
  <si>
    <t>BRIGHT HOME</t>
  </si>
  <si>
    <t>Brijraj Verma</t>
  </si>
  <si>
    <t>BUILTUP INDIA STRUCTURES PVT. LTD.</t>
  </si>
  <si>
    <t>BUREAU VERITAS (INDIA) PRIVATE LIMITED</t>
  </si>
  <si>
    <t>CAREWIDE LOGISTICS</t>
  </si>
  <si>
    <t>CENTRAL DEPOSITORY SERVICES L</t>
  </si>
  <si>
    <t>CENTRAL ENERGY SOLUTIONS</t>
  </si>
  <si>
    <t>CG POWER &amp; INDUSTRIAL SOLUTIONS PVT LTD</t>
  </si>
  <si>
    <t>CHAI GARAM</t>
  </si>
  <si>
    <t>Chanchal Trading Company</t>
  </si>
  <si>
    <t>CHAREESH CONSTRUCTIONS</t>
  </si>
  <si>
    <t>CHENNAI FIRE PROTECTION</t>
  </si>
  <si>
    <t>CHENNAI TECHNO SOLUTIONS</t>
  </si>
  <si>
    <t>CHOPRA H L ASSOCIATES</t>
  </si>
  <si>
    <t>CHOTELAL PLUMBING AND FABRICATION</t>
  </si>
  <si>
    <t>Ciel Hr Services Limited</t>
  </si>
  <si>
    <t>Cipher Cubes Pvt Ltd</t>
  </si>
  <si>
    <t>CIVIL TECH LABORATORY</t>
  </si>
  <si>
    <t>Cj Darcl Logistics Limited</t>
  </si>
  <si>
    <t>CLEAN FIRE INDIA PVT LTD</t>
  </si>
  <si>
    <t>CLICKTECH RETAIL PRIVATE LIMITED</t>
  </si>
  <si>
    <t>CLUSTER HOLDINGS</t>
  </si>
  <si>
    <t>COCOBLU RETAIL LIMITED</t>
  </si>
  <si>
    <t>Comcon Electronics Pvt. Ltd.</t>
  </si>
  <si>
    <t>CONCEPTO EXHIBITION AND INTERIORS</t>
  </si>
  <si>
    <t>CONNECT PACK LOGISTICS</t>
  </si>
  <si>
    <t>CONTINENTAL ENGINEERS</t>
  </si>
  <si>
    <t>CORDS CABLE INDUSTRIES LIMITED</t>
  </si>
  <si>
    <t>CORONET ENGINEERS PVT LTD</t>
  </si>
  <si>
    <t>CREATER POLY EXTRUSIONS</t>
  </si>
  <si>
    <t>CRISIL RATINGS LIMITED</t>
  </si>
  <si>
    <t>CTR MANUFATURING INDUSTRIES PRIVATE LIMITED</t>
  </si>
  <si>
    <t>CYBER TREASURY</t>
  </si>
  <si>
    <t>DAIKIN AIRCONDITIONING INDIA PVT LTD</t>
  </si>
  <si>
    <t>DARA PROJECTS PVT LTD</t>
  </si>
  <si>
    <t>DAWNTECH ELECTRONICS PVT LTD</t>
  </si>
  <si>
    <t>DEEPA RAM</t>
  </si>
  <si>
    <t>Delhi Security &amp; Manpower Service Private Limited</t>
  </si>
  <si>
    <t>DELSTAR</t>
  </si>
  <si>
    <t>Destiny Construction</t>
  </si>
  <si>
    <t>Deutsche Cars Pvt Ltd</t>
  </si>
  <si>
    <t>Dev Accelerator Limited</t>
  </si>
  <si>
    <t>Dev Engineering</t>
  </si>
  <si>
    <t>DIGITAL PRINTZ</t>
  </si>
  <si>
    <t>Digital Xplode Pvt Ltd</t>
  </si>
  <si>
    <t>DIKVEER ENGINEERS</t>
  </si>
  <si>
    <t>DILEEP PANDEY</t>
  </si>
  <si>
    <t>DIRECTOR AIIMS BHOPAL</t>
  </si>
  <si>
    <t>DIVYA POWER CONSTRUCTIONS</t>
  </si>
  <si>
    <t>DIWAKAR RENEWABLES &amp; INFRA P L</t>
  </si>
  <si>
    <t>DNOVA INFRACON PRIVATE LIMITED</t>
  </si>
  <si>
    <t>DURGA CONSTRUCTION</t>
  </si>
  <si>
    <t>D VALLY TECHNOLOGIES</t>
  </si>
  <si>
    <t>EAGLE EYE SECURITY &amp; SERVICES</t>
  </si>
  <si>
    <t>ECOTEQ GREEN ENERGIES</t>
  </si>
  <si>
    <t>EDEL GARNER RENEWABLES</t>
  </si>
  <si>
    <t>EDUFORCE</t>
  </si>
  <si>
    <t>EHV ENGINEERS</t>
  </si>
  <si>
    <t>ELECTRICAL RESEARCH &amp; DEV. ASSOCIATION</t>
  </si>
  <si>
    <t>ELECTROTHERM INDIA LTD</t>
  </si>
  <si>
    <t>ELENSER ENGINEERING INDIA PVT LTD</t>
  </si>
  <si>
    <t>Energy Electricals</t>
  </si>
  <si>
    <t>Enersider Markets Media</t>
  </si>
  <si>
    <t>ENGILD ENERGY PRIVATE LIMITED</t>
  </si>
  <si>
    <t>ENGINEERS ENTERPRISES</t>
  </si>
  <si>
    <t>ESENNAR TRANSFORMERS PVT. LTD.</t>
  </si>
  <si>
    <t>ESSAR POWER CONTROLS</t>
  </si>
  <si>
    <t>ETA ENGINEERS BANGLORE</t>
  </si>
  <si>
    <t>Events Tentage and Catering Services</t>
  </si>
  <si>
    <t>EVERGREEN SHIPPING AGENCY</t>
  </si>
  <si>
    <t>Evoc Communications Consulting Private Limited</t>
  </si>
  <si>
    <t>EXPEL PROSYS PVT LTD</t>
  </si>
  <si>
    <t>EYCONIC WORLD COMPU SOLAR SOLUTIONS P.L</t>
  </si>
  <si>
    <t>Fast Track</t>
  </si>
  <si>
    <t>Faultcode</t>
  </si>
  <si>
    <t>FILATECH CORPORATION PVT LTD</t>
  </si>
  <si>
    <t>FIXED PRICE MOBILE SHOP</t>
  </si>
  <si>
    <t>FORTUNA PUBLIC RELATIONS PRIVATE LIMITED</t>
  </si>
  <si>
    <t>FRA MAURO ENTERPRISES</t>
  </si>
  <si>
    <t>Freepik Company S.L.</t>
  </si>
  <si>
    <t>Fs India Solar Ventures Private Limited</t>
  </si>
  <si>
    <t>FUTURE TECH SOLUTIONS</t>
  </si>
  <si>
    <t>FYSICA TECHNOLOGIES PRIVATE LIMITED</t>
  </si>
  <si>
    <t>G4S FACILITY SERVICES INDIA</t>
  </si>
  <si>
    <t>G4S Secure Solutions (India) Private Limited</t>
  </si>
  <si>
    <t>GALAXY INDUSTRIAL EQUIPMENTS PRIVATE LIMITED</t>
  </si>
  <si>
    <t>GALAXY INSTRUMENTS</t>
  </si>
  <si>
    <t>Gandas Industries Private Limited</t>
  </si>
  <si>
    <t>GANPATI PAINTS &amp; HARDWARE</t>
  </si>
  <si>
    <t>GARG HARDWARE STORE</t>
  </si>
  <si>
    <t>GAUTAM SECURITY SERVICES</t>
  </si>
  <si>
    <t>GAUTAM SOLAR PVT LTD (UK)</t>
  </si>
  <si>
    <t>GAYATRI</t>
  </si>
  <si>
    <t>G.C.B. Construction &amp; Earth Movers</t>
  </si>
  <si>
    <t>GD ENTERPRISES</t>
  </si>
  <si>
    <t>GEEKEN SEATING COLLECTIONS PVT LTD</t>
  </si>
  <si>
    <t>GE VERNOVA T &amp; D INDIA LIMITED</t>
  </si>
  <si>
    <t>Giantlok India Pvt Ltd</t>
  </si>
  <si>
    <t>GIRDHAR &amp; GIRDHAR CO.</t>
  </si>
  <si>
    <t>GLOBAL ENGINEERS</t>
  </si>
  <si>
    <t>GLOBAL EXPERIENCE</t>
  </si>
  <si>
    <t>GOLDI SOLAR PVT LTD</t>
  </si>
  <si>
    <t>GOLDI SUN PVT LTD</t>
  </si>
  <si>
    <t>GOODLUCK INDIA LIMITED</t>
  </si>
  <si>
    <t>Good Works Solutions</t>
  </si>
  <si>
    <t>GOVIND BHANUDAS GUNDALE</t>
  </si>
  <si>
    <t>GOYAL SANITARY STORE</t>
  </si>
  <si>
    <t>GOYAL TRADERS</t>
  </si>
  <si>
    <t>GP ECO SOLUTIONS INDIA PVT LTD(Cr)</t>
  </si>
  <si>
    <t>GREEN SHADE  CONSULTANTS</t>
  </si>
  <si>
    <t>Grolight Vision Private Limited</t>
  </si>
  <si>
    <t>GROUP PLUS ONE SECURITY</t>
  </si>
  <si>
    <t>GR POWER SWITCHGEAR LIMITED</t>
  </si>
  <si>
    <t>GS ELECTROTECH  PVT LTD (UP)</t>
  </si>
  <si>
    <t>GSME SOLAR GREEN ENERGY</t>
  </si>
  <si>
    <t>GUNADHAR MAHTO</t>
  </si>
  <si>
    <t>HANSAN TECHNO SERVICES</t>
  </si>
  <si>
    <t>HANUMAN PLASTIC</t>
  </si>
  <si>
    <t>HARGOBIND ELECTRICAL WORKS</t>
  </si>
  <si>
    <t>Harmony Arts &amp; Culture Of Music</t>
  </si>
  <si>
    <t>HARYANA ENGG &amp; CONSTRUCTION CO.</t>
  </si>
  <si>
    <t>Hasan Khan</t>
  </si>
  <si>
    <t>HDFC ERGO GIC LTD</t>
  </si>
  <si>
    <t>HELIUMFOUR SOLAR PVT LTD</t>
  </si>
  <si>
    <t>HELIUM RENEWABLES ENERGY PRIVATE LIMITED</t>
  </si>
  <si>
    <t>HEVINS ENGINEERING PRIVATE LTD</t>
  </si>
  <si>
    <t>HIMVA ENTERPRISES</t>
  </si>
  <si>
    <t>HIND PORTABLE CABIN</t>
  </si>
  <si>
    <t>HIND TERMINALS PRIVATE LIMITED</t>
  </si>
  <si>
    <t>Hindustan Electricals &amp; Switchgear</t>
  </si>
  <si>
    <t>HIRA SWEETS &amp; CONFECTIONARY</t>
  </si>
  <si>
    <t>HOME ZONE</t>
  </si>
  <si>
    <t>HS Control &amp; Systems</t>
  </si>
  <si>
    <t>Hywin Energy Private Limited</t>
  </si>
  <si>
    <t>ICICI Lombard General Insurance Co. Ltd.</t>
  </si>
  <si>
    <t>INDIAN INDUSTRIES ASSOCIATION</t>
  </si>
  <si>
    <t>Indo German Chamber of Commerce</t>
  </si>
  <si>
    <t>Indra Devi</t>
  </si>
  <si>
    <t>INDUSTRIAL ELECTRICALS</t>
  </si>
  <si>
    <t>Industrial Electricity Consumers Consortium</t>
  </si>
  <si>
    <t>INDUSTRIAL SALES AGENCY</t>
  </si>
  <si>
    <t>INFO CREATIONS</t>
  </si>
  <si>
    <t>INFO EDGE INDIA LTD</t>
  </si>
  <si>
    <t>InfraR Solutions</t>
  </si>
  <si>
    <t>INNOVEST VENTURES</t>
  </si>
  <si>
    <t>Instaspaces Realtech Private Limited</t>
  </si>
  <si>
    <t>INTERMODAL LOGISTICS PVT LTD</t>
  </si>
  <si>
    <t>INTERNAL SECURITY MANPOWER SERVICE</t>
  </si>
  <si>
    <t>Intertek India Pvt Ltd</t>
  </si>
  <si>
    <t>IPR TECHNOLOGIES PVT LTD</t>
  </si>
  <si>
    <t>IRO ENERGY SOLUTIONS</t>
  </si>
  <si>
    <t>ISN ELECTRONICTENDER SERVICES PRIVATE LIMITED</t>
  </si>
  <si>
    <t>JAGDAMBA INFRA DEVELOPERS</t>
  </si>
  <si>
    <t>Jagdamba Tour &amp; Travels</t>
  </si>
  <si>
    <t>JAI DURGA INDUSTRIAL TOOLS</t>
  </si>
  <si>
    <t>JAIN IRON STORE</t>
  </si>
  <si>
    <t>Janak Raj Arora</t>
  </si>
  <si>
    <t>JEEVAN ENTERPRISES</t>
  </si>
  <si>
    <t>J F ASSOCIATES</t>
  </si>
  <si>
    <t>JFC LABORATORIES PVT LTD</t>
  </si>
  <si>
    <t>JIGS GLOBAL SOLUTIONS</t>
  </si>
  <si>
    <t>JINDAL SALES CORPORATION</t>
  </si>
  <si>
    <t>JIO PLATFORMS LIMITED</t>
  </si>
  <si>
    <t>JITENDRA ENTERPRISES</t>
  </si>
  <si>
    <t>J.K.DEFENCE FIRE ENGG.SERVICES</t>
  </si>
  <si>
    <t>J.K. Electricals</t>
  </si>
  <si>
    <t>J.K. TRADING CO.</t>
  </si>
  <si>
    <t>JSW STEEL COATED PRODUCTS LTD</t>
  </si>
  <si>
    <t>JVA &amp; ASSOCIATES</t>
  </si>
  <si>
    <t>JVS CERTIFICATION</t>
  </si>
  <si>
    <t>JYOTI ERECTORS PRIVATE LIMITED</t>
  </si>
  <si>
    <t>Jyoti Machinery</t>
  </si>
  <si>
    <t>KAILASH KUMAR JHA &amp; CO</t>
  </si>
  <si>
    <t>KALOLWALA &amp; ASSOCIATES PRIVATE LTD</t>
  </si>
  <si>
    <t>KALPA ELECTRIKAL PVT LTD</t>
  </si>
  <si>
    <t>KALYAN ELECTRICAL ENGINEERING</t>
  </si>
  <si>
    <t>KAMAL ELECTRICALS</t>
  </si>
  <si>
    <t>KAMAL NARENDER AND CO</t>
  </si>
  <si>
    <t>KANISHKA ENGINEERING</t>
  </si>
  <si>
    <t>KANNECT ENGINEERS PVT LTD</t>
  </si>
  <si>
    <t>Karamtara Engineering Pvt Ltd.</t>
  </si>
  <si>
    <t>Kaushal Kumar Gadia</t>
  </si>
  <si>
    <t>KAVERI TRADING COMPANY</t>
  </si>
  <si>
    <t>Keerthi Electronics &amp; Furnitures</t>
  </si>
  <si>
    <t>KESHAV KRIPA POLYPLAST</t>
  </si>
  <si>
    <t>KIRAN</t>
  </si>
  <si>
    <t>KOZASKO FOOTWEAR PRIVATE LIMITED</t>
  </si>
  <si>
    <t>KREATE TECHNOLOGIES PRIVATE LIMITED</t>
  </si>
  <si>
    <t>KRUTI TECHNOENGINEERING PVT. LTD</t>
  </si>
  <si>
    <t>KSHITIZ TECHNOLOGY</t>
  </si>
  <si>
    <t>KULDEEP GRAH UDYOG</t>
  </si>
  <si>
    <t>KUMAR CONSULTING ENGINEERS</t>
  </si>
  <si>
    <t>KUSHAL ELECTRICALS</t>
  </si>
  <si>
    <t>Kushal Travels</t>
  </si>
  <si>
    <t>LAXMI ENTERPRISES</t>
  </si>
  <si>
    <t>LEELA ENTERPRISES</t>
  </si>
  <si>
    <t>LEI REGISTER INDIA PVT LTD</t>
  </si>
  <si>
    <t>LENOVO INDIA PVT. LTD.</t>
  </si>
  <si>
    <t>LESHA ENGINEERS, BHOPAL</t>
  </si>
  <si>
    <t>LIFEGEAR SAFETECH PRIVATE LIMITED</t>
  </si>
  <si>
    <t>L.K. ENGINEERS</t>
  </si>
  <si>
    <t>Love Tent House</t>
  </si>
  <si>
    <t>LUCKY ELECTRICALS</t>
  </si>
  <si>
    <t>LUXMI PLASTIC &amp; GENERAL STORE</t>
  </si>
  <si>
    <t>MAAN ENTERPRISES</t>
  </si>
  <si>
    <t>MAASHITLA SECURITIES PVT LTD</t>
  </si>
  <si>
    <t>MACHT CONSULTANTS PVT LTD</t>
  </si>
  <si>
    <t>MAC MACHINE TOOLS &amp; AUTOMATION</t>
  </si>
  <si>
    <t>MADHUSOODANAN P</t>
  </si>
  <si>
    <t>MAHALAKSHMI HARDWARE &amp; ELECTRICALS</t>
  </si>
  <si>
    <t>MAHALAKSHMI PLYWOOD</t>
  </si>
  <si>
    <t>MAHARAJA MILITARY STORE</t>
  </si>
  <si>
    <t>Mahavir Transmission Limited</t>
  </si>
  <si>
    <t>Mahesh Trading Company</t>
  </si>
  <si>
    <t>MALJAL TECHNOLOGIES PVT LTD</t>
  </si>
  <si>
    <t>MANGALAM MACHINARY STORE</t>
  </si>
  <si>
    <t>MANGAL DEEP TRADING CO.</t>
  </si>
  <si>
    <t>MANMOHAN MEHTA</t>
  </si>
  <si>
    <t>MASTER CAPITAL SERVICES LTD</t>
  </si>
  <si>
    <t>MAVERIK FACILITY MANAGEMENT PVT LTD</t>
  </si>
  <si>
    <t>MAXBROS VENTURES  INDIA LIMITED</t>
  </si>
  <si>
    <t>MCCOY DIGITAL PVT. LTD.</t>
  </si>
  <si>
    <t>MEER CORPORATION</t>
  </si>
  <si>
    <t>MEGA CITY CONSTRUCTIONS</t>
  </si>
  <si>
    <t>MEISSA TECHNOLOGIES PVT LTD</t>
  </si>
  <si>
    <t>MERAYO EGRAB LLP</t>
  </si>
  <si>
    <t>MERGANSER ENERGYNE PVT LTD</t>
  </si>
  <si>
    <t>METAL PORTABLE CABIN</t>
  </si>
  <si>
    <t>Micromap Electronic Systems Private Limited</t>
  </si>
  <si>
    <t>MILL POINT</t>
  </si>
  <si>
    <t>M M Associates</t>
  </si>
  <si>
    <t>MNR ELECTRICALS</t>
  </si>
  <si>
    <t>MNS CREDIT MANAGEMENT GROUP (P) LTD</t>
  </si>
  <si>
    <t>MOGLI LABS (INDIA) PRIVATE LIMITED</t>
  </si>
  <si>
    <t>M R Electricals</t>
  </si>
  <si>
    <t>MRF  POWER GROUP AND CO.</t>
  </si>
  <si>
    <t>M SAFE EQUIPMENTS PRIVATE LIMITED</t>
  </si>
  <si>
    <t>MS ENTERPRISES</t>
  </si>
  <si>
    <t>M/s Jask Exports Privet Limited</t>
  </si>
  <si>
    <t>M/s N.T.P.C. Limited</t>
  </si>
  <si>
    <t>M/s Raj Electronics</t>
  </si>
  <si>
    <t>M/s Tech Sales and Services</t>
  </si>
  <si>
    <t>MTE STRUCTURES PVT LTD</t>
  </si>
  <si>
    <t>MUKESH KUMAR DEOGHARIA</t>
  </si>
  <si>
    <t>Murali and Venkat</t>
  </si>
  <si>
    <t>MURTI DEVI</t>
  </si>
  <si>
    <t>MUSKAN ENERGY SOLAR SOLUTION</t>
  </si>
  <si>
    <t>MVM JAIN AND ASSOCIATES</t>
  </si>
  <si>
    <t>MYND SOLUTIONS PVT LTD</t>
  </si>
  <si>
    <t>Nanded Cran Service</t>
  </si>
  <si>
    <t>NAND MOTORS</t>
  </si>
  <si>
    <t>NANDWANI &amp; ASSOCIATES</t>
  </si>
  <si>
    <t>NATARAJSAI HOTELS LLP</t>
  </si>
  <si>
    <t>NATIONAL HARDWARE MART</t>
  </si>
  <si>
    <t>NATIONAL INSTITUTE OF SOLAR ENERGY</t>
  </si>
  <si>
    <t>NATIONAL SECURITIES DEPOSITORY LIMITED</t>
  </si>
  <si>
    <t>NATIONAL STORES</t>
  </si>
  <si>
    <t>NAVCHETNA CLIMATESOLUTIONS PVT LTD</t>
  </si>
  <si>
    <t>NAW DURGA CRANE SERVICE</t>
  </si>
  <si>
    <t>Neueden</t>
  </si>
  <si>
    <t>NEXAUM ENERGY PVT LTD</t>
  </si>
  <si>
    <t>Nirmal Jain&amp;Co.</t>
  </si>
  <si>
    <t>Nirmla Electricals</t>
  </si>
  <si>
    <t>NOIDA MART</t>
  </si>
  <si>
    <t>NORTEX MARKETING</t>
  </si>
  <si>
    <t>NTPC Renewable Energy Limited</t>
  </si>
  <si>
    <t>Oasis Techno Engineers Private Ltimited</t>
  </si>
  <si>
    <t>OJO POWER ENTERPRISES</t>
  </si>
  <si>
    <t>OPTIMA SOLUTIONS</t>
  </si>
  <si>
    <t>Orion Industries</t>
  </si>
  <si>
    <t>Pace Energy</t>
  </si>
  <si>
    <t>PAINTER ARTS</t>
  </si>
  <si>
    <t>PALIWAL BUILDING MATERIAL</t>
  </si>
  <si>
    <t>PANCHAL RENTAL SERVICE</t>
  </si>
  <si>
    <t>PANKHUDI TOUR &amp; TRAVELS</t>
  </si>
  <si>
    <t>PARAG INDUSTRIAL &amp; HARDWARE STORE</t>
  </si>
  <si>
    <t>PARALLY SOLUTIONS</t>
  </si>
  <si>
    <t>PARTHWAY TOURS &amp; TRAVELS</t>
  </si>
  <si>
    <t>PATEL CEMENT UDYOG</t>
  </si>
  <si>
    <t>Patel Switchgear and Cable</t>
  </si>
  <si>
    <t>P. B. TOOLS &amp; ENGINEERS</t>
  </si>
  <si>
    <t>PEGASUS CAPITAL</t>
  </si>
  <si>
    <t>PERFECT INFO SOLUTIONS</t>
  </si>
  <si>
    <t>PIONEER EN-TECH PVT LTD</t>
  </si>
  <si>
    <t>PLANWEY GLOBAL SERVICES PRIVATE LIMITED</t>
  </si>
  <si>
    <t>PORTA CABIN SYSTEMS</t>
  </si>
  <si>
    <t>POWER2SME PVT LTD</t>
  </si>
  <si>
    <t>POWER GRID CORPORATION OF INDIA LTD</t>
  </si>
  <si>
    <t>POWERONE MICROSYSTEMS PVT LTD</t>
  </si>
  <si>
    <t>PRABHATI ENTERPRICE</t>
  </si>
  <si>
    <t>Prabhu Construction</t>
  </si>
  <si>
    <t>Pradeep Kumar Singh</t>
  </si>
  <si>
    <t>PRADHANTA CONSULTANCY PVT LTD</t>
  </si>
  <si>
    <t>PRAKASH ELECTRICALS</t>
  </si>
  <si>
    <t>PRAVEEN ALOK &amp; ASSOCIATES</t>
  </si>
  <si>
    <t>PRECISE SOLAR ENERGY PRIVATE LIMITED</t>
  </si>
  <si>
    <t>PRIMAX ENGINEERS &amp; CONSULTANTS</t>
  </si>
  <si>
    <t>PRIME SALES CORPORATION</t>
  </si>
  <si>
    <t>PROFESSIONAL DIVING SERVICE &amp; INST.</t>
  </si>
  <si>
    <t>Prosper Worldwide</t>
  </si>
  <si>
    <t>P S  ENTERPRISES</t>
  </si>
  <si>
    <t>P Srinivasan</t>
  </si>
  <si>
    <t>PVVNL</t>
  </si>
  <si>
    <t>Quick E-Tax Services</t>
  </si>
  <si>
    <t>QUICK HEAL TECHNOLOGIES LIMITED</t>
  </si>
  <si>
    <t>RAAJRATNA VENTURES LTD</t>
  </si>
  <si>
    <t>RADHE KRISHNA PLY BOARD &amp; HARDWARE STORE</t>
  </si>
  <si>
    <t>RADHIKA ENTERPRISES</t>
  </si>
  <si>
    <t>RAIPUR POWER AND INFRA</t>
  </si>
  <si>
    <t>RAJ HARDWARE STORE</t>
  </si>
  <si>
    <t>RAJ PRINTECH</t>
  </si>
  <si>
    <t>RANJAN TRADERS</t>
  </si>
  <si>
    <t>Raychem Rpg Pvt Ltd</t>
  </si>
  <si>
    <t>RAZA CONSTRUCTION AND MEDITRADE</t>
  </si>
  <si>
    <t>R.B.CON CREATE AND CONSTRUCT</t>
  </si>
  <si>
    <t>RB PORTABLE CABIN</t>
  </si>
  <si>
    <t>RCL FEEDER PTE LTD</t>
  </si>
  <si>
    <t>RCRS INNOVATIONS LTD</t>
  </si>
  <si>
    <t>REC POWER DEVELOMENT AND CONSULTANCY</t>
  </si>
  <si>
    <t>RELIABLE ELECTRICALS</t>
  </si>
  <si>
    <t>RELIABLE VACATION PVT LTD</t>
  </si>
  <si>
    <t>Reliance Jio Infocomm Ltd</t>
  </si>
  <si>
    <t>RENEW PHOTOVOLTAICS PVT LTD( Cr)</t>
  </si>
  <si>
    <t>RENEWSYS INDIA PVT LTD</t>
  </si>
  <si>
    <t>RENOMICS ENERGY SOLUTIONS</t>
  </si>
  <si>
    <t>Renosys Automation</t>
  </si>
  <si>
    <t>RENU GUPTA</t>
  </si>
  <si>
    <t>RETAILEZ PRIVATE LIMITED</t>
  </si>
  <si>
    <t>REYNOLD INDIA PRIVATE LIMITED</t>
  </si>
  <si>
    <t>RIDGEWAY ENERGY PVT LTD</t>
  </si>
  <si>
    <t>R K ASSOCIATES VALUERS &amp; TECHNO ENGINEERS P LTD</t>
  </si>
  <si>
    <t>RK ELECTRICALS-JKLC</t>
  </si>
  <si>
    <t>RK ELECTRICALS &amp; SOLAR SYSTEM</t>
  </si>
  <si>
    <t>RKR SOLAR PVT LTD</t>
  </si>
  <si>
    <t>RK STEEL</t>
  </si>
  <si>
    <t>ROBOTICS EMBEDDED EDUCATION SERVICES PRIVATE LIMITED</t>
  </si>
  <si>
    <t>ROXY CABLE</t>
  </si>
  <si>
    <t>Royal Hardware and Electricals</t>
  </si>
  <si>
    <t>ROYTECH ENGINEERING PVT LTD</t>
  </si>
  <si>
    <t>R P ROADLINES</t>
  </si>
  <si>
    <t>R R Construction and Company</t>
  </si>
  <si>
    <t xml:space="preserve">RSSS CORPORATE SERVICES PRIVATE LIMITED_x000D_
</t>
  </si>
  <si>
    <t>RUBINA VOHRA &amp; ASSOCIATES</t>
  </si>
  <si>
    <t>Saatvik Green Energy Limited</t>
  </si>
  <si>
    <t>SACHIN SRIVASTAVA</t>
  </si>
  <si>
    <t>Sachin Thakur</t>
  </si>
  <si>
    <t>Sadashiv Dattu Hake</t>
  </si>
  <si>
    <t>Safe Gear Solutions Private Limited</t>
  </si>
  <si>
    <t>SAG &amp; COMPANY</t>
  </si>
  <si>
    <t>SAHDEO MAHTO</t>
  </si>
  <si>
    <t>SAHIL ENTERPRISES</t>
  </si>
  <si>
    <t>SAKSHI INSTRUMENTS</t>
  </si>
  <si>
    <t>Salvage Wealth</t>
  </si>
  <si>
    <t>Sandeep Kumar Dwivedi</t>
  </si>
  <si>
    <t>Sanjeev Kumar Mehta</t>
  </si>
  <si>
    <t>Santosh Electrical &amp;Hardwares</t>
  </si>
  <si>
    <t>SAR TRANSPORT SYSTEMS PVT LTD</t>
  </si>
  <si>
    <t>SARV ENTERPRISES</t>
  </si>
  <si>
    <t>SARVHIT VIDHUT JAN KALYAN SAMITI</t>
  </si>
  <si>
    <t>Satguru Holidays ( India ) Private Limited</t>
  </si>
  <si>
    <t>SBI GENERAL INSURANCE</t>
  </si>
  <si>
    <t>S B R K ELECTRICALS</t>
  </si>
  <si>
    <t>Sf Digital Signages</t>
  </si>
  <si>
    <t>SG CONSTRUCTION</t>
  </si>
  <si>
    <t>S G POWER PRODUCTS PVT. LTD.</t>
  </si>
  <si>
    <t>SHAM PACKAGINGS</t>
  </si>
  <si>
    <t>SHANKY FINANCIAL SERVICES</t>
  </si>
  <si>
    <t>SHAVINDER LAL BATTA</t>
  </si>
  <si>
    <t>SHCIL E STAMPING NCT OF DELHI</t>
  </si>
  <si>
    <t>SHIVA ENTERPRISES</t>
  </si>
  <si>
    <t>SHIVAM FANCY LIGHT AND ELECTRICALS</t>
  </si>
  <si>
    <t>SHIVAM GARG &amp; ASSOCIATES</t>
  </si>
  <si>
    <t>SHIV INDUSTRIES</t>
  </si>
  <si>
    <t>Shivsai  Computers</t>
  </si>
  <si>
    <t>SHIV TECH ENERGY</t>
  </si>
  <si>
    <t>Shradha Office &amp; Home Furniture</t>
  </si>
  <si>
    <t>SHREE AZAD CARRYING PVT LTD</t>
  </si>
  <si>
    <t>SHREE AZAD TRANSPORT</t>
  </si>
  <si>
    <t>Shree Balaji Construction</t>
  </si>
  <si>
    <t>SHREE BALAJI STEELS</t>
  </si>
  <si>
    <t>SHREE HARI ELECTRICALS</t>
  </si>
  <si>
    <t>SHREEJI ENGINEERING</t>
  </si>
  <si>
    <t>SHREE JI ENTERPRISES</t>
  </si>
  <si>
    <t>SHREE KHETESWAR ELECTRONICS</t>
  </si>
  <si>
    <t>SHREE MAHALAXMI SAFETY TOOL</t>
  </si>
  <si>
    <t>SHREE NEW TULSI WELDING WORKS</t>
  </si>
  <si>
    <t>SHREE RAM CONCRETE</t>
  </si>
  <si>
    <t>Shree Ram Doot Electricals</t>
  </si>
  <si>
    <t>SHRI BALAJI SECURITY SERVICES</t>
  </si>
  <si>
    <t>SHRI DURGA MARBLE AND GRANITES</t>
  </si>
  <si>
    <t>SHRI KRISHNA RESIDENCY</t>
  </si>
  <si>
    <t>Shri Mahadev &amp; Company</t>
  </si>
  <si>
    <t>SHRI SHYAM JI EARTHING</t>
  </si>
  <si>
    <t>SHUBHANKAR ELECTRICAL</t>
  </si>
  <si>
    <t>SHYAM AND COMPANY</t>
  </si>
  <si>
    <t>SIECHEM TECHNOLOGIES PVT LTD</t>
  </si>
  <si>
    <t>SIKANDAR KUMAR YADAV</t>
  </si>
  <si>
    <t>SILVERSTAR SOLAR : INSTILL</t>
  </si>
  <si>
    <t>SINGH G SOLAR SYSTEM &amp; ELECTRICAL</t>
  </si>
  <si>
    <t>Singhvahini Enterprise</t>
  </si>
  <si>
    <t>SJC &amp; CO. CHARTED ACCOUNTANTS(Up)</t>
  </si>
  <si>
    <t>SJVN GREEN ENERGY LIMITED</t>
  </si>
  <si>
    <t>SK ELECTRONICS &amp; SOLAR SOLUTION</t>
  </si>
  <si>
    <t>S K SOLAR</t>
  </si>
  <si>
    <t>SKYLINE FINANCIAL SERVICE PVT LTD</t>
  </si>
  <si>
    <t>SMART ENERGY</t>
  </si>
  <si>
    <t>SMARTSHIFT LOGISTICS SOLUTIONS PRIVATE LIMITED</t>
  </si>
  <si>
    <t>SMART TECHNOGIES</t>
  </si>
  <si>
    <t>SMAS AUTO LEASING INDIA PVT LTD</t>
  </si>
  <si>
    <t>SNAB GRAPHIX (INDIA) PVT LTD</t>
  </si>
  <si>
    <t>SNILLRIK INTERNATIONAL PVT LTD</t>
  </si>
  <si>
    <t>SNIPER SYSTEMS &amp; SOLUTIONS PRIVATE LIMITED</t>
  </si>
  <si>
    <t>SNS CORPORATION UNIT -II</t>
  </si>
  <si>
    <t>SNS INFRATECH PVT LTD</t>
  </si>
  <si>
    <t>SNS TECHNOCORP PRIVATE LIMITED</t>
  </si>
  <si>
    <t>SOLAR ECG PVT LTD</t>
  </si>
  <si>
    <t>SOLAR ENERGY CORPORATION OF INDIA</t>
  </si>
  <si>
    <t>SOLARSECURE ENERGY SOLUTIONS PRIVATE LIMITED</t>
  </si>
  <si>
    <t>Solonet Enterprises</t>
  </si>
  <si>
    <t>SOMIL STATIONERY MANUFACTURING WORKS</t>
  </si>
  <si>
    <t>SONIA MEHTA</t>
  </si>
  <si>
    <t>SONIC INDUSTRIAL SALES</t>
  </si>
  <si>
    <t>SONY TRADING COMPANY</t>
  </si>
  <si>
    <t>SORYE CONSTRUCTION</t>
  </si>
  <si>
    <t>Space Energy Insights B.V.</t>
  </si>
  <si>
    <t>SPACEGEOTECH</t>
  </si>
  <si>
    <t>Spectra Broadband</t>
  </si>
  <si>
    <t>Spectrum Diagnostic Laboratory &amp; Research Centre</t>
  </si>
  <si>
    <t>SPN ENTERPRISES</t>
  </si>
  <si>
    <t>SRI SAI BALAJI SOLAR SERVICES</t>
  </si>
  <si>
    <t>SSC BHAL GOODS CARRIER</t>
  </si>
  <si>
    <t>S S ENTERPRISES (COURIER)</t>
  </si>
  <si>
    <t>SSS ELECTRICAL POWER PRIVATE LIMITED</t>
  </si>
  <si>
    <t>SS SOAM ENGINEERS PRIVATE LIMITED</t>
  </si>
  <si>
    <t>STAUBLI TEC SYSTEMS INDIA PVT LTD</t>
  </si>
  <si>
    <t>Stellar Enterprises</t>
  </si>
  <si>
    <t>STOCKWELL SOLAR SERVICES PVT LTD( Cr)</t>
  </si>
  <si>
    <t>STRONG-TIES ENTERPRISES</t>
  </si>
  <si>
    <t>SUKHMANI ACCESSORIES</t>
  </si>
  <si>
    <t>Sunce Renewables Private Limited</t>
  </si>
  <si>
    <t>SUNDIOR TECHNOLOGIES PRIVATE LIMITED</t>
  </si>
  <si>
    <t>SUNGROW INDIA PRIVATE LIMITED</t>
  </si>
  <si>
    <t>SUNLIGHT CONNECT PVT LTD</t>
  </si>
  <si>
    <t>Sunny Hydra Crane Service</t>
  </si>
  <si>
    <t>Sun Solista</t>
  </si>
  <si>
    <t>SUPER AGENCIES</t>
  </si>
  <si>
    <t>SUREFLO TECHON PVT LTD</t>
  </si>
  <si>
    <t>SURENDER SINGH</t>
  </si>
  <si>
    <t>SURESH DISTRIBUTORS</t>
  </si>
  <si>
    <t>SURYA GUPTA &amp; ASSOCIATES</t>
  </si>
  <si>
    <t>SURYALOGIX PVT LTD</t>
  </si>
  <si>
    <t>SWANS ENTERPRISES- Project</t>
  </si>
  <si>
    <t>SWASTIK LOGISTICS</t>
  </si>
  <si>
    <t>SWATI WATER PURIFICATION</t>
  </si>
  <si>
    <t>TALENT COMPLIANCE INDIA PRIVATE LIMITED</t>
  </si>
  <si>
    <t>TAMILNADU GREEN ENERGY CORPORATION</t>
  </si>
  <si>
    <t>T and T Motors Pvt Ltd</t>
  </si>
  <si>
    <t>Tannu Law House</t>
  </si>
  <si>
    <t>TANUK HOSPITALITY PVT LTD</t>
  </si>
  <si>
    <t>TARGET ENERGY</t>
  </si>
  <si>
    <t>TATA AIG GEENERAL INSURANCE</t>
  </si>
  <si>
    <t>TATA TELESERVICES LTD</t>
  </si>
  <si>
    <t>TCI Freight</t>
  </si>
  <si>
    <t>TCP STRUCTURE PVT LTD</t>
  </si>
  <si>
    <t>TEAM OFFICE SOFTECH PRIVATE LIMITED</t>
  </si>
  <si>
    <t>TECH 4 LOGIC PRIVATE LIMITED</t>
  </si>
  <si>
    <t>TECHNICAL MATERIAL SOLUTIONS</t>
  </si>
  <si>
    <t>TECHNO FACILITY AND MANAGEMENT SERVICES PVT LTD</t>
  </si>
  <si>
    <t>TECHNOHEAD SECURITY IT &amp; TELECOM PROJECTS LLP</t>
  </si>
  <si>
    <t>TECHVENTIVE IT SOLUTIONS PRIVATE LIMITED</t>
  </si>
  <si>
    <t>TELANGANA POWER GENERATION CORPORATOIN LIMITED</t>
  </si>
  <si>
    <t>Tesla Power Equipments and Projects  Limited</t>
  </si>
  <si>
    <t>TESLA TRANSFORMERS INDIA LTD</t>
  </si>
  <si>
    <t>THE PRISM'S GREEN ENERGY PVT LTD</t>
  </si>
  <si>
    <t>Times Internet Ltd.</t>
  </si>
  <si>
    <t>TIRUPATI PLASTOMATICS PVT LTD</t>
  </si>
  <si>
    <t>Tnm Genie Private Limited</t>
  </si>
  <si>
    <t>TOOLS CO</t>
  </si>
  <si>
    <t>TOTAL GREEN SOLUTIONS LLP</t>
  </si>
  <si>
    <t>TOTAL SURVEY TEST HOUSE</t>
  </si>
  <si>
    <t>TQ Cert Services Pvt. Ltd.</t>
  </si>
  <si>
    <t>TRANSIENT POWER TECH SOLUTION</t>
  </si>
  <si>
    <t>TRAVEL PLANNERZ</t>
  </si>
  <si>
    <t>TRINITY TECHNOLOGY SOLUTIONS</t>
  </si>
  <si>
    <t>TRINITY TOUCH PVT LTD</t>
  </si>
  <si>
    <t>TRI-PARULEX FIRE PROTECTION SYSTEMS</t>
  </si>
  <si>
    <t>TRISQUARE SWITCHGEARS PVT LTD</t>
  </si>
  <si>
    <t>TRIVENI HOUSE</t>
  </si>
  <si>
    <t>TRUE POWER LIMITED</t>
  </si>
  <si>
    <t>TRUERE POWER LIMITED</t>
  </si>
  <si>
    <t>TS Home Design Consultant</t>
  </si>
  <si>
    <t>TXT TECHNOLOGIES PRIVATE LIMITED</t>
  </si>
  <si>
    <t>TYAGI INTERNATIONAL</t>
  </si>
  <si>
    <t>U B SOLUTIONS</t>
  </si>
  <si>
    <t>UCO BANK</t>
  </si>
  <si>
    <t>UDAY USHA SURYA SHAKTI</t>
  </si>
  <si>
    <t>U K TECHNICAL SURYEYING CONSULTANT</t>
  </si>
  <si>
    <t>ULTIMATE INNOVATIVE SERVICES PVT LTD</t>
  </si>
  <si>
    <t>UNIQUE PEST CONTROL SERVICES</t>
  </si>
  <si>
    <t>UNIVERSAL ELECTRICALS</t>
  </si>
  <si>
    <t>UP AND RENEWABLE ENERGY DEVELOPEMENT</t>
  </si>
  <si>
    <t>Up Skilling  India Pvt Ltd</t>
  </si>
  <si>
    <t>UTTAM ELECTRIC STORE</t>
  </si>
  <si>
    <t>UV ENTERPRISES</t>
  </si>
  <si>
    <t>UVM ADITYA RENEWABLE INDIA PVT LTD</t>
  </si>
  <si>
    <t>VAISHVIK PRINTER</t>
  </si>
  <si>
    <t>VALUEPLUS OUTSOURCHING &amp; CONSULTANCY</t>
  </si>
  <si>
    <t>VANSHIKA ROADLINES PVT LTD</t>
  </si>
  <si>
    <t>Vasco Steel Traders</t>
  </si>
  <si>
    <t>VASHI INTEGRATED SOLUTIONS LIMITED</t>
  </si>
  <si>
    <t>VED TRADING CO.</t>
  </si>
  <si>
    <t>VEEJAY TRADING</t>
  </si>
  <si>
    <t>VEENA STEEL TRADERS</t>
  </si>
  <si>
    <t>VEMA SOLAR PVT LTD</t>
  </si>
  <si>
    <t>Ventura Transmetals Pvt. Ltd</t>
  </si>
  <si>
    <t>VERMA MILL STORE</t>
  </si>
  <si>
    <t>VERTEX ELECTRICAL SOLUTIONS</t>
  </si>
  <si>
    <t>V H VISION</t>
  </si>
  <si>
    <t>VIJAY ELECTRICALS</t>
  </si>
  <si>
    <t>Vikram Yadav</t>
  </si>
  <si>
    <t>VINAYAK ELECTRICALS</t>
  </si>
  <si>
    <t>VINAYAK TRANSCO PVT LTD</t>
  </si>
  <si>
    <t>VIRENDER KUMAR MISHRA</t>
  </si>
  <si>
    <t>Vishwakarma Printers</t>
  </si>
  <si>
    <t>VISTAAR LOGISTICS SOLUTIONS</t>
  </si>
  <si>
    <t>VIVEK IMAGINATIONS OPC PRIVATE LIMITED</t>
  </si>
  <si>
    <t>V K FURNITURE AND ELECTRONICS</t>
  </si>
  <si>
    <t>VSM ENTERPRISES</t>
  </si>
  <si>
    <t>WILLUS INFRASTRUCTURE PRIVATE LIMITED</t>
  </si>
  <si>
    <t>WINNING MANTRA</t>
  </si>
  <si>
    <t>WOW GREEENTECH ENERGY LLC</t>
  </si>
  <si>
    <t>XELERATING GROWTH PVT LTD</t>
  </si>
  <si>
    <t>XTELIFY LIMITED</t>
  </si>
  <si>
    <t>YADAV AND COMPANY</t>
  </si>
  <si>
    <t>YADAV CRANE SERVICES</t>
  </si>
  <si>
    <t>YASHIKA ENTERPRENUER</t>
  </si>
  <si>
    <t>YASHIKA TOUR &amp; TRAVELS</t>
  </si>
  <si>
    <t>YASH METROLOGY LABORATORY PVT LTD</t>
  </si>
  <si>
    <t>Yash Technocrat</t>
  </si>
  <si>
    <t>ZVC India Private Limited</t>
  </si>
  <si>
    <t>Sundry Debtors</t>
  </si>
  <si>
    <t>4PEL SOLAR ENERGY PRIVATE LIMITED</t>
  </si>
  <si>
    <t>BHARAT COKING COAL LIMITED</t>
  </si>
  <si>
    <t>BHARAT PETROLEUM CORPORATION LIMITED</t>
  </si>
  <si>
    <t>CASTAMET WORKS PRIVATE LIMITED</t>
  </si>
  <si>
    <t>DALMIA CEMENT (BHARAT) LIMITED</t>
  </si>
  <si>
    <t>ELGRIS SOLAR POWER SYSTEMS PRIVATE LIMITED</t>
  </si>
  <si>
    <t>HINDUSTAN PETROLEUM CORP. LTD</t>
  </si>
  <si>
    <t>INDKIYO FOODIEEZ PRIVATE LIMITED</t>
  </si>
  <si>
    <t>JAY BEE LAMINATIONS</t>
  </si>
  <si>
    <t>J K LAKSHMI CEMENT LIMITED</t>
  </si>
  <si>
    <t>MRS BECTORS FOOD SPECIALITIES LIMITED</t>
  </si>
  <si>
    <t>MUNJAL SHOWA LIMITED</t>
  </si>
  <si>
    <t>NALWA SPECIAL STEEL LIMITED</t>
  </si>
  <si>
    <t>NITERRA INDIA PVT. LTD.</t>
  </si>
  <si>
    <t>P.A.R.K. INDUSTRIES PRIVATE LIMITED</t>
  </si>
  <si>
    <t>PUSHPAK AIRPORT LEASING SOLUTION PRIVATE LIMITED</t>
  </si>
  <si>
    <t>RAIPUR HANDLING &amp; INFRASTRUCTURE PRIVATE LIMITED</t>
  </si>
  <si>
    <t>RENERGY DYNAMICS PVT. LTD.</t>
  </si>
  <si>
    <t>RENERGY DYNAMICS PVT. LTD- KM</t>
  </si>
  <si>
    <t>RENERGY DYNAMICS PVT. LTD- MH</t>
  </si>
  <si>
    <t>RENERGY DYNAMICS PVT. LTD (TC)</t>
  </si>
  <si>
    <t>SUNVIK STEELS PRIVATE LIMITED</t>
  </si>
  <si>
    <t>Truere Zodiac Private Limited</t>
  </si>
  <si>
    <t>UDAIPUR CEMENT WORKS LIMITED</t>
  </si>
  <si>
    <t>U-SOLAR CLEAN ENERGY SOLUTIONS PRIVATE LIMITED</t>
  </si>
  <si>
    <t>VARDHMAN TEXTILES LIMITED</t>
  </si>
  <si>
    <t>Inventory</t>
  </si>
  <si>
    <t>FG</t>
  </si>
  <si>
    <t>SFG</t>
  </si>
  <si>
    <t>Consumable</t>
  </si>
  <si>
    <t>Stock in trade</t>
  </si>
  <si>
    <t>Addition</t>
  </si>
  <si>
    <t>Deletion</t>
  </si>
  <si>
    <t>Consumption</t>
  </si>
  <si>
    <t>Change in inventory</t>
  </si>
  <si>
    <t>Billing Month</t>
  </si>
  <si>
    <t>COGS</t>
  </si>
  <si>
    <t>DPO</t>
  </si>
  <si>
    <t>Avg. Payable</t>
  </si>
  <si>
    <t>Avg Receivable</t>
  </si>
  <si>
    <t>DSO</t>
  </si>
  <si>
    <t>DIO</t>
  </si>
  <si>
    <t>CCC</t>
  </si>
  <si>
    <t>Avg Inventory</t>
  </si>
  <si>
    <t>GS ELECTROTECH PRIVATE LIMITED</t>
  </si>
  <si>
    <t>RAAJRATNA VENTURES LIMITED</t>
  </si>
  <si>
    <t>NEXAUM ENERGY PRIVATE LIMITED</t>
  </si>
  <si>
    <t>MS JK DEFENCE FIRE ENGG SERVICES</t>
  </si>
  <si>
    <t>B N POWER INFRA PRIVATE LIMITED</t>
  </si>
  <si>
    <t>G.C.B. CONSTRUCTION &amp; EARTH MOVERS</t>
  </si>
  <si>
    <t>UVM ADITYA RENEWABLE INDIA PRIVATE LIMITED</t>
  </si>
  <si>
    <t>DESTINY CONSTRUCTION</t>
  </si>
  <si>
    <t>GROLIGHT VISION PRIVATE LIMITED</t>
  </si>
  <si>
    <t>VIRENDRA KUMAR MISHRA</t>
  </si>
  <si>
    <t>ANSHIKA ENTERPRISES</t>
  </si>
  <si>
    <t>A B C TRANSFORMERS PVT LTD</t>
  </si>
  <si>
    <t>BUILTUP INDIA STRUCTURES PRIVATE LIMITED</t>
  </si>
  <si>
    <t>SURYALOGIX PRIVATE LIMITED</t>
  </si>
  <si>
    <t>SATI DADI ELECTRICALS AND SUPPLIER</t>
  </si>
  <si>
    <t>DEV ENGINEERING</t>
  </si>
  <si>
    <t>M S ENTERPRISES</t>
  </si>
  <si>
    <t>BAIDYA NATH SINGH</t>
  </si>
  <si>
    <t>Shree ram finance Limited</t>
  </si>
  <si>
    <t>INNOVESTVENTURE</t>
  </si>
  <si>
    <t>UNITY SMALL FINANCE</t>
  </si>
  <si>
    <t>A B C TRANSFORMERS (P) LTD</t>
  </si>
  <si>
    <t>MICROMAP ELECTRONIC SYSTEMS PRIVATE LIMITED</t>
  </si>
  <si>
    <t>GP Eco Solutions India Private Limited</t>
  </si>
  <si>
    <t>PIONEER EN TECH PRIVATE LIMITED</t>
  </si>
  <si>
    <t>M/S J.K.DEFENCE FIRE ENGG.SERVICES</t>
  </si>
  <si>
    <t>ASK-Me Ideas TechServices</t>
  </si>
  <si>
    <t>GAUTAM SOLAR PRIVATE LIMITED</t>
  </si>
  <si>
    <t>R B PORTABLE CABIN</t>
  </si>
  <si>
    <t>ASIATIC ELECTRICAL AND SWITCHGEAR</t>
  </si>
  <si>
    <t>TRICOLITE ELECTRICAL INDUSTRIES</t>
  </si>
  <si>
    <t>RVUNL</t>
  </si>
  <si>
    <t>TGGENCO</t>
  </si>
  <si>
    <t>KPTCL</t>
  </si>
  <si>
    <t>TNGECL</t>
  </si>
  <si>
    <t>NVVN</t>
  </si>
  <si>
    <t>SECI</t>
  </si>
  <si>
    <t>RRVUNL</t>
  </si>
  <si>
    <t>RUMSL</t>
  </si>
  <si>
    <t>DHBVN</t>
  </si>
  <si>
    <t>GUVNL</t>
  </si>
  <si>
    <t>MSEDCL</t>
  </si>
  <si>
    <t>CESCL</t>
  </si>
  <si>
    <t>NGEL</t>
  </si>
  <si>
    <t>PSPCL</t>
  </si>
  <si>
    <t>APTRANSCO</t>
  </si>
  <si>
    <t>Other Upcoming tenders</t>
  </si>
  <si>
    <t>Salary &amp; wages</t>
  </si>
  <si>
    <t>TGGENCO (50MW / 100MWh)</t>
  </si>
  <si>
    <t>DVC (250MW /500MWh)</t>
  </si>
  <si>
    <t>SECI (2000MW Solar + 
1000MW /4000MWh BESS)</t>
  </si>
  <si>
    <t>RRVUNL (1000MW /2000MWh)</t>
  </si>
  <si>
    <t>RUMSL (600MW Solar + 400 MW BESS)</t>
  </si>
  <si>
    <t>SECI (1200 MW Solar + 600MW/3600MWh BESS)</t>
  </si>
  <si>
    <t>SECI (600MW/1200MWh)</t>
  </si>
  <si>
    <t>DHBVN (10MW/20MWh)</t>
  </si>
  <si>
    <t>GUVNL (2000MW/4000MWh)</t>
  </si>
  <si>
    <t>MSEDCL (2000MW/4000MWh)</t>
  </si>
  <si>
    <t>CESCL (40MW/80MWh)</t>
  </si>
  <si>
    <t>NGEL (80MW/320MWh)</t>
  </si>
  <si>
    <t>RVUNL (500MW/2000MWh)</t>
  </si>
  <si>
    <t>PSPCL (1000MW)</t>
  </si>
  <si>
    <t>APTRANSCO (1000MW/2000MWh)</t>
  </si>
  <si>
    <t xml:space="preserve">PM Kusum RJ </t>
  </si>
  <si>
    <t>Surya</t>
  </si>
  <si>
    <t>Imperial</t>
  </si>
  <si>
    <t>PM Kusum MH</t>
  </si>
  <si>
    <t>Certainty</t>
  </si>
  <si>
    <t>48ID2501028372</t>
  </si>
  <si>
    <t>48ID2501028373</t>
  </si>
  <si>
    <t>48ID2501028374</t>
  </si>
  <si>
    <t>48ID2501028375</t>
  </si>
  <si>
    <t>48ID2501028376</t>
  </si>
  <si>
    <t>48ID2501028377</t>
  </si>
  <si>
    <t>48ID2501028378</t>
  </si>
  <si>
    <t>48ID2501028379</t>
  </si>
  <si>
    <t>48ID2501028380</t>
  </si>
  <si>
    <t>48ID2501028397</t>
  </si>
  <si>
    <t>48ID2501028398</t>
  </si>
  <si>
    <t>48ID2501028399</t>
  </si>
  <si>
    <t>48ID2501028401</t>
  </si>
  <si>
    <t>48ID2501028402</t>
  </si>
  <si>
    <t>48ID2501028403</t>
  </si>
  <si>
    <t>48ID2501028404</t>
  </si>
  <si>
    <t>48ID2501028405</t>
  </si>
  <si>
    <t>48ID2501028406</t>
  </si>
  <si>
    <t>48ID2501028407</t>
  </si>
  <si>
    <t>48ID2501028408</t>
  </si>
  <si>
    <t>48ID2501028409</t>
  </si>
  <si>
    <t>48ID2501028410</t>
  </si>
  <si>
    <t>48ID2501028400</t>
  </si>
  <si>
    <t>48ID2501028439</t>
  </si>
  <si>
    <t>48ID2501028440</t>
  </si>
  <si>
    <t>48ID2501028441</t>
  </si>
  <si>
    <t>48ID2501028442</t>
  </si>
  <si>
    <t>48ID2501028443</t>
  </si>
  <si>
    <t>48ID2501028444</t>
  </si>
  <si>
    <t>48ID2501028445</t>
  </si>
  <si>
    <t>48ID2501028446</t>
  </si>
  <si>
    <t>48ID2501028447</t>
  </si>
  <si>
    <t>48ID2501028476</t>
  </si>
  <si>
    <t>48ID2501028477</t>
  </si>
  <si>
    <t>48ID2501028478</t>
  </si>
  <si>
    <t>48ID2501028479</t>
  </si>
  <si>
    <t>48ID2501028480</t>
  </si>
  <si>
    <t>48ID2501028481</t>
  </si>
  <si>
    <t>48ID2501028482</t>
  </si>
  <si>
    <t>48ID2501028483</t>
  </si>
  <si>
    <t>48ID2501028484</t>
  </si>
  <si>
    <t>48ID2501028485</t>
  </si>
  <si>
    <t>48ID2501028486</t>
  </si>
  <si>
    <t>48ID2501028487</t>
  </si>
  <si>
    <t>48ID2501028488</t>
  </si>
  <si>
    <t>48ID2501028518</t>
  </si>
  <si>
    <t>48ID2501028519</t>
  </si>
  <si>
    <t>48ID2501028520</t>
  </si>
  <si>
    <t>48ID2501028521</t>
  </si>
  <si>
    <t>48ID2501028522</t>
  </si>
  <si>
    <t>48ID2501028523</t>
  </si>
  <si>
    <t>48ID2501028524</t>
  </si>
  <si>
    <t>48ID2501028525</t>
  </si>
  <si>
    <t>48ID2501028526</t>
  </si>
  <si>
    <t>48ID2501028527</t>
  </si>
  <si>
    <t>48ID2501028528</t>
  </si>
  <si>
    <t>48ID2501028529</t>
  </si>
  <si>
    <t>48ID2501028607</t>
  </si>
  <si>
    <t>48ID2501028608</t>
  </si>
  <si>
    <t>48ID2501028610</t>
  </si>
  <si>
    <t>48ID2501028611</t>
  </si>
  <si>
    <t>48ID2501028612</t>
  </si>
  <si>
    <t>48ID2501028613</t>
  </si>
  <si>
    <t>48ID2501028614</t>
  </si>
  <si>
    <t>48ID2501028615</t>
  </si>
  <si>
    <t>48ID2501028616</t>
  </si>
  <si>
    <t>48ID2501028609</t>
  </si>
  <si>
    <t>48ID2501028628</t>
  </si>
  <si>
    <t>48ID2501028629</t>
  </si>
  <si>
    <t>48ID2501028630</t>
  </si>
  <si>
    <t>48ID2501028631</t>
  </si>
  <si>
    <t>48ID2501028632</t>
  </si>
  <si>
    <t>48ID2501028633</t>
  </si>
  <si>
    <t>48ID2501028673</t>
  </si>
  <si>
    <t>48ID2501028674</t>
  </si>
  <si>
    <t>48ID2501028675</t>
  </si>
  <si>
    <t>48ID2501028676</t>
  </si>
  <si>
    <t>48ID2501028677</t>
  </si>
  <si>
    <t>48ID2501028678</t>
  </si>
  <si>
    <t>48ID2501028679</t>
  </si>
  <si>
    <t>48ID2501028680</t>
  </si>
  <si>
    <t>48ID2501028681</t>
  </si>
  <si>
    <t>48ID2501028682</t>
  </si>
  <si>
    <t>48ID2501028683</t>
  </si>
  <si>
    <t>48ID2501028684</t>
  </si>
  <si>
    <t>48ID2501028663</t>
  </si>
  <si>
    <t>48ID2501028664</t>
  </si>
  <si>
    <t>48ID2501028665</t>
  </si>
  <si>
    <t>48ID2501028666</t>
  </si>
  <si>
    <t>48ID2501028667</t>
  </si>
  <si>
    <t>48ID2501028668</t>
  </si>
  <si>
    <t>48ID2501028669</t>
  </si>
  <si>
    <t>48ID2501028670</t>
  </si>
  <si>
    <t>48ID2501028671</t>
  </si>
  <si>
    <t>48ID2501028672</t>
  </si>
  <si>
    <t>48ID2501028730</t>
  </si>
  <si>
    <t>48ID2501028731</t>
  </si>
  <si>
    <t>48ID2501028732</t>
  </si>
  <si>
    <t>48ID2501028733</t>
  </si>
  <si>
    <t>48ID2501028734</t>
  </si>
  <si>
    <t>48ID2501028735</t>
  </si>
  <si>
    <t>48ID2501028736</t>
  </si>
  <si>
    <t>48ID2501028737</t>
  </si>
  <si>
    <t>48ID2501028738</t>
  </si>
  <si>
    <t>48ID2501028740</t>
  </si>
  <si>
    <t>48ID2501028741</t>
  </si>
  <si>
    <t>48ID2501028742</t>
  </si>
  <si>
    <t>48ID2501028743</t>
  </si>
  <si>
    <t>48ID2501028744</t>
  </si>
  <si>
    <t>48ID2501028745</t>
  </si>
  <si>
    <t>48ID2501028746</t>
  </si>
  <si>
    <t>48ID2501028747</t>
  </si>
  <si>
    <t>48ID2501028748</t>
  </si>
  <si>
    <t>48ID2501028749</t>
  </si>
  <si>
    <t>48ID2501028750</t>
  </si>
  <si>
    <t>48ID2501028751</t>
  </si>
  <si>
    <t>48ID2501028752</t>
  </si>
  <si>
    <t>48ID2501028753</t>
  </si>
  <si>
    <t>48ID2501028754</t>
  </si>
  <si>
    <t>48ID2501028755</t>
  </si>
  <si>
    <t>48ID2501028756</t>
  </si>
  <si>
    <t>48ID2501028757</t>
  </si>
  <si>
    <t>48ID2501028758</t>
  </si>
  <si>
    <t>48ID2501028759</t>
  </si>
  <si>
    <t>48ID2501028760</t>
  </si>
  <si>
    <t>48ID2501028761</t>
  </si>
  <si>
    <t>48ID2501028762</t>
  </si>
  <si>
    <t>48ID2501028763</t>
  </si>
  <si>
    <t>48ID2501029004</t>
  </si>
  <si>
    <t>48ID2501029025</t>
  </si>
  <si>
    <t>48ID2501029026</t>
  </si>
  <si>
    <t>48ID2501029036</t>
  </si>
  <si>
    <t>48ID2501029037</t>
  </si>
  <si>
    <t>48ID2501029039</t>
  </si>
  <si>
    <t>48ID2501029049</t>
  </si>
  <si>
    <t>48ID2501029050</t>
  </si>
  <si>
    <t>48ID2501029051</t>
  </si>
  <si>
    <t>48ID2501029052</t>
  </si>
  <si>
    <t>48ID2501029053</t>
  </si>
  <si>
    <t>48ID2501029054</t>
  </si>
  <si>
    <t>48ID2501029055</t>
  </si>
  <si>
    <t>48ID2501029056</t>
  </si>
  <si>
    <t>48ID2501029057</t>
  </si>
  <si>
    <t>48ID2501029063</t>
  </si>
  <si>
    <t>48ID2501029064</t>
  </si>
  <si>
    <t>48ID2501029079</t>
  </si>
  <si>
    <t>48ID2501029080</t>
  </si>
  <si>
    <t>48ID2501029081</t>
  </si>
  <si>
    <t>48ID2501029082</t>
  </si>
  <si>
    <t>48ID2501029083</t>
  </si>
  <si>
    <t>48ID2501029084</t>
  </si>
  <si>
    <t>48ID2501029085</t>
  </si>
  <si>
    <t>48ID2501029088</t>
  </si>
  <si>
    <t>48ID2501029089</t>
  </si>
  <si>
    <t>48ID2501029090</t>
  </si>
  <si>
    <t>48ID2501029091</t>
  </si>
  <si>
    <t>48ID2501029092</t>
  </si>
  <si>
    <t>48ID2501029093</t>
  </si>
  <si>
    <t>48ID2501029094</t>
  </si>
  <si>
    <t>48ID2501029095</t>
  </si>
  <si>
    <t>48ID2501029096</t>
  </si>
  <si>
    <t>48ID2501029010</t>
  </si>
  <si>
    <t>48ID2501029011</t>
  </si>
  <si>
    <t>48ID2501029012</t>
  </si>
  <si>
    <t>48ID2501029013</t>
  </si>
  <si>
    <t>48ID2501029014</t>
  </si>
  <si>
    <t>48ID2501029015</t>
  </si>
  <si>
    <t>48ID2501029016</t>
  </si>
  <si>
    <t>48ID2501029017</t>
  </si>
  <si>
    <t>48ID2501029018</t>
  </si>
  <si>
    <t>48ID2501029027</t>
  </si>
  <si>
    <t>48ID2501029028</t>
  </si>
  <si>
    <t>48ID2501029029</t>
  </si>
  <si>
    <t>48ID2501029030</t>
  </si>
  <si>
    <t>48ID2501029031</t>
  </si>
  <si>
    <t>48ID2501029032</t>
  </si>
  <si>
    <t>48ID2501029033</t>
  </si>
  <si>
    <t>48ID2501029034</t>
  </si>
  <si>
    <t>48ID2501029035</t>
  </si>
  <si>
    <t>48ID2501029042</t>
  </si>
  <si>
    <t>48ID2501029043</t>
  </si>
  <si>
    <t>48ID2501029044</t>
  </si>
  <si>
    <t>48ID2501029045</t>
  </si>
  <si>
    <t>48ID2501029086</t>
  </si>
  <si>
    <t>48ID2501029087</t>
  </si>
  <si>
    <t>48ID2501029108</t>
  </si>
  <si>
    <t>48ID2501029109</t>
  </si>
  <si>
    <t>48ID2501029110</t>
  </si>
  <si>
    <t>48ID2501029111</t>
  </si>
  <si>
    <t>48ID2501029066</t>
  </si>
  <si>
    <t>48ID2501029097</t>
  </si>
  <si>
    <t>48ID2501029098</t>
  </si>
  <si>
    <t>48ID2501029100</t>
  </si>
  <si>
    <t>48ID2501029102</t>
  </si>
  <si>
    <t>48ID2501029103</t>
  </si>
  <si>
    <t>48ID2501029104</t>
  </si>
  <si>
    <t>48ID2501029105</t>
  </si>
  <si>
    <t>48ID2501029106</t>
  </si>
  <si>
    <t>48RD2508658016</t>
  </si>
  <si>
    <t>48ID2501021533</t>
  </si>
  <si>
    <t>48ID2501021532</t>
  </si>
  <si>
    <t>0031NIBLC0020626</t>
  </si>
  <si>
    <t>0031NIBLC0020826</t>
  </si>
  <si>
    <t>0031NIBLC0035826</t>
  </si>
  <si>
    <t>0031NIBLC0027026</t>
  </si>
  <si>
    <t>088BC04251670011</t>
  </si>
  <si>
    <t>088BC04251670010</t>
  </si>
  <si>
    <t>0031NIBLC0035926</t>
  </si>
  <si>
    <t>0031NIBLC0028226</t>
  </si>
  <si>
    <t>0031NIBLC0027426</t>
  </si>
  <si>
    <t>088BC04251630003</t>
  </si>
  <si>
    <t>088BC04251510005</t>
  </si>
  <si>
    <t>088BC04251500001</t>
  </si>
  <si>
    <t>088BC04251530001</t>
  </si>
  <si>
    <t>0031NIBLC0028926</t>
  </si>
  <si>
    <t>0031NIBLC0035726</t>
  </si>
  <si>
    <t>0031NIBLC0034826</t>
  </si>
  <si>
    <t>0031NIBLC0033526</t>
  </si>
  <si>
    <t>APCPL</t>
  </si>
  <si>
    <t>Surety Bond/BG</t>
  </si>
  <si>
    <t>DVC 234</t>
  </si>
  <si>
    <t>BG</t>
  </si>
  <si>
    <t>GEA (3MW)</t>
  </si>
  <si>
    <t>GSECL</t>
  </si>
  <si>
    <t>KREDL250+1100</t>
  </si>
  <si>
    <t>Surety Bond</t>
  </si>
  <si>
    <t>NTPC (1400MW)</t>
  </si>
  <si>
    <t>NTPC (250MW)</t>
  </si>
  <si>
    <t>Insurance Surety Bond</t>
  </si>
  <si>
    <t>NTPC (900 MW)</t>
  </si>
  <si>
    <t>SJVN (951MW)</t>
  </si>
  <si>
    <t>SJVN 250MW)</t>
  </si>
  <si>
    <t>Surety Bong/BG</t>
  </si>
  <si>
    <t>TVNL (50MW)</t>
  </si>
  <si>
    <t>BG/NEFT</t>
  </si>
  <si>
    <t>Forecaste Date</t>
  </si>
  <si>
    <t>Statutory Dues</t>
  </si>
  <si>
    <t>Interest on CC/OD</t>
  </si>
  <si>
    <t>Proceeds from SPVs</t>
  </si>
  <si>
    <t>Factoring</t>
  </si>
  <si>
    <t>Factoring/PID Repayment</t>
  </si>
  <si>
    <t>VGF/CFA/Subsidy</t>
  </si>
  <si>
    <t>Department</t>
  </si>
  <si>
    <t>SCM</t>
  </si>
  <si>
    <t>Finance</t>
  </si>
  <si>
    <t>Admin</t>
  </si>
  <si>
    <t>Compliance</t>
  </si>
  <si>
    <t>BESS</t>
  </si>
  <si>
    <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</si>
</sst>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_(* #,##0.00_);_(* \(#,##0.00\);_(* &quot;-&quot;??_);_(@_)"/>
    <numFmt numFmtId="165" formatCode="dd/mm/yyyy;@"/>
    <numFmt numFmtId="166" formatCode="_ * #,##0_ ;_ * \-#,##0_ ;_ * &quot;-&quot;??_ ;_ @_ "/>
    <numFmt numFmtId="167" formatCode="dd\-mm\-yyyy;@"/>
    <numFmt numFmtId="168" formatCode="dd\-mm\-yyyy\ hh:mm:ss;@"/>
    <numFmt numFmtId="169" formatCode="_(* #,##0_);_(* \(#,##0\);_(* &quot;-&quot;??_);_(@_)"/>
    <numFmt numFmtId="170" formatCode="dd/mmm/yyyy"/>
    <numFmt numFmtId="171" formatCode="dd&quot;-&quot;mmm&quot;-&quot;yyyy"/>
    <numFmt numFmtId="172" formatCode="0.0%"/>
    <numFmt numFmtId="173" formatCode="d&quot; &quot;mmm&quot; &quot;yy"/>
    <numFmt numFmtId="174" formatCode="d&quot;-&quot;mmm&quot;-&quot;yyyy"/>
    <numFmt numFmtId="175" formatCode="d\-mmm\-yyyy"/>
    <numFmt numFmtId="176" formatCode="[$-409]d\-mmm\-yy;@"/>
    <numFmt numFmtId="177" formatCode="0.000"/>
    <numFmt numFmtId="178" formatCode="&quot;&quot;0.00"/>
    <numFmt numFmtId="179" formatCode="&quot;&quot;0"/>
  </numFmts>
  <fonts count="91">
    <font>
      <sz val="11"/>
      <color theme="1"/>
      <name val="Franklin Gothic Book"/>
      <family val="2"/>
      <scheme val="minor"/>
    </font>
    <font>
      <sz val="11"/>
      <color theme="1"/>
      <name val="Franklin Gothic Book"/>
      <family val="2"/>
      <scheme val="minor"/>
    </font>
    <font>
      <b/>
      <sz val="11"/>
      <color theme="1"/>
      <name val="Franklin Gothic Book"/>
      <family val="2"/>
      <scheme val="minor"/>
    </font>
    <font>
      <sz val="10"/>
      <color theme="1"/>
      <name val="Arial"/>
      <family val="2"/>
    </font>
    <font>
      <b/>
      <sz val="10"/>
      <color theme="1"/>
      <name val="Arial"/>
      <family val="2"/>
    </font>
    <font>
      <sz val="10"/>
      <color rgb="FF000000"/>
      <name val="Times New Roman"/>
      <family val="2"/>
      <charset val="204"/>
    </font>
    <font>
      <b/>
      <sz val="7"/>
      <name val="Calibri"/>
      <family val="2"/>
    </font>
    <font>
      <sz val="11"/>
      <name val="Mulish Semibold"/>
    </font>
    <font>
      <sz val="10"/>
      <name val="Arial"/>
      <family val="2"/>
    </font>
    <font>
      <sz val="11"/>
      <color indexed="8"/>
      <name val="Franklin Gothic Book"/>
      <family val="2"/>
      <scheme val="minor"/>
    </font>
    <font>
      <sz val="12"/>
      <name val="Aptos"/>
      <family val="2"/>
    </font>
    <font>
      <sz val="12"/>
      <color theme="1"/>
      <name val="Aptos"/>
      <family val="2"/>
    </font>
    <font>
      <sz val="12"/>
      <color theme="1"/>
      <name val="Book Antiqua"/>
      <family val="1"/>
    </font>
    <font>
      <sz val="10"/>
      <color theme="1"/>
      <name val="Bookman Old Style"/>
      <family val="1"/>
    </font>
    <font>
      <sz val="10"/>
      <color rgb="FF000000"/>
      <name val="Bookman Old Style"/>
      <family val="1"/>
    </font>
    <font>
      <sz val="10"/>
      <color theme="1"/>
      <name val="Franklin Gothic Book"/>
      <family val="2"/>
      <scheme val="minor"/>
    </font>
    <font>
      <sz val="10"/>
      <color rgb="FF000000"/>
      <name val="Book Antiqua"/>
      <family val="1"/>
    </font>
    <font>
      <sz val="10"/>
      <color rgb="FF000000"/>
      <name val="Aptos Narrow"/>
      <family val="2"/>
    </font>
    <font>
      <sz val="10"/>
      <color rgb="FFFF0000"/>
      <name val="Franklin Gothic Book"/>
      <family val="2"/>
      <scheme val="minor"/>
    </font>
    <font>
      <sz val="10"/>
      <name val="Franklin Gothic Book"/>
      <family val="2"/>
      <scheme val="minor"/>
    </font>
    <font>
      <sz val="10"/>
      <color theme="1"/>
      <name val="Aptos"/>
      <family val="2"/>
    </font>
    <font>
      <sz val="11"/>
      <color rgb="FF242424"/>
      <name val="Aptos Narrow"/>
      <family val="2"/>
    </font>
    <font>
      <sz val="10"/>
      <color rgb="FF000000"/>
      <name val="Aptos"/>
      <family val="2"/>
    </font>
    <font>
      <b/>
      <sz val="10"/>
      <name val="Aptos"/>
      <family val="2"/>
    </font>
    <font>
      <sz val="10"/>
      <name val="Aptos"/>
      <family val="2"/>
    </font>
    <font>
      <sz val="10"/>
      <color rgb="FFFF0000"/>
      <name val="Aptos"/>
      <family val="2"/>
    </font>
    <font>
      <b/>
      <sz val="10"/>
      <color theme="1"/>
      <name val="Aptos"/>
      <family val="2"/>
    </font>
    <font>
      <sz val="10"/>
      <color indexed="8"/>
      <name val="Aptos"/>
      <family val="2"/>
    </font>
    <font>
      <sz val="11"/>
      <color rgb="FFFF0000"/>
      <name val="Franklin Gothic Book"/>
      <family val="2"/>
      <scheme val="minor"/>
    </font>
    <font>
      <sz val="11"/>
      <color theme="1"/>
      <name val="Aptos"/>
      <family val="2"/>
    </font>
    <font>
      <sz val="11"/>
      <name val="Aptos"/>
      <family val="2"/>
    </font>
    <font>
      <sz val="10"/>
      <color rgb="FF000000"/>
      <name val="Arial"/>
      <family val="2"/>
    </font>
    <font>
      <sz val="10"/>
      <name val="Arial"/>
      <family val="2"/>
    </font>
    <font>
      <sz val="11"/>
      <color theme="0"/>
      <name val="Franklin Gothic Book"/>
      <family val="2"/>
      <scheme val="minor"/>
    </font>
    <font>
      <b/>
      <sz val="11"/>
      <color theme="1"/>
      <name val="Aptos"/>
      <family val="2"/>
    </font>
    <font>
      <b/>
      <sz val="10"/>
      <color rgb="FFFF0000"/>
      <name val="Aptos"/>
      <family val="2"/>
    </font>
    <font>
      <sz val="10"/>
      <name val="Palatino Linotype"/>
      <family val="1"/>
    </font>
    <font>
      <sz val="10"/>
      <name val="Franklin Gothic Medium"/>
      <family val="2"/>
      <scheme val="major"/>
    </font>
    <font>
      <sz val="11"/>
      <color theme="1"/>
      <name val="Palatino Linotype"/>
      <family val="1"/>
    </font>
    <font>
      <sz val="11"/>
      <name val="Palatino Linotype"/>
      <family val="1"/>
    </font>
    <font>
      <sz val="12"/>
      <name val="Palatino Linotype"/>
      <family val="1"/>
    </font>
    <font>
      <sz val="11"/>
      <color rgb="FFFF0000"/>
      <name val="Aptos"/>
      <family val="2"/>
    </font>
    <font>
      <sz val="11"/>
      <color rgb="FF000000"/>
      <name val="Palatino Linotype"/>
      <family val="1"/>
    </font>
    <font>
      <sz val="11"/>
      <name val="Franklin Gothic Book"/>
      <family val="2"/>
      <scheme val="minor"/>
    </font>
    <font>
      <sz val="12"/>
      <color rgb="FF000000"/>
      <name val="Palatino Linotype"/>
      <family val="1"/>
    </font>
    <font>
      <sz val="11"/>
      <color theme="1"/>
      <name val="Arial"/>
      <family val="2"/>
    </font>
    <font>
      <sz val="11"/>
      <name val="Arial"/>
      <family val="2"/>
    </font>
    <font>
      <sz val="11"/>
      <color rgb="FFFF0000"/>
      <name val="Arial"/>
      <family val="2"/>
    </font>
    <font>
      <sz val="12"/>
      <color theme="1"/>
      <name val="Palatino Linotype"/>
      <family val="1"/>
    </font>
    <font>
      <sz val="11"/>
      <color rgb="FF000000"/>
      <name val="Aptos"/>
      <family val="2"/>
    </font>
    <font>
      <sz val="11"/>
      <color rgb="FF1B1C1D"/>
      <name val="Arial"/>
      <family val="2"/>
    </font>
    <font>
      <sz val="11"/>
      <color theme="1"/>
      <name val="Mulish SemiBold"/>
    </font>
    <font>
      <sz val="11"/>
      <name val="Calibri"/>
      <family val="2"/>
    </font>
    <font>
      <sz val="11"/>
      <color theme="1"/>
      <name val="Book Antiqua"/>
      <family val="1"/>
    </font>
    <font>
      <sz val="9"/>
      <color theme="1"/>
      <name val="Arial"/>
      <family val="2"/>
    </font>
    <font>
      <sz val="10"/>
      <color theme="1"/>
      <name val="Palatino Linotype"/>
      <family val="1"/>
    </font>
    <font>
      <sz val="12"/>
      <color rgb="FFFF0000"/>
      <name val="Palatino Linotype"/>
      <family val="1"/>
    </font>
    <font>
      <sz val="11"/>
      <color rgb="FFFF0000"/>
      <name val="Palatino Linotype"/>
      <family val="1"/>
    </font>
    <font>
      <sz val="11"/>
      <color rgb="FF000000"/>
      <name val="Book Antiqua"/>
      <family val="1"/>
    </font>
    <font>
      <b/>
      <sz val="12"/>
      <color theme="1"/>
      <name val="Book Antiqua"/>
      <family val="1"/>
    </font>
    <font>
      <b/>
      <sz val="11"/>
      <color theme="1"/>
      <name val="Book Antiqua"/>
      <family val="1"/>
    </font>
    <font>
      <sz val="11"/>
      <name val="Book Antiqua"/>
      <family val="1"/>
    </font>
    <font>
      <b/>
      <sz val="12"/>
      <color theme="1"/>
      <name val="Palatino Linotype"/>
      <family val="1"/>
    </font>
    <font>
      <sz val="9"/>
      <color theme="1"/>
      <name val="Palatino Linotype"/>
      <family val="1"/>
    </font>
    <font>
      <sz val="12"/>
      <color theme="1"/>
      <name val="Arial"/>
      <family val="2"/>
    </font>
    <font>
      <sz val="12"/>
      <color theme="1"/>
      <name val="Franklin Gothic Book"/>
      <family val="2"/>
      <scheme val="minor"/>
    </font>
    <font>
      <sz val="12"/>
      <color rgb="FF000000"/>
      <name val="Aptos"/>
      <family val="2"/>
    </font>
    <font>
      <sz val="11"/>
      <color rgb="FF000000"/>
      <name val="Franklin Gothic Book"/>
      <family val="2"/>
      <scheme val="minor"/>
    </font>
    <font>
      <sz val="11"/>
      <color rgb="FFFF0000"/>
      <name val="Mulish Semibold"/>
    </font>
    <font>
      <sz val="10"/>
      <color indexed="8"/>
      <name val="Arial"/>
      <family val="2"/>
    </font>
    <font>
      <sz val="9"/>
      <name val="Calibri"/>
      <family val="2"/>
    </font>
    <font>
      <sz val="10"/>
      <name val="Trebuchet MS"/>
      <family val="2"/>
    </font>
    <font>
      <sz val="12"/>
      <color rgb="FF000000"/>
      <name val="Book Antiqua"/>
      <family val="1"/>
    </font>
    <font>
      <sz val="12"/>
      <name val="Book Antiqua"/>
      <family val="1"/>
    </font>
    <font>
      <sz val="11"/>
      <color rgb="FFFF0000"/>
      <name val="Book Antiqua"/>
      <family val="1"/>
    </font>
    <font>
      <sz val="10"/>
      <color rgb="FFFF0000"/>
      <name val="Arial"/>
      <family val="2"/>
    </font>
    <font>
      <b/>
      <sz val="10"/>
      <color rgb="FF000000"/>
      <name val="Aptos"/>
      <family val="2"/>
    </font>
    <font>
      <sz val="9"/>
      <color rgb="FFFF0000"/>
      <name val="Calibri"/>
      <family val="2"/>
    </font>
    <font>
      <sz val="10"/>
      <name val="Mulish Semibold"/>
    </font>
    <font>
      <sz val="10"/>
      <color rgb="FF000000"/>
      <name val="Calibri"/>
      <family val="2"/>
    </font>
    <font>
      <sz val="10"/>
      <color theme="1"/>
      <name val="Calibri"/>
      <family val="2"/>
    </font>
    <font>
      <sz val="10"/>
      <name val="Calibri"/>
      <family val="2"/>
    </font>
    <font>
      <b/>
      <sz val="11"/>
      <name val="Mulish Semibold"/>
    </font>
    <font>
      <b/>
      <sz val="10"/>
      <color rgb="FF000000"/>
      <name val="Times New Roman"/>
      <family val="2"/>
      <charset val="204"/>
    </font>
    <font>
      <b/>
      <sz val="12"/>
      <color theme="1"/>
      <name val="Arial"/>
      <family val="2"/>
    </font>
    <font>
      <b/>
      <sz val="9"/>
      <color theme="1"/>
      <name val="Arial"/>
      <family val="2"/>
    </font>
    <font>
      <i/>
      <sz val="9"/>
      <color theme="1"/>
      <name val="Arial"/>
      <family val="2"/>
    </font>
    <font>
      <b/>
      <sz val="10"/>
      <color theme="1"/>
      <name val="Franklin Gothic Book"/>
      <family val="2"/>
      <scheme val="minor"/>
    </font>
    <font>
      <b/>
      <sz val="9"/>
      <color indexed="81"/>
      <name val="Tahoma"/>
      <family val="2"/>
    </font>
    <font>
      <u/>
      <sz val="10"/>
      <color rgb="FF000000"/>
      <name val="Aptos"/>
      <family val="2"/>
    </font>
    <font>
      <b/>
      <u/>
      <sz val="12"/>
      <color rgb="FF000000"/>
      <name val="Book Antiqua"/>
      <family val="1"/>
    </font>
  </fonts>
  <fills count="30">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2"/>
        <bgColor rgb="FF87CEFA"/>
      </patternFill>
    </fill>
    <fill>
      <patternFill patternType="solid">
        <fgColor rgb="FFFFC000"/>
        <bgColor indexed="64"/>
      </patternFill>
    </fill>
    <fill>
      <patternFill patternType="solid">
        <fgColor rgb="FFFFFF00"/>
        <bgColor rgb="FF87CEFA"/>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4.9989318521683403E-2"/>
        <bgColor rgb="FF000000"/>
      </patternFill>
    </fill>
    <fill>
      <patternFill patternType="solid">
        <fgColor theme="5" tint="0.79998168889431442"/>
        <bgColor rgb="FF000000"/>
      </patternFill>
    </fill>
    <fill>
      <patternFill patternType="solid">
        <fgColor rgb="FFFFFFFF"/>
        <bgColor rgb="FF000000"/>
      </patternFill>
    </fill>
    <fill>
      <patternFill patternType="solid">
        <fgColor theme="9" tint="0.59999389629810485"/>
        <bgColor indexed="64"/>
      </patternFill>
    </fill>
    <fill>
      <patternFill patternType="solid">
        <fgColor theme="0"/>
        <bgColor indexed="64"/>
      </patternFill>
    </fill>
    <fill>
      <patternFill patternType="solid">
        <fgColor rgb="FFFFFF00"/>
        <bgColor rgb="FF000000"/>
      </patternFill>
    </fill>
    <fill>
      <patternFill patternType="solid">
        <fgColor rgb="FFE7E6E6"/>
        <bgColor rgb="FF87CEFA"/>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rgb="FF92D050"/>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rgb="FFFF0000"/>
        <bgColor indexed="64"/>
      </patternFill>
    </fill>
    <fill>
      <patternFill patternType="solid">
        <fgColor rgb="FFFFFFFF"/>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3" tint="0.79998168889431442"/>
        <bgColor indexed="64"/>
      </patternFill>
    </fill>
  </fills>
  <borders count="68">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thin">
        <color rgb="FF000000"/>
      </right>
      <top style="thin">
        <color rgb="FF000000"/>
      </top>
      <bottom/>
      <diagonal/>
    </border>
    <border>
      <left style="thin">
        <color indexed="64"/>
      </left>
      <right style="medium">
        <color indexed="64"/>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bottom style="thin">
        <color indexed="64"/>
      </bottom>
      <diagonal/>
    </border>
    <border>
      <left/>
      <right/>
      <top/>
      <bottom style="thin">
        <color theme="4" tint="0.39997558519241921"/>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rgb="FF000000"/>
      </right>
      <top/>
      <bottom style="thin">
        <color rgb="FF000000"/>
      </bottom>
      <diagonal/>
    </border>
    <border>
      <left style="thin">
        <color indexed="64"/>
      </left>
      <right/>
      <top style="thin">
        <color indexed="64"/>
      </top>
      <bottom style="thin">
        <color indexed="64"/>
      </bottom>
      <diagonal/>
    </border>
    <border>
      <left/>
      <right/>
      <top/>
      <bottom style="thin">
        <color rgb="FF000000"/>
      </bottom>
      <diagonal/>
    </border>
    <border>
      <left/>
      <right style="thin">
        <color rgb="FF000000"/>
      </right>
      <top/>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top style="medium">
        <color indexed="64"/>
      </top>
      <bottom style="thin">
        <color indexed="64"/>
      </bottom>
      <diagonal/>
    </border>
    <border>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top/>
      <bottom/>
      <diagonal/>
    </border>
    <border>
      <left/>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rgb="FF000000"/>
      </left>
      <right/>
      <top/>
      <bottom style="thin">
        <color rgb="FF000000"/>
      </bottom>
      <diagonal/>
    </border>
    <border>
      <left style="medium">
        <color indexed="64"/>
      </left>
      <right style="medium">
        <color indexed="64"/>
      </right>
      <top/>
      <bottom style="medium">
        <color indexed="64"/>
      </bottom>
      <diagonal/>
    </border>
    <border>
      <left style="thin">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bottom style="medium">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thin">
        <color rgb="FF000000"/>
      </right>
      <top/>
      <bottom/>
      <diagonal/>
    </border>
    <border>
      <left style="thin">
        <color rgb="FF000000"/>
      </left>
      <right/>
      <top style="medium">
        <color rgb="FF000000"/>
      </top>
      <bottom style="medium">
        <color rgb="FF000000"/>
      </bottom>
      <diagonal/>
    </border>
    <border>
      <left style="thin">
        <color indexed="46"/>
      </left>
      <right style="thin">
        <color indexed="46"/>
      </right>
      <top style="thin">
        <color indexed="8"/>
      </top>
      <bottom style="thin">
        <color indexed="46"/>
      </bottom>
      <diagonal/>
    </border>
    <border>
      <left style="thin">
        <color indexed="46"/>
      </left>
      <right style="thin">
        <color indexed="46"/>
      </right>
      <top style="thin">
        <color indexed="8"/>
      </top>
      <bottom style="thin">
        <color indexed="46"/>
      </bottom>
      <diagonal/>
    </border>
    <border>
      <left style="medium">
        <color indexed="22"/>
      </left>
      <right style="medium">
        <color indexed="22"/>
      </right>
      <top style="medium">
        <color indexed="22"/>
      </top>
      <bottom style="medium">
        <color indexed="2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medium">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s>
  <cellStyleXfs count="15">
    <xf numFmtId="0" fontId="0" fillId="0" borderId="0"/>
    <xf numFmtId="164" fontId="1" fillId="0" borderId="0" applyFont="0" applyFill="0" applyBorder="0" applyAlignment="0" applyProtection="0"/>
    <xf numFmtId="0" fontId="3" fillId="0" borderId="0"/>
    <xf numFmtId="43" fontId="3" fillId="0" borderId="0" applyFont="0" applyFill="0" applyBorder="0" applyAlignment="0" applyProtection="0"/>
    <xf numFmtId="0" fontId="5" fillId="0" borderId="0"/>
    <xf numFmtId="0" fontId="8" fillId="0" borderId="0"/>
    <xf numFmtId="0" fontId="9" fillId="0" borderId="0"/>
    <xf numFmtId="0" fontId="8" fillId="0" borderId="0"/>
    <xf numFmtId="0" fontId="8" fillId="0" borderId="0"/>
    <xf numFmtId="0" fontId="32" fillId="0" borderId="0"/>
    <xf numFmtId="43" fontId="1" fillId="0" borderId="0" applyFont="0" applyFill="0" applyBorder="0" applyAlignment="0" applyProtection="0"/>
    <xf numFmtId="43" fontId="1" fillId="0" borderId="0" applyFont="0" applyFill="0" applyBorder="0" applyAlignment="0" applyProtection="0"/>
    <xf numFmtId="0" fontId="8" fillId="0" borderId="0"/>
    <xf numFmtId="0" fontId="8" fillId="0" borderId="0"/>
    <xf numFmtId="0" fontId="8" fillId="0" borderId="0"/>
  </cellStyleXfs>
  <cellXfs count="1311">
    <xf numFmtId="0" fontId="0" fillId="0" borderId="0" xfId="0"/>
    <xf numFmtId="15" fontId="0" fillId="0" borderId="0" xfId="0" applyNumberFormat="1"/>
    <xf numFmtId="0" fontId="0" fillId="0" borderId="2" xfId="0" applyBorder="1"/>
    <xf numFmtId="0" fontId="0" fillId="2" borderId="2" xfId="0" applyFill="1" applyBorder="1"/>
    <xf numFmtId="0" fontId="3" fillId="0" borderId="0" xfId="2"/>
    <xf numFmtId="43" fontId="0" fillId="0" borderId="0" xfId="3" applyFont="1"/>
    <xf numFmtId="166" fontId="3" fillId="0" borderId="0" xfId="2" applyNumberFormat="1"/>
    <xf numFmtId="166" fontId="0" fillId="0" borderId="0" xfId="3" applyNumberFormat="1" applyFont="1"/>
    <xf numFmtId="43" fontId="3" fillId="0" borderId="0" xfId="2" applyNumberFormat="1"/>
    <xf numFmtId="0" fontId="4" fillId="0" borderId="0" xfId="2" applyFont="1"/>
    <xf numFmtId="0" fontId="3" fillId="0" borderId="0" xfId="2" applyAlignment="1">
      <alignment horizontal="left" vertical="top"/>
    </xf>
    <xf numFmtId="0" fontId="5" fillId="0" borderId="0" xfId="4" applyAlignment="1">
      <alignment horizontal="left" vertical="top"/>
    </xf>
    <xf numFmtId="166" fontId="4" fillId="0" borderId="0" xfId="3" applyNumberFormat="1" applyFont="1"/>
    <xf numFmtId="15" fontId="7" fillId="0" borderId="2" xfId="0" applyNumberFormat="1" applyFont="1" applyBorder="1" applyAlignment="1">
      <alignment horizontal="left" vertical="top"/>
    </xf>
    <xf numFmtId="0" fontId="7" fillId="0" borderId="2" xfId="0" applyFont="1" applyBorder="1" applyAlignment="1">
      <alignment horizontal="left" vertical="top"/>
    </xf>
    <xf numFmtId="0" fontId="7" fillId="0" borderId="0" xfId="0" applyFont="1" applyAlignment="1">
      <alignment horizontal="left" vertical="top"/>
    </xf>
    <xf numFmtId="0" fontId="5" fillId="0" borderId="0" xfId="2" applyFont="1" applyAlignment="1">
      <alignment horizontal="left" vertical="top"/>
    </xf>
    <xf numFmtId="0" fontId="3" fillId="0" borderId="2" xfId="2" applyBorder="1"/>
    <xf numFmtId="14" fontId="0" fillId="0" borderId="2" xfId="0" applyNumberFormat="1" applyBorder="1"/>
    <xf numFmtId="14" fontId="0" fillId="0" borderId="0" xfId="0" applyNumberFormat="1"/>
    <xf numFmtId="169" fontId="0" fillId="0" borderId="0" xfId="1" applyNumberFormat="1" applyFont="1"/>
    <xf numFmtId="169" fontId="0" fillId="0" borderId="0" xfId="0" applyNumberFormat="1"/>
    <xf numFmtId="164" fontId="0" fillId="0" borderId="0" xfId="1" applyFont="1"/>
    <xf numFmtId="15" fontId="2" fillId="7" borderId="2" xfId="0" applyNumberFormat="1" applyFont="1" applyFill="1" applyBorder="1"/>
    <xf numFmtId="0" fontId="7" fillId="0" borderId="2" xfId="6" applyFont="1" applyBorder="1" applyAlignment="1">
      <alignment horizontal="center" vertical="center"/>
    </xf>
    <xf numFmtId="15" fontId="7" fillId="0" borderId="2" xfId="1" applyNumberFormat="1" applyFont="1" applyBorder="1" applyAlignment="1">
      <alignment horizontal="center" vertical="center"/>
    </xf>
    <xf numFmtId="0" fontId="7" fillId="0" borderId="2" xfId="6" applyFont="1" applyBorder="1" applyAlignment="1">
      <alignment horizontal="left" vertical="center"/>
    </xf>
    <xf numFmtId="169" fontId="7" fillId="0" borderId="2" xfId="1" applyNumberFormat="1" applyFont="1" applyBorder="1" applyAlignment="1">
      <alignment horizontal="left" vertical="top"/>
    </xf>
    <xf numFmtId="15" fontId="7" fillId="0" borderId="2" xfId="6" applyNumberFormat="1" applyFont="1" applyBorder="1" applyAlignment="1">
      <alignment horizontal="center" vertical="center"/>
    </xf>
    <xf numFmtId="15" fontId="0" fillId="0" borderId="0" xfId="1" applyNumberFormat="1" applyFont="1"/>
    <xf numFmtId="169" fontId="0" fillId="0" borderId="2" xfId="1" applyNumberFormat="1" applyFont="1" applyBorder="1"/>
    <xf numFmtId="0" fontId="10" fillId="0" borderId="2" xfId="0" applyFont="1" applyBorder="1" applyAlignment="1">
      <alignment horizontal="left" vertical="top"/>
    </xf>
    <xf numFmtId="0" fontId="11" fillId="0" borderId="2" xfId="0" applyFont="1" applyBorder="1" applyAlignment="1">
      <alignment horizontal="left" vertical="top"/>
    </xf>
    <xf numFmtId="0" fontId="3" fillId="0" borderId="2" xfId="2" applyBorder="1" applyAlignment="1">
      <alignment horizontal="left" vertical="top"/>
    </xf>
    <xf numFmtId="170" fontId="12" fillId="0" borderId="2" xfId="0" applyNumberFormat="1" applyFont="1" applyBorder="1" applyAlignment="1">
      <alignment horizontal="center" vertical="center"/>
    </xf>
    <xf numFmtId="170" fontId="12" fillId="0" borderId="2" xfId="0" applyNumberFormat="1" applyFont="1" applyBorder="1" applyAlignment="1">
      <alignment horizontal="left" vertical="top"/>
    </xf>
    <xf numFmtId="0" fontId="12" fillId="0" borderId="2" xfId="0" applyFont="1" applyBorder="1" applyAlignment="1">
      <alignment horizontal="left" vertical="top"/>
    </xf>
    <xf numFmtId="164" fontId="12" fillId="0" borderId="2" xfId="1" applyFont="1" applyBorder="1" applyAlignment="1">
      <alignment horizontal="center" vertical="center"/>
    </xf>
    <xf numFmtId="164" fontId="12" fillId="0" borderId="2" xfId="1" applyFont="1" applyFill="1" applyBorder="1" applyAlignment="1">
      <alignment horizontal="center" vertical="center"/>
    </xf>
    <xf numFmtId="169" fontId="3" fillId="0" borderId="0" xfId="2" applyNumberFormat="1"/>
    <xf numFmtId="170" fontId="12" fillId="0" borderId="0" xfId="0" applyNumberFormat="1" applyFont="1" applyAlignment="1">
      <alignment horizontal="left" vertical="top"/>
    </xf>
    <xf numFmtId="0" fontId="7" fillId="0" borderId="6" xfId="0" applyFont="1" applyBorder="1" applyAlignment="1">
      <alignment horizontal="left" vertical="top"/>
    </xf>
    <xf numFmtId="0" fontId="7" fillId="0" borderId="2" xfId="0" applyFont="1" applyBorder="1" applyAlignment="1">
      <alignment horizontal="center" vertical="center"/>
    </xf>
    <xf numFmtId="15" fontId="7" fillId="0" borderId="2" xfId="1" applyNumberFormat="1" applyFont="1" applyBorder="1" applyAlignment="1">
      <alignment horizontal="left" vertical="center"/>
    </xf>
    <xf numFmtId="0" fontId="7" fillId="0" borderId="2" xfId="0" applyFont="1" applyBorder="1" applyAlignment="1">
      <alignment horizontal="left" vertical="center"/>
    </xf>
    <xf numFmtId="15" fontId="7" fillId="0" borderId="2" xfId="0" applyNumberFormat="1" applyFont="1" applyBorder="1" applyAlignment="1">
      <alignment horizontal="center" vertical="center"/>
    </xf>
    <xf numFmtId="15" fontId="7" fillId="0" borderId="2" xfId="0" applyNumberFormat="1" applyFont="1" applyBorder="1" applyAlignment="1">
      <alignment horizontal="left" vertical="center"/>
    </xf>
    <xf numFmtId="169" fontId="7" fillId="0" borderId="2" xfId="1" applyNumberFormat="1" applyFont="1" applyBorder="1" applyAlignment="1">
      <alignment horizontal="right"/>
    </xf>
    <xf numFmtId="15" fontId="16" fillId="0" borderId="2" xfId="0" applyNumberFormat="1" applyFont="1" applyBorder="1" applyAlignment="1">
      <alignment horizontal="center" vertical="center"/>
    </xf>
    <xf numFmtId="0" fontId="15" fillId="0" borderId="6" xfId="0" applyFont="1" applyBorder="1"/>
    <xf numFmtId="0" fontId="15" fillId="0" borderId="2" xfId="0" applyFont="1" applyBorder="1" applyAlignment="1">
      <alignment horizontal="left" vertical="top"/>
    </xf>
    <xf numFmtId="15" fontId="20" fillId="0" borderId="2" xfId="0" applyNumberFormat="1" applyFont="1" applyBorder="1"/>
    <xf numFmtId="0" fontId="20" fillId="0" borderId="2" xfId="0" applyFont="1" applyBorder="1"/>
    <xf numFmtId="169" fontId="16" fillId="0" borderId="2" xfId="1" applyNumberFormat="1" applyFont="1" applyBorder="1" applyAlignment="1">
      <alignment horizontal="center" vertical="center"/>
    </xf>
    <xf numFmtId="0" fontId="20" fillId="0" borderId="2" xfId="0" applyFont="1" applyBorder="1" applyAlignment="1">
      <alignment horizontal="left" vertical="top"/>
    </xf>
    <xf numFmtId="0" fontId="0" fillId="0" borderId="0" xfId="0" applyAlignment="1">
      <alignment horizontal="left" vertical="top"/>
    </xf>
    <xf numFmtId="0" fontId="6" fillId="4" borderId="0" xfId="2" applyFont="1" applyFill="1" applyAlignment="1">
      <alignment horizontal="left" vertical="top"/>
    </xf>
    <xf numFmtId="169" fontId="7" fillId="0" borderId="2" xfId="1" applyNumberFormat="1" applyFont="1" applyBorder="1" applyAlignment="1">
      <alignment horizontal="right" vertical="center"/>
    </xf>
    <xf numFmtId="164" fontId="5" fillId="0" borderId="1" xfId="1" applyFont="1" applyBorder="1" applyAlignment="1">
      <alignment horizontal="left" vertical="top"/>
    </xf>
    <xf numFmtId="164" fontId="0" fillId="0" borderId="2" xfId="1" applyFont="1" applyBorder="1"/>
    <xf numFmtId="164" fontId="3" fillId="0" borderId="2" xfId="1" applyFont="1" applyBorder="1"/>
    <xf numFmtId="164" fontId="8" fillId="0" borderId="2" xfId="1" applyFont="1" applyBorder="1"/>
    <xf numFmtId="164" fontId="12" fillId="0" borderId="2" xfId="1" applyFont="1" applyBorder="1" applyAlignment="1">
      <alignment horizontal="right" vertical="center"/>
    </xf>
    <xf numFmtId="164" fontId="12" fillId="0" borderId="0" xfId="1" applyFont="1" applyAlignment="1">
      <alignment horizontal="right" vertical="center"/>
    </xf>
    <xf numFmtId="164" fontId="3" fillId="0" borderId="0" xfId="1" applyFont="1"/>
    <xf numFmtId="14" fontId="3" fillId="0" borderId="0" xfId="2" applyNumberFormat="1" applyAlignment="1">
      <alignment horizontal="left" vertical="top"/>
    </xf>
    <xf numFmtId="0" fontId="21" fillId="0" borderId="0" xfId="0" applyFont="1"/>
    <xf numFmtId="169" fontId="21" fillId="0" borderId="0" xfId="1" applyNumberFormat="1" applyFont="1"/>
    <xf numFmtId="15" fontId="0" fillId="0" borderId="0" xfId="0" applyNumberFormat="1" applyAlignment="1">
      <alignment horizontal="left"/>
    </xf>
    <xf numFmtId="4" fontId="0" fillId="0" borderId="0" xfId="0" applyNumberFormat="1"/>
    <xf numFmtId="0" fontId="12" fillId="0" borderId="2" xfId="0" applyFont="1" applyBorder="1" applyAlignment="1">
      <alignment horizontal="left" vertical="center"/>
    </xf>
    <xf numFmtId="170" fontId="12" fillId="0" borderId="2" xfId="0" applyNumberFormat="1" applyFont="1" applyBorder="1" applyAlignment="1">
      <alignment horizontal="left" vertical="center"/>
    </xf>
    <xf numFmtId="170" fontId="12" fillId="0" borderId="3" xfId="0" applyNumberFormat="1" applyFont="1" applyBorder="1" applyAlignment="1">
      <alignment horizontal="center" vertical="center"/>
    </xf>
    <xf numFmtId="170" fontId="12" fillId="0" borderId="3" xfId="0" applyNumberFormat="1" applyFont="1" applyBorder="1" applyAlignment="1">
      <alignment horizontal="left" vertical="center"/>
    </xf>
    <xf numFmtId="0" fontId="0" fillId="0" borderId="3" xfId="0" applyBorder="1"/>
    <xf numFmtId="164" fontId="12" fillId="0" borderId="3" xfId="1" applyFont="1" applyBorder="1" applyAlignment="1">
      <alignment horizontal="right" vertical="center"/>
    </xf>
    <xf numFmtId="4" fontId="7" fillId="0" borderId="2" xfId="0" applyNumberFormat="1" applyFont="1" applyBorder="1" applyAlignment="1">
      <alignment horizontal="right" vertical="center"/>
    </xf>
    <xf numFmtId="164" fontId="7" fillId="0" borderId="2" xfId="1" applyFont="1" applyBorder="1" applyAlignment="1">
      <alignment horizontal="left" vertical="top"/>
    </xf>
    <xf numFmtId="164" fontId="7" fillId="0" borderId="2" xfId="1" applyFont="1" applyBorder="1" applyAlignment="1">
      <alignment horizontal="right" vertical="center"/>
    </xf>
    <xf numFmtId="164" fontId="16" fillId="7" borderId="9" xfId="1" applyFont="1" applyFill="1" applyBorder="1" applyAlignment="1">
      <alignment horizontal="left" vertical="top" wrapText="1"/>
    </xf>
    <xf numFmtId="0" fontId="13" fillId="0" borderId="9" xfId="0" applyFont="1" applyBorder="1" applyAlignment="1">
      <alignment horizontal="right" vertical="center" wrapText="1"/>
    </xf>
    <xf numFmtId="0" fontId="13" fillId="2" borderId="10" xfId="0" applyFont="1" applyFill="1" applyBorder="1" applyAlignment="1">
      <alignment horizontal="right" vertical="center" wrapText="1"/>
    </xf>
    <xf numFmtId="14" fontId="15" fillId="0" borderId="7" xfId="0" applyNumberFormat="1" applyFont="1" applyBorder="1"/>
    <xf numFmtId="0" fontId="14" fillId="0" borderId="7" xfId="0" applyFont="1" applyBorder="1" applyAlignment="1">
      <alignment horizontal="left" vertical="top"/>
    </xf>
    <xf numFmtId="0" fontId="15" fillId="0" borderId="7" xfId="0" applyFont="1" applyBorder="1"/>
    <xf numFmtId="0" fontId="14" fillId="0" borderId="7" xfId="0" applyFont="1" applyBorder="1" applyAlignment="1">
      <alignment horizontal="left" vertical="center"/>
    </xf>
    <xf numFmtId="169" fontId="15" fillId="0" borderId="7" xfId="1" applyNumberFormat="1" applyFont="1" applyBorder="1"/>
    <xf numFmtId="2" fontId="15" fillId="0" borderId="7" xfId="0" applyNumberFormat="1" applyFont="1" applyBorder="1"/>
    <xf numFmtId="2" fontId="14" fillId="8" borderId="7" xfId="3" applyNumberFormat="1" applyFont="1" applyFill="1" applyBorder="1" applyAlignment="1">
      <alignment horizontal="left" vertical="top"/>
    </xf>
    <xf numFmtId="0" fontId="14" fillId="8" borderId="7" xfId="0" applyFont="1" applyFill="1" applyBorder="1" applyAlignment="1">
      <alignment horizontal="right" vertical="center"/>
    </xf>
    <xf numFmtId="0" fontId="15" fillId="0" borderId="8" xfId="0" applyFont="1" applyBorder="1"/>
    <xf numFmtId="0" fontId="5" fillId="0" borderId="0" xfId="2" applyFont="1" applyAlignment="1">
      <alignment vertical="top"/>
    </xf>
    <xf numFmtId="0" fontId="24" fillId="2" borderId="2" xfId="0" applyFont="1" applyFill="1" applyBorder="1" applyAlignment="1">
      <alignment horizontal="left" vertical="top"/>
    </xf>
    <xf numFmtId="0" fontId="22" fillId="0" borderId="2" xfId="2" applyFont="1" applyBorder="1" applyAlignment="1">
      <alignment horizontal="left" vertical="top"/>
    </xf>
    <xf numFmtId="164" fontId="22" fillId="0" borderId="2" xfId="1" applyFont="1" applyBorder="1" applyAlignment="1">
      <alignment horizontal="left" vertical="top"/>
    </xf>
    <xf numFmtId="0" fontId="20" fillId="0" borderId="2" xfId="2" applyFont="1" applyBorder="1"/>
    <xf numFmtId="164" fontId="20" fillId="0" borderId="2" xfId="1" applyFont="1" applyBorder="1" applyAlignment="1">
      <alignment horizontal="left" vertical="top"/>
    </xf>
    <xf numFmtId="2" fontId="24" fillId="0" borderId="2" xfId="5" applyNumberFormat="1" applyFont="1" applyBorder="1"/>
    <xf numFmtId="0" fontId="24" fillId="0" borderId="2" xfId="0" applyFont="1" applyBorder="1" applyAlignment="1">
      <alignment horizontal="left"/>
    </xf>
    <xf numFmtId="164" fontId="24" fillId="0" borderId="2" xfId="1" applyFont="1" applyBorder="1" applyAlignment="1">
      <alignment horizontal="left"/>
    </xf>
    <xf numFmtId="0" fontId="20" fillId="0" borderId="2" xfId="0" applyFont="1" applyBorder="1" applyAlignment="1">
      <alignment horizontal="left"/>
    </xf>
    <xf numFmtId="164" fontId="20" fillId="0" borderId="2" xfId="1" applyFont="1" applyBorder="1" applyAlignment="1">
      <alignment horizontal="left"/>
    </xf>
    <xf numFmtId="14" fontId="22" fillId="0" borderId="2" xfId="2" applyNumberFormat="1" applyFont="1" applyBorder="1" applyAlignment="1">
      <alignment horizontal="left" vertical="top"/>
    </xf>
    <xf numFmtId="164" fontId="20" fillId="0" borderId="2" xfId="1" applyFont="1" applyBorder="1"/>
    <xf numFmtId="14" fontId="20" fillId="0" borderId="2" xfId="0" applyNumberFormat="1" applyFont="1" applyBorder="1"/>
    <xf numFmtId="0" fontId="23" fillId="15" borderId="2" xfId="0" applyFont="1" applyFill="1" applyBorder="1" applyAlignment="1">
      <alignment horizontal="left" vertical="top"/>
    </xf>
    <xf numFmtId="169" fontId="20" fillId="0" borderId="2" xfId="1" applyNumberFormat="1" applyFont="1" applyBorder="1"/>
    <xf numFmtId="14" fontId="22" fillId="0" borderId="2" xfId="4" applyNumberFormat="1" applyFont="1" applyBorder="1" applyAlignment="1">
      <alignment horizontal="left" vertical="top"/>
    </xf>
    <xf numFmtId="0" fontId="22" fillId="0" borderId="2" xfId="4" applyFont="1" applyBorder="1" applyAlignment="1">
      <alignment horizontal="left" vertical="top"/>
    </xf>
    <xf numFmtId="0" fontId="24" fillId="0" borderId="2" xfId="4" applyFont="1" applyBorder="1" applyAlignment="1">
      <alignment horizontal="left" vertical="top"/>
    </xf>
    <xf numFmtId="4" fontId="22" fillId="0" borderId="2" xfId="4" applyNumberFormat="1" applyFont="1" applyBorder="1" applyAlignment="1">
      <alignment horizontal="left" vertical="top"/>
    </xf>
    <xf numFmtId="165" fontId="22" fillId="0" borderId="2" xfId="2" applyNumberFormat="1" applyFont="1" applyBorder="1" applyAlignment="1">
      <alignment horizontal="left" vertical="top" shrinkToFit="1"/>
    </xf>
    <xf numFmtId="14" fontId="20" fillId="0" borderId="2" xfId="2" applyNumberFormat="1" applyFont="1" applyBorder="1" applyAlignment="1">
      <alignment horizontal="left" vertical="top"/>
    </xf>
    <xf numFmtId="0" fontId="23" fillId="4" borderId="2" xfId="2" applyFont="1" applyFill="1" applyBorder="1" applyAlignment="1">
      <alignment horizontal="left" vertical="top"/>
    </xf>
    <xf numFmtId="0" fontId="23" fillId="6" borderId="2" xfId="2" applyFont="1" applyFill="1" applyBorder="1" applyAlignment="1">
      <alignment horizontal="left" vertical="top"/>
    </xf>
    <xf numFmtId="0" fontId="24" fillId="0" borderId="2" xfId="2" applyFont="1" applyBorder="1" applyAlignment="1">
      <alignment horizontal="left" vertical="top"/>
    </xf>
    <xf numFmtId="169" fontId="24" fillId="0" borderId="2" xfId="1" applyNumberFormat="1" applyFont="1" applyBorder="1" applyAlignment="1">
      <alignment horizontal="left" vertical="top"/>
    </xf>
    <xf numFmtId="169" fontId="24" fillId="0" borderId="2" xfId="1" applyNumberFormat="1" applyFont="1" applyFill="1" applyBorder="1" applyAlignment="1">
      <alignment horizontal="left" vertical="top"/>
    </xf>
    <xf numFmtId="14" fontId="20" fillId="0" borderId="2" xfId="2" applyNumberFormat="1" applyFont="1" applyBorder="1" applyAlignment="1">
      <alignment horizontal="left"/>
    </xf>
    <xf numFmtId="0" fontId="24" fillId="0" borderId="2" xfId="0" applyFont="1" applyBorder="1" applyAlignment="1">
      <alignment horizontal="left" vertical="center" wrapText="1"/>
    </xf>
    <xf numFmtId="0" fontId="24" fillId="0" borderId="2" xfId="0" applyFont="1" applyBorder="1" applyAlignment="1">
      <alignment vertical="center"/>
    </xf>
    <xf numFmtId="14" fontId="24" fillId="0" borderId="2" xfId="0" applyNumberFormat="1" applyFont="1" applyBorder="1" applyAlignment="1">
      <alignment horizontal="left" vertical="center" wrapText="1"/>
    </xf>
    <xf numFmtId="169" fontId="24" fillId="0" borderId="2" xfId="1" applyNumberFormat="1" applyFont="1" applyBorder="1" applyAlignment="1">
      <alignment horizontal="right" vertical="center" wrapText="1"/>
    </xf>
    <xf numFmtId="169" fontId="24" fillId="0" borderId="2" xfId="1" applyNumberFormat="1" applyFont="1" applyBorder="1" applyAlignment="1">
      <alignment horizontal="left" vertical="center" wrapText="1"/>
    </xf>
    <xf numFmtId="14" fontId="24" fillId="0" borderId="2" xfId="0" applyNumberFormat="1" applyFont="1" applyBorder="1" applyAlignment="1">
      <alignment horizontal="left" vertical="center"/>
    </xf>
    <xf numFmtId="0" fontId="24" fillId="0" borderId="2" xfId="0" applyFont="1" applyBorder="1" applyAlignment="1">
      <alignment horizontal="left" vertical="center"/>
    </xf>
    <xf numFmtId="169" fontId="24" fillId="0" borderId="2" xfId="1" applyNumberFormat="1" applyFont="1" applyBorder="1" applyAlignment="1">
      <alignment horizontal="right" vertical="center"/>
    </xf>
    <xf numFmtId="169" fontId="20" fillId="2" borderId="2" xfId="1" applyNumberFormat="1" applyFont="1" applyFill="1" applyBorder="1"/>
    <xf numFmtId="169" fontId="24" fillId="0" borderId="2" xfId="1" applyNumberFormat="1" applyFont="1" applyBorder="1" applyAlignment="1">
      <alignment horizontal="left" vertical="center"/>
    </xf>
    <xf numFmtId="0" fontId="24" fillId="0" borderId="2" xfId="0" applyFont="1" applyBorder="1" applyAlignment="1">
      <alignment horizontal="right" vertical="center"/>
    </xf>
    <xf numFmtId="0" fontId="24" fillId="0" borderId="2" xfId="0" applyFont="1" applyBorder="1" applyAlignment="1">
      <alignment horizontal="left" vertical="top"/>
    </xf>
    <xf numFmtId="15" fontId="24" fillId="0" borderId="2" xfId="0" applyNumberFormat="1" applyFont="1" applyBorder="1" applyAlignment="1">
      <alignment horizontal="left" vertical="top"/>
    </xf>
    <xf numFmtId="0" fontId="24" fillId="0" borderId="2" xfId="6" applyFont="1" applyBorder="1" applyAlignment="1">
      <alignment horizontal="center" vertical="center"/>
    </xf>
    <xf numFmtId="15" fontId="24" fillId="0" borderId="2" xfId="1" applyNumberFormat="1" applyFont="1" applyBorder="1" applyAlignment="1">
      <alignment horizontal="center" vertical="center"/>
    </xf>
    <xf numFmtId="0" fontId="24" fillId="0" borderId="2" xfId="6" applyFont="1" applyBorder="1" applyAlignment="1">
      <alignment horizontal="left" vertical="center"/>
    </xf>
    <xf numFmtId="0" fontId="22" fillId="3" borderId="2" xfId="2" applyFont="1" applyFill="1" applyBorder="1" applyAlignment="1">
      <alignment horizontal="left" vertical="top"/>
    </xf>
    <xf numFmtId="15" fontId="22" fillId="0" borderId="2" xfId="2" applyNumberFormat="1" applyFont="1" applyBorder="1" applyAlignment="1">
      <alignment horizontal="left" vertical="top"/>
    </xf>
    <xf numFmtId="15" fontId="20" fillId="0" borderId="2" xfId="1" applyNumberFormat="1" applyFont="1" applyBorder="1" applyAlignment="1">
      <alignment horizontal="left" vertical="top"/>
    </xf>
    <xf numFmtId="0" fontId="25" fillId="0" borderId="2" xfId="0" applyFont="1" applyBorder="1"/>
    <xf numFmtId="169" fontId="22" fillId="0" borderId="2" xfId="1" applyNumberFormat="1" applyFont="1" applyBorder="1" applyAlignment="1">
      <alignment horizontal="left" vertical="top"/>
    </xf>
    <xf numFmtId="0" fontId="24" fillId="0" borderId="2" xfId="5" applyFont="1" applyBorder="1"/>
    <xf numFmtId="14" fontId="24" fillId="0" borderId="2" xfId="5" applyNumberFormat="1" applyFont="1" applyBorder="1"/>
    <xf numFmtId="15" fontId="22" fillId="0" borderId="2" xfId="1" applyNumberFormat="1" applyFont="1" applyBorder="1" applyAlignment="1">
      <alignment horizontal="left" vertical="top"/>
    </xf>
    <xf numFmtId="15" fontId="24" fillId="0" borderId="2" xfId="1" applyNumberFormat="1" applyFont="1" applyBorder="1" applyAlignment="1">
      <alignment horizontal="left"/>
    </xf>
    <xf numFmtId="164" fontId="24" fillId="0" borderId="2" xfId="1" applyFont="1" applyBorder="1" applyAlignment="1">
      <alignment horizontal="left" vertical="top"/>
    </xf>
    <xf numFmtId="0" fontId="24" fillId="0" borderId="2" xfId="7" applyFont="1" applyBorder="1" applyAlignment="1">
      <alignment horizontal="left"/>
    </xf>
    <xf numFmtId="169" fontId="24" fillId="0" borderId="2" xfId="1" applyNumberFormat="1" applyFont="1" applyBorder="1" applyAlignment="1">
      <alignment horizontal="left"/>
    </xf>
    <xf numFmtId="15" fontId="22" fillId="0" borderId="2" xfId="2" applyNumberFormat="1" applyFont="1" applyBorder="1" applyAlignment="1">
      <alignment vertical="top"/>
    </xf>
    <xf numFmtId="0" fontId="26" fillId="0" borderId="2" xfId="0" applyFont="1" applyBorder="1"/>
    <xf numFmtId="0" fontId="26" fillId="2" borderId="2" xfId="0" applyFont="1" applyFill="1" applyBorder="1"/>
    <xf numFmtId="0" fontId="23" fillId="0" borderId="2" xfId="4" applyFont="1" applyBorder="1" applyAlignment="1">
      <alignment horizontal="left" vertical="top"/>
    </xf>
    <xf numFmtId="164" fontId="26" fillId="0" borderId="2" xfId="1" applyFont="1" applyBorder="1"/>
    <xf numFmtId="169" fontId="20" fillId="0" borderId="2" xfId="0" applyNumberFormat="1" applyFont="1" applyBorder="1"/>
    <xf numFmtId="0" fontId="23" fillId="3" borderId="2" xfId="4" applyFont="1" applyFill="1" applyBorder="1" applyAlignment="1">
      <alignment horizontal="left" vertical="top"/>
    </xf>
    <xf numFmtId="0" fontId="23" fillId="2" borderId="2" xfId="4" applyFont="1" applyFill="1" applyBorder="1" applyAlignment="1">
      <alignment horizontal="left" vertical="top"/>
    </xf>
    <xf numFmtId="168" fontId="22" fillId="0" borderId="2" xfId="4" applyNumberFormat="1" applyFont="1" applyBorder="1" applyAlignment="1">
      <alignment horizontal="left" vertical="top" shrinkToFit="1"/>
    </xf>
    <xf numFmtId="167" fontId="22" fillId="0" borderId="2" xfId="4" applyNumberFormat="1" applyFont="1" applyBorder="1" applyAlignment="1">
      <alignment horizontal="left" vertical="top" shrinkToFit="1"/>
    </xf>
    <xf numFmtId="164" fontId="22" fillId="0" borderId="2" xfId="1" applyFont="1" applyBorder="1" applyAlignment="1">
      <alignment horizontal="left" vertical="top" shrinkToFit="1"/>
    </xf>
    <xf numFmtId="4" fontId="22" fillId="0" borderId="2" xfId="4" applyNumberFormat="1" applyFont="1" applyBorder="1" applyAlignment="1">
      <alignment horizontal="left" vertical="top" shrinkToFit="1"/>
    </xf>
    <xf numFmtId="15" fontId="22" fillId="0" borderId="2" xfId="4" applyNumberFormat="1" applyFont="1" applyBorder="1" applyAlignment="1">
      <alignment horizontal="left" vertical="top"/>
    </xf>
    <xf numFmtId="4" fontId="22" fillId="0" borderId="2" xfId="4" applyNumberFormat="1" applyFont="1" applyBorder="1" applyAlignment="1">
      <alignment horizontal="right" vertical="top"/>
    </xf>
    <xf numFmtId="0" fontId="22" fillId="0" borderId="2" xfId="4" applyFont="1" applyBorder="1" applyAlignment="1">
      <alignment horizontal="right" vertical="top"/>
    </xf>
    <xf numFmtId="164" fontId="22" fillId="0" borderId="2" xfId="1" applyFont="1" applyBorder="1" applyAlignment="1">
      <alignment horizontal="right" vertical="top"/>
    </xf>
    <xf numFmtId="4" fontId="27" fillId="0" borderId="2" xfId="8" applyNumberFormat="1" applyFont="1" applyBorder="1" applyAlignment="1">
      <alignment horizontal="left" vertical="center"/>
    </xf>
    <xf numFmtId="0" fontId="23" fillId="3" borderId="2" xfId="2" applyFont="1" applyFill="1" applyBorder="1" applyAlignment="1">
      <alignment horizontal="left" vertical="top"/>
    </xf>
    <xf numFmtId="164" fontId="23" fillId="0" borderId="2" xfId="1" applyFont="1" applyFill="1" applyBorder="1" applyAlignment="1">
      <alignment horizontal="left" vertical="top"/>
    </xf>
    <xf numFmtId="1" fontId="22" fillId="0" borderId="2" xfId="2" applyNumberFormat="1" applyFont="1" applyBorder="1" applyAlignment="1">
      <alignment horizontal="right" vertical="top" shrinkToFit="1"/>
    </xf>
    <xf numFmtId="164" fontId="22" fillId="0" borderId="2" xfId="1" applyFont="1" applyBorder="1" applyAlignment="1">
      <alignment horizontal="right" vertical="top" shrinkToFit="1"/>
    </xf>
    <xf numFmtId="164" fontId="24" fillId="0" borderId="2" xfId="1" applyFont="1" applyBorder="1" applyAlignment="1">
      <alignment horizontal="right" vertical="top"/>
    </xf>
    <xf numFmtId="169" fontId="22" fillId="0" borderId="2" xfId="1" applyNumberFormat="1" applyFont="1" applyBorder="1" applyAlignment="1">
      <alignment horizontal="left" vertical="top" shrinkToFit="1"/>
    </xf>
    <xf numFmtId="164" fontId="20" fillId="0" borderId="2" xfId="1" applyFont="1" applyBorder="1" applyAlignment="1">
      <alignment horizontal="left" vertical="top" shrinkToFit="1"/>
    </xf>
    <xf numFmtId="14" fontId="20" fillId="0" borderId="2" xfId="0" applyNumberFormat="1" applyFont="1" applyBorder="1" applyAlignment="1">
      <alignment horizontal="left" vertical="top"/>
    </xf>
    <xf numFmtId="164" fontId="20" fillId="2" borderId="2" xfId="1" applyFont="1" applyFill="1" applyBorder="1"/>
    <xf numFmtId="169" fontId="20" fillId="5" borderId="2" xfId="1" applyNumberFormat="1" applyFont="1" applyFill="1" applyBorder="1"/>
    <xf numFmtId="169" fontId="25" fillId="0" borderId="2" xfId="1" applyNumberFormat="1" applyFont="1" applyBorder="1" applyAlignment="1">
      <alignment horizontal="right" vertical="center" wrapText="1"/>
    </xf>
    <xf numFmtId="0" fontId="20" fillId="0" borderId="2" xfId="2" applyFont="1" applyBorder="1" applyAlignment="1">
      <alignment horizontal="left" vertical="top"/>
    </xf>
    <xf numFmtId="15" fontId="24" fillId="0" borderId="2" xfId="0" applyNumberFormat="1" applyFont="1" applyBorder="1" applyAlignment="1">
      <alignment horizontal="left" vertical="center" wrapText="1"/>
    </xf>
    <xf numFmtId="15" fontId="20" fillId="0" borderId="2" xfId="2" applyNumberFormat="1" applyFont="1" applyBorder="1" applyAlignment="1">
      <alignment horizontal="left" vertical="top"/>
    </xf>
    <xf numFmtId="0" fontId="24" fillId="0" borderId="2" xfId="4" applyFont="1" applyBorder="1" applyAlignment="1">
      <alignment horizontal="center" vertical="center"/>
    </xf>
    <xf numFmtId="15" fontId="24" fillId="0" borderId="2" xfId="4" applyNumberFormat="1" applyFont="1" applyBorder="1" applyAlignment="1">
      <alignment horizontal="left" vertical="center"/>
    </xf>
    <xf numFmtId="0" fontId="24" fillId="0" borderId="2" xfId="4" applyFont="1" applyBorder="1" applyAlignment="1">
      <alignment horizontal="left" vertical="center"/>
    </xf>
    <xf numFmtId="0" fontId="24" fillId="0" borderId="2" xfId="0" applyFont="1" applyBorder="1" applyAlignment="1">
      <alignment horizontal="center" vertical="center"/>
    </xf>
    <xf numFmtId="15" fontId="24" fillId="0" borderId="2" xfId="0" applyNumberFormat="1" applyFont="1" applyBorder="1" applyAlignment="1">
      <alignment horizontal="center" vertical="center"/>
    </xf>
    <xf numFmtId="169" fontId="22" fillId="0" borderId="2" xfId="1" applyNumberFormat="1" applyFont="1" applyBorder="1" applyAlignment="1">
      <alignment vertical="top"/>
    </xf>
    <xf numFmtId="169" fontId="20" fillId="0" borderId="2" xfId="1" applyNumberFormat="1" applyFont="1" applyBorder="1" applyAlignment="1">
      <alignment vertical="top"/>
    </xf>
    <xf numFmtId="169" fontId="24" fillId="0" borderId="2" xfId="1" applyNumberFormat="1" applyFont="1" applyBorder="1"/>
    <xf numFmtId="169" fontId="24" fillId="0" borderId="2" xfId="1" applyNumberFormat="1" applyFont="1" applyBorder="1" applyAlignment="1"/>
    <xf numFmtId="169" fontId="20" fillId="0" borderId="2" xfId="1" applyNumberFormat="1" applyFont="1" applyBorder="1" applyAlignment="1"/>
    <xf numFmtId="169" fontId="27" fillId="0" borderId="2" xfId="1" applyNumberFormat="1" applyFont="1" applyBorder="1" applyAlignment="1">
      <alignment horizontal="left" vertical="center"/>
    </xf>
    <xf numFmtId="169" fontId="24" fillId="0" borderId="2" xfId="1" applyNumberFormat="1" applyFont="1" applyBorder="1" applyAlignment="1">
      <alignment horizontal="right" vertical="top"/>
    </xf>
    <xf numFmtId="15" fontId="20" fillId="0" borderId="2" xfId="1" applyNumberFormat="1" applyFont="1" applyBorder="1" applyAlignment="1">
      <alignment vertical="top"/>
    </xf>
    <xf numFmtId="15" fontId="22" fillId="0" borderId="2" xfId="1" applyNumberFormat="1" applyFont="1" applyBorder="1" applyAlignment="1">
      <alignment vertical="top"/>
    </xf>
    <xf numFmtId="15" fontId="24" fillId="0" borderId="2" xfId="1" applyNumberFormat="1" applyFont="1" applyBorder="1" applyAlignment="1"/>
    <xf numFmtId="15" fontId="20" fillId="0" borderId="2" xfId="1" applyNumberFormat="1" applyFont="1" applyBorder="1" applyAlignment="1"/>
    <xf numFmtId="14" fontId="22" fillId="0" borderId="2" xfId="2" applyNumberFormat="1" applyFont="1" applyBorder="1" applyAlignment="1">
      <alignment vertical="top"/>
    </xf>
    <xf numFmtId="0" fontId="20" fillId="0" borderId="2" xfId="2" applyFont="1" applyBorder="1" applyAlignment="1">
      <alignment horizontal="left"/>
    </xf>
    <xf numFmtId="0" fontId="24" fillId="0" borderId="2" xfId="5" applyFont="1" applyBorder="1" applyAlignment="1">
      <alignment horizontal="left"/>
    </xf>
    <xf numFmtId="15" fontId="22" fillId="0" borderId="2" xfId="4" applyNumberFormat="1" applyFont="1" applyBorder="1" applyAlignment="1">
      <alignment horizontal="left" vertical="top" shrinkToFit="1"/>
    </xf>
    <xf numFmtId="15" fontId="24" fillId="0" borderId="2" xfId="2" applyNumberFormat="1" applyFont="1" applyBorder="1" applyAlignment="1">
      <alignment vertical="top"/>
    </xf>
    <xf numFmtId="15" fontId="20" fillId="0" borderId="2" xfId="2" applyNumberFormat="1" applyFont="1" applyBorder="1"/>
    <xf numFmtId="15" fontId="24" fillId="0" borderId="2" xfId="0" applyNumberFormat="1" applyFont="1" applyBorder="1" applyAlignment="1">
      <alignment vertical="center" wrapText="1"/>
    </xf>
    <xf numFmtId="15" fontId="24" fillId="0" borderId="2" xfId="0" applyNumberFormat="1" applyFont="1" applyBorder="1" applyAlignment="1">
      <alignment wrapText="1"/>
    </xf>
    <xf numFmtId="15" fontId="24" fillId="0" borderId="2" xfId="0" applyNumberFormat="1" applyFont="1" applyBorder="1" applyAlignment="1">
      <alignment vertical="center"/>
    </xf>
    <xf numFmtId="15" fontId="20" fillId="0" borderId="2" xfId="2" applyNumberFormat="1" applyFont="1" applyBorder="1" applyAlignment="1">
      <alignment vertical="top"/>
    </xf>
    <xf numFmtId="164" fontId="7" fillId="0" borderId="2" xfId="1" applyFont="1" applyBorder="1" applyAlignment="1">
      <alignment horizontal="right"/>
    </xf>
    <xf numFmtId="164" fontId="7" fillId="2" borderId="2" xfId="1" applyFont="1" applyFill="1" applyBorder="1" applyAlignment="1">
      <alignment horizontal="right" vertical="center"/>
    </xf>
    <xf numFmtId="0" fontId="24" fillId="0" borderId="3" xfId="0" applyFont="1" applyBorder="1" applyAlignment="1">
      <alignment horizontal="left" vertical="top"/>
    </xf>
    <xf numFmtId="15" fontId="24" fillId="0" borderId="3" xfId="0" applyNumberFormat="1" applyFont="1" applyBorder="1" applyAlignment="1">
      <alignment horizontal="left" vertical="top"/>
    </xf>
    <xf numFmtId="0" fontId="24" fillId="0" borderId="5" xfId="0" applyFont="1" applyBorder="1" applyAlignment="1">
      <alignment horizontal="left" vertical="top"/>
    </xf>
    <xf numFmtId="0" fontId="24" fillId="0" borderId="6" xfId="0" applyFont="1" applyBorder="1" applyAlignment="1">
      <alignment horizontal="left" vertical="top"/>
    </xf>
    <xf numFmtId="0" fontId="7" fillId="0" borderId="8" xfId="0" applyFont="1" applyBorder="1" applyAlignment="1">
      <alignment horizontal="left" vertical="top"/>
    </xf>
    <xf numFmtId="15" fontId="0" fillId="0" borderId="2" xfId="1" applyNumberFormat="1" applyFont="1" applyBorder="1" applyAlignment="1">
      <alignment horizontal="left" vertical="top"/>
    </xf>
    <xf numFmtId="0" fontId="28" fillId="0" borderId="2" xfId="0" applyFont="1" applyBorder="1"/>
    <xf numFmtId="169" fontId="28" fillId="0" borderId="2" xfId="1" applyNumberFormat="1" applyFont="1" applyBorder="1"/>
    <xf numFmtId="14" fontId="0" fillId="0" borderId="3" xfId="0" applyNumberFormat="1" applyBorder="1"/>
    <xf numFmtId="164" fontId="0" fillId="0" borderId="3" xfId="1" applyFont="1" applyBorder="1"/>
    <xf numFmtId="164" fontId="5" fillId="0" borderId="12" xfId="1" applyFont="1" applyBorder="1" applyAlignment="1">
      <alignment horizontal="left" vertical="top"/>
    </xf>
    <xf numFmtId="0" fontId="3" fillId="0" borderId="3" xfId="2" applyBorder="1" applyAlignment="1">
      <alignment horizontal="left" vertical="top"/>
    </xf>
    <xf numFmtId="164" fontId="5" fillId="0" borderId="2" xfId="1" applyFont="1" applyBorder="1" applyAlignment="1">
      <alignment horizontal="left" vertical="top"/>
    </xf>
    <xf numFmtId="14" fontId="3" fillId="0" borderId="2" xfId="2" applyNumberFormat="1" applyBorder="1" applyAlignment="1">
      <alignment horizontal="left" vertical="top"/>
    </xf>
    <xf numFmtId="0" fontId="5" fillId="0" borderId="2" xfId="2" applyFont="1" applyBorder="1" applyAlignment="1">
      <alignment horizontal="left" vertical="top"/>
    </xf>
    <xf numFmtId="14" fontId="5" fillId="0" borderId="2" xfId="2" applyNumberFormat="1" applyFont="1" applyBorder="1" applyAlignment="1">
      <alignment vertical="top"/>
    </xf>
    <xf numFmtId="0" fontId="6" fillId="4" borderId="2" xfId="2" applyFont="1" applyFill="1" applyBorder="1" applyAlignment="1">
      <alignment horizontal="left" vertical="top"/>
    </xf>
    <xf numFmtId="15" fontId="29" fillId="0" borderId="2" xfId="1" applyNumberFormat="1" applyFont="1" applyBorder="1" applyAlignment="1">
      <alignment horizontal="left"/>
    </xf>
    <xf numFmtId="0" fontId="29" fillId="0" borderId="2" xfId="0" applyFont="1" applyBorder="1"/>
    <xf numFmtId="164" fontId="29" fillId="0" borderId="2" xfId="1" applyFont="1" applyBorder="1"/>
    <xf numFmtId="2" fontId="29" fillId="0" borderId="2" xfId="0" applyNumberFormat="1" applyFont="1" applyBorder="1"/>
    <xf numFmtId="15" fontId="3" fillId="0" borderId="2" xfId="2" applyNumberFormat="1" applyBorder="1"/>
    <xf numFmtId="15" fontId="24" fillId="0" borderId="2" xfId="0" applyNumberFormat="1" applyFont="1" applyBorder="1" applyAlignment="1">
      <alignment horizontal="left" vertical="center"/>
    </xf>
    <xf numFmtId="0" fontId="3" fillId="0" borderId="3" xfId="2" applyBorder="1"/>
    <xf numFmtId="169" fontId="20" fillId="0" borderId="3" xfId="1" applyNumberFormat="1" applyFont="1" applyBorder="1"/>
    <xf numFmtId="0" fontId="20" fillId="0" borderId="3" xfId="2" applyFont="1" applyBorder="1"/>
    <xf numFmtId="0" fontId="29" fillId="0" borderId="3" xfId="0" applyFont="1" applyBorder="1"/>
    <xf numFmtId="14" fontId="0" fillId="0" borderId="0" xfId="0" applyNumberFormat="1" applyAlignment="1">
      <alignment horizontal="left" vertical="top"/>
    </xf>
    <xf numFmtId="0" fontId="20" fillId="0" borderId="6" xfId="2" applyFont="1" applyBorder="1"/>
    <xf numFmtId="0" fontId="3" fillId="0" borderId="0" xfId="2" applyAlignment="1">
      <alignment vertical="top"/>
    </xf>
    <xf numFmtId="0" fontId="30" fillId="0" borderId="2" xfId="0" applyFont="1" applyBorder="1" applyAlignment="1">
      <alignment horizontal="left" vertical="top"/>
    </xf>
    <xf numFmtId="0" fontId="7" fillId="0" borderId="2" xfId="0" applyFont="1" applyBorder="1" applyAlignment="1">
      <alignment horizontal="right" vertical="center"/>
    </xf>
    <xf numFmtId="4" fontId="7" fillId="0" borderId="2" xfId="1" applyNumberFormat="1" applyFont="1" applyBorder="1" applyAlignment="1">
      <alignment horizontal="right" vertical="center"/>
    </xf>
    <xf numFmtId="0" fontId="15" fillId="0" borderId="13" xfId="0" applyFont="1" applyBorder="1"/>
    <xf numFmtId="0" fontId="31" fillId="0" borderId="0" xfId="0" applyFont="1" applyAlignment="1">
      <alignment vertical="top"/>
    </xf>
    <xf numFmtId="169" fontId="0" fillId="0" borderId="0" xfId="1" applyNumberFormat="1" applyFont="1" applyFill="1"/>
    <xf numFmtId="169" fontId="0" fillId="2" borderId="0" xfId="1" applyNumberFormat="1" applyFont="1" applyFill="1"/>
    <xf numFmtId="15" fontId="7" fillId="0" borderId="0" xfId="0" applyNumberFormat="1" applyFont="1" applyAlignment="1">
      <alignment horizontal="left" vertical="top"/>
    </xf>
    <xf numFmtId="14" fontId="5" fillId="0" borderId="0" xfId="2" applyNumberFormat="1" applyFont="1" applyAlignment="1">
      <alignment vertical="top"/>
    </xf>
    <xf numFmtId="15" fontId="3" fillId="0" borderId="0" xfId="2" applyNumberFormat="1"/>
    <xf numFmtId="0" fontId="0" fillId="0" borderId="14" xfId="0" applyBorder="1"/>
    <xf numFmtId="15" fontId="7" fillId="0" borderId="0" xfId="0" applyNumberFormat="1" applyFont="1" applyAlignment="1">
      <alignment horizontal="center" vertical="center"/>
    </xf>
    <xf numFmtId="4" fontId="7" fillId="0" borderId="0" xfId="0" applyNumberFormat="1" applyFont="1" applyAlignment="1">
      <alignment horizontal="left" vertical="top"/>
    </xf>
    <xf numFmtId="4" fontId="7" fillId="0" borderId="0" xfId="0" applyNumberFormat="1" applyFont="1" applyAlignment="1">
      <alignment horizontal="right" vertical="center"/>
    </xf>
    <xf numFmtId="0" fontId="11" fillId="0" borderId="0" xfId="0" applyFont="1" applyAlignment="1">
      <alignment horizontal="left" vertical="top"/>
    </xf>
    <xf numFmtId="14" fontId="32" fillId="0" borderId="14" xfId="9" applyNumberFormat="1" applyBorder="1" applyAlignment="1">
      <alignment horizontal="left" vertical="top"/>
    </xf>
    <xf numFmtId="14" fontId="0" fillId="0" borderId="14" xfId="0" applyNumberFormat="1" applyBorder="1" applyAlignment="1">
      <alignment horizontal="left" vertical="top"/>
    </xf>
    <xf numFmtId="0" fontId="32" fillId="0" borderId="14" xfId="9" applyBorder="1"/>
    <xf numFmtId="164" fontId="5" fillId="0" borderId="0" xfId="1" applyFont="1" applyAlignment="1">
      <alignment horizontal="left" vertical="top"/>
    </xf>
    <xf numFmtId="0" fontId="5" fillId="0" borderId="14" xfId="2" applyFont="1" applyBorder="1" applyAlignment="1">
      <alignment horizontal="left" vertical="top"/>
    </xf>
    <xf numFmtId="169" fontId="22" fillId="0" borderId="15" xfId="1" applyNumberFormat="1" applyFont="1" applyFill="1" applyBorder="1" applyAlignment="1">
      <alignment vertical="top"/>
    </xf>
    <xf numFmtId="171" fontId="23" fillId="16" borderId="16" xfId="0" applyNumberFormat="1" applyFont="1" applyFill="1" applyBorder="1" applyAlignment="1">
      <alignment horizontal="left" vertical="top" wrapText="1"/>
    </xf>
    <xf numFmtId="0" fontId="23" fillId="16" borderId="17" xfId="0" applyFont="1" applyFill="1" applyBorder="1" applyAlignment="1">
      <alignment horizontal="left" vertical="top" wrapText="1"/>
    </xf>
    <xf numFmtId="2" fontId="23" fillId="16" borderId="17" xfId="0" applyNumberFormat="1" applyFont="1" applyFill="1" applyBorder="1" applyAlignment="1">
      <alignment horizontal="left" vertical="top" wrapText="1"/>
    </xf>
    <xf numFmtId="166" fontId="23" fillId="16" borderId="17" xfId="10" applyNumberFormat="1" applyFont="1" applyFill="1" applyBorder="1" applyAlignment="1">
      <alignment horizontal="center" vertical="top" wrapText="1"/>
    </xf>
    <xf numFmtId="166" fontId="23" fillId="16" borderId="17" xfId="10" applyNumberFormat="1" applyFont="1" applyFill="1" applyBorder="1" applyAlignment="1">
      <alignment horizontal="left" vertical="top" wrapText="1"/>
    </xf>
    <xf numFmtId="172" fontId="23" fillId="16" borderId="17" xfId="0" applyNumberFormat="1" applyFont="1" applyFill="1" applyBorder="1" applyAlignment="1">
      <alignment horizontal="left" vertical="top" wrapText="1"/>
    </xf>
    <xf numFmtId="10" fontId="23" fillId="16" borderId="17" xfId="0" applyNumberFormat="1" applyFont="1" applyFill="1" applyBorder="1" applyAlignment="1">
      <alignment vertical="top" wrapText="1"/>
    </xf>
    <xf numFmtId="172" fontId="23" fillId="16" borderId="17" xfId="0" applyNumberFormat="1" applyFont="1" applyFill="1" applyBorder="1" applyAlignment="1">
      <alignment vertical="top" wrapText="1"/>
    </xf>
    <xf numFmtId="166" fontId="23" fillId="16" borderId="17" xfId="10" applyNumberFormat="1" applyFont="1" applyFill="1" applyBorder="1" applyAlignment="1">
      <alignment vertical="top" wrapText="1"/>
    </xf>
    <xf numFmtId="166" fontId="23" fillId="16" borderId="17" xfId="10" applyNumberFormat="1" applyFont="1" applyFill="1" applyBorder="1" applyAlignment="1">
      <alignment wrapText="1"/>
    </xf>
    <xf numFmtId="0" fontId="23" fillId="16" borderId="17" xfId="0" applyFont="1" applyFill="1" applyBorder="1" applyAlignment="1">
      <alignment vertical="top" wrapText="1"/>
    </xf>
    <xf numFmtId="15" fontId="23" fillId="16" borderId="17" xfId="0" applyNumberFormat="1" applyFont="1" applyFill="1" applyBorder="1" applyAlignment="1">
      <alignment horizontal="left" vertical="top" wrapText="1"/>
    </xf>
    <xf numFmtId="3" fontId="23" fillId="16" borderId="17" xfId="0" applyNumberFormat="1" applyFont="1" applyFill="1" applyBorder="1" applyAlignment="1">
      <alignment vertical="top" wrapText="1"/>
    </xf>
    <xf numFmtId="0" fontId="23" fillId="16" borderId="18" xfId="0" applyFont="1" applyFill="1" applyBorder="1" applyAlignment="1">
      <alignment horizontal="left" vertical="top" wrapText="1"/>
    </xf>
    <xf numFmtId="0" fontId="34" fillId="0" borderId="0" xfId="0" applyFont="1" applyAlignment="1">
      <alignment horizontal="left" vertical="top"/>
    </xf>
    <xf numFmtId="0" fontId="34" fillId="0" borderId="0" xfId="0" applyFont="1" applyAlignment="1">
      <alignment horizontal="left" vertical="top" wrapText="1"/>
    </xf>
    <xf numFmtId="0" fontId="29" fillId="0" borderId="0" xfId="0" applyFont="1" applyAlignment="1">
      <alignment horizontal="left" vertical="top"/>
    </xf>
    <xf numFmtId="0" fontId="30" fillId="0" borderId="19" xfId="0" applyFont="1" applyBorder="1" applyAlignment="1">
      <alignment horizontal="left" vertical="top"/>
    </xf>
    <xf numFmtId="0" fontId="0" fillId="0" borderId="20" xfId="0" applyBorder="1"/>
    <xf numFmtId="0" fontId="0" fillId="0" borderId="21" xfId="0" applyBorder="1" applyAlignment="1">
      <alignment horizontal="left"/>
    </xf>
    <xf numFmtId="0" fontId="0" fillId="0" borderId="0" xfId="0" applyAlignment="1">
      <alignment horizontal="left"/>
    </xf>
    <xf numFmtId="15" fontId="24" fillId="0" borderId="21" xfId="0" applyNumberFormat="1" applyFont="1" applyBorder="1" applyAlignment="1">
      <alignment horizontal="left" vertical="top"/>
    </xf>
    <xf numFmtId="2" fontId="29" fillId="0" borderId="21" xfId="0" applyNumberFormat="1" applyFont="1" applyBorder="1" applyAlignment="1">
      <alignment horizontal="left" vertical="top"/>
    </xf>
    <xf numFmtId="166" fontId="23" fillId="0" borderId="0" xfId="10" applyNumberFormat="1" applyFont="1" applyFill="1" applyBorder="1" applyAlignment="1">
      <alignment horizontal="center" vertical="top" wrapText="1"/>
    </xf>
    <xf numFmtId="166" fontId="23" fillId="0" borderId="0" xfId="10" applyNumberFormat="1" applyFont="1" applyFill="1" applyBorder="1" applyAlignment="1">
      <alignment horizontal="left" vertical="top" wrapText="1"/>
    </xf>
    <xf numFmtId="0" fontId="23" fillId="0" borderId="15" xfId="0" applyFont="1" applyBorder="1" applyAlignment="1">
      <alignment horizontal="left" vertical="top" wrapText="1"/>
    </xf>
    <xf numFmtId="172" fontId="23" fillId="0" borderId="15" xfId="0" applyNumberFormat="1" applyFont="1" applyBorder="1" applyAlignment="1">
      <alignment horizontal="left" vertical="top" wrapText="1"/>
    </xf>
    <xf numFmtId="10" fontId="23" fillId="0" borderId="15" xfId="0" applyNumberFormat="1" applyFont="1" applyBorder="1" applyAlignment="1">
      <alignment vertical="top" wrapText="1"/>
    </xf>
    <xf numFmtId="172" fontId="23" fillId="0" borderId="0" xfId="0" applyNumberFormat="1" applyFont="1" applyAlignment="1">
      <alignment vertical="top" wrapText="1"/>
    </xf>
    <xf numFmtId="43" fontId="23" fillId="0" borderId="0" xfId="10" applyFont="1" applyAlignment="1">
      <alignment vertical="top" wrapText="1"/>
    </xf>
    <xf numFmtId="172" fontId="23" fillId="0" borderId="0" xfId="0" applyNumberFormat="1" applyFont="1" applyAlignment="1">
      <alignment horizontal="left" vertical="top" wrapText="1"/>
    </xf>
    <xf numFmtId="166" fontId="23" fillId="0" borderId="0" xfId="10" applyNumberFormat="1" applyFont="1" applyFill="1" applyBorder="1" applyAlignment="1">
      <alignment vertical="top" wrapText="1"/>
    </xf>
    <xf numFmtId="166" fontId="29" fillId="0" borderId="21" xfId="10" applyNumberFormat="1" applyFont="1" applyFill="1" applyBorder="1" applyAlignment="1">
      <alignment horizontal="center" vertical="center"/>
    </xf>
    <xf numFmtId="14" fontId="24" fillId="0" borderId="14" xfId="0" applyNumberFormat="1" applyFont="1" applyBorder="1" applyAlignment="1">
      <alignment horizontal="left"/>
    </xf>
    <xf numFmtId="0" fontId="29" fillId="0" borderId="21" xfId="0" applyFont="1" applyBorder="1" applyAlignment="1">
      <alignment horizontal="left" vertical="top"/>
    </xf>
    <xf numFmtId="0" fontId="29" fillId="0" borderId="21" xfId="0" applyFont="1" applyBorder="1" applyAlignment="1">
      <alignment vertical="top"/>
    </xf>
    <xf numFmtId="15" fontId="29" fillId="0" borderId="21" xfId="0" applyNumberFormat="1" applyFont="1" applyBorder="1" applyAlignment="1">
      <alignment vertical="top"/>
    </xf>
    <xf numFmtId="15" fontId="29" fillId="0" borderId="21" xfId="0" applyNumberFormat="1" applyFont="1" applyBorder="1" applyAlignment="1">
      <alignment horizontal="left" vertical="top"/>
    </xf>
    <xf numFmtId="3" fontId="23" fillId="0" borderId="15" xfId="0" applyNumberFormat="1" applyFont="1" applyBorder="1" applyAlignment="1">
      <alignment vertical="top" wrapText="1"/>
    </xf>
    <xf numFmtId="43" fontId="35" fillId="0" borderId="22" xfId="10" applyFont="1" applyFill="1" applyBorder="1" applyAlignment="1">
      <alignment horizontal="left" vertical="top" wrapText="1"/>
    </xf>
    <xf numFmtId="166" fontId="23" fillId="0" borderId="15" xfId="10" applyNumberFormat="1" applyFont="1" applyFill="1" applyBorder="1" applyAlignment="1">
      <alignment horizontal="left" vertical="top" wrapText="1"/>
    </xf>
    <xf numFmtId="43" fontId="29" fillId="0" borderId="21" xfId="10" applyFont="1" applyFill="1" applyBorder="1" applyAlignment="1">
      <alignment vertical="top"/>
    </xf>
    <xf numFmtId="166" fontId="29" fillId="0" borderId="21" xfId="10" applyNumberFormat="1" applyFont="1" applyFill="1" applyBorder="1" applyAlignment="1">
      <alignment horizontal="left" vertical="top"/>
    </xf>
    <xf numFmtId="0" fontId="23" fillId="0" borderId="23" xfId="0" applyFont="1" applyBorder="1" applyAlignment="1">
      <alignment horizontal="left" vertical="top" wrapText="1"/>
    </xf>
    <xf numFmtId="166" fontId="29" fillId="0" borderId="14" xfId="10" applyNumberFormat="1" applyFont="1" applyFill="1" applyBorder="1" applyAlignment="1">
      <alignment horizontal="left" vertical="top"/>
    </xf>
    <xf numFmtId="43" fontId="29" fillId="0" borderId="14" xfId="10" applyFont="1" applyBorder="1" applyAlignment="1">
      <alignment horizontal="left" vertical="top"/>
    </xf>
    <xf numFmtId="166" fontId="29" fillId="0" borderId="0" xfId="0" applyNumberFormat="1" applyFont="1" applyAlignment="1">
      <alignment horizontal="left" vertical="top"/>
    </xf>
    <xf numFmtId="43" fontId="29" fillId="0" borderId="0" xfId="10" applyFont="1" applyAlignment="1">
      <alignment horizontal="left" vertical="top"/>
    </xf>
    <xf numFmtId="0" fontId="24" fillId="0" borderId="21" xfId="0" applyFont="1" applyBorder="1" applyAlignment="1">
      <alignment vertical="center"/>
    </xf>
    <xf numFmtId="166" fontId="29" fillId="0" borderId="0" xfId="10" applyNumberFormat="1" applyFont="1" applyAlignment="1">
      <alignment horizontal="right" vertical="center"/>
    </xf>
    <xf numFmtId="166" fontId="29" fillId="0" borderId="0" xfId="10" applyNumberFormat="1" applyFont="1" applyAlignment="1">
      <alignment horizontal="left" vertical="top"/>
    </xf>
    <xf numFmtId="166" fontId="29" fillId="0" borderId="0" xfId="10" applyNumberFormat="1" applyFont="1" applyAlignment="1">
      <alignment horizontal="right" vertical="top"/>
    </xf>
    <xf numFmtId="10" fontId="30" fillId="0" borderId="21" xfId="0" applyNumberFormat="1" applyFont="1" applyBorder="1" applyAlignment="1">
      <alignment vertical="top"/>
    </xf>
    <xf numFmtId="0" fontId="30" fillId="0" borderId="0" xfId="0" applyFont="1" applyAlignment="1">
      <alignment vertical="top"/>
    </xf>
    <xf numFmtId="43" fontId="30" fillId="0" borderId="0" xfId="10" applyFont="1" applyAlignment="1">
      <alignment vertical="top"/>
    </xf>
    <xf numFmtId="0" fontId="30" fillId="0" borderId="0" xfId="0" applyFont="1" applyAlignment="1">
      <alignment horizontal="left" vertical="top"/>
    </xf>
    <xf numFmtId="166" fontId="30" fillId="0" borderId="0" xfId="10" applyNumberFormat="1" applyFont="1" applyAlignment="1">
      <alignment vertical="top"/>
    </xf>
    <xf numFmtId="166" fontId="29" fillId="0" borderId="0" xfId="10" applyNumberFormat="1" applyFont="1" applyAlignment="1">
      <alignment vertical="top"/>
    </xf>
    <xf numFmtId="166" fontId="29" fillId="0" borderId="14" xfId="10" applyNumberFormat="1" applyFont="1" applyFill="1" applyBorder="1" applyAlignment="1">
      <alignment vertical="top"/>
    </xf>
    <xf numFmtId="166" fontId="29" fillId="0" borderId="24" xfId="10" applyNumberFormat="1" applyFont="1" applyFill="1" applyBorder="1" applyAlignment="1">
      <alignment horizontal="left" vertical="top"/>
    </xf>
    <xf numFmtId="14" fontId="0" fillId="0" borderId="21" xfId="0" applyNumberFormat="1" applyBorder="1" applyAlignment="1">
      <alignment horizontal="center"/>
    </xf>
    <xf numFmtId="166" fontId="29" fillId="0" borderId="25" xfId="10" applyNumberFormat="1" applyFont="1" applyFill="1" applyBorder="1" applyAlignment="1">
      <alignment horizontal="left" vertical="top"/>
    </xf>
    <xf numFmtId="4" fontId="0" fillId="0" borderId="21" xfId="0" applyNumberFormat="1" applyBorder="1"/>
    <xf numFmtId="0" fontId="0" fillId="0" borderId="21" xfId="0" applyBorder="1"/>
    <xf numFmtId="166" fontId="24" fillId="0" borderId="21" xfId="10" applyNumberFormat="1" applyFont="1" applyFill="1" applyBorder="1" applyAlignment="1">
      <alignment horizontal="right" vertical="top"/>
    </xf>
    <xf numFmtId="0" fontId="24" fillId="0" borderId="14" xfId="0" applyFont="1" applyBorder="1" applyAlignment="1">
      <alignment vertical="center"/>
    </xf>
    <xf numFmtId="0" fontId="24" fillId="0" borderId="14" xfId="0" applyFont="1" applyBorder="1"/>
    <xf numFmtId="10" fontId="30" fillId="0" borderId="14" xfId="0" applyNumberFormat="1" applyFont="1" applyBorder="1" applyAlignment="1">
      <alignment vertical="top"/>
    </xf>
    <xf numFmtId="15" fontId="24" fillId="0" borderId="21" xfId="0" applyNumberFormat="1" applyFont="1" applyBorder="1" applyAlignment="1">
      <alignment vertical="center"/>
    </xf>
    <xf numFmtId="3" fontId="36" fillId="0" borderId="26" xfId="0" applyNumberFormat="1" applyFont="1" applyBorder="1"/>
    <xf numFmtId="166" fontId="24" fillId="0" borderId="21" xfId="10" applyNumberFormat="1" applyFont="1" applyFill="1" applyBorder="1" applyAlignment="1"/>
    <xf numFmtId="10" fontId="20" fillId="0" borderId="21" xfId="10" applyNumberFormat="1" applyFont="1" applyFill="1" applyBorder="1" applyAlignment="1">
      <alignment vertical="top"/>
    </xf>
    <xf numFmtId="15" fontId="29" fillId="0" borderId="14" xfId="0" applyNumberFormat="1" applyFont="1" applyBorder="1" applyAlignment="1">
      <alignment vertical="top"/>
    </xf>
    <xf numFmtId="166" fontId="29" fillId="0" borderId="14" xfId="0" applyNumberFormat="1" applyFont="1" applyBorder="1" applyAlignment="1">
      <alignment vertical="top"/>
    </xf>
    <xf numFmtId="166" fontId="29" fillId="0" borderId="14" xfId="10" applyNumberFormat="1" applyFont="1" applyBorder="1" applyAlignment="1">
      <alignment horizontal="left" vertical="top"/>
    </xf>
    <xf numFmtId="0" fontId="0" fillId="0" borderId="14" xfId="0" applyBorder="1" applyAlignment="1">
      <alignment horizontal="left"/>
    </xf>
    <xf numFmtId="15" fontId="24" fillId="0" borderId="14" xfId="0" applyNumberFormat="1" applyFont="1" applyBorder="1" applyAlignment="1">
      <alignment horizontal="left" vertical="top"/>
    </xf>
    <xf numFmtId="2" fontId="29" fillId="0" borderId="14" xfId="0" applyNumberFormat="1" applyFont="1" applyBorder="1" applyAlignment="1">
      <alignment horizontal="left" vertical="top"/>
    </xf>
    <xf numFmtId="4" fontId="0" fillId="0" borderId="14" xfId="0" applyNumberFormat="1" applyBorder="1"/>
    <xf numFmtId="166" fontId="24" fillId="0" borderId="14" xfId="10" applyNumberFormat="1" applyFont="1" applyFill="1" applyBorder="1" applyAlignment="1">
      <alignment horizontal="right" vertical="top"/>
    </xf>
    <xf numFmtId="15" fontId="37" fillId="0" borderId="14" xfId="0" applyNumberFormat="1" applyFont="1" applyBorder="1"/>
    <xf numFmtId="166" fontId="37" fillId="0" borderId="14" xfId="10" applyNumberFormat="1" applyFont="1" applyFill="1" applyBorder="1" applyAlignment="1"/>
    <xf numFmtId="166" fontId="29" fillId="0" borderId="14" xfId="10" applyNumberFormat="1" applyFont="1" applyFill="1" applyBorder="1" applyAlignment="1">
      <alignment horizontal="center" vertical="center"/>
    </xf>
    <xf numFmtId="0" fontId="29" fillId="0" borderId="14" xfId="0" applyFont="1" applyBorder="1" applyAlignment="1">
      <alignment horizontal="left" vertical="top"/>
    </xf>
    <xf numFmtId="15" fontId="29" fillId="0" borderId="14" xfId="0" applyNumberFormat="1" applyFont="1" applyBorder="1" applyAlignment="1">
      <alignment horizontal="left" vertical="top"/>
    </xf>
    <xf numFmtId="166" fontId="29" fillId="0" borderId="4" xfId="10" applyNumberFormat="1" applyFont="1" applyFill="1" applyBorder="1" applyAlignment="1">
      <alignment horizontal="left" vertical="top"/>
    </xf>
    <xf numFmtId="166" fontId="29" fillId="0" borderId="27" xfId="10" applyNumberFormat="1" applyFont="1" applyFill="1" applyBorder="1" applyAlignment="1">
      <alignment horizontal="left" vertical="top"/>
    </xf>
    <xf numFmtId="15" fontId="24" fillId="0" borderId="14" xfId="0" applyNumberFormat="1" applyFont="1" applyBorder="1" applyAlignment="1">
      <alignment vertical="center"/>
    </xf>
    <xf numFmtId="166" fontId="24" fillId="0" borderId="14" xfId="10" applyNumberFormat="1" applyFont="1" applyFill="1" applyBorder="1" applyAlignment="1"/>
    <xf numFmtId="4" fontId="0" fillId="0" borderId="14" xfId="0" applyNumberFormat="1" applyBorder="1" applyAlignment="1">
      <alignment horizontal="right"/>
    </xf>
    <xf numFmtId="49" fontId="8" fillId="0" borderId="14" xfId="0" applyNumberFormat="1" applyFont="1" applyBorder="1"/>
    <xf numFmtId="166" fontId="29" fillId="0" borderId="14" xfId="10" applyNumberFormat="1" applyFont="1" applyFill="1" applyBorder="1" applyAlignment="1">
      <alignment horizontal="right" vertical="center"/>
    </xf>
    <xf numFmtId="166" fontId="29" fillId="0" borderId="14" xfId="10" applyNumberFormat="1" applyFont="1" applyFill="1" applyBorder="1" applyAlignment="1">
      <alignment horizontal="right" vertical="top"/>
    </xf>
    <xf numFmtId="3" fontId="36" fillId="0" borderId="28" xfId="0" applyNumberFormat="1" applyFont="1" applyBorder="1" applyAlignment="1">
      <alignment horizontal="left"/>
    </xf>
    <xf numFmtId="10" fontId="20" fillId="0" borderId="14" xfId="10" applyNumberFormat="1" applyFont="1" applyFill="1" applyBorder="1" applyAlignment="1">
      <alignment vertical="top"/>
    </xf>
    <xf numFmtId="15" fontId="38" fillId="0" borderId="29" xfId="10" applyNumberFormat="1" applyFont="1" applyBorder="1" applyAlignment="1">
      <alignment horizontal="right"/>
    </xf>
    <xf numFmtId="3" fontId="39" fillId="0" borderId="0" xfId="0" applyNumberFormat="1" applyFont="1" applyAlignment="1">
      <alignment horizontal="left"/>
    </xf>
    <xf numFmtId="166" fontId="30" fillId="0" borderId="14" xfId="10" applyNumberFormat="1" applyFont="1" applyFill="1" applyBorder="1" applyAlignment="1"/>
    <xf numFmtId="0" fontId="24" fillId="0" borderId="27" xfId="0" applyFont="1" applyBorder="1" applyAlignment="1">
      <alignment vertical="center"/>
    </xf>
    <xf numFmtId="15" fontId="38" fillId="0" borderId="14" xfId="10" applyNumberFormat="1" applyFont="1" applyBorder="1" applyAlignment="1">
      <alignment horizontal="right"/>
    </xf>
    <xf numFmtId="0" fontId="29" fillId="0" borderId="27" xfId="0" applyFont="1" applyBorder="1" applyAlignment="1">
      <alignment horizontal="left"/>
    </xf>
    <xf numFmtId="43" fontId="38" fillId="0" borderId="14" xfId="10" applyFont="1" applyBorder="1" applyAlignment="1">
      <alignment horizontal="center" vertical="center"/>
    </xf>
    <xf numFmtId="3" fontId="38" fillId="0" borderId="14" xfId="0" applyNumberFormat="1" applyFont="1" applyBorder="1"/>
    <xf numFmtId="166" fontId="30" fillId="0" borderId="30" xfId="10" applyNumberFormat="1" applyFont="1" applyFill="1" applyBorder="1" applyAlignment="1"/>
    <xf numFmtId="15" fontId="30" fillId="0" borderId="14" xfId="0" applyNumberFormat="1" applyFont="1" applyBorder="1" applyAlignment="1">
      <alignment vertical="top"/>
    </xf>
    <xf numFmtId="166" fontId="24" fillId="0" borderId="14" xfId="10" applyNumberFormat="1" applyFont="1" applyFill="1" applyBorder="1" applyAlignment="1">
      <alignment horizontal="right" vertical="center"/>
    </xf>
    <xf numFmtId="166" fontId="24" fillId="0" borderId="14" xfId="10" applyNumberFormat="1" applyFont="1" applyFill="1" applyBorder="1" applyAlignment="1">
      <alignment horizontal="left" vertical="top"/>
    </xf>
    <xf numFmtId="43" fontId="24" fillId="0" borderId="14" xfId="10" applyFont="1" applyBorder="1" applyAlignment="1">
      <alignment vertical="center"/>
    </xf>
    <xf numFmtId="0" fontId="24" fillId="0" borderId="14" xfId="0" applyFont="1" applyBorder="1" applyAlignment="1">
      <alignment horizontal="left" vertical="top"/>
    </xf>
    <xf numFmtId="166" fontId="30" fillId="0" borderId="4" xfId="10" applyNumberFormat="1" applyFont="1" applyFill="1" applyBorder="1" applyAlignment="1">
      <alignment vertical="top"/>
    </xf>
    <xf numFmtId="166" fontId="30" fillId="0" borderId="14" xfId="10" applyNumberFormat="1" applyFont="1" applyFill="1" applyBorder="1" applyAlignment="1">
      <alignment vertical="center"/>
    </xf>
    <xf numFmtId="0" fontId="24" fillId="0" borderId="3" xfId="0" applyFont="1" applyBorder="1" applyAlignment="1">
      <alignment vertical="center"/>
    </xf>
    <xf numFmtId="0" fontId="0" fillId="0" borderId="3" xfId="0" applyBorder="1" applyAlignment="1">
      <alignment horizontal="left"/>
    </xf>
    <xf numFmtId="2" fontId="29" fillId="0" borderId="3" xfId="0" applyNumberFormat="1" applyFont="1" applyBorder="1" applyAlignment="1">
      <alignment horizontal="left" vertical="top"/>
    </xf>
    <xf numFmtId="166" fontId="24" fillId="0" borderId="3" xfId="10" applyNumberFormat="1" applyFont="1" applyFill="1" applyBorder="1" applyAlignment="1">
      <alignment horizontal="right" vertical="center"/>
    </xf>
    <xf numFmtId="166" fontId="24" fillId="0" borderId="3" xfId="10" applyNumberFormat="1" applyFont="1" applyFill="1" applyBorder="1" applyAlignment="1">
      <alignment horizontal="left" vertical="top"/>
    </xf>
    <xf numFmtId="166" fontId="29" fillId="0" borderId="3" xfId="10" applyNumberFormat="1" applyFont="1" applyFill="1" applyBorder="1" applyAlignment="1">
      <alignment horizontal="right" vertical="center"/>
    </xf>
    <xf numFmtId="10" fontId="30" fillId="0" borderId="3" xfId="0" applyNumberFormat="1" applyFont="1" applyBorder="1" applyAlignment="1">
      <alignment vertical="top"/>
    </xf>
    <xf numFmtId="43" fontId="24" fillId="0" borderId="15" xfId="10" applyFont="1" applyBorder="1" applyAlignment="1">
      <alignment vertical="center"/>
    </xf>
    <xf numFmtId="166" fontId="29" fillId="0" borderId="3" xfId="10" applyNumberFormat="1" applyFont="1" applyFill="1" applyBorder="1" applyAlignment="1">
      <alignment horizontal="left" vertical="top"/>
    </xf>
    <xf numFmtId="14" fontId="24" fillId="0" borderId="3" xfId="0" applyNumberFormat="1" applyFont="1" applyBorder="1" applyAlignment="1">
      <alignment horizontal="left"/>
    </xf>
    <xf numFmtId="0" fontId="29" fillId="0" borderId="3" xfId="0" applyFont="1" applyBorder="1" applyAlignment="1">
      <alignment horizontal="left" vertical="top"/>
    </xf>
    <xf numFmtId="15" fontId="30" fillId="0" borderId="3" xfId="0" applyNumberFormat="1" applyFont="1" applyBorder="1" applyAlignment="1">
      <alignment vertical="top"/>
    </xf>
    <xf numFmtId="15" fontId="29" fillId="0" borderId="3" xfId="0" applyNumberFormat="1" applyFont="1" applyBorder="1" applyAlignment="1">
      <alignment horizontal="left" vertical="top"/>
    </xf>
    <xf numFmtId="166" fontId="30" fillId="0" borderId="3" xfId="10" applyNumberFormat="1" applyFont="1" applyFill="1" applyBorder="1" applyAlignment="1">
      <alignment vertical="center"/>
    </xf>
    <xf numFmtId="166" fontId="29" fillId="0" borderId="31" xfId="10" applyNumberFormat="1" applyFont="1" applyFill="1" applyBorder="1" applyAlignment="1">
      <alignment horizontal="left" vertical="top"/>
    </xf>
    <xf numFmtId="0" fontId="30" fillId="0" borderId="32" xfId="0" applyFont="1" applyBorder="1" applyAlignment="1">
      <alignment horizontal="left" vertical="top"/>
    </xf>
    <xf numFmtId="166" fontId="24" fillId="0" borderId="15" xfId="10" applyNumberFormat="1" applyFont="1" applyFill="1" applyBorder="1" applyAlignment="1">
      <alignment horizontal="right" vertical="center"/>
    </xf>
    <xf numFmtId="166" fontId="24" fillId="0" borderId="15" xfId="10" applyNumberFormat="1" applyFont="1" applyFill="1" applyBorder="1" applyAlignment="1">
      <alignment horizontal="left" vertical="top"/>
    </xf>
    <xf numFmtId="166" fontId="29" fillId="0" borderId="15" xfId="10" applyNumberFormat="1" applyFont="1" applyFill="1" applyBorder="1" applyAlignment="1">
      <alignment horizontal="right" vertical="center"/>
    </xf>
    <xf numFmtId="0" fontId="24" fillId="0" borderId="15" xfId="0" applyFont="1" applyBorder="1" applyAlignment="1">
      <alignment vertical="center"/>
    </xf>
    <xf numFmtId="10" fontId="30" fillId="0" borderId="15" xfId="0" applyNumberFormat="1" applyFont="1" applyBorder="1" applyAlignment="1">
      <alignment vertical="top"/>
    </xf>
    <xf numFmtId="166" fontId="29" fillId="0" borderId="15" xfId="10" applyNumberFormat="1" applyFont="1" applyFill="1" applyBorder="1" applyAlignment="1">
      <alignment horizontal="left" vertical="top"/>
    </xf>
    <xf numFmtId="0" fontId="29" fillId="0" borderId="15" xfId="0" applyFont="1" applyBorder="1" applyAlignment="1">
      <alignment horizontal="left" vertical="top"/>
    </xf>
    <xf numFmtId="166" fontId="29" fillId="0" borderId="23" xfId="10" applyNumberFormat="1" applyFont="1" applyFill="1" applyBorder="1" applyAlignment="1">
      <alignment horizontal="left" vertical="top"/>
    </xf>
    <xf numFmtId="0" fontId="30" fillId="0" borderId="14" xfId="0" applyFont="1" applyBorder="1" applyAlignment="1">
      <alignment horizontal="left" vertical="top"/>
    </xf>
    <xf numFmtId="0" fontId="24" fillId="0" borderId="9" xfId="0" applyFont="1" applyBorder="1" applyAlignment="1">
      <alignment vertical="center"/>
    </xf>
    <xf numFmtId="0" fontId="0" fillId="0" borderId="9" xfId="0" applyBorder="1" applyAlignment="1">
      <alignment horizontal="left"/>
    </xf>
    <xf numFmtId="14" fontId="22" fillId="0" borderId="9" xfId="0" applyNumberFormat="1" applyFont="1" applyBorder="1" applyAlignment="1">
      <alignment horizontal="left" vertical="center"/>
    </xf>
    <xf numFmtId="2" fontId="29" fillId="0" borderId="9" xfId="0" applyNumberFormat="1" applyFont="1" applyBorder="1" applyAlignment="1">
      <alignment horizontal="left" vertical="top"/>
    </xf>
    <xf numFmtId="166" fontId="20" fillId="0" borderId="9" xfId="10" applyNumberFormat="1" applyFont="1" applyFill="1" applyBorder="1" applyAlignment="1">
      <alignment horizontal="right" vertical="center"/>
    </xf>
    <xf numFmtId="166" fontId="20" fillId="0" borderId="9" xfId="10" applyNumberFormat="1" applyFont="1" applyFill="1" applyBorder="1" applyAlignment="1">
      <alignment horizontal="left" vertical="top"/>
    </xf>
    <xf numFmtId="166" fontId="20" fillId="0" borderId="9" xfId="10" applyNumberFormat="1" applyFont="1" applyFill="1" applyBorder="1" applyAlignment="1">
      <alignment horizontal="right" vertical="top"/>
    </xf>
    <xf numFmtId="0" fontId="24" fillId="0" borderId="9" xfId="0" applyFont="1" applyBorder="1"/>
    <xf numFmtId="10" fontId="30" fillId="0" borderId="9" xfId="0" applyNumberFormat="1" applyFont="1" applyBorder="1" applyAlignment="1">
      <alignment vertical="top"/>
    </xf>
    <xf numFmtId="43" fontId="24" fillId="0" borderId="9" xfId="10" applyFont="1" applyBorder="1" applyAlignment="1"/>
    <xf numFmtId="166" fontId="30" fillId="0" borderId="9" xfId="10" applyNumberFormat="1" applyFont="1" applyFill="1" applyBorder="1" applyAlignment="1">
      <alignment vertical="top"/>
    </xf>
    <xf numFmtId="166" fontId="29" fillId="0" borderId="9" xfId="10" applyNumberFormat="1" applyFont="1" applyFill="1" applyBorder="1" applyAlignment="1">
      <alignment vertical="top"/>
    </xf>
    <xf numFmtId="166" fontId="29" fillId="0" borderId="9" xfId="10" applyNumberFormat="1" applyFont="1" applyFill="1" applyBorder="1" applyAlignment="1">
      <alignment horizontal="left" vertical="top"/>
    </xf>
    <xf numFmtId="14" fontId="29" fillId="0" borderId="14" xfId="0" applyNumberFormat="1" applyFont="1" applyBorder="1" applyAlignment="1">
      <alignment horizontal="left" vertical="top"/>
    </xf>
    <xf numFmtId="0" fontId="29" fillId="0" borderId="9" xfId="0" applyFont="1" applyBorder="1" applyAlignment="1">
      <alignment horizontal="left" vertical="top"/>
    </xf>
    <xf numFmtId="15" fontId="29" fillId="0" borderId="9" xfId="0" applyNumberFormat="1" applyFont="1" applyBorder="1" applyAlignment="1">
      <alignment vertical="top"/>
    </xf>
    <xf numFmtId="15" fontId="29" fillId="0" borderId="9" xfId="0" applyNumberFormat="1" applyFont="1" applyBorder="1" applyAlignment="1">
      <alignment horizontal="left" vertical="top"/>
    </xf>
    <xf numFmtId="166" fontId="29" fillId="0" borderId="9" xfId="0" applyNumberFormat="1" applyFont="1" applyBorder="1" applyAlignment="1">
      <alignment vertical="top"/>
    </xf>
    <xf numFmtId="166" fontId="29" fillId="0" borderId="33" xfId="10" applyNumberFormat="1" applyFont="1" applyFill="1" applyBorder="1" applyAlignment="1">
      <alignment horizontal="left" vertical="top"/>
    </xf>
    <xf numFmtId="14" fontId="22" fillId="0" borderId="14" xfId="0" applyNumberFormat="1" applyFont="1" applyBorder="1" applyAlignment="1">
      <alignment horizontal="left" vertical="center"/>
    </xf>
    <xf numFmtId="166" fontId="20" fillId="0" borderId="14" xfId="10" applyNumberFormat="1" applyFont="1" applyFill="1" applyBorder="1" applyAlignment="1">
      <alignment horizontal="right" vertical="center"/>
    </xf>
    <xf numFmtId="166" fontId="20" fillId="0" borderId="14" xfId="10" applyNumberFormat="1" applyFont="1" applyFill="1" applyBorder="1" applyAlignment="1">
      <alignment horizontal="left" vertical="top"/>
    </xf>
    <xf numFmtId="166" fontId="20" fillId="0" borderId="14" xfId="10" applyNumberFormat="1" applyFont="1" applyFill="1" applyBorder="1" applyAlignment="1">
      <alignment horizontal="right" vertical="top"/>
    </xf>
    <xf numFmtId="43" fontId="24" fillId="0" borderId="14" xfId="10" applyFont="1" applyBorder="1" applyAlignment="1"/>
    <xf numFmtId="166" fontId="30" fillId="0" borderId="14" xfId="10" applyNumberFormat="1" applyFont="1" applyFill="1" applyBorder="1" applyAlignment="1">
      <alignment vertical="top"/>
    </xf>
    <xf numFmtId="14" fontId="22" fillId="0" borderId="3" xfId="0" applyNumberFormat="1" applyFont="1" applyBorder="1" applyAlignment="1">
      <alignment horizontal="left" vertical="center"/>
    </xf>
    <xf numFmtId="166" fontId="20" fillId="0" borderId="3" xfId="10" applyNumberFormat="1" applyFont="1" applyFill="1" applyBorder="1" applyAlignment="1">
      <alignment horizontal="right" vertical="top"/>
    </xf>
    <xf numFmtId="0" fontId="24" fillId="0" borderId="3" xfId="0" applyFont="1" applyBorder="1"/>
    <xf numFmtId="14" fontId="29" fillId="2" borderId="3" xfId="0" applyNumberFormat="1" applyFont="1" applyFill="1" applyBorder="1" applyAlignment="1">
      <alignment vertical="top"/>
    </xf>
    <xf numFmtId="166" fontId="30" fillId="0" borderId="3" xfId="10" applyNumberFormat="1" applyFont="1" applyFill="1" applyBorder="1" applyAlignment="1">
      <alignment vertical="top"/>
    </xf>
    <xf numFmtId="166" fontId="29" fillId="0" borderId="3" xfId="10" applyNumberFormat="1" applyFont="1" applyFill="1" applyBorder="1" applyAlignment="1">
      <alignment vertical="top"/>
    </xf>
    <xf numFmtId="166" fontId="29" fillId="0" borderId="3" xfId="0" applyNumberFormat="1" applyFont="1" applyBorder="1" applyAlignment="1">
      <alignment vertical="top"/>
    </xf>
    <xf numFmtId="0" fontId="0" fillId="0" borderId="15" xfId="0" applyBorder="1" applyAlignment="1">
      <alignment horizontal="left"/>
    </xf>
    <xf numFmtId="14" fontId="22" fillId="0" borderId="15" xfId="0" applyNumberFormat="1" applyFont="1" applyBorder="1" applyAlignment="1">
      <alignment horizontal="left" vertical="center"/>
    </xf>
    <xf numFmtId="166" fontId="20" fillId="0" borderId="15" xfId="10" applyNumberFormat="1" applyFont="1" applyFill="1" applyBorder="1" applyAlignment="1">
      <alignment horizontal="right" vertical="center"/>
    </xf>
    <xf numFmtId="166" fontId="20" fillId="0" borderId="15" xfId="10" applyNumberFormat="1" applyFont="1" applyFill="1" applyBorder="1" applyAlignment="1">
      <alignment horizontal="left" vertical="top"/>
    </xf>
    <xf numFmtId="166" fontId="20" fillId="0" borderId="15" xfId="10" applyNumberFormat="1" applyFont="1" applyFill="1" applyBorder="1" applyAlignment="1">
      <alignment horizontal="right" vertical="top"/>
    </xf>
    <xf numFmtId="0" fontId="24" fillId="0" borderId="15" xfId="0" applyFont="1" applyBorder="1"/>
    <xf numFmtId="43" fontId="29" fillId="0" borderId="15" xfId="10" applyFont="1" applyBorder="1" applyAlignment="1">
      <alignment vertical="top"/>
    </xf>
    <xf numFmtId="0" fontId="24" fillId="0" borderId="15" xfId="0" applyFont="1" applyBorder="1" applyAlignment="1">
      <alignment horizontal="left" vertical="top"/>
    </xf>
    <xf numFmtId="166" fontId="30" fillId="0" borderId="15" xfId="10" applyNumberFormat="1" applyFont="1" applyFill="1" applyBorder="1" applyAlignment="1">
      <alignment vertical="top"/>
    </xf>
    <xf numFmtId="166" fontId="29" fillId="0" borderId="15" xfId="10" applyNumberFormat="1" applyFont="1" applyFill="1" applyBorder="1" applyAlignment="1">
      <alignment vertical="top"/>
    </xf>
    <xf numFmtId="14" fontId="29" fillId="0" borderId="15" xfId="0" applyNumberFormat="1" applyFont="1" applyBorder="1" applyAlignment="1">
      <alignment horizontal="left" vertical="top"/>
    </xf>
    <xf numFmtId="15" fontId="29" fillId="0" borderId="14" xfId="10" applyNumberFormat="1" applyFont="1" applyBorder="1" applyAlignment="1">
      <alignment vertical="top"/>
    </xf>
    <xf numFmtId="15" fontId="29" fillId="0" borderId="3" xfId="10" applyNumberFormat="1" applyFont="1" applyBorder="1" applyAlignment="1">
      <alignment horizontal="left" vertical="top"/>
    </xf>
    <xf numFmtId="166" fontId="29" fillId="0" borderId="15" xfId="0" applyNumberFormat="1" applyFont="1" applyBorder="1" applyAlignment="1">
      <alignment vertical="top"/>
    </xf>
    <xf numFmtId="0" fontId="29" fillId="0" borderId="0" xfId="0" applyFont="1"/>
    <xf numFmtId="14" fontId="29" fillId="0" borderId="0" xfId="0" applyNumberFormat="1" applyFont="1" applyAlignment="1">
      <alignment horizontal="left" vertical="top"/>
    </xf>
    <xf numFmtId="2" fontId="29" fillId="0" borderId="0" xfId="0" applyNumberFormat="1" applyFont="1" applyAlignment="1">
      <alignment horizontal="left"/>
    </xf>
    <xf numFmtId="166" fontId="20" fillId="0" borderId="0" xfId="10" applyNumberFormat="1" applyFont="1" applyFill="1" applyBorder="1" applyAlignment="1">
      <alignment horizontal="right" vertical="center"/>
    </xf>
    <xf numFmtId="166" fontId="20" fillId="0" borderId="0" xfId="10" applyNumberFormat="1" applyFont="1" applyFill="1" applyBorder="1" applyAlignment="1">
      <alignment horizontal="left" vertical="top"/>
    </xf>
    <xf numFmtId="166" fontId="20" fillId="0" borderId="0" xfId="10" applyNumberFormat="1" applyFont="1" applyFill="1" applyBorder="1" applyAlignment="1">
      <alignment horizontal="right" vertical="top"/>
    </xf>
    <xf numFmtId="0" fontId="24" fillId="0" borderId="0" xfId="0" applyFont="1"/>
    <xf numFmtId="10" fontId="30" fillId="0" borderId="0" xfId="0" applyNumberFormat="1" applyFont="1" applyAlignment="1">
      <alignment vertical="top"/>
    </xf>
    <xf numFmtId="43" fontId="29" fillId="0" borderId="0" xfId="10" applyFont="1" applyAlignment="1">
      <alignment vertical="top"/>
    </xf>
    <xf numFmtId="0" fontId="24" fillId="0" borderId="0" xfId="0" applyFont="1" applyAlignment="1">
      <alignment horizontal="left" vertical="top"/>
    </xf>
    <xf numFmtId="43" fontId="40" fillId="0" borderId="21" xfId="10" applyFont="1" applyBorder="1" applyAlignment="1">
      <alignment horizontal="center" vertical="center"/>
    </xf>
    <xf numFmtId="166" fontId="29" fillId="0" borderId="0" xfId="10" applyNumberFormat="1" applyFont="1" applyFill="1" applyBorder="1" applyAlignment="1">
      <alignment vertical="top"/>
    </xf>
    <xf numFmtId="166" fontId="29" fillId="0" borderId="0" xfId="10" applyNumberFormat="1" applyFont="1" applyFill="1" applyBorder="1" applyAlignment="1">
      <alignment horizontal="left" vertical="top"/>
    </xf>
    <xf numFmtId="166" fontId="29" fillId="0" borderId="0" xfId="0" applyNumberFormat="1" applyFont="1" applyAlignment="1">
      <alignment vertical="top"/>
    </xf>
    <xf numFmtId="166" fontId="41" fillId="0" borderId="0" xfId="10" applyNumberFormat="1" applyFont="1" applyFill="1" applyBorder="1" applyAlignment="1">
      <alignment horizontal="left" vertical="top"/>
    </xf>
    <xf numFmtId="4" fontId="42" fillId="0" borderId="0" xfId="0" applyNumberFormat="1" applyFont="1" applyAlignment="1">
      <alignment horizontal="center" vertical="center"/>
    </xf>
    <xf numFmtId="166" fontId="29" fillId="0" borderId="0" xfId="10" applyNumberFormat="1" applyFont="1" applyFill="1" applyBorder="1" applyAlignment="1">
      <alignment horizontal="right" vertical="top"/>
    </xf>
    <xf numFmtId="0" fontId="43" fillId="0" borderId="0" xfId="0" applyFont="1"/>
    <xf numFmtId="0" fontId="30" fillId="0" borderId="0" xfId="0" applyFont="1"/>
    <xf numFmtId="43" fontId="39" fillId="0" borderId="0" xfId="10" applyFont="1" applyBorder="1" applyAlignment="1">
      <alignment vertical="center"/>
    </xf>
    <xf numFmtId="3" fontId="40" fillId="0" borderId="0" xfId="0" applyNumberFormat="1" applyFont="1" applyAlignment="1">
      <alignment horizontal="center" vertical="center"/>
    </xf>
    <xf numFmtId="3" fontId="44" fillId="0" borderId="0" xfId="0" applyNumberFormat="1" applyFont="1" applyAlignment="1">
      <alignment horizontal="center" vertical="center"/>
    </xf>
    <xf numFmtId="3" fontId="44" fillId="0" borderId="0" xfId="0" applyNumberFormat="1" applyFont="1"/>
    <xf numFmtId="3" fontId="29" fillId="0" borderId="0" xfId="0" applyNumberFormat="1" applyFont="1" applyAlignment="1">
      <alignment vertical="top"/>
    </xf>
    <xf numFmtId="0" fontId="29" fillId="0" borderId="14" xfId="0" applyFont="1" applyBorder="1"/>
    <xf numFmtId="2" fontId="29" fillId="0" borderId="14" xfId="0" applyNumberFormat="1" applyFont="1" applyBorder="1" applyAlignment="1">
      <alignment horizontal="left"/>
    </xf>
    <xf numFmtId="4" fontId="42" fillId="0" borderId="14" xfId="0" applyNumberFormat="1" applyFont="1" applyBorder="1" applyAlignment="1">
      <alignment horizontal="center" vertical="center"/>
    </xf>
    <xf numFmtId="0" fontId="30" fillId="0" borderId="14" xfId="0" applyFont="1" applyBorder="1"/>
    <xf numFmtId="15" fontId="39" fillId="0" borderId="14" xfId="0" applyNumberFormat="1" applyFont="1" applyBorder="1" applyAlignment="1">
      <alignment vertical="center"/>
    </xf>
    <xf numFmtId="3" fontId="40" fillId="0" borderId="14" xfId="0" applyNumberFormat="1" applyFont="1" applyBorder="1" applyAlignment="1">
      <alignment horizontal="right"/>
    </xf>
    <xf numFmtId="3" fontId="44" fillId="0" borderId="24" xfId="0" applyNumberFormat="1" applyFont="1" applyBorder="1" applyAlignment="1">
      <alignment horizontal="center" vertical="center"/>
    </xf>
    <xf numFmtId="3" fontId="44" fillId="0" borderId="21" xfId="0" applyNumberFormat="1" applyFont="1" applyBorder="1"/>
    <xf numFmtId="3" fontId="29" fillId="0" borderId="21" xfId="0" applyNumberFormat="1" applyFont="1" applyBorder="1" applyAlignment="1">
      <alignment vertical="top"/>
    </xf>
    <xf numFmtId="0" fontId="39" fillId="0" borderId="14" xfId="0" applyFont="1" applyBorder="1" applyAlignment="1">
      <alignment horizontal="left" vertical="top"/>
    </xf>
    <xf numFmtId="49" fontId="30" fillId="0" borderId="14" xfId="0" applyNumberFormat="1" applyFont="1" applyBorder="1" applyAlignment="1">
      <alignment horizontal="left" vertical="top"/>
    </xf>
    <xf numFmtId="3" fontId="44" fillId="0" borderId="4" xfId="0" applyNumberFormat="1" applyFont="1" applyBorder="1" applyAlignment="1">
      <alignment horizontal="center" vertical="center"/>
    </xf>
    <xf numFmtId="3" fontId="44" fillId="0" borderId="14" xfId="0" applyNumberFormat="1" applyFont="1" applyBorder="1"/>
    <xf numFmtId="15" fontId="29" fillId="0" borderId="14" xfId="10" applyNumberFormat="1" applyFont="1" applyFill="1" applyBorder="1" applyAlignment="1">
      <alignment horizontal="left" vertical="top"/>
    </xf>
    <xf numFmtId="3" fontId="29" fillId="0" borderId="14" xfId="0" applyNumberFormat="1" applyFont="1" applyBorder="1" applyAlignment="1">
      <alignment vertical="top"/>
    </xf>
    <xf numFmtId="173" fontId="39" fillId="0" borderId="14" xfId="0" applyNumberFormat="1" applyFont="1" applyBorder="1" applyAlignment="1">
      <alignment vertical="center"/>
    </xf>
    <xf numFmtId="3" fontId="39" fillId="0" borderId="14" xfId="0" applyNumberFormat="1" applyFont="1" applyBorder="1" applyAlignment="1">
      <alignment horizontal="center" vertical="center"/>
    </xf>
    <xf numFmtId="15" fontId="39" fillId="0" borderId="14" xfId="10" applyNumberFormat="1" applyFont="1" applyBorder="1" applyAlignment="1">
      <alignment vertical="center"/>
    </xf>
    <xf numFmtId="3" fontId="38" fillId="0" borderId="14" xfId="0" applyNumberFormat="1" applyFont="1" applyBorder="1" applyAlignment="1">
      <alignment horizontal="center" vertical="center"/>
    </xf>
    <xf numFmtId="43" fontId="41" fillId="0" borderId="14" xfId="10" applyFont="1" applyBorder="1" applyAlignment="1">
      <alignment vertical="top"/>
    </xf>
    <xf numFmtId="4" fontId="29" fillId="0" borderId="14" xfId="0" applyNumberFormat="1" applyFont="1" applyBorder="1" applyAlignment="1">
      <alignment horizontal="right" vertical="center"/>
    </xf>
    <xf numFmtId="15" fontId="0" fillId="0" borderId="14" xfId="0" applyNumberFormat="1" applyBorder="1"/>
    <xf numFmtId="166" fontId="43" fillId="0" borderId="14" xfId="0" applyNumberFormat="1" applyFont="1" applyBorder="1" applyAlignment="1">
      <alignment horizontal="right"/>
    </xf>
    <xf numFmtId="166" fontId="29" fillId="0" borderId="4" xfId="10" applyNumberFormat="1" applyFont="1" applyFill="1" applyBorder="1" applyAlignment="1">
      <alignment vertical="top"/>
    </xf>
    <xf numFmtId="166" fontId="30" fillId="0" borderId="14" xfId="0" applyNumberFormat="1" applyFont="1" applyBorder="1" applyAlignment="1">
      <alignment vertical="top"/>
    </xf>
    <xf numFmtId="166" fontId="45" fillId="0" borderId="14" xfId="10" applyNumberFormat="1" applyFont="1" applyFill="1" applyBorder="1" applyAlignment="1">
      <alignment horizontal="right" vertical="top"/>
    </xf>
    <xf numFmtId="0" fontId="29" fillId="0" borderId="15" xfId="0" applyFont="1" applyBorder="1"/>
    <xf numFmtId="2" fontId="29" fillId="0" borderId="21" xfId="0" applyNumberFormat="1" applyFont="1" applyBorder="1" applyAlignment="1">
      <alignment horizontal="left"/>
    </xf>
    <xf numFmtId="4" fontId="29" fillId="0" borderId="15" xfId="0" applyNumberFormat="1" applyFont="1" applyBorder="1" applyAlignment="1">
      <alignment horizontal="right" vertical="center"/>
    </xf>
    <xf numFmtId="166" fontId="29" fillId="0" borderId="15" xfId="10" applyNumberFormat="1" applyFont="1" applyFill="1" applyBorder="1" applyAlignment="1">
      <alignment horizontal="right" vertical="top"/>
    </xf>
    <xf numFmtId="0" fontId="43" fillId="0" borderId="15" xfId="0" applyFont="1" applyBorder="1"/>
    <xf numFmtId="0" fontId="30" fillId="0" borderId="21" xfId="0" applyFont="1" applyBorder="1"/>
    <xf numFmtId="0" fontId="30" fillId="0" borderId="15" xfId="0" applyFont="1" applyBorder="1"/>
    <xf numFmtId="15" fontId="46" fillId="0" borderId="15" xfId="10" applyNumberFormat="1" applyFont="1" applyFill="1" applyBorder="1" applyAlignment="1">
      <alignment vertical="center"/>
    </xf>
    <xf numFmtId="49" fontId="46" fillId="0" borderId="15" xfId="0" applyNumberFormat="1" applyFont="1" applyBorder="1" applyAlignment="1">
      <alignment horizontal="left" vertical="top"/>
    </xf>
    <xf numFmtId="15" fontId="0" fillId="0" borderId="3" xfId="0" applyNumberFormat="1" applyBorder="1"/>
    <xf numFmtId="166" fontId="30" fillId="0" borderId="3" xfId="0" applyNumberFormat="1" applyFont="1" applyBorder="1" applyAlignment="1">
      <alignment vertical="top"/>
    </xf>
    <xf numFmtId="166" fontId="45" fillId="0" borderId="3" xfId="10" applyNumberFormat="1" applyFont="1" applyFill="1" applyBorder="1" applyAlignment="1">
      <alignment horizontal="right" vertical="top"/>
    </xf>
    <xf numFmtId="43" fontId="46" fillId="0" borderId="15" xfId="10" applyFont="1" applyFill="1" applyBorder="1" applyAlignment="1">
      <alignment vertical="center"/>
    </xf>
    <xf numFmtId="15" fontId="0" fillId="0" borderId="3" xfId="10" applyNumberFormat="1" applyFont="1" applyFill="1" applyBorder="1"/>
    <xf numFmtId="166" fontId="30" fillId="0" borderId="15" xfId="0" applyNumberFormat="1" applyFont="1" applyBorder="1" applyAlignment="1">
      <alignment vertical="top"/>
    </xf>
    <xf numFmtId="166" fontId="45" fillId="0" borderId="15" xfId="10" applyNumberFormat="1" applyFont="1" applyFill="1" applyBorder="1" applyAlignment="1">
      <alignment horizontal="right" vertical="top"/>
    </xf>
    <xf numFmtId="0" fontId="24" fillId="0" borderId="17" xfId="0" applyFont="1" applyBorder="1" applyAlignment="1">
      <alignment vertical="center"/>
    </xf>
    <xf numFmtId="14" fontId="29" fillId="0" borderId="14" xfId="0" applyNumberFormat="1" applyFont="1" applyBorder="1"/>
    <xf numFmtId="2" fontId="29" fillId="0" borderId="14" xfId="10" applyNumberFormat="1" applyFont="1" applyFill="1" applyBorder="1" applyAlignment="1">
      <alignment horizontal="left" vertical="top"/>
    </xf>
    <xf numFmtId="166" fontId="40" fillId="0" borderId="21" xfId="10" applyNumberFormat="1" applyFont="1" applyBorder="1" applyAlignment="1">
      <alignment horizontal="center" vertical="center"/>
    </xf>
    <xf numFmtId="3" fontId="44" fillId="0" borderId="15" xfId="0" applyNumberFormat="1" applyFont="1" applyBorder="1"/>
    <xf numFmtId="43" fontId="0" fillId="0" borderId="3" xfId="10" applyFont="1" applyFill="1" applyBorder="1"/>
    <xf numFmtId="43" fontId="29" fillId="0" borderId="14" xfId="10" applyFont="1" applyFill="1" applyBorder="1" applyAlignment="1">
      <alignment horizontal="left" vertical="top"/>
    </xf>
    <xf numFmtId="166" fontId="47" fillId="0" borderId="15" xfId="10" applyNumberFormat="1" applyFont="1" applyFill="1" applyBorder="1" applyAlignment="1">
      <alignment horizontal="right" vertical="top"/>
    </xf>
    <xf numFmtId="3" fontId="38" fillId="0" borderId="14" xfId="0" applyNumberFormat="1" applyFont="1" applyBorder="1" applyAlignment="1">
      <alignment horizontal="right" vertical="top"/>
    </xf>
    <xf numFmtId="0" fontId="43" fillId="0" borderId="14" xfId="0" applyFont="1" applyBorder="1"/>
    <xf numFmtId="2" fontId="39" fillId="0" borderId="14" xfId="0" applyNumberFormat="1" applyFont="1" applyBorder="1" applyAlignment="1">
      <alignment horizontal="left" vertical="top"/>
    </xf>
    <xf numFmtId="174" fontId="39" fillId="0" borderId="14" xfId="0" applyNumberFormat="1" applyFont="1" applyBorder="1" applyAlignment="1">
      <alignment vertical="top"/>
    </xf>
    <xf numFmtId="3" fontId="39" fillId="0" borderId="14" xfId="0" applyNumberFormat="1" applyFont="1" applyBorder="1" applyAlignment="1">
      <alignment horizontal="left" vertical="top"/>
    </xf>
    <xf numFmtId="166" fontId="0" fillId="0" borderId="14" xfId="0" applyNumberFormat="1" applyBorder="1"/>
    <xf numFmtId="166" fontId="0" fillId="0" borderId="14" xfId="10" applyNumberFormat="1" applyFont="1" applyFill="1" applyBorder="1"/>
    <xf numFmtId="0" fontId="29" fillId="17" borderId="14" xfId="0" applyFont="1" applyFill="1" applyBorder="1" applyAlignment="1">
      <alignment horizontal="left" vertical="top"/>
    </xf>
    <xf numFmtId="14" fontId="29" fillId="0" borderId="21" xfId="0" applyNumberFormat="1" applyFont="1" applyBorder="1"/>
    <xf numFmtId="2" fontId="29" fillId="0" borderId="21" xfId="10" applyNumberFormat="1" applyFont="1" applyFill="1" applyBorder="1" applyAlignment="1">
      <alignment horizontal="left" vertical="top"/>
    </xf>
    <xf numFmtId="3" fontId="38" fillId="0" borderId="21" xfId="0" applyNumberFormat="1" applyFont="1" applyBorder="1" applyAlignment="1">
      <alignment horizontal="right" vertical="top"/>
    </xf>
    <xf numFmtId="0" fontId="43" fillId="0" borderId="21" xfId="0" applyFont="1" applyBorder="1"/>
    <xf numFmtId="0" fontId="30" fillId="0" borderId="21" xfId="0" applyFont="1" applyBorder="1" applyAlignment="1">
      <alignment horizontal="left" vertical="top"/>
    </xf>
    <xf numFmtId="2" fontId="39" fillId="0" borderId="21" xfId="0" applyNumberFormat="1" applyFont="1" applyBorder="1" applyAlignment="1">
      <alignment horizontal="left" vertical="top"/>
    </xf>
    <xf numFmtId="174" fontId="39" fillId="0" borderId="21" xfId="0" applyNumberFormat="1" applyFont="1" applyBorder="1" applyAlignment="1">
      <alignment vertical="top"/>
    </xf>
    <xf numFmtId="3" fontId="39" fillId="0" borderId="21" xfId="0" applyNumberFormat="1" applyFont="1" applyBorder="1" applyAlignment="1">
      <alignment horizontal="left" vertical="top"/>
    </xf>
    <xf numFmtId="166" fontId="30" fillId="0" borderId="21" xfId="10" applyNumberFormat="1" applyFont="1" applyFill="1" applyBorder="1" applyAlignment="1">
      <alignment vertical="top"/>
    </xf>
    <xf numFmtId="166" fontId="29" fillId="0" borderId="21" xfId="10" applyNumberFormat="1" applyFont="1" applyFill="1" applyBorder="1" applyAlignment="1">
      <alignment vertical="top"/>
    </xf>
    <xf numFmtId="15" fontId="0" fillId="0" borderId="21" xfId="0" applyNumberFormat="1" applyBorder="1"/>
    <xf numFmtId="15" fontId="29" fillId="0" borderId="21" xfId="10" applyNumberFormat="1" applyFont="1" applyFill="1" applyBorder="1" applyAlignment="1">
      <alignment horizontal="left" vertical="top"/>
    </xf>
    <xf numFmtId="166" fontId="0" fillId="0" borderId="21" xfId="0" applyNumberFormat="1" applyBorder="1"/>
    <xf numFmtId="166" fontId="0" fillId="0" borderId="21" xfId="10" applyNumberFormat="1" applyFont="1" applyFill="1" applyBorder="1"/>
    <xf numFmtId="3" fontId="29" fillId="0" borderId="14" xfId="0" applyNumberFormat="1" applyFont="1" applyBorder="1" applyAlignment="1">
      <alignment horizontal="right"/>
    </xf>
    <xf numFmtId="166" fontId="29" fillId="0" borderId="14" xfId="10" applyNumberFormat="1" applyFont="1" applyFill="1" applyBorder="1" applyAlignment="1">
      <alignment horizontal="right"/>
    </xf>
    <xf numFmtId="0" fontId="43" fillId="18" borderId="14" xfId="0" applyFont="1" applyFill="1" applyBorder="1"/>
    <xf numFmtId="2" fontId="39" fillId="19" borderId="14" xfId="0" applyNumberFormat="1" applyFont="1" applyFill="1" applyBorder="1" applyAlignment="1">
      <alignment vertical="top"/>
    </xf>
    <xf numFmtId="43" fontId="30" fillId="0" borderId="14" xfId="10" applyFont="1" applyBorder="1" applyAlignment="1">
      <alignment vertical="top"/>
    </xf>
    <xf numFmtId="0" fontId="30" fillId="20" borderId="14" xfId="0" applyFont="1" applyFill="1" applyBorder="1" applyAlignment="1">
      <alignment horizontal="left" vertical="top"/>
    </xf>
    <xf numFmtId="15" fontId="29" fillId="0" borderId="14" xfId="10" applyNumberFormat="1" applyFont="1" applyBorder="1" applyAlignment="1">
      <alignment horizontal="left" vertical="top"/>
    </xf>
    <xf numFmtId="166" fontId="38" fillId="0" borderId="14" xfId="10" applyNumberFormat="1" applyFont="1" applyFill="1" applyBorder="1" applyAlignment="1">
      <alignment horizontal="left" vertical="top"/>
    </xf>
    <xf numFmtId="166" fontId="38" fillId="0" borderId="14" xfId="10" applyNumberFormat="1" applyFont="1" applyFill="1" applyBorder="1" applyAlignment="1">
      <alignment horizontal="right" vertical="top"/>
    </xf>
    <xf numFmtId="2" fontId="39" fillId="0" borderId="14" xfId="0" applyNumberFormat="1" applyFont="1" applyBorder="1" applyAlignment="1">
      <alignment vertical="center"/>
    </xf>
    <xf numFmtId="0" fontId="29" fillId="17" borderId="0" xfId="0" applyFont="1" applyFill="1" applyAlignment="1">
      <alignment horizontal="left" vertical="top"/>
    </xf>
    <xf numFmtId="2" fontId="39" fillId="0" borderId="14" xfId="0" applyNumberFormat="1" applyFont="1" applyBorder="1" applyAlignment="1">
      <alignment vertical="top"/>
    </xf>
    <xf numFmtId="0" fontId="30" fillId="18" borderId="14" xfId="0" applyFont="1" applyFill="1" applyBorder="1" applyAlignment="1">
      <alignment horizontal="left" vertical="top"/>
    </xf>
    <xf numFmtId="43" fontId="39" fillId="0" borderId="14" xfId="10" applyFont="1" applyBorder="1" applyAlignment="1">
      <alignment vertical="top"/>
    </xf>
    <xf numFmtId="166" fontId="41" fillId="0" borderId="14" xfId="10" applyNumberFormat="1" applyFont="1" applyFill="1" applyBorder="1" applyAlignment="1">
      <alignment horizontal="right"/>
    </xf>
    <xf numFmtId="175" fontId="39" fillId="0" borderId="14" xfId="0" applyNumberFormat="1" applyFont="1" applyBorder="1" applyAlignment="1">
      <alignment vertical="top"/>
    </xf>
    <xf numFmtId="0" fontId="43" fillId="21" borderId="14" xfId="0" applyFont="1" applyFill="1" applyBorder="1"/>
    <xf numFmtId="2" fontId="39" fillId="5" borderId="14" xfId="0" applyNumberFormat="1" applyFont="1" applyFill="1" applyBorder="1" applyAlignment="1">
      <alignment vertical="top"/>
    </xf>
    <xf numFmtId="15" fontId="29" fillId="2" borderId="14" xfId="0" applyNumberFormat="1" applyFont="1" applyFill="1" applyBorder="1" applyAlignment="1">
      <alignment vertical="top"/>
    </xf>
    <xf numFmtId="0" fontId="24" fillId="20" borderId="14" xfId="0" applyFont="1" applyFill="1" applyBorder="1" applyAlignment="1">
      <alignment horizontal="left" vertical="top"/>
    </xf>
    <xf numFmtId="174" fontId="38" fillId="0" borderId="34" xfId="0" applyNumberFormat="1" applyFont="1" applyBorder="1" applyAlignment="1">
      <alignment horizontal="center" vertical="center"/>
    </xf>
    <xf numFmtId="3" fontId="38" fillId="0" borderId="35" xfId="0" applyNumberFormat="1" applyFont="1" applyBorder="1" applyAlignment="1">
      <alignment horizontal="center" vertical="center"/>
    </xf>
    <xf numFmtId="174" fontId="39" fillId="0" borderId="14" xfId="0" applyNumberFormat="1" applyFont="1" applyBorder="1" applyAlignment="1">
      <alignment vertical="center"/>
    </xf>
    <xf numFmtId="3" fontId="40" fillId="0" borderId="14" xfId="0" applyNumberFormat="1" applyFont="1" applyBorder="1" applyAlignment="1">
      <alignment horizontal="center" vertical="center"/>
    </xf>
    <xf numFmtId="3" fontId="48" fillId="0" borderId="14" xfId="0" applyNumberFormat="1" applyFont="1" applyBorder="1" applyAlignment="1">
      <alignment horizontal="center" vertical="center"/>
    </xf>
    <xf numFmtId="166" fontId="30" fillId="0" borderId="14" xfId="10" applyNumberFormat="1" applyFont="1" applyFill="1" applyBorder="1" applyAlignment="1">
      <alignment horizontal="right"/>
    </xf>
    <xf numFmtId="166" fontId="49" fillId="0" borderId="0" xfId="0" applyNumberFormat="1" applyFont="1" applyAlignment="1">
      <alignment vertical="top"/>
    </xf>
    <xf numFmtId="0" fontId="33" fillId="22" borderId="14" xfId="0" applyFont="1" applyFill="1" applyBorder="1"/>
    <xf numFmtId="15" fontId="29" fillId="0" borderId="27" xfId="10" applyNumberFormat="1" applyFont="1" applyFill="1" applyBorder="1" applyAlignment="1">
      <alignment horizontal="left" vertical="top"/>
    </xf>
    <xf numFmtId="166" fontId="29" fillId="0" borderId="15" xfId="10" applyNumberFormat="1" applyFont="1" applyFill="1" applyBorder="1" applyAlignment="1">
      <alignment horizontal="right"/>
    </xf>
    <xf numFmtId="0" fontId="33" fillId="22" borderId="15" xfId="0" applyFont="1" applyFill="1" applyBorder="1"/>
    <xf numFmtId="14" fontId="29" fillId="0" borderId="15" xfId="0" applyNumberFormat="1" applyFont="1" applyBorder="1"/>
    <xf numFmtId="2" fontId="29" fillId="0" borderId="15" xfId="10" applyNumberFormat="1" applyFont="1" applyFill="1" applyBorder="1" applyAlignment="1">
      <alignment horizontal="left" vertical="top"/>
    </xf>
    <xf numFmtId="166" fontId="0" fillId="0" borderId="15" xfId="10" applyNumberFormat="1" applyFont="1" applyFill="1" applyBorder="1"/>
    <xf numFmtId="0" fontId="33" fillId="0" borderId="15" xfId="0" applyFont="1" applyBorder="1"/>
    <xf numFmtId="0" fontId="30" fillId="0" borderId="15" xfId="0" applyFont="1" applyBorder="1" applyAlignment="1">
      <alignment horizontal="left" vertical="top"/>
    </xf>
    <xf numFmtId="2" fontId="39" fillId="0" borderId="15" xfId="0" applyNumberFormat="1" applyFont="1" applyBorder="1" applyAlignment="1">
      <alignment horizontal="left" vertical="top"/>
    </xf>
    <xf numFmtId="2" fontId="39" fillId="0" borderId="15" xfId="0" applyNumberFormat="1" applyFont="1" applyBorder="1" applyAlignment="1">
      <alignment vertical="top"/>
    </xf>
    <xf numFmtId="43" fontId="29" fillId="0" borderId="3" xfId="10" applyFont="1" applyBorder="1" applyAlignment="1">
      <alignment vertical="top"/>
    </xf>
    <xf numFmtId="0" fontId="30" fillId="0" borderId="3" xfId="0" applyFont="1" applyBorder="1" applyAlignment="1">
      <alignment horizontal="left" vertical="top"/>
    </xf>
    <xf numFmtId="15" fontId="29" fillId="0" borderId="15" xfId="0" applyNumberFormat="1" applyFont="1" applyBorder="1" applyAlignment="1">
      <alignment horizontal="left" vertical="top"/>
    </xf>
    <xf numFmtId="15" fontId="29" fillId="0" borderId="21" xfId="0" applyNumberFormat="1" applyFont="1" applyBorder="1"/>
    <xf numFmtId="0" fontId="33" fillId="0" borderId="14" xfId="0" applyFont="1" applyBorder="1"/>
    <xf numFmtId="43" fontId="29" fillId="0" borderId="14" xfId="10" applyFont="1" applyBorder="1" applyAlignment="1">
      <alignment vertical="top"/>
    </xf>
    <xf numFmtId="166" fontId="41" fillId="0" borderId="14" xfId="10" applyNumberFormat="1" applyFont="1" applyFill="1" applyBorder="1" applyAlignment="1">
      <alignment horizontal="left" vertical="top"/>
    </xf>
    <xf numFmtId="166" fontId="38" fillId="0" borderId="21" xfId="10" applyNumberFormat="1" applyFont="1" applyFill="1" applyBorder="1" applyAlignment="1">
      <alignment horizontal="right" vertical="center"/>
    </xf>
    <xf numFmtId="0" fontId="50" fillId="0" borderId="21" xfId="0" applyFont="1" applyBorder="1" applyAlignment="1">
      <alignment horizontal="left" vertical="center" readingOrder="1"/>
    </xf>
    <xf numFmtId="0" fontId="29" fillId="0" borderId="21" xfId="0" applyFont="1" applyBorder="1" applyAlignment="1">
      <alignment horizontal="left"/>
    </xf>
    <xf numFmtId="10" fontId="29" fillId="0" borderId="21" xfId="0" applyNumberFormat="1" applyFont="1" applyBorder="1" applyAlignment="1">
      <alignment vertical="top"/>
    </xf>
    <xf numFmtId="2" fontId="38" fillId="0" borderId="21" xfId="0" applyNumberFormat="1" applyFont="1" applyBorder="1" applyAlignment="1">
      <alignment horizontal="left" vertical="center"/>
    </xf>
    <xf numFmtId="15" fontId="29" fillId="2" borderId="21" xfId="0" applyNumberFormat="1" applyFont="1" applyFill="1" applyBorder="1" applyAlignment="1">
      <alignment vertical="top"/>
    </xf>
    <xf numFmtId="15" fontId="29" fillId="2" borderId="21" xfId="0" applyNumberFormat="1" applyFont="1" applyFill="1" applyBorder="1" applyAlignment="1">
      <alignment horizontal="left" vertical="top"/>
    </xf>
    <xf numFmtId="0" fontId="30" fillId="0" borderId="5" xfId="0" applyFont="1" applyBorder="1" applyAlignment="1">
      <alignment horizontal="left" vertical="top"/>
    </xf>
    <xf numFmtId="15" fontId="29" fillId="0" borderId="14" xfId="0" applyNumberFormat="1" applyFont="1" applyBorder="1"/>
    <xf numFmtId="166" fontId="38" fillId="0" borderId="14" xfId="10" applyNumberFormat="1" applyFont="1" applyFill="1" applyBorder="1" applyAlignment="1">
      <alignment horizontal="right" vertical="center"/>
    </xf>
    <xf numFmtId="0" fontId="50" fillId="0" borderId="14" xfId="0" applyFont="1" applyBorder="1" applyAlignment="1">
      <alignment horizontal="left" vertical="center" readingOrder="1"/>
    </xf>
    <xf numFmtId="0" fontId="29" fillId="0" borderId="14" xfId="0" applyFont="1" applyBorder="1" applyAlignment="1">
      <alignment horizontal="left"/>
    </xf>
    <xf numFmtId="10" fontId="29" fillId="0" borderId="14" xfId="0" applyNumberFormat="1" applyFont="1" applyBorder="1" applyAlignment="1">
      <alignment vertical="top"/>
    </xf>
    <xf numFmtId="2" fontId="38" fillId="0" borderId="14" xfId="0" applyNumberFormat="1" applyFont="1" applyBorder="1" applyAlignment="1">
      <alignment horizontal="left" vertical="center"/>
    </xf>
    <xf numFmtId="0" fontId="29" fillId="0" borderId="14" xfId="0" applyFont="1" applyBorder="1" applyAlignment="1">
      <alignment vertical="top"/>
    </xf>
    <xf numFmtId="15" fontId="29" fillId="0" borderId="14" xfId="10" applyNumberFormat="1" applyFont="1" applyFill="1" applyBorder="1" applyAlignment="1">
      <alignment vertical="top"/>
    </xf>
    <xf numFmtId="0" fontId="29" fillId="20" borderId="3" xfId="0" applyFont="1" applyFill="1" applyBorder="1" applyAlignment="1">
      <alignment horizontal="left" vertical="top"/>
    </xf>
    <xf numFmtId="43" fontId="29" fillId="0" borderId="14" xfId="0" applyNumberFormat="1" applyFont="1" applyBorder="1" applyAlignment="1">
      <alignment vertical="top"/>
    </xf>
    <xf numFmtId="43" fontId="29" fillId="0" borderId="21" xfId="10" applyFont="1" applyBorder="1" applyAlignment="1">
      <alignment vertical="top"/>
    </xf>
    <xf numFmtId="0" fontId="30" fillId="0" borderId="36" xfId="0" applyFont="1" applyBorder="1" applyAlignment="1">
      <alignment horizontal="left" vertical="top"/>
    </xf>
    <xf numFmtId="0" fontId="51" fillId="0" borderId="0" xfId="0" applyFont="1" applyAlignment="1">
      <alignment horizontal="left" vertical="top"/>
    </xf>
    <xf numFmtId="0" fontId="51" fillId="0" borderId="21" xfId="0" applyFont="1" applyBorder="1" applyAlignment="1">
      <alignment horizontal="left" vertical="top"/>
    </xf>
    <xf numFmtId="3" fontId="38" fillId="0" borderId="9" xfId="0" applyNumberFormat="1" applyFont="1" applyBorder="1" applyAlignment="1">
      <alignment horizontal="right" vertical="center"/>
    </xf>
    <xf numFmtId="9" fontId="29" fillId="0" borderId="9" xfId="0" applyNumberFormat="1" applyFont="1" applyBorder="1" applyAlignment="1">
      <alignment horizontal="left"/>
    </xf>
    <xf numFmtId="0" fontId="29" fillId="0" borderId="9" xfId="0" applyFont="1" applyBorder="1" applyAlignment="1">
      <alignment horizontal="left"/>
    </xf>
    <xf numFmtId="10" fontId="29" fillId="0" borderId="9" xfId="0" applyNumberFormat="1" applyFont="1" applyBorder="1" applyAlignment="1">
      <alignment vertical="top"/>
    </xf>
    <xf numFmtId="2" fontId="38" fillId="0" borderId="9" xfId="0" applyNumberFormat="1" applyFont="1" applyBorder="1" applyAlignment="1">
      <alignment horizontal="left" vertical="center"/>
    </xf>
    <xf numFmtId="43" fontId="29" fillId="0" borderId="9" xfId="10" applyFont="1" applyFill="1" applyBorder="1" applyAlignment="1">
      <alignment vertical="top"/>
    </xf>
    <xf numFmtId="3" fontId="29" fillId="0" borderId="9" xfId="0" applyNumberFormat="1" applyFont="1" applyBorder="1" applyAlignment="1">
      <alignment vertical="top"/>
    </xf>
    <xf numFmtId="0" fontId="51" fillId="0" borderId="14" xfId="0" applyFont="1" applyBorder="1" applyAlignment="1">
      <alignment horizontal="left" vertical="top"/>
    </xf>
    <xf numFmtId="2" fontId="38" fillId="0" borderId="14" xfId="0" applyNumberFormat="1" applyFont="1" applyBorder="1" applyAlignment="1">
      <alignment horizontal="left" vertical="top"/>
    </xf>
    <xf numFmtId="174" fontId="38" fillId="0" borderId="14" xfId="0" applyNumberFormat="1" applyFont="1" applyBorder="1" applyAlignment="1">
      <alignment vertical="center"/>
    </xf>
    <xf numFmtId="10" fontId="29" fillId="0" borderId="14" xfId="10" applyNumberFormat="1" applyFont="1" applyFill="1" applyBorder="1" applyAlignment="1">
      <alignment vertical="top"/>
    </xf>
    <xf numFmtId="14" fontId="0" fillId="0" borderId="14" xfId="0" applyNumberFormat="1" applyBorder="1" applyAlignment="1">
      <alignment horizontal="center"/>
    </xf>
    <xf numFmtId="0" fontId="29" fillId="0" borderId="4" xfId="0" applyFont="1" applyBorder="1" applyAlignment="1">
      <alignment horizontal="left" vertical="top"/>
    </xf>
    <xf numFmtId="2" fontId="38" fillId="0" borderId="14" xfId="0" applyNumberFormat="1" applyFont="1" applyBorder="1" applyAlignment="1">
      <alignment vertical="top"/>
    </xf>
    <xf numFmtId="175" fontId="38" fillId="0" borderId="14" xfId="0" applyNumberFormat="1" applyFont="1" applyBorder="1" applyAlignment="1">
      <alignment vertical="center"/>
    </xf>
    <xf numFmtId="43" fontId="38" fillId="0" borderId="14" xfId="10" applyFont="1" applyBorder="1" applyAlignment="1">
      <alignment vertical="center"/>
    </xf>
    <xf numFmtId="15" fontId="41" fillId="0" borderId="14" xfId="10" applyNumberFormat="1" applyFont="1" applyBorder="1" applyAlignment="1">
      <alignment vertical="top"/>
    </xf>
    <xf numFmtId="0" fontId="52" fillId="0" borderId="14" xfId="0" applyFont="1" applyBorder="1" applyAlignment="1">
      <alignment vertical="top"/>
    </xf>
    <xf numFmtId="166" fontId="41" fillId="0" borderId="14" xfId="10" applyNumberFormat="1" applyFont="1" applyFill="1" applyBorder="1" applyAlignment="1">
      <alignment horizontal="right" vertical="top"/>
    </xf>
    <xf numFmtId="166" fontId="29" fillId="0" borderId="14" xfId="10" applyNumberFormat="1" applyFont="1" applyBorder="1" applyAlignment="1">
      <alignment vertical="top"/>
    </xf>
    <xf numFmtId="166" fontId="41" fillId="0" borderId="14" xfId="10" applyNumberFormat="1" applyFont="1" applyBorder="1" applyAlignment="1">
      <alignment vertical="top"/>
    </xf>
    <xf numFmtId="166" fontId="29" fillId="0" borderId="14" xfId="10" applyNumberFormat="1" applyFont="1" applyBorder="1" applyAlignment="1">
      <alignment horizontal="right" vertical="center"/>
    </xf>
    <xf numFmtId="166" fontId="29" fillId="0" borderId="14" xfId="10" applyNumberFormat="1" applyFont="1" applyBorder="1" applyAlignment="1">
      <alignment horizontal="right" vertical="top"/>
    </xf>
    <xf numFmtId="166" fontId="29" fillId="0" borderId="21" xfId="10" applyNumberFormat="1" applyFont="1" applyFill="1" applyBorder="1" applyAlignment="1">
      <alignment horizontal="right" vertical="center"/>
    </xf>
    <xf numFmtId="166" fontId="41" fillId="0" borderId="21" xfId="10" applyNumberFormat="1" applyFont="1" applyFill="1" applyBorder="1" applyAlignment="1">
      <alignment horizontal="right" vertical="top"/>
    </xf>
    <xf numFmtId="0" fontId="52" fillId="0" borderId="21" xfId="0" applyFont="1" applyBorder="1" applyAlignment="1">
      <alignment vertical="top"/>
    </xf>
    <xf numFmtId="43" fontId="29" fillId="2" borderId="21" xfId="10" applyFont="1" applyFill="1" applyBorder="1" applyAlignment="1">
      <alignment vertical="top"/>
    </xf>
    <xf numFmtId="3" fontId="38" fillId="0" borderId="21" xfId="0" applyNumberFormat="1" applyFont="1" applyBorder="1" applyAlignment="1">
      <alignment horizontal="center" vertical="center"/>
    </xf>
    <xf numFmtId="14" fontId="29" fillId="0" borderId="21" xfId="0" applyNumberFormat="1" applyFont="1" applyBorder="1" applyAlignment="1">
      <alignment horizontal="left" vertical="top"/>
    </xf>
    <xf numFmtId="0" fontId="22" fillId="0" borderId="21" xfId="0" applyFont="1" applyBorder="1"/>
    <xf numFmtId="14" fontId="24" fillId="0" borderId="21" xfId="0" applyNumberFormat="1" applyFont="1" applyBorder="1" applyAlignment="1">
      <alignment horizontal="left" vertical="top"/>
    </xf>
    <xf numFmtId="43" fontId="41" fillId="0" borderId="21" xfId="10" applyFont="1" applyFill="1" applyBorder="1" applyAlignment="1">
      <alignment horizontal="left" vertical="top"/>
    </xf>
    <xf numFmtId="166" fontId="29" fillId="0" borderId="21" xfId="10" applyNumberFormat="1" applyFont="1" applyFill="1" applyBorder="1" applyAlignment="1">
      <alignment horizontal="right" vertical="top"/>
    </xf>
    <xf numFmtId="0" fontId="20" fillId="0" borderId="21" xfId="0" applyFont="1" applyBorder="1" applyAlignment="1">
      <alignment horizontal="left" vertical="top"/>
    </xf>
    <xf numFmtId="176" fontId="24" fillId="0" borderId="21" xfId="0" applyNumberFormat="1" applyFont="1" applyBorder="1" applyAlignment="1">
      <alignment vertical="center"/>
    </xf>
    <xf numFmtId="0" fontId="22" fillId="0" borderId="14" xfId="0" applyFont="1" applyBorder="1"/>
    <xf numFmtId="14" fontId="24" fillId="0" borderId="14" xfId="0" applyNumberFormat="1" applyFont="1" applyBorder="1" applyAlignment="1">
      <alignment horizontal="left" vertical="top"/>
    </xf>
    <xf numFmtId="0" fontId="20" fillId="0" borderId="14" xfId="0" applyFont="1" applyBorder="1" applyAlignment="1">
      <alignment horizontal="left" vertical="top"/>
    </xf>
    <xf numFmtId="176" fontId="24" fillId="0" borderId="14" xfId="0" applyNumberFormat="1" applyFont="1" applyBorder="1" applyAlignment="1">
      <alignment vertical="center"/>
    </xf>
    <xf numFmtId="166" fontId="43" fillId="0" borderId="14" xfId="0" applyNumberFormat="1" applyFont="1" applyBorder="1"/>
    <xf numFmtId="166" fontId="30" fillId="0" borderId="14" xfId="10" applyNumberFormat="1" applyFont="1" applyFill="1" applyBorder="1" applyAlignment="1">
      <alignment horizontal="left" vertical="top"/>
    </xf>
    <xf numFmtId="166" fontId="28" fillId="0" borderId="14" xfId="0" applyNumberFormat="1" applyFont="1" applyBorder="1"/>
    <xf numFmtId="0" fontId="30" fillId="0" borderId="11" xfId="0" applyFont="1" applyBorder="1" applyAlignment="1">
      <alignment horizontal="left" vertical="top"/>
    </xf>
    <xf numFmtId="0" fontId="22" fillId="0" borderId="9" xfId="0" applyFont="1" applyBorder="1"/>
    <xf numFmtId="14" fontId="24" fillId="0" borderId="9" xfId="0" applyNumberFormat="1" applyFont="1" applyBorder="1" applyAlignment="1">
      <alignment horizontal="left" vertical="top"/>
    </xf>
    <xf numFmtId="2" fontId="29" fillId="0" borderId="9" xfId="10" applyNumberFormat="1" applyFont="1" applyFill="1" applyBorder="1" applyAlignment="1">
      <alignment horizontal="left" vertical="top"/>
    </xf>
    <xf numFmtId="166" fontId="29" fillId="0" borderId="9" xfId="10" applyNumberFormat="1" applyFont="1" applyFill="1" applyBorder="1" applyAlignment="1">
      <alignment horizontal="right" vertical="center"/>
    </xf>
    <xf numFmtId="166" fontId="29" fillId="0" borderId="9" xfId="10" applyNumberFormat="1" applyFont="1" applyFill="1" applyBorder="1" applyAlignment="1">
      <alignment horizontal="right" vertical="top"/>
    </xf>
    <xf numFmtId="0" fontId="20" fillId="0" borderId="9" xfId="0" applyFont="1" applyBorder="1" applyAlignment="1">
      <alignment horizontal="left" vertical="top"/>
    </xf>
    <xf numFmtId="43" fontId="29" fillId="0" borderId="9" xfId="10" applyFont="1" applyBorder="1" applyAlignment="1">
      <alignment vertical="top"/>
    </xf>
    <xf numFmtId="15" fontId="0" fillId="0" borderId="9" xfId="0" applyNumberFormat="1" applyBorder="1"/>
    <xf numFmtId="166" fontId="0" fillId="0" borderId="9" xfId="0" applyNumberFormat="1" applyBorder="1"/>
    <xf numFmtId="15" fontId="0" fillId="0" borderId="14" xfId="10" applyNumberFormat="1" applyFont="1" applyBorder="1"/>
    <xf numFmtId="166" fontId="0" fillId="0" borderId="14" xfId="0" applyNumberFormat="1" applyBorder="1" applyAlignment="1">
      <alignment horizontal="center" wrapText="1"/>
    </xf>
    <xf numFmtId="0" fontId="22" fillId="0" borderId="15" xfId="0" applyFont="1" applyBorder="1"/>
    <xf numFmtId="14" fontId="24" fillId="0" borderId="15" xfId="0" applyNumberFormat="1" applyFont="1" applyBorder="1" applyAlignment="1">
      <alignment horizontal="left" vertical="top"/>
    </xf>
    <xf numFmtId="0" fontId="20" fillId="0" borderId="15" xfId="0" applyFont="1" applyBorder="1" applyAlignment="1">
      <alignment horizontal="left" vertical="top"/>
    </xf>
    <xf numFmtId="10" fontId="29" fillId="0" borderId="15" xfId="0" applyNumberFormat="1" applyFont="1" applyBorder="1" applyAlignment="1">
      <alignment vertical="top"/>
    </xf>
    <xf numFmtId="0" fontId="20" fillId="0" borderId="3" xfId="0" applyFont="1" applyBorder="1" applyAlignment="1">
      <alignment horizontal="left" vertical="top"/>
    </xf>
    <xf numFmtId="2" fontId="38" fillId="0" borderId="15" xfId="0" applyNumberFormat="1" applyFont="1" applyBorder="1" applyAlignment="1">
      <alignment horizontal="left" vertical="center"/>
    </xf>
    <xf numFmtId="166" fontId="43" fillId="0" borderId="0" xfId="0" applyNumberFormat="1" applyFont="1"/>
    <xf numFmtId="166" fontId="0" fillId="0" borderId="0" xfId="0" applyNumberFormat="1" applyAlignment="1">
      <alignment horizontal="center" wrapText="1"/>
    </xf>
    <xf numFmtId="0" fontId="20" fillId="0" borderId="0" xfId="0" applyFont="1" applyAlignment="1">
      <alignment horizontal="left" vertical="top"/>
    </xf>
    <xf numFmtId="10" fontId="29" fillId="0" borderId="0" xfId="0" applyNumberFormat="1" applyFont="1" applyAlignment="1">
      <alignment vertical="top"/>
    </xf>
    <xf numFmtId="43" fontId="53" fillId="23" borderId="0" xfId="10" applyFont="1" applyFill="1" applyBorder="1" applyAlignment="1">
      <alignment horizontal="left" vertical="center"/>
    </xf>
    <xf numFmtId="43" fontId="0" fillId="0" borderId="0" xfId="10" applyFont="1" applyBorder="1"/>
    <xf numFmtId="3" fontId="38" fillId="0" borderId="0" xfId="0" applyNumberFormat="1" applyFont="1" applyAlignment="1">
      <alignment horizontal="center" vertical="center"/>
    </xf>
    <xf numFmtId="176" fontId="24" fillId="0" borderId="0" xfId="0" applyNumberFormat="1" applyFont="1" applyAlignment="1">
      <alignment vertical="center"/>
    </xf>
    <xf numFmtId="0" fontId="22" fillId="0" borderId="0" xfId="0" applyFont="1"/>
    <xf numFmtId="2" fontId="38" fillId="0" borderId="0" xfId="0" applyNumberFormat="1" applyFont="1" applyAlignment="1">
      <alignment horizontal="left" vertical="center"/>
    </xf>
    <xf numFmtId="43" fontId="0" fillId="0" borderId="0" xfId="10" applyFont="1" applyFill="1" applyBorder="1"/>
    <xf numFmtId="14" fontId="0" fillId="0" borderId="21" xfId="0" applyNumberFormat="1" applyBorder="1"/>
    <xf numFmtId="2" fontId="0" fillId="0" borderId="21" xfId="0" applyNumberFormat="1" applyBorder="1" applyAlignment="1">
      <alignment horizontal="left"/>
    </xf>
    <xf numFmtId="43" fontId="0" fillId="0" borderId="0" xfId="10" applyFont="1"/>
    <xf numFmtId="43" fontId="41" fillId="0" borderId="0" xfId="10" applyFont="1" applyFill="1" applyBorder="1" applyAlignment="1">
      <alignment horizontal="left" vertical="top"/>
    </xf>
    <xf numFmtId="43" fontId="0" fillId="0" borderId="21" xfId="10" applyFont="1" applyFill="1" applyBorder="1"/>
    <xf numFmtId="4" fontId="24" fillId="0" borderId="21" xfId="0" applyNumberFormat="1" applyFont="1" applyBorder="1" applyAlignment="1">
      <alignment horizontal="right" vertical="center"/>
    </xf>
    <xf numFmtId="4" fontId="24" fillId="0" borderId="21" xfId="0" applyNumberFormat="1" applyFont="1" applyBorder="1" applyAlignment="1">
      <alignment vertical="center"/>
    </xf>
    <xf numFmtId="3" fontId="24" fillId="0" borderId="21" xfId="0" applyNumberFormat="1" applyFont="1" applyBorder="1" applyAlignment="1">
      <alignment horizontal="right" vertical="top"/>
    </xf>
    <xf numFmtId="166" fontId="24" fillId="0" borderId="21" xfId="10" applyNumberFormat="1" applyFont="1" applyBorder="1" applyAlignment="1">
      <alignment horizontal="center" vertical="center"/>
    </xf>
    <xf numFmtId="15" fontId="24" fillId="0" borderId="21" xfId="0" applyNumberFormat="1" applyFont="1" applyBorder="1" applyAlignment="1">
      <alignment horizontal="center" vertical="center"/>
    </xf>
    <xf numFmtId="0" fontId="24" fillId="0" borderId="21" xfId="0" applyFont="1" applyBorder="1" applyAlignment="1">
      <alignment horizontal="center" vertical="center"/>
    </xf>
    <xf numFmtId="43" fontId="0" fillId="0" borderId="14" xfId="10" applyFont="1" applyFill="1" applyBorder="1"/>
    <xf numFmtId="14" fontId="0" fillId="0" borderId="14" xfId="0" applyNumberFormat="1" applyBorder="1"/>
    <xf numFmtId="43" fontId="0" fillId="0" borderId="14" xfId="10" applyFont="1" applyBorder="1" applyAlignment="1"/>
    <xf numFmtId="0" fontId="29" fillId="0" borderId="25" xfId="0" applyFont="1" applyBorder="1" applyAlignment="1">
      <alignment horizontal="left" vertical="top"/>
    </xf>
    <xf numFmtId="15" fontId="29" fillId="0" borderId="0" xfId="0" applyNumberFormat="1" applyFont="1" applyAlignment="1">
      <alignment vertical="top"/>
    </xf>
    <xf numFmtId="15" fontId="29" fillId="0" borderId="4" xfId="0" applyNumberFormat="1" applyFont="1" applyBorder="1" applyAlignment="1">
      <alignment horizontal="left" vertical="top"/>
    </xf>
    <xf numFmtId="2" fontId="0" fillId="0" borderId="14" xfId="0" applyNumberFormat="1" applyBorder="1" applyAlignment="1">
      <alignment horizontal="left"/>
    </xf>
    <xf numFmtId="15" fontId="29" fillId="0" borderId="4" xfId="10" applyNumberFormat="1" applyFont="1" applyBorder="1" applyAlignment="1">
      <alignment horizontal="left" vertical="top"/>
    </xf>
    <xf numFmtId="15" fontId="29" fillId="0" borderId="4" xfId="10" applyNumberFormat="1" applyFont="1" applyFill="1" applyBorder="1" applyAlignment="1">
      <alignment horizontal="left" vertical="top"/>
    </xf>
    <xf numFmtId="49" fontId="54" fillId="0" borderId="14" xfId="0" applyNumberFormat="1" applyFont="1" applyBorder="1" applyAlignment="1">
      <alignment horizontal="center" vertical="center"/>
    </xf>
    <xf numFmtId="3" fontId="55" fillId="0" borderId="14" xfId="0" applyNumberFormat="1" applyFont="1" applyBorder="1" applyAlignment="1">
      <alignment horizontal="center" vertical="center"/>
    </xf>
    <xf numFmtId="2" fontId="0" fillId="0" borderId="3" xfId="0" applyNumberFormat="1" applyBorder="1" applyAlignment="1">
      <alignment horizontal="left"/>
    </xf>
    <xf numFmtId="166" fontId="29" fillId="0" borderId="3" xfId="10" applyNumberFormat="1" applyFont="1" applyFill="1" applyBorder="1" applyAlignment="1">
      <alignment horizontal="right" vertical="top"/>
    </xf>
    <xf numFmtId="10" fontId="29" fillId="0" borderId="3" xfId="0" applyNumberFormat="1" applyFont="1" applyBorder="1" applyAlignment="1">
      <alignment vertical="top"/>
    </xf>
    <xf numFmtId="43" fontId="0" fillId="0" borderId="15" xfId="10" applyFont="1" applyFill="1" applyBorder="1"/>
    <xf numFmtId="0" fontId="0" fillId="0" borderId="15" xfId="0" applyBorder="1"/>
    <xf numFmtId="14" fontId="0" fillId="0" borderId="15" xfId="0" applyNumberFormat="1" applyBorder="1"/>
    <xf numFmtId="2" fontId="0" fillId="0" borderId="15" xfId="0" applyNumberFormat="1" applyBorder="1" applyAlignment="1">
      <alignment horizontal="left"/>
    </xf>
    <xf numFmtId="49" fontId="54" fillId="0" borderId="0" xfId="0" applyNumberFormat="1" applyFont="1" applyAlignment="1">
      <alignment vertical="top"/>
    </xf>
    <xf numFmtId="0" fontId="51" fillId="0" borderId="21" xfId="0" applyFont="1" applyBorder="1" applyAlignment="1">
      <alignment horizontal="left" vertical="top" wrapText="1"/>
    </xf>
    <xf numFmtId="15" fontId="30" fillId="0" borderId="21" xfId="0" applyNumberFormat="1" applyFont="1" applyBorder="1" applyAlignment="1">
      <alignment horizontal="left" vertical="top"/>
    </xf>
    <xf numFmtId="166" fontId="29" fillId="0" borderId="0" xfId="10" applyNumberFormat="1" applyFont="1" applyFill="1" applyBorder="1" applyAlignment="1">
      <alignment horizontal="right" vertical="center"/>
    </xf>
    <xf numFmtId="0" fontId="24" fillId="0" borderId="0" xfId="0" applyFont="1" applyAlignment="1">
      <alignment vertical="center"/>
    </xf>
    <xf numFmtId="43" fontId="29" fillId="0" borderId="0" xfId="10" applyFont="1" applyBorder="1" applyAlignment="1">
      <alignment vertical="top"/>
    </xf>
    <xf numFmtId="49" fontId="54" fillId="0" borderId="21" xfId="0" applyNumberFormat="1" applyFont="1" applyBorder="1" applyAlignment="1">
      <alignment vertical="top"/>
    </xf>
    <xf numFmtId="174" fontId="38" fillId="0" borderId="21" xfId="0" applyNumberFormat="1" applyFont="1" applyBorder="1" applyAlignment="1">
      <alignment vertical="center"/>
    </xf>
    <xf numFmtId="166" fontId="29" fillId="0" borderId="21" xfId="0" applyNumberFormat="1" applyFont="1" applyBorder="1" applyAlignment="1">
      <alignment vertical="top"/>
    </xf>
    <xf numFmtId="49" fontId="54" fillId="0" borderId="14" xfId="0" applyNumberFormat="1" applyFont="1" applyBorder="1" applyAlignment="1">
      <alignment vertical="top"/>
    </xf>
    <xf numFmtId="0" fontId="51" fillId="0" borderId="14" xfId="0" applyFont="1" applyBorder="1" applyAlignment="1">
      <alignment horizontal="left" vertical="top" wrapText="1"/>
    </xf>
    <xf numFmtId="15" fontId="30" fillId="0" borderId="14" xfId="0" applyNumberFormat="1" applyFont="1" applyBorder="1" applyAlignment="1">
      <alignment horizontal="left" vertical="top"/>
    </xf>
    <xf numFmtId="14" fontId="29" fillId="2" borderId="14" xfId="10" applyNumberFormat="1" applyFont="1" applyFill="1" applyBorder="1" applyAlignment="1">
      <alignment vertical="top"/>
    </xf>
    <xf numFmtId="3" fontId="38" fillId="0" borderId="14" xfId="0" applyNumberFormat="1" applyFont="1" applyBorder="1" applyAlignment="1">
      <alignment horizontal="left" vertical="center"/>
    </xf>
    <xf numFmtId="15" fontId="29" fillId="2" borderId="14" xfId="10" applyNumberFormat="1" applyFont="1" applyFill="1" applyBorder="1" applyAlignment="1">
      <alignment vertical="top"/>
    </xf>
    <xf numFmtId="0" fontId="30" fillId="0" borderId="37" xfId="0" applyFont="1" applyBorder="1" applyAlignment="1">
      <alignment horizontal="left" vertical="top"/>
    </xf>
    <xf numFmtId="49" fontId="54" fillId="0" borderId="3" xfId="0" applyNumberFormat="1" applyFont="1" applyBorder="1" applyAlignment="1">
      <alignment vertical="top"/>
    </xf>
    <xf numFmtId="0" fontId="51" fillId="0" borderId="3" xfId="0" applyFont="1" applyBorder="1" applyAlignment="1">
      <alignment horizontal="left" vertical="top" wrapText="1"/>
    </xf>
    <xf numFmtId="15" fontId="30" fillId="0" borderId="3" xfId="0" applyNumberFormat="1" applyFont="1" applyBorder="1" applyAlignment="1">
      <alignment horizontal="left" vertical="top"/>
    </xf>
    <xf numFmtId="2" fontId="38" fillId="0" borderId="3" xfId="0" applyNumberFormat="1" applyFont="1" applyBorder="1" applyAlignment="1">
      <alignment horizontal="left" vertical="center"/>
    </xf>
    <xf numFmtId="15" fontId="29" fillId="0" borderId="3" xfId="10" applyNumberFormat="1" applyFont="1" applyBorder="1" applyAlignment="1">
      <alignment vertical="top"/>
    </xf>
    <xf numFmtId="15" fontId="29" fillId="0" borderId="3" xfId="10" applyNumberFormat="1" applyFont="1" applyFill="1" applyBorder="1" applyAlignment="1">
      <alignment vertical="top"/>
    </xf>
    <xf numFmtId="15" fontId="29" fillId="0" borderId="3" xfId="10" applyNumberFormat="1" applyFont="1" applyFill="1" applyBorder="1" applyAlignment="1">
      <alignment horizontal="left" vertical="top"/>
    </xf>
    <xf numFmtId="3" fontId="38" fillId="0" borderId="3" xfId="0" applyNumberFormat="1" applyFont="1" applyBorder="1" applyAlignment="1">
      <alignment horizontal="left" vertical="top"/>
    </xf>
    <xf numFmtId="49" fontId="54" fillId="0" borderId="15" xfId="0" applyNumberFormat="1" applyFont="1" applyBorder="1" applyAlignment="1">
      <alignment vertical="top"/>
    </xf>
    <xf numFmtId="0" fontId="51" fillId="0" borderId="0" xfId="0" applyFont="1" applyAlignment="1">
      <alignment horizontal="left" vertical="top" wrapText="1"/>
    </xf>
    <xf numFmtId="15" fontId="30" fillId="0" borderId="0" xfId="0" applyNumberFormat="1" applyFont="1" applyAlignment="1">
      <alignment horizontal="left" vertical="top"/>
    </xf>
    <xf numFmtId="2" fontId="0" fillId="0" borderId="0" xfId="0" applyNumberFormat="1" applyAlignment="1">
      <alignment horizontal="left"/>
    </xf>
    <xf numFmtId="3" fontId="38" fillId="0" borderId="0" xfId="0" applyNumberFormat="1" applyFont="1" applyAlignment="1">
      <alignment horizontal="left" vertical="top"/>
    </xf>
    <xf numFmtId="15" fontId="29" fillId="0" borderId="0" xfId="0" applyNumberFormat="1" applyFont="1" applyAlignment="1">
      <alignment horizontal="left" vertical="top"/>
    </xf>
    <xf numFmtId="2" fontId="38" fillId="0" borderId="21" xfId="0" applyNumberFormat="1" applyFont="1" applyBorder="1" applyAlignment="1">
      <alignment horizontal="left" vertical="top"/>
    </xf>
    <xf numFmtId="43" fontId="29" fillId="0" borderId="21" xfId="0" applyNumberFormat="1" applyFont="1" applyBorder="1" applyAlignment="1">
      <alignment vertical="top"/>
    </xf>
    <xf numFmtId="173" fontId="38" fillId="0" borderId="26" xfId="0" applyNumberFormat="1" applyFont="1" applyBorder="1" applyAlignment="1">
      <alignment horizontal="center" vertical="center"/>
    </xf>
    <xf numFmtId="3" fontId="38" fillId="0" borderId="26" xfId="0" applyNumberFormat="1" applyFont="1" applyBorder="1" applyAlignment="1">
      <alignment horizontal="center" vertical="center"/>
    </xf>
    <xf numFmtId="14" fontId="29" fillId="0" borderId="3" xfId="0" applyNumberFormat="1" applyFont="1" applyBorder="1" applyAlignment="1">
      <alignment horizontal="left" vertical="top"/>
    </xf>
    <xf numFmtId="0" fontId="29" fillId="0" borderId="15" xfId="0" applyFont="1" applyBorder="1" applyAlignment="1">
      <alignment vertical="top"/>
    </xf>
    <xf numFmtId="15" fontId="29" fillId="0" borderId="3" xfId="0" applyNumberFormat="1" applyFont="1" applyBorder="1" applyAlignment="1">
      <alignment vertical="top"/>
    </xf>
    <xf numFmtId="2" fontId="29" fillId="0" borderId="0" xfId="0" applyNumberFormat="1" applyFont="1" applyAlignment="1">
      <alignment horizontal="left" vertical="top"/>
    </xf>
    <xf numFmtId="43" fontId="0" fillId="0" borderId="21" xfId="10" applyFont="1" applyFill="1" applyBorder="1" applyAlignment="1"/>
    <xf numFmtId="166" fontId="56" fillId="0" borderId="21" xfId="10" applyNumberFormat="1" applyFont="1" applyBorder="1" applyAlignment="1">
      <alignment horizontal="center" vertical="center"/>
    </xf>
    <xf numFmtId="43" fontId="29" fillId="0" borderId="14" xfId="10" applyFont="1" applyFill="1" applyBorder="1" applyAlignment="1">
      <alignment vertical="top"/>
    </xf>
    <xf numFmtId="43" fontId="0" fillId="0" borderId="14" xfId="10" applyFont="1" applyFill="1" applyBorder="1" applyAlignment="1"/>
    <xf numFmtId="0" fontId="29" fillId="0" borderId="27" xfId="0" applyFont="1" applyBorder="1" applyAlignment="1">
      <alignment horizontal="left" vertical="top"/>
    </xf>
    <xf numFmtId="3" fontId="57" fillId="0" borderId="14" xfId="0" applyNumberFormat="1" applyFont="1" applyBorder="1" applyAlignment="1">
      <alignment horizontal="center" vertical="center"/>
    </xf>
    <xf numFmtId="166" fontId="41" fillId="0" borderId="14" xfId="10" applyNumberFormat="1" applyFont="1" applyFill="1" applyBorder="1" applyAlignment="1">
      <alignment vertical="top"/>
    </xf>
    <xf numFmtId="10" fontId="41" fillId="0" borderId="14" xfId="10" applyNumberFormat="1" applyFont="1" applyFill="1" applyBorder="1" applyAlignment="1">
      <alignment vertical="top"/>
    </xf>
    <xf numFmtId="166" fontId="12" fillId="0" borderId="14" xfId="10" applyNumberFormat="1" applyFont="1" applyBorder="1" applyAlignment="1">
      <alignment horizontal="center" vertical="center"/>
    </xf>
    <xf numFmtId="3" fontId="12" fillId="0" borderId="14" xfId="0" applyNumberFormat="1" applyFont="1" applyBorder="1" applyAlignment="1">
      <alignment horizontal="center" vertical="center"/>
    </xf>
    <xf numFmtId="166" fontId="12" fillId="0" borderId="14" xfId="10" applyNumberFormat="1" applyFont="1" applyBorder="1" applyAlignment="1">
      <alignment horizontal="right" vertical="center"/>
    </xf>
    <xf numFmtId="9" fontId="29" fillId="0" borderId="14" xfId="0" applyNumberFormat="1" applyFont="1" applyBorder="1" applyAlignment="1">
      <alignment vertical="top"/>
    </xf>
    <xf numFmtId="166" fontId="58" fillId="0" borderId="14" xfId="10" applyNumberFormat="1" applyFont="1" applyBorder="1" applyAlignment="1">
      <alignment horizontal="right" vertical="center"/>
    </xf>
    <xf numFmtId="4" fontId="53" fillId="0" borderId="14" xfId="0" applyNumberFormat="1" applyFont="1" applyBorder="1" applyAlignment="1">
      <alignment horizontal="right" vertical="center"/>
    </xf>
    <xf numFmtId="166" fontId="58" fillId="0" borderId="14" xfId="10" applyNumberFormat="1" applyFont="1" applyBorder="1" applyAlignment="1">
      <alignment vertical="center"/>
    </xf>
    <xf numFmtId="4" fontId="53" fillId="0" borderId="14" xfId="0" applyNumberFormat="1" applyFont="1" applyBorder="1" applyAlignment="1">
      <alignment vertical="center"/>
    </xf>
    <xf numFmtId="166" fontId="52" fillId="0" borderId="14" xfId="10" applyNumberFormat="1" applyFont="1" applyBorder="1"/>
    <xf numFmtId="0" fontId="52" fillId="0" borderId="14" xfId="0" applyFont="1" applyBorder="1"/>
    <xf numFmtId="166" fontId="52" fillId="0" borderId="14" xfId="10" applyNumberFormat="1" applyFont="1" applyBorder="1" applyAlignment="1">
      <alignment horizontal="right"/>
    </xf>
    <xf numFmtId="2" fontId="53" fillId="0" borderId="14" xfId="0" applyNumberFormat="1" applyFont="1" applyBorder="1" applyAlignment="1">
      <alignment horizontal="left" vertical="top"/>
    </xf>
    <xf numFmtId="166" fontId="29" fillId="0" borderId="21" xfId="10" applyNumberFormat="1" applyFont="1" applyBorder="1" applyAlignment="1">
      <alignment vertical="top"/>
    </xf>
    <xf numFmtId="0" fontId="30" fillId="0" borderId="38" xfId="0" applyFont="1" applyBorder="1" applyAlignment="1">
      <alignment horizontal="left" vertical="top"/>
    </xf>
    <xf numFmtId="43" fontId="0" fillId="0" borderId="3" xfId="10" applyFont="1" applyFill="1" applyBorder="1" applyAlignment="1"/>
    <xf numFmtId="166" fontId="52" fillId="0" borderId="15" xfId="10" applyNumberFormat="1" applyFont="1" applyBorder="1"/>
    <xf numFmtId="0" fontId="52" fillId="0" borderId="15" xfId="0" applyFont="1" applyBorder="1"/>
    <xf numFmtId="166" fontId="52" fillId="0" borderId="15" xfId="10" applyNumberFormat="1" applyFont="1" applyBorder="1" applyAlignment="1">
      <alignment horizontal="right"/>
    </xf>
    <xf numFmtId="2" fontId="53" fillId="0" borderId="21" xfId="0" applyNumberFormat="1" applyFont="1" applyBorder="1" applyAlignment="1">
      <alignment vertical="center"/>
    </xf>
    <xf numFmtId="2" fontId="53" fillId="0" borderId="15" xfId="0" applyNumberFormat="1" applyFont="1" applyBorder="1" applyAlignment="1">
      <alignment horizontal="left" vertical="top"/>
    </xf>
    <xf numFmtId="10" fontId="29" fillId="0" borderId="0" xfId="10" applyNumberFormat="1" applyFont="1" applyFill="1" applyBorder="1" applyAlignment="1">
      <alignment vertical="top"/>
    </xf>
    <xf numFmtId="43" fontId="0" fillId="0" borderId="0" xfId="10" applyFont="1" applyFill="1" applyBorder="1" applyAlignment="1"/>
    <xf numFmtId="4" fontId="58" fillId="0" borderId="21" xfId="0" applyNumberFormat="1" applyFont="1" applyBorder="1" applyAlignment="1">
      <alignment horizontal="right" vertical="center"/>
    </xf>
    <xf numFmtId="4" fontId="53" fillId="0" borderId="21" xfId="0" applyNumberFormat="1" applyFont="1" applyBorder="1" applyAlignment="1">
      <alignment horizontal="right" vertical="center"/>
    </xf>
    <xf numFmtId="3" fontId="12" fillId="0" borderId="21" xfId="0" applyNumberFormat="1" applyFont="1" applyBorder="1" applyAlignment="1">
      <alignment horizontal="right" vertical="center"/>
    </xf>
    <xf numFmtId="15" fontId="29" fillId="0" borderId="21" xfId="10" applyNumberFormat="1" applyFont="1" applyFill="1" applyBorder="1" applyAlignment="1">
      <alignment vertical="top"/>
    </xf>
    <xf numFmtId="1" fontId="38" fillId="0" borderId="21" xfId="0" applyNumberFormat="1" applyFont="1" applyBorder="1" applyAlignment="1">
      <alignment horizontal="center" vertical="center"/>
    </xf>
    <xf numFmtId="4" fontId="58" fillId="0" borderId="14" xfId="0" applyNumberFormat="1" applyFont="1" applyBorder="1" applyAlignment="1">
      <alignment horizontal="right" vertical="center"/>
    </xf>
    <xf numFmtId="3" fontId="12" fillId="0" borderId="14" xfId="0" applyNumberFormat="1" applyFont="1" applyBorder="1" applyAlignment="1">
      <alignment horizontal="right" vertical="center"/>
    </xf>
    <xf numFmtId="2" fontId="53" fillId="0" borderId="14" xfId="0" applyNumberFormat="1" applyFont="1" applyBorder="1" applyAlignment="1">
      <alignment vertical="center"/>
    </xf>
    <xf numFmtId="1" fontId="38" fillId="0" borderId="14" xfId="0" applyNumberFormat="1" applyFont="1" applyBorder="1" applyAlignment="1">
      <alignment horizontal="center" vertical="center"/>
    </xf>
    <xf numFmtId="4" fontId="58" fillId="0" borderId="14" xfId="0" applyNumberFormat="1" applyFont="1" applyBorder="1" applyAlignment="1">
      <alignment vertical="center"/>
    </xf>
    <xf numFmtId="0" fontId="52" fillId="0" borderId="14" xfId="0" applyFont="1" applyBorder="1" applyAlignment="1">
      <alignment horizontal="right"/>
    </xf>
    <xf numFmtId="4" fontId="58" fillId="0" borderId="3" xfId="0" applyNumberFormat="1" applyFont="1" applyBorder="1" applyAlignment="1">
      <alignment horizontal="right" vertical="center"/>
    </xf>
    <xf numFmtId="4" fontId="53" fillId="0" borderId="3" xfId="0" applyNumberFormat="1" applyFont="1" applyBorder="1" applyAlignment="1">
      <alignment horizontal="right" vertical="center"/>
    </xf>
    <xf numFmtId="3" fontId="12" fillId="0" borderId="3" xfId="0" applyNumberFormat="1" applyFont="1" applyBorder="1" applyAlignment="1">
      <alignment horizontal="right" vertical="center"/>
    </xf>
    <xf numFmtId="9" fontId="29" fillId="0" borderId="27" xfId="0" applyNumberFormat="1" applyFont="1" applyBorder="1" applyAlignment="1">
      <alignment vertical="top"/>
    </xf>
    <xf numFmtId="2" fontId="38" fillId="0" borderId="30" xfId="0" applyNumberFormat="1" applyFont="1" applyBorder="1" applyAlignment="1">
      <alignment horizontal="left" vertical="top"/>
    </xf>
    <xf numFmtId="1" fontId="38" fillId="0" borderId="3" xfId="0" applyNumberFormat="1" applyFont="1" applyBorder="1" applyAlignment="1">
      <alignment horizontal="center" vertical="center"/>
    </xf>
    <xf numFmtId="43" fontId="29" fillId="0" borderId="0" xfId="10" applyFont="1" applyFill="1" applyBorder="1" applyAlignment="1">
      <alignment horizontal="left" vertical="top"/>
    </xf>
    <xf numFmtId="4" fontId="58" fillId="0" borderId="0" xfId="0" applyNumberFormat="1" applyFont="1" applyAlignment="1">
      <alignment horizontal="right" vertical="center"/>
    </xf>
    <xf numFmtId="4" fontId="53" fillId="0" borderId="0" xfId="0" applyNumberFormat="1" applyFont="1" applyAlignment="1">
      <alignment horizontal="right" vertical="center"/>
    </xf>
    <xf numFmtId="3" fontId="12" fillId="0" borderId="0" xfId="0" applyNumberFormat="1" applyFont="1" applyAlignment="1">
      <alignment horizontal="right" vertical="center"/>
    </xf>
    <xf numFmtId="2" fontId="38" fillId="0" borderId="0" xfId="0" applyNumberFormat="1" applyFont="1" applyAlignment="1">
      <alignment horizontal="left" vertical="top"/>
    </xf>
    <xf numFmtId="43" fontId="29" fillId="0" borderId="0" xfId="10" applyFont="1" applyFill="1" applyBorder="1" applyAlignment="1">
      <alignment vertical="top"/>
    </xf>
    <xf numFmtId="1" fontId="38" fillId="0" borderId="0" xfId="0" applyNumberFormat="1" applyFont="1" applyAlignment="1">
      <alignment horizontal="center" vertical="center"/>
    </xf>
    <xf numFmtId="15" fontId="29" fillId="0" borderId="0" xfId="10" applyNumberFormat="1" applyFont="1" applyAlignment="1">
      <alignment vertical="top"/>
    </xf>
    <xf numFmtId="43" fontId="38" fillId="0" borderId="0" xfId="10" applyFont="1" applyBorder="1" applyAlignment="1">
      <alignment vertical="center"/>
    </xf>
    <xf numFmtId="3" fontId="59" fillId="0" borderId="0" xfId="0" applyNumberFormat="1" applyFont="1" applyAlignment="1">
      <alignment horizontal="right" vertical="center"/>
    </xf>
    <xf numFmtId="9" fontId="29" fillId="0" borderId="0" xfId="0" applyNumberFormat="1" applyFont="1" applyAlignment="1">
      <alignment vertical="top"/>
    </xf>
    <xf numFmtId="15" fontId="29" fillId="0" borderId="0" xfId="10" applyNumberFormat="1" applyFont="1" applyAlignment="1">
      <alignment horizontal="left" vertical="top"/>
    </xf>
    <xf numFmtId="3" fontId="59" fillId="0" borderId="21" xfId="0" applyNumberFormat="1" applyFont="1" applyBorder="1" applyAlignment="1">
      <alignment horizontal="right" vertical="center"/>
    </xf>
    <xf numFmtId="9" fontId="29" fillId="0" borderId="25" xfId="0" applyNumberFormat="1" applyFont="1" applyBorder="1" applyAlignment="1">
      <alignment vertical="top"/>
    </xf>
    <xf numFmtId="4" fontId="38" fillId="0" borderId="21" xfId="0" applyNumberFormat="1" applyFont="1" applyBorder="1" applyAlignment="1">
      <alignment horizontal="right" vertical="center"/>
    </xf>
    <xf numFmtId="10" fontId="29" fillId="0" borderId="21" xfId="10" applyNumberFormat="1" applyFont="1" applyFill="1" applyBorder="1" applyAlignment="1">
      <alignment vertical="top"/>
    </xf>
    <xf numFmtId="43" fontId="29" fillId="0" borderId="21" xfId="10" applyFont="1" applyFill="1" applyBorder="1" applyAlignment="1">
      <alignment horizontal="left" vertical="top"/>
    </xf>
    <xf numFmtId="3" fontId="59" fillId="0" borderId="14" xfId="0" applyNumberFormat="1" applyFont="1" applyBorder="1" applyAlignment="1">
      <alignment horizontal="right" vertical="center"/>
    </xf>
    <xf numFmtId="4" fontId="38" fillId="0" borderId="14" xfId="0" applyNumberFormat="1" applyFont="1" applyBorder="1" applyAlignment="1">
      <alignment horizontal="right" vertical="center"/>
    </xf>
    <xf numFmtId="2" fontId="38" fillId="0" borderId="4" xfId="0" applyNumberFormat="1" applyFont="1" applyBorder="1" applyAlignment="1">
      <alignment horizontal="left" vertical="top"/>
    </xf>
    <xf numFmtId="3" fontId="59" fillId="0" borderId="3" xfId="0" applyNumberFormat="1" applyFont="1" applyBorder="1" applyAlignment="1">
      <alignment horizontal="right" vertical="center"/>
    </xf>
    <xf numFmtId="9" fontId="29" fillId="0" borderId="23" xfId="0" applyNumberFormat="1" applyFont="1" applyBorder="1" applyAlignment="1">
      <alignment vertical="top"/>
    </xf>
    <xf numFmtId="2" fontId="53" fillId="0" borderId="3" xfId="0" applyNumberFormat="1" applyFont="1" applyBorder="1" applyAlignment="1">
      <alignment vertical="center"/>
    </xf>
    <xf numFmtId="4" fontId="38" fillId="0" borderId="3" xfId="0" applyNumberFormat="1" applyFont="1" applyBorder="1" applyAlignment="1">
      <alignment horizontal="right" vertical="center"/>
    </xf>
    <xf numFmtId="0" fontId="29" fillId="0" borderId="3" xfId="0" applyFont="1" applyBorder="1" applyAlignment="1">
      <alignment vertical="top"/>
    </xf>
    <xf numFmtId="0" fontId="29" fillId="0" borderId="31" xfId="0" applyFont="1" applyBorder="1" applyAlignment="1">
      <alignment horizontal="left" vertical="top"/>
    </xf>
    <xf numFmtId="14" fontId="29" fillId="0" borderId="14" xfId="10" applyNumberFormat="1" applyFont="1" applyFill="1" applyBorder="1" applyAlignment="1">
      <alignment vertical="top"/>
    </xf>
    <xf numFmtId="0" fontId="29" fillId="24" borderId="14" xfId="0" applyFont="1" applyFill="1" applyBorder="1" applyAlignment="1">
      <alignment horizontal="left" vertical="top"/>
    </xf>
    <xf numFmtId="3" fontId="59" fillId="0" borderId="27" xfId="0" applyNumberFormat="1" applyFont="1" applyBorder="1" applyAlignment="1">
      <alignment horizontal="right" vertical="center"/>
    </xf>
    <xf numFmtId="3" fontId="59" fillId="0" borderId="31" xfId="0" applyNumberFormat="1" applyFont="1" applyBorder="1" applyAlignment="1">
      <alignment horizontal="right" vertical="center"/>
    </xf>
    <xf numFmtId="43" fontId="29" fillId="0" borderId="4" xfId="10" applyFont="1" applyBorder="1" applyAlignment="1">
      <alignment horizontal="left" vertical="top"/>
    </xf>
    <xf numFmtId="3" fontId="12" fillId="0" borderId="27" xfId="0" applyNumberFormat="1" applyFont="1" applyBorder="1" applyAlignment="1">
      <alignment horizontal="right" vertical="center"/>
    </xf>
    <xf numFmtId="166" fontId="29" fillId="0" borderId="27" xfId="10" applyNumberFormat="1" applyFont="1" applyBorder="1" applyAlignment="1">
      <alignment horizontal="right" vertical="top"/>
    </xf>
    <xf numFmtId="166" fontId="29" fillId="0" borderId="14" xfId="10" applyNumberFormat="1" applyFont="1" applyBorder="1" applyAlignment="1"/>
    <xf numFmtId="3" fontId="20" fillId="0" borderId="14" xfId="0" applyNumberFormat="1" applyFont="1" applyBorder="1" applyAlignment="1">
      <alignment vertical="top"/>
    </xf>
    <xf numFmtId="166" fontId="29" fillId="0" borderId="0" xfId="10" applyNumberFormat="1" applyFont="1" applyBorder="1" applyAlignment="1">
      <alignment horizontal="right" vertical="top"/>
    </xf>
    <xf numFmtId="0" fontId="50" fillId="0" borderId="0" xfId="0" applyFont="1" applyAlignment="1">
      <alignment horizontal="left" vertical="center" readingOrder="1"/>
    </xf>
    <xf numFmtId="3" fontId="20" fillId="0" borderId="14" xfId="10" applyNumberFormat="1" applyFont="1" applyBorder="1" applyAlignment="1">
      <alignment vertical="top"/>
    </xf>
    <xf numFmtId="166" fontId="29" fillId="0" borderId="4" xfId="10" applyNumberFormat="1" applyFont="1" applyBorder="1" applyAlignment="1">
      <alignment vertical="top"/>
    </xf>
    <xf numFmtId="15" fontId="38" fillId="0" borderId="14" xfId="0" applyNumberFormat="1" applyFont="1" applyBorder="1" applyAlignment="1">
      <alignment horizontal="center" vertical="center"/>
    </xf>
    <xf numFmtId="3" fontId="48" fillId="0" borderId="39" xfId="0" applyNumberFormat="1" applyFont="1" applyBorder="1" applyAlignment="1">
      <alignment horizontal="right" vertical="center"/>
    </xf>
    <xf numFmtId="43" fontId="20" fillId="0" borderId="14" xfId="10" applyFont="1" applyBorder="1" applyAlignment="1">
      <alignment vertical="top"/>
    </xf>
    <xf numFmtId="174" fontId="38" fillId="0" borderId="26" xfId="0" applyNumberFormat="1" applyFont="1" applyBorder="1" applyAlignment="1">
      <alignment horizontal="center" vertical="center"/>
    </xf>
    <xf numFmtId="3" fontId="38" fillId="0" borderId="40" xfId="0" applyNumberFormat="1" applyFont="1" applyBorder="1" applyAlignment="1">
      <alignment horizontal="center" vertical="center"/>
    </xf>
    <xf numFmtId="174" fontId="38" fillId="0" borderId="28" xfId="0" applyNumberFormat="1" applyFont="1" applyBorder="1" applyAlignment="1">
      <alignment horizontal="center" vertical="center"/>
    </xf>
    <xf numFmtId="166" fontId="29" fillId="0" borderId="4" xfId="10" applyNumberFormat="1" applyFont="1" applyBorder="1" applyAlignment="1"/>
    <xf numFmtId="3" fontId="48" fillId="0" borderId="39" xfId="0" applyNumberFormat="1" applyFont="1" applyBorder="1"/>
    <xf numFmtId="166" fontId="29" fillId="0" borderId="3" xfId="10" applyNumberFormat="1" applyFont="1" applyBorder="1" applyAlignment="1">
      <alignment horizontal="right" vertical="center"/>
    </xf>
    <xf numFmtId="166" fontId="29" fillId="0" borderId="3" xfId="10" applyNumberFormat="1" applyFont="1" applyBorder="1" applyAlignment="1">
      <alignment horizontal="left" vertical="top"/>
    </xf>
    <xf numFmtId="166" fontId="29" fillId="0" borderId="3" xfId="10" applyNumberFormat="1" applyFont="1" applyBorder="1" applyAlignment="1">
      <alignment horizontal="right" vertical="top"/>
    </xf>
    <xf numFmtId="0" fontId="20" fillId="0" borderId="14" xfId="0" applyFont="1" applyBorder="1" applyAlignment="1">
      <alignment vertical="top"/>
    </xf>
    <xf numFmtId="166" fontId="29" fillId="0" borderId="3" xfId="10" applyNumberFormat="1" applyFont="1" applyBorder="1" applyAlignment="1">
      <alignment vertical="top"/>
    </xf>
    <xf numFmtId="166" fontId="29" fillId="0" borderId="3" xfId="10" applyNumberFormat="1" applyFont="1" applyBorder="1" applyAlignment="1"/>
    <xf numFmtId="0" fontId="20" fillId="0" borderId="3" xfId="0" applyFont="1" applyBorder="1" applyAlignment="1">
      <alignment vertical="top"/>
    </xf>
    <xf numFmtId="166" fontId="29" fillId="0" borderId="15" xfId="10" applyNumberFormat="1" applyFont="1" applyBorder="1" applyAlignment="1">
      <alignment vertical="top"/>
    </xf>
    <xf numFmtId="166" fontId="29" fillId="0" borderId="15" xfId="10" applyNumberFormat="1" applyFont="1" applyBorder="1" applyAlignment="1"/>
    <xf numFmtId="43" fontId="20" fillId="0" borderId="15" xfId="10" applyFont="1" applyBorder="1" applyAlignment="1">
      <alignment vertical="top"/>
    </xf>
    <xf numFmtId="166" fontId="29" fillId="0" borderId="15" xfId="10" applyNumberFormat="1" applyFont="1" applyBorder="1" applyAlignment="1">
      <alignment horizontal="left" vertical="top"/>
    </xf>
    <xf numFmtId="0" fontId="30" fillId="0" borderId="22" xfId="0" applyFont="1" applyBorder="1" applyAlignment="1">
      <alignment horizontal="left" vertical="top"/>
    </xf>
    <xf numFmtId="2" fontId="29" fillId="0" borderId="15" xfId="0" applyNumberFormat="1" applyFont="1" applyBorder="1" applyAlignment="1">
      <alignment horizontal="left" vertical="top"/>
    </xf>
    <xf numFmtId="166" fontId="29" fillId="0" borderId="15" xfId="10" applyNumberFormat="1" applyFont="1" applyBorder="1" applyAlignment="1">
      <alignment horizontal="right" vertical="center"/>
    </xf>
    <xf numFmtId="166" fontId="29" fillId="0" borderId="15" xfId="10" applyNumberFormat="1" applyFont="1" applyBorder="1" applyAlignment="1">
      <alignment horizontal="right" vertical="top"/>
    </xf>
    <xf numFmtId="0" fontId="50" fillId="0" borderId="15" xfId="0" applyFont="1" applyBorder="1" applyAlignment="1">
      <alignment horizontal="left" vertical="center" readingOrder="1"/>
    </xf>
    <xf numFmtId="2" fontId="38" fillId="0" borderId="15" xfId="0" applyNumberFormat="1" applyFont="1" applyBorder="1" applyAlignment="1">
      <alignment horizontal="left" vertical="top"/>
    </xf>
    <xf numFmtId="166" fontId="29" fillId="0" borderId="0" xfId="10" applyNumberFormat="1" applyFont="1" applyBorder="1" applyAlignment="1">
      <alignment horizontal="right" vertical="center"/>
    </xf>
    <xf numFmtId="166" fontId="29" fillId="0" borderId="0" xfId="10" applyNumberFormat="1" applyFont="1" applyBorder="1" applyAlignment="1">
      <alignment horizontal="left" vertical="top"/>
    </xf>
    <xf numFmtId="166" fontId="29" fillId="0" borderId="0" xfId="10" applyNumberFormat="1" applyFont="1" applyBorder="1" applyAlignment="1">
      <alignment vertical="top"/>
    </xf>
    <xf numFmtId="166" fontId="29" fillId="0" borderId="0" xfId="10" applyNumberFormat="1" applyFont="1" applyBorder="1" applyAlignment="1"/>
    <xf numFmtId="43" fontId="20" fillId="0" borderId="0" xfId="10" applyFont="1" applyBorder="1" applyAlignment="1">
      <alignment vertical="top"/>
    </xf>
    <xf numFmtId="166" fontId="29" fillId="0" borderId="21" xfId="10" applyNumberFormat="1" applyFont="1" applyBorder="1" applyAlignment="1">
      <alignment horizontal="right" vertical="center"/>
    </xf>
    <xf numFmtId="166" fontId="29" fillId="0" borderId="21" xfId="10" applyNumberFormat="1" applyFont="1" applyBorder="1" applyAlignment="1">
      <alignment horizontal="left" vertical="top"/>
    </xf>
    <xf numFmtId="166" fontId="29" fillId="0" borderId="21" xfId="10" applyNumberFormat="1" applyFont="1" applyBorder="1" applyAlignment="1">
      <alignment horizontal="right" vertical="top"/>
    </xf>
    <xf numFmtId="166" fontId="29" fillId="0" borderId="21" xfId="10" applyNumberFormat="1" applyFont="1" applyBorder="1" applyAlignment="1"/>
    <xf numFmtId="0" fontId="20" fillId="0" borderId="21" xfId="0" applyFont="1" applyBorder="1" applyAlignment="1">
      <alignment vertical="top"/>
    </xf>
    <xf numFmtId="43" fontId="29" fillId="0" borderId="21" xfId="10" applyFont="1" applyBorder="1" applyAlignment="1">
      <alignment horizontal="left" vertical="top"/>
    </xf>
    <xf numFmtId="0" fontId="29" fillId="0" borderId="0" xfId="0" applyFont="1" applyAlignment="1">
      <alignment vertical="top"/>
    </xf>
    <xf numFmtId="43" fontId="29" fillId="0" borderId="4" xfId="10" applyFont="1" applyBorder="1" applyAlignment="1">
      <alignment vertical="top"/>
    </xf>
    <xf numFmtId="0" fontId="29" fillId="0" borderId="7" xfId="0" applyFont="1" applyBorder="1" applyAlignment="1">
      <alignment horizontal="left" vertical="top"/>
    </xf>
    <xf numFmtId="2" fontId="29" fillId="0" borderId="7" xfId="0" applyNumberFormat="1" applyFont="1" applyBorder="1" applyAlignment="1">
      <alignment horizontal="left" vertical="top"/>
    </xf>
    <xf numFmtId="166" fontId="29" fillId="0" borderId="7" xfId="10" applyNumberFormat="1" applyFont="1" applyBorder="1" applyAlignment="1">
      <alignment horizontal="right" vertical="center"/>
    </xf>
    <xf numFmtId="166" fontId="29" fillId="0" borderId="7" xfId="10" applyNumberFormat="1" applyFont="1" applyBorder="1" applyAlignment="1">
      <alignment horizontal="left" vertical="top"/>
    </xf>
    <xf numFmtId="166" fontId="29" fillId="0" borderId="7" xfId="10" applyNumberFormat="1" applyFont="1" applyBorder="1" applyAlignment="1">
      <alignment horizontal="right" vertical="top"/>
    </xf>
    <xf numFmtId="10" fontId="29" fillId="0" borderId="7" xfId="0" applyNumberFormat="1" applyFont="1" applyBorder="1" applyAlignment="1">
      <alignment vertical="top"/>
    </xf>
    <xf numFmtId="43" fontId="29" fillId="0" borderId="7" xfId="10" applyFont="1" applyBorder="1" applyAlignment="1">
      <alignment vertical="top"/>
    </xf>
    <xf numFmtId="166" fontId="29" fillId="0" borderId="7" xfId="10" applyNumberFormat="1" applyFont="1" applyBorder="1" applyAlignment="1">
      <alignment vertical="top"/>
    </xf>
    <xf numFmtId="166" fontId="29" fillId="0" borderId="7" xfId="10" applyNumberFormat="1" applyFont="1" applyBorder="1" applyAlignment="1"/>
    <xf numFmtId="0" fontId="20" fillId="0" borderId="7" xfId="0" applyFont="1" applyBorder="1" applyAlignment="1">
      <alignment vertical="top"/>
    </xf>
    <xf numFmtId="174" fontId="38" fillId="0" borderId="26" xfId="0" applyNumberFormat="1" applyFont="1" applyBorder="1" applyAlignment="1">
      <alignment vertical="center"/>
    </xf>
    <xf numFmtId="3" fontId="48" fillId="0" borderId="41" xfId="0" applyNumberFormat="1" applyFont="1" applyBorder="1" applyAlignment="1">
      <alignment horizontal="center" vertical="center"/>
    </xf>
    <xf numFmtId="166" fontId="29" fillId="0" borderId="0" xfId="10" applyNumberFormat="1" applyFont="1" applyAlignment="1"/>
    <xf numFmtId="0" fontId="20" fillId="0" borderId="0" xfId="0" applyFont="1" applyAlignment="1">
      <alignment vertical="top"/>
    </xf>
    <xf numFmtId="2" fontId="38" fillId="0" borderId="1" xfId="0" applyNumberFormat="1" applyFont="1" applyBorder="1" applyAlignment="1">
      <alignment horizontal="left" vertical="top"/>
    </xf>
    <xf numFmtId="174" fontId="38" fillId="0" borderId="0" xfId="0" applyNumberFormat="1" applyFont="1" applyAlignment="1">
      <alignment vertical="center"/>
    </xf>
    <xf numFmtId="0" fontId="53" fillId="0" borderId="14" xfId="0" applyFont="1" applyBorder="1" applyAlignment="1">
      <alignment vertical="center"/>
    </xf>
    <xf numFmtId="2" fontId="60" fillId="0" borderId="42" xfId="0" applyNumberFormat="1" applyFont="1" applyBorder="1" applyAlignment="1">
      <alignment horizontal="left" vertical="center"/>
    </xf>
    <xf numFmtId="166" fontId="41" fillId="0" borderId="0" xfId="10" applyNumberFormat="1" applyFont="1" applyAlignment="1">
      <alignment horizontal="left" vertical="top"/>
    </xf>
    <xf numFmtId="2" fontId="53" fillId="0" borderId="1" xfId="0" applyNumberFormat="1" applyFont="1" applyBorder="1" applyAlignment="1">
      <alignment horizontal="left" vertical="center"/>
    </xf>
    <xf numFmtId="2" fontId="53" fillId="0" borderId="42" xfId="0" applyNumberFormat="1" applyFont="1" applyBorder="1" applyAlignment="1">
      <alignment horizontal="left" vertical="center"/>
    </xf>
    <xf numFmtId="166" fontId="20" fillId="0" borderId="0" xfId="10" applyNumberFormat="1" applyFont="1" applyAlignment="1">
      <alignment vertical="top"/>
    </xf>
    <xf numFmtId="2" fontId="53" fillId="0" borderId="43" xfId="0" applyNumberFormat="1" applyFont="1" applyBorder="1" applyAlignment="1">
      <alignment horizontal="left" vertical="center"/>
    </xf>
    <xf numFmtId="2" fontId="61" fillId="0" borderId="43" xfId="0" applyNumberFormat="1" applyFont="1" applyBorder="1" applyAlignment="1">
      <alignment horizontal="left" vertical="center"/>
    </xf>
    <xf numFmtId="2" fontId="53" fillId="23" borderId="1" xfId="0" applyNumberFormat="1" applyFont="1" applyFill="1" applyBorder="1" applyAlignment="1">
      <alignment horizontal="left" vertical="center"/>
    </xf>
    <xf numFmtId="2" fontId="53" fillId="23" borderId="43" xfId="0" applyNumberFormat="1" applyFont="1" applyFill="1" applyBorder="1" applyAlignment="1">
      <alignment horizontal="left" vertical="center"/>
    </xf>
    <xf numFmtId="10" fontId="29" fillId="0" borderId="44" xfId="10" applyNumberFormat="1" applyFont="1" applyBorder="1" applyAlignment="1">
      <alignment vertical="top"/>
    </xf>
    <xf numFmtId="43" fontId="20" fillId="0" borderId="0" xfId="0" applyNumberFormat="1" applyFont="1" applyAlignment="1">
      <alignment vertical="top"/>
    </xf>
    <xf numFmtId="10" fontId="29" fillId="0" borderId="45" xfId="10" applyNumberFormat="1" applyFont="1" applyBorder="1" applyAlignment="1">
      <alignment vertical="top"/>
    </xf>
    <xf numFmtId="2" fontId="53" fillId="0" borderId="12" xfId="0" applyNumberFormat="1" applyFont="1" applyBorder="1" applyAlignment="1">
      <alignment horizontal="left" vertical="center"/>
    </xf>
    <xf numFmtId="2" fontId="53" fillId="23" borderId="12" xfId="0" applyNumberFormat="1" applyFont="1" applyFill="1" applyBorder="1" applyAlignment="1">
      <alignment horizontal="left" vertical="center"/>
    </xf>
    <xf numFmtId="2" fontId="53" fillId="0" borderId="41" xfId="0" applyNumberFormat="1" applyFont="1" applyBorder="1" applyAlignment="1">
      <alignment horizontal="left" vertical="center"/>
    </xf>
    <xf numFmtId="2" fontId="53" fillId="23" borderId="46" xfId="0" applyNumberFormat="1" applyFont="1" applyFill="1" applyBorder="1" applyAlignment="1">
      <alignment horizontal="left" vertical="center"/>
    </xf>
    <xf numFmtId="2" fontId="53" fillId="23" borderId="42" xfId="0" applyNumberFormat="1" applyFont="1" applyFill="1" applyBorder="1" applyAlignment="1">
      <alignment horizontal="left" vertical="center"/>
    </xf>
    <xf numFmtId="2" fontId="53" fillId="0" borderId="46" xfId="0" applyNumberFormat="1" applyFont="1" applyBorder="1" applyAlignment="1">
      <alignment horizontal="left" vertical="center"/>
    </xf>
    <xf numFmtId="10" fontId="29" fillId="0" borderId="47" xfId="10" applyNumberFormat="1" applyFont="1" applyBorder="1" applyAlignment="1">
      <alignment vertical="top"/>
    </xf>
    <xf numFmtId="172" fontId="29" fillId="0" borderId="44" xfId="10" applyNumberFormat="1" applyFont="1" applyBorder="1" applyAlignment="1">
      <alignment vertical="top"/>
    </xf>
    <xf numFmtId="172" fontId="29" fillId="0" borderId="45" xfId="10" applyNumberFormat="1" applyFont="1" applyBorder="1" applyAlignment="1">
      <alignment vertical="top"/>
    </xf>
    <xf numFmtId="172" fontId="29" fillId="0" borderId="47" xfId="10" applyNumberFormat="1" applyFont="1" applyBorder="1" applyAlignment="1">
      <alignment vertical="top"/>
    </xf>
    <xf numFmtId="2" fontId="60" fillId="23" borderId="43" xfId="0" applyNumberFormat="1" applyFont="1" applyFill="1" applyBorder="1" applyAlignment="1">
      <alignment horizontal="left" vertical="center"/>
    </xf>
    <xf numFmtId="14" fontId="41" fillId="0" borderId="0" xfId="10" applyNumberFormat="1" applyFont="1" applyAlignment="1">
      <alignment vertical="top"/>
    </xf>
    <xf numFmtId="0" fontId="50" fillId="0" borderId="0" xfId="0" applyFont="1" applyAlignment="1">
      <alignment horizontal="left" vertical="top" readingOrder="1"/>
    </xf>
    <xf numFmtId="43" fontId="20" fillId="0" borderId="0" xfId="10" applyFont="1" applyAlignment="1">
      <alignment vertical="top"/>
    </xf>
    <xf numFmtId="0" fontId="60" fillId="23" borderId="1" xfId="0" applyFont="1" applyFill="1" applyBorder="1" applyAlignment="1">
      <alignment horizontal="left" vertical="center"/>
    </xf>
    <xf numFmtId="0" fontId="53" fillId="23" borderId="1" xfId="0" applyFont="1" applyFill="1" applyBorder="1" applyAlignment="1">
      <alignment horizontal="left" vertical="center"/>
    </xf>
    <xf numFmtId="3" fontId="53" fillId="0" borderId="0" xfId="0" applyNumberFormat="1" applyFont="1" applyAlignment="1">
      <alignment horizontal="center" vertical="center"/>
    </xf>
    <xf numFmtId="166" fontId="20" fillId="0" borderId="0" xfId="0" applyNumberFormat="1" applyFont="1" applyAlignment="1">
      <alignment vertical="top"/>
    </xf>
    <xf numFmtId="0" fontId="53" fillId="0" borderId="0" xfId="0" applyFont="1" applyAlignment="1">
      <alignment vertical="center"/>
    </xf>
    <xf numFmtId="15" fontId="20" fillId="0" borderId="0" xfId="10" applyNumberFormat="1" applyFont="1" applyAlignment="1">
      <alignment horizontal="left" vertical="top"/>
    </xf>
    <xf numFmtId="43" fontId="20" fillId="0" borderId="0" xfId="10" applyFont="1" applyAlignment="1">
      <alignment horizontal="left" vertical="top"/>
    </xf>
    <xf numFmtId="166" fontId="11" fillId="0" borderId="0" xfId="10" applyNumberFormat="1" applyFont="1" applyAlignment="1">
      <alignment horizontal="left" vertical="top"/>
    </xf>
    <xf numFmtId="166" fontId="10" fillId="0" borderId="0" xfId="10" applyNumberFormat="1" applyFont="1" applyBorder="1" applyAlignment="1">
      <alignment horizontal="left" vertical="top"/>
    </xf>
    <xf numFmtId="166" fontId="30" fillId="0" borderId="0" xfId="10" applyNumberFormat="1" applyFont="1" applyBorder="1" applyAlignment="1">
      <alignment vertical="top"/>
    </xf>
    <xf numFmtId="3" fontId="48" fillId="0" borderId="0" xfId="0" applyNumberFormat="1" applyFont="1" applyAlignment="1">
      <alignment vertical="center"/>
    </xf>
    <xf numFmtId="177" fontId="29" fillId="0" borderId="0" xfId="0" applyNumberFormat="1" applyFont="1" applyAlignment="1">
      <alignment horizontal="left" vertical="top"/>
    </xf>
    <xf numFmtId="2" fontId="38" fillId="0" borderId="48" xfId="0" applyNumberFormat="1" applyFont="1" applyBorder="1" applyAlignment="1">
      <alignment horizontal="left" vertical="center"/>
    </xf>
    <xf numFmtId="2" fontId="38" fillId="0" borderId="26" xfId="0" applyNumberFormat="1" applyFont="1" applyBorder="1" applyAlignment="1">
      <alignment horizontal="left" vertical="center"/>
    </xf>
    <xf numFmtId="2" fontId="38" fillId="0" borderId="1" xfId="0" applyNumberFormat="1" applyFont="1" applyBorder="1" applyAlignment="1">
      <alignment horizontal="left" vertical="center"/>
    </xf>
    <xf numFmtId="173" fontId="38" fillId="0" borderId="49" xfId="0" applyNumberFormat="1" applyFont="1" applyBorder="1" applyAlignment="1">
      <alignment horizontal="center" vertical="center"/>
    </xf>
    <xf numFmtId="3" fontId="38" fillId="0" borderId="49" xfId="0" applyNumberFormat="1" applyFont="1" applyBorder="1" applyAlignment="1">
      <alignment horizontal="center" vertical="center"/>
    </xf>
    <xf numFmtId="43" fontId="38" fillId="0" borderId="0" xfId="10" applyFont="1" applyAlignment="1">
      <alignment horizontal="center" vertical="center"/>
    </xf>
    <xf numFmtId="166" fontId="0" fillId="0" borderId="0" xfId="10" applyNumberFormat="1" applyFont="1"/>
    <xf numFmtId="4" fontId="38" fillId="0" borderId="1" xfId="0" applyNumberFormat="1" applyFont="1" applyBorder="1" applyAlignment="1">
      <alignment horizontal="right" vertical="center"/>
    </xf>
    <xf numFmtId="4" fontId="38" fillId="0" borderId="12" xfId="0" applyNumberFormat="1" applyFont="1" applyBorder="1" applyAlignment="1">
      <alignment horizontal="right" vertical="center"/>
    </xf>
    <xf numFmtId="4" fontId="38" fillId="0" borderId="0" xfId="0" applyNumberFormat="1" applyFont="1" applyAlignment="1">
      <alignment horizontal="right" vertical="center"/>
    </xf>
    <xf numFmtId="0" fontId="62" fillId="0" borderId="0" xfId="0" applyFont="1" applyAlignment="1">
      <alignment vertical="center"/>
    </xf>
    <xf numFmtId="0" fontId="48" fillId="0" borderId="0" xfId="0" applyFont="1" applyAlignment="1">
      <alignment vertical="center"/>
    </xf>
    <xf numFmtId="2" fontId="38" fillId="0" borderId="34" xfId="0" applyNumberFormat="1" applyFont="1" applyBorder="1" applyAlignment="1">
      <alignment horizontal="center" vertical="center"/>
    </xf>
    <xf numFmtId="0" fontId="30" fillId="0" borderId="50" xfId="0" applyFont="1" applyBorder="1" applyAlignment="1">
      <alignment horizontal="left" vertical="top"/>
    </xf>
    <xf numFmtId="0" fontId="48" fillId="0" borderId="51" xfId="0" applyFont="1" applyBorder="1" applyAlignment="1">
      <alignment vertical="center"/>
    </xf>
    <xf numFmtId="0" fontId="29" fillId="0" borderId="51" xfId="0" applyFont="1" applyBorder="1" applyAlignment="1">
      <alignment horizontal="left" vertical="top"/>
    </xf>
    <xf numFmtId="166" fontId="29" fillId="0" borderId="51" xfId="10" applyNumberFormat="1" applyFont="1" applyBorder="1" applyAlignment="1">
      <alignment horizontal="right" vertical="center"/>
    </xf>
    <xf numFmtId="166" fontId="29" fillId="0" borderId="51" xfId="10" applyNumberFormat="1" applyFont="1" applyBorder="1" applyAlignment="1">
      <alignment horizontal="left" vertical="top"/>
    </xf>
    <xf numFmtId="166" fontId="29" fillId="0" borderId="51" xfId="10" applyNumberFormat="1" applyFont="1" applyBorder="1" applyAlignment="1">
      <alignment horizontal="right" vertical="top"/>
    </xf>
    <xf numFmtId="10" fontId="29" fillId="0" borderId="51" xfId="0" applyNumberFormat="1" applyFont="1" applyBorder="1" applyAlignment="1">
      <alignment vertical="top"/>
    </xf>
    <xf numFmtId="4" fontId="38" fillId="0" borderId="43" xfId="0" applyNumberFormat="1" applyFont="1" applyBorder="1" applyAlignment="1">
      <alignment horizontal="right" vertical="center"/>
    </xf>
    <xf numFmtId="2" fontId="38" fillId="0" borderId="14" xfId="0" applyNumberFormat="1" applyFont="1" applyBorder="1" applyAlignment="1">
      <alignment horizontal="center" vertical="center"/>
    </xf>
    <xf numFmtId="2" fontId="38" fillId="0" borderId="43" xfId="0" applyNumberFormat="1" applyFont="1" applyBorder="1" applyAlignment="1">
      <alignment horizontal="center" vertical="center"/>
    </xf>
    <xf numFmtId="1" fontId="38" fillId="0" borderId="43" xfId="0" applyNumberFormat="1" applyFont="1" applyBorder="1" applyAlignment="1">
      <alignment horizontal="center" vertical="center"/>
    </xf>
    <xf numFmtId="2" fontId="38" fillId="0" borderId="1" xfId="0" applyNumberFormat="1" applyFont="1" applyBorder="1" applyAlignment="1">
      <alignment horizontal="center" vertical="center"/>
    </xf>
    <xf numFmtId="1" fontId="38" fillId="0" borderId="1" xfId="0" applyNumberFormat="1" applyFont="1" applyBorder="1" applyAlignment="1">
      <alignment horizontal="center" vertical="center"/>
    </xf>
    <xf numFmtId="174" fontId="38" fillId="0" borderId="52" xfId="0" applyNumberFormat="1" applyFont="1" applyBorder="1" applyAlignment="1">
      <alignment horizontal="center" vertical="center"/>
    </xf>
    <xf numFmtId="3" fontId="38" fillId="0" borderId="53" xfId="0" applyNumberFormat="1" applyFont="1" applyBorder="1" applyAlignment="1">
      <alignment horizontal="center" vertical="center"/>
    </xf>
    <xf numFmtId="174" fontId="38" fillId="0" borderId="0" xfId="0" applyNumberFormat="1" applyFont="1" applyAlignment="1">
      <alignment horizontal="center" vertical="center"/>
    </xf>
    <xf numFmtId="0" fontId="52" fillId="0" borderId="14" xfId="0" applyFont="1" applyBorder="1" applyAlignment="1">
      <alignment horizontal="left"/>
    </xf>
    <xf numFmtId="0" fontId="38" fillId="0" borderId="14" xfId="0" applyFont="1" applyBorder="1" applyAlignment="1">
      <alignment horizontal="left" vertical="center"/>
    </xf>
    <xf numFmtId="43" fontId="55" fillId="23" borderId="0" xfId="10" applyFont="1" applyFill="1" applyBorder="1" applyAlignment="1">
      <alignment horizontal="left" vertical="center"/>
    </xf>
    <xf numFmtId="14" fontId="55" fillId="23" borderId="14" xfId="10" applyNumberFormat="1" applyFont="1" applyFill="1" applyBorder="1" applyAlignment="1">
      <alignment horizontal="center" vertical="center"/>
    </xf>
    <xf numFmtId="43" fontId="55" fillId="23" borderId="14" xfId="10" applyFont="1" applyFill="1" applyBorder="1" applyAlignment="1">
      <alignment horizontal="center" vertical="center"/>
    </xf>
    <xf numFmtId="14" fontId="55" fillId="23" borderId="0" xfId="10" applyNumberFormat="1" applyFont="1" applyFill="1" applyBorder="1" applyAlignment="1">
      <alignment horizontal="center" vertical="center"/>
    </xf>
    <xf numFmtId="43" fontId="55" fillId="23" borderId="0" xfId="10" applyFont="1" applyFill="1" applyBorder="1" applyAlignment="1">
      <alignment horizontal="center" vertical="center"/>
    </xf>
    <xf numFmtId="0" fontId="38" fillId="0" borderId="14" xfId="0" applyFont="1" applyBorder="1" applyAlignment="1">
      <alignment vertical="center"/>
    </xf>
    <xf numFmtId="43" fontId="63" fillId="0" borderId="0" xfId="10" applyFont="1" applyBorder="1" applyAlignment="1">
      <alignment vertical="center"/>
    </xf>
    <xf numFmtId="0" fontId="38" fillId="0" borderId="0" xfId="0" applyFont="1" applyAlignment="1">
      <alignment horizontal="left" vertical="center"/>
    </xf>
    <xf numFmtId="0" fontId="38" fillId="0" borderId="43" xfId="0" applyFont="1" applyBorder="1" applyAlignment="1">
      <alignment vertical="center"/>
    </xf>
    <xf numFmtId="0" fontId="38" fillId="0" borderId="1" xfId="0" applyFont="1" applyBorder="1" applyAlignment="1">
      <alignment vertical="center"/>
    </xf>
    <xf numFmtId="0" fontId="38" fillId="0" borderId="42" xfId="0" applyFont="1" applyBorder="1" applyAlignment="1">
      <alignment vertical="center"/>
    </xf>
    <xf numFmtId="0" fontId="38" fillId="0" borderId="54" xfId="0" applyFont="1" applyBorder="1" applyAlignment="1">
      <alignment vertical="center"/>
    </xf>
    <xf numFmtId="3" fontId="38" fillId="0" borderId="53" xfId="0" applyNumberFormat="1" applyFont="1" applyBorder="1" applyAlignment="1">
      <alignment vertical="center"/>
    </xf>
    <xf numFmtId="0" fontId="52" fillId="0" borderId="40" xfId="0" applyFont="1" applyBorder="1"/>
    <xf numFmtId="3" fontId="38" fillId="0" borderId="55" xfId="0" applyNumberFormat="1" applyFont="1" applyBorder="1" applyAlignment="1">
      <alignment horizontal="center" vertical="center"/>
    </xf>
    <xf numFmtId="0" fontId="52" fillId="0" borderId="56" xfId="0" applyFont="1" applyBorder="1"/>
    <xf numFmtId="0" fontId="52" fillId="0" borderId="43" xfId="0" applyFont="1" applyBorder="1"/>
    <xf numFmtId="0" fontId="63" fillId="0" borderId="0" xfId="0" applyFont="1" applyAlignment="1">
      <alignment vertical="center"/>
    </xf>
    <xf numFmtId="14" fontId="63" fillId="0" borderId="0" xfId="10" applyNumberFormat="1" applyFont="1" applyBorder="1" applyAlignment="1">
      <alignment horizontal="center" vertical="center"/>
    </xf>
    <xf numFmtId="43" fontId="63" fillId="0" borderId="0" xfId="10" applyFont="1" applyBorder="1" applyAlignment="1">
      <alignment horizontal="center" vertical="center"/>
    </xf>
    <xf numFmtId="0" fontId="52" fillId="0" borderId="0" xfId="0" applyFont="1"/>
    <xf numFmtId="0" fontId="38" fillId="0" borderId="57" xfId="0" applyFont="1" applyBorder="1" applyAlignment="1">
      <alignment vertical="center"/>
    </xf>
    <xf numFmtId="0" fontId="38" fillId="0" borderId="0" xfId="0" applyFont="1" applyAlignment="1">
      <alignment vertical="center"/>
    </xf>
    <xf numFmtId="0" fontId="38" fillId="0" borderId="0" xfId="0" applyFont="1" applyAlignment="1">
      <alignment horizontal="center" vertical="center" wrapText="1"/>
    </xf>
    <xf numFmtId="0" fontId="11" fillId="0" borderId="0" xfId="0" applyFont="1" applyAlignment="1">
      <alignment vertical="top"/>
    </xf>
    <xf numFmtId="49" fontId="64" fillId="0" borderId="14" xfId="0" applyNumberFormat="1" applyFont="1" applyBorder="1" applyAlignment="1">
      <alignment vertical="center"/>
    </xf>
    <xf numFmtId="0" fontId="65" fillId="0" borderId="0" xfId="0" applyFont="1"/>
    <xf numFmtId="49" fontId="54" fillId="0" borderId="0" xfId="0" applyNumberFormat="1" applyFont="1" applyAlignment="1">
      <alignment horizontal="center" vertical="center"/>
    </xf>
    <xf numFmtId="166" fontId="54" fillId="0" borderId="14" xfId="10" applyNumberFormat="1" applyFont="1" applyBorder="1" applyAlignment="1">
      <alignment horizontal="left" vertical="top"/>
    </xf>
    <xf numFmtId="166" fontId="41" fillId="0" borderId="0" xfId="10" applyNumberFormat="1" applyFont="1" applyAlignment="1">
      <alignment vertical="top"/>
    </xf>
    <xf numFmtId="15" fontId="29" fillId="2" borderId="0" xfId="0" applyNumberFormat="1" applyFont="1" applyFill="1" applyAlignment="1">
      <alignment vertical="top"/>
    </xf>
    <xf numFmtId="0" fontId="29" fillId="2" borderId="0" xfId="0" applyFont="1" applyFill="1" applyAlignment="1">
      <alignment horizontal="left" vertical="top"/>
    </xf>
    <xf numFmtId="166" fontId="30" fillId="2" borderId="0" xfId="10" applyNumberFormat="1" applyFont="1" applyFill="1" applyAlignment="1">
      <alignment vertical="top"/>
    </xf>
    <xf numFmtId="15" fontId="7" fillId="0" borderId="14" xfId="0" applyNumberFormat="1" applyFont="1" applyBorder="1" applyAlignment="1">
      <alignment vertical="top"/>
    </xf>
    <xf numFmtId="15" fontId="7" fillId="0" borderId="14" xfId="0" applyNumberFormat="1" applyFont="1" applyBorder="1" applyAlignment="1">
      <alignment horizontal="center" vertical="center"/>
    </xf>
    <xf numFmtId="15" fontId="7" fillId="0" borderId="14" xfId="0" applyNumberFormat="1" applyFont="1" applyBorder="1" applyAlignment="1">
      <alignment horizontal="left" vertical="top"/>
    </xf>
    <xf numFmtId="15" fontId="7" fillId="0" borderId="14" xfId="6" applyNumberFormat="1" applyFont="1" applyBorder="1" applyAlignment="1">
      <alignment horizontal="center" vertical="center"/>
    </xf>
    <xf numFmtId="15" fontId="7" fillId="0" borderId="14" xfId="6" applyNumberFormat="1" applyFont="1" applyBorder="1" applyAlignment="1">
      <alignment vertical="center"/>
    </xf>
    <xf numFmtId="15" fontId="7" fillId="0" borderId="14" xfId="0" applyNumberFormat="1" applyFont="1" applyBorder="1" applyAlignment="1">
      <alignment vertical="center"/>
    </xf>
    <xf numFmtId="14" fontId="66" fillId="0" borderId="14" xfId="0" applyNumberFormat="1" applyFont="1" applyBorder="1" applyAlignment="1">
      <alignment horizontal="left"/>
    </xf>
    <xf numFmtId="14" fontId="7" fillId="0" borderId="14" xfId="0" applyNumberFormat="1" applyFont="1" applyBorder="1" applyAlignment="1">
      <alignment vertical="top"/>
    </xf>
    <xf numFmtId="15" fontId="7" fillId="0" borderId="14" xfId="0" applyNumberFormat="1" applyFont="1" applyBorder="1" applyAlignment="1">
      <alignment horizontal="left" vertical="center"/>
    </xf>
    <xf numFmtId="15" fontId="7" fillId="0" borderId="0" xfId="0" applyNumberFormat="1" applyFont="1" applyAlignment="1">
      <alignment vertical="center"/>
    </xf>
    <xf numFmtId="169" fontId="7" fillId="0" borderId="14" xfId="1" applyNumberFormat="1" applyFont="1" applyBorder="1" applyAlignment="1">
      <alignment horizontal="left" vertical="top"/>
    </xf>
    <xf numFmtId="169" fontId="7" fillId="0" borderId="14" xfId="1" applyNumberFormat="1" applyFont="1" applyBorder="1" applyAlignment="1">
      <alignment horizontal="right" vertical="center"/>
    </xf>
    <xf numFmtId="169" fontId="7" fillId="0" borderId="14" xfId="1" applyNumberFormat="1" applyFont="1" applyBorder="1" applyAlignment="1">
      <alignment horizontal="right"/>
    </xf>
    <xf numFmtId="169" fontId="7" fillId="0" borderId="14" xfId="1" applyNumberFormat="1" applyFont="1" applyBorder="1" applyAlignment="1">
      <alignment vertical="top"/>
    </xf>
    <xf numFmtId="169" fontId="7" fillId="25" borderId="14" xfId="1" applyNumberFormat="1" applyFont="1" applyFill="1" applyBorder="1" applyAlignment="1">
      <alignment horizontal="right" vertical="center"/>
    </xf>
    <xf numFmtId="164" fontId="7" fillId="0" borderId="14" xfId="1" applyFont="1" applyFill="1" applyBorder="1" applyAlignment="1">
      <alignment horizontal="right" vertical="center"/>
    </xf>
    <xf numFmtId="0" fontId="7" fillId="0" borderId="14" xfId="6" applyFont="1" applyBorder="1" applyAlignment="1">
      <alignment horizontal="right" vertical="center"/>
    </xf>
    <xf numFmtId="4" fontId="7" fillId="0" borderId="14" xfId="6" applyNumberFormat="1" applyFont="1" applyBorder="1" applyAlignment="1">
      <alignment horizontal="right" vertical="center"/>
    </xf>
    <xf numFmtId="169" fontId="7" fillId="5" borderId="14" xfId="1" applyNumberFormat="1" applyFont="1" applyFill="1" applyBorder="1" applyAlignment="1">
      <alignment horizontal="right" vertical="center"/>
    </xf>
    <xf numFmtId="169" fontId="7" fillId="0" borderId="14" xfId="1" applyNumberFormat="1" applyFont="1" applyFill="1" applyBorder="1" applyAlignment="1">
      <alignment horizontal="right" vertical="center"/>
    </xf>
    <xf numFmtId="0" fontId="7" fillId="0" borderId="14" xfId="0" applyFont="1" applyBorder="1" applyAlignment="1">
      <alignment horizontal="right" vertical="center"/>
    </xf>
    <xf numFmtId="4" fontId="7" fillId="0" borderId="14" xfId="0" applyNumberFormat="1" applyFont="1" applyBorder="1" applyAlignment="1">
      <alignment horizontal="right" vertical="center"/>
    </xf>
    <xf numFmtId="0" fontId="7" fillId="0" borderId="14" xfId="0" applyFont="1" applyBorder="1" applyAlignment="1">
      <alignment horizontal="left" vertical="top"/>
    </xf>
    <xf numFmtId="4" fontId="7" fillId="0" borderId="14" xfId="0" applyNumberFormat="1" applyFont="1" applyBorder="1" applyAlignment="1">
      <alignment vertical="top"/>
    </xf>
    <xf numFmtId="164" fontId="7" fillId="0" borderId="14" xfId="1" applyFont="1" applyBorder="1" applyAlignment="1">
      <alignment horizontal="left" vertical="top"/>
    </xf>
    <xf numFmtId="0" fontId="7" fillId="0" borderId="14" xfId="0" applyFont="1" applyBorder="1" applyAlignment="1">
      <alignment horizontal="right"/>
    </xf>
    <xf numFmtId="3" fontId="7" fillId="0" borderId="14" xfId="0" applyNumberFormat="1" applyFont="1" applyBorder="1" applyAlignment="1">
      <alignment horizontal="left" vertical="top"/>
    </xf>
    <xf numFmtId="4" fontId="7" fillId="2" borderId="14" xfId="6" applyNumberFormat="1" applyFont="1" applyFill="1" applyBorder="1" applyAlignment="1">
      <alignment horizontal="right" vertical="center"/>
    </xf>
    <xf numFmtId="3" fontId="7" fillId="0" borderId="14" xfId="6" applyNumberFormat="1" applyFont="1" applyBorder="1" applyAlignment="1">
      <alignment horizontal="right" vertical="center"/>
    </xf>
    <xf numFmtId="169" fontId="7" fillId="0" borderId="14" xfId="6" applyNumberFormat="1" applyFont="1" applyBorder="1" applyAlignment="1">
      <alignment horizontal="right" vertical="center"/>
    </xf>
    <xf numFmtId="164" fontId="7" fillId="0" borderId="14" xfId="1" applyFont="1" applyBorder="1" applyAlignment="1">
      <alignment horizontal="right" vertical="center"/>
    </xf>
    <xf numFmtId="169" fontId="7" fillId="0" borderId="14" xfId="0" applyNumberFormat="1" applyFont="1" applyBorder="1" applyAlignment="1">
      <alignment horizontal="right" vertical="center"/>
    </xf>
    <xf numFmtId="3" fontId="7" fillId="0" borderId="14" xfId="0" applyNumberFormat="1" applyFont="1" applyBorder="1" applyAlignment="1">
      <alignment horizontal="right" vertical="center"/>
    </xf>
    <xf numFmtId="0" fontId="7" fillId="0" borderId="0" xfId="0" applyFont="1" applyAlignment="1">
      <alignment horizontal="right" vertical="center"/>
    </xf>
    <xf numFmtId="169" fontId="7" fillId="0" borderId="0" xfId="1" applyNumberFormat="1" applyFont="1" applyBorder="1" applyAlignment="1">
      <alignment horizontal="right" vertical="center"/>
    </xf>
    <xf numFmtId="169" fontId="7" fillId="2" borderId="0" xfId="1" applyNumberFormat="1" applyFont="1" applyFill="1" applyBorder="1" applyAlignment="1">
      <alignment horizontal="right" vertical="center"/>
    </xf>
    <xf numFmtId="166" fontId="0" fillId="0" borderId="14" xfId="11" applyNumberFormat="1" applyFont="1" applyBorder="1"/>
    <xf numFmtId="169" fontId="7" fillId="0" borderId="0" xfId="0" applyNumberFormat="1" applyFont="1" applyAlignment="1">
      <alignment horizontal="left" vertical="top"/>
    </xf>
    <xf numFmtId="0" fontId="7" fillId="0" borderId="0" xfId="0" applyFont="1" applyAlignment="1">
      <alignment vertical="top"/>
    </xf>
    <xf numFmtId="0" fontId="7" fillId="0" borderId="14" xfId="0" applyFont="1" applyBorder="1" applyAlignment="1">
      <alignment horizontal="left" vertical="center"/>
    </xf>
    <xf numFmtId="0" fontId="67" fillId="0" borderId="14" xfId="0" applyFont="1" applyBorder="1" applyAlignment="1">
      <alignment vertical="top"/>
    </xf>
    <xf numFmtId="0" fontId="7" fillId="0" borderId="14" xfId="0" applyFont="1" applyBorder="1" applyAlignment="1">
      <alignment vertical="top"/>
    </xf>
    <xf numFmtId="0" fontId="7" fillId="0" borderId="14" xfId="0" applyFont="1" applyBorder="1" applyAlignment="1">
      <alignment horizontal="left"/>
    </xf>
    <xf numFmtId="0" fontId="7" fillId="0" borderId="14" xfId="6" applyFont="1" applyBorder="1" applyAlignment="1">
      <alignment horizontal="left" vertical="center"/>
    </xf>
    <xf numFmtId="0" fontId="11" fillId="0" borderId="14" xfId="0" applyFont="1" applyBorder="1" applyAlignment="1">
      <alignment horizontal="left" vertical="top"/>
    </xf>
    <xf numFmtId="0" fontId="68" fillId="0" borderId="14" xfId="0" applyFont="1" applyBorder="1" applyAlignment="1">
      <alignment horizontal="left" vertical="top"/>
    </xf>
    <xf numFmtId="0" fontId="7" fillId="0" borderId="0" xfId="0" applyFont="1" applyAlignment="1">
      <alignment horizontal="left" vertical="center"/>
    </xf>
    <xf numFmtId="0" fontId="66" fillId="0" borderId="0" xfId="0" applyFont="1" applyAlignment="1">
      <alignment horizontal="left" vertical="top"/>
    </xf>
    <xf numFmtId="0" fontId="7" fillId="2" borderId="0" xfId="0" applyFont="1" applyFill="1" applyAlignment="1">
      <alignment horizontal="left" vertical="center"/>
    </xf>
    <xf numFmtId="0" fontId="7" fillId="2" borderId="0" xfId="0" applyFont="1" applyFill="1" applyAlignment="1">
      <alignment horizontal="left" vertical="top"/>
    </xf>
    <xf numFmtId="15" fontId="0" fillId="0" borderId="0" xfId="0" applyNumberFormat="1" applyAlignment="1">
      <alignment vertical="top"/>
    </xf>
    <xf numFmtId="15" fontId="22" fillId="0" borderId="0" xfId="2" applyNumberFormat="1" applyFont="1" applyAlignment="1">
      <alignment vertical="top"/>
    </xf>
    <xf numFmtId="15" fontId="69" fillId="0" borderId="58" xfId="0" applyNumberFormat="1" applyFont="1" applyBorder="1" applyAlignment="1">
      <alignment vertical="top"/>
    </xf>
    <xf numFmtId="15" fontId="8" fillId="0" borderId="0" xfId="12" applyNumberFormat="1"/>
    <xf numFmtId="15" fontId="25" fillId="0" borderId="0" xfId="2" applyNumberFormat="1" applyFont="1" applyAlignment="1">
      <alignment vertical="top"/>
    </xf>
    <xf numFmtId="15" fontId="22" fillId="0" borderId="0" xfId="2" applyNumberFormat="1" applyFont="1" applyAlignment="1">
      <alignment horizontal="left" vertical="top"/>
    </xf>
    <xf numFmtId="15" fontId="8" fillId="0" borderId="0" xfId="5" applyNumberFormat="1" applyAlignment="1">
      <alignment horizontal="left"/>
    </xf>
    <xf numFmtId="14" fontId="8" fillId="0" borderId="0" xfId="13" applyNumberFormat="1"/>
    <xf numFmtId="169" fontId="0" fillId="0" borderId="14" xfId="1" applyNumberFormat="1" applyFont="1" applyBorder="1"/>
    <xf numFmtId="169" fontId="0" fillId="0" borderId="0" xfId="1" applyNumberFormat="1" applyFont="1" applyBorder="1"/>
    <xf numFmtId="169" fontId="22" fillId="0" borderId="0" xfId="1" applyNumberFormat="1" applyFont="1" applyAlignment="1">
      <alignment horizontal="left" vertical="top"/>
    </xf>
    <xf numFmtId="169" fontId="5" fillId="0" borderId="0" xfId="1" applyNumberFormat="1" applyFont="1" applyAlignment="1">
      <alignment horizontal="left" vertical="top"/>
    </xf>
    <xf numFmtId="169" fontId="28" fillId="0" borderId="0" xfId="1" applyNumberFormat="1" applyFont="1"/>
    <xf numFmtId="169" fontId="43" fillId="0" borderId="0" xfId="1" applyNumberFormat="1" applyFont="1"/>
    <xf numFmtId="169" fontId="0" fillId="26" borderId="0" xfId="1" applyNumberFormat="1" applyFont="1" applyFill="1"/>
    <xf numFmtId="169" fontId="22" fillId="26" borderId="0" xfId="1" applyNumberFormat="1" applyFont="1" applyFill="1" applyAlignment="1">
      <alignment horizontal="left" vertical="top"/>
    </xf>
    <xf numFmtId="169" fontId="69" fillId="26" borderId="58" xfId="1" applyNumberFormat="1" applyFont="1" applyFill="1" applyBorder="1"/>
    <xf numFmtId="169" fontId="69" fillId="0" borderId="58" xfId="1" applyNumberFormat="1" applyFont="1" applyBorder="1"/>
    <xf numFmtId="169" fontId="5" fillId="26" borderId="0" xfId="1" applyNumberFormat="1" applyFont="1" applyFill="1" applyAlignment="1">
      <alignment horizontal="left" vertical="top"/>
    </xf>
    <xf numFmtId="169" fontId="0" fillId="0" borderId="0" xfId="1" applyNumberFormat="1" applyFont="1" applyFill="1" applyBorder="1"/>
    <xf numFmtId="169" fontId="8" fillId="0" borderId="0" xfId="1" applyNumberFormat="1" applyFont="1"/>
    <xf numFmtId="169" fontId="8" fillId="26" borderId="0" xfId="1" applyNumberFormat="1" applyFont="1" applyFill="1"/>
    <xf numFmtId="0" fontId="22" fillId="0" borderId="0" xfId="2" applyFont="1" applyAlignment="1">
      <alignment horizontal="left" vertical="top"/>
    </xf>
    <xf numFmtId="169" fontId="8" fillId="0" borderId="0" xfId="1" applyNumberFormat="1" applyFont="1" applyFill="1"/>
    <xf numFmtId="169" fontId="5" fillId="0" borderId="0" xfId="1" applyNumberFormat="1" applyFont="1" applyFill="1" applyAlignment="1">
      <alignment horizontal="left" vertical="top"/>
    </xf>
    <xf numFmtId="2" fontId="0" fillId="0" borderId="0" xfId="0" applyNumberFormat="1"/>
    <xf numFmtId="169" fontId="8" fillId="2" borderId="0" xfId="1" applyNumberFormat="1" applyFont="1" applyFill="1"/>
    <xf numFmtId="0" fontId="8" fillId="0" borderId="0" xfId="5"/>
    <xf numFmtId="0" fontId="5" fillId="2" borderId="0" xfId="2" applyFont="1" applyFill="1" applyAlignment="1">
      <alignment horizontal="left" vertical="top"/>
    </xf>
    <xf numFmtId="0" fontId="69" fillId="0" borderId="59" xfId="0" applyFont="1" applyBorder="1"/>
    <xf numFmtId="0" fontId="8" fillId="0" borderId="0" xfId="12"/>
    <xf numFmtId="0" fontId="8" fillId="0" borderId="0" xfId="14"/>
    <xf numFmtId="0" fontId="8" fillId="0" borderId="0" xfId="13"/>
    <xf numFmtId="15" fontId="70" fillId="0" borderId="14" xfId="0" applyNumberFormat="1" applyFont="1" applyBorder="1" applyAlignment="1">
      <alignment horizontal="left" vertical="center"/>
    </xf>
    <xf numFmtId="14" fontId="3" fillId="0" borderId="0" xfId="2" applyNumberFormat="1" applyAlignment="1">
      <alignment horizontal="right"/>
    </xf>
    <xf numFmtId="14" fontId="70" fillId="0" borderId="14" xfId="0" applyNumberFormat="1" applyFont="1" applyBorder="1" applyAlignment="1">
      <alignment horizontal="left" vertical="center" wrapText="1"/>
    </xf>
    <xf numFmtId="15" fontId="20" fillId="0" borderId="14" xfId="2" applyNumberFormat="1" applyFont="1" applyBorder="1" applyAlignment="1">
      <alignment horizontal="left" vertical="top"/>
    </xf>
    <xf numFmtId="15" fontId="70" fillId="0" borderId="14" xfId="1" applyNumberFormat="1" applyFont="1" applyBorder="1" applyAlignment="1">
      <alignment horizontal="left" vertical="center" wrapText="1"/>
    </xf>
    <xf numFmtId="15" fontId="70" fillId="0" borderId="14" xfId="0" applyNumberFormat="1" applyFont="1" applyBorder="1" applyAlignment="1">
      <alignment horizontal="left" vertical="center" wrapText="1"/>
    </xf>
    <xf numFmtId="15" fontId="24" fillId="0" borderId="14" xfId="2" applyNumberFormat="1" applyFont="1" applyBorder="1" applyAlignment="1">
      <alignment horizontal="left" vertical="top"/>
    </xf>
    <xf numFmtId="14" fontId="70" fillId="0" borderId="21" xfId="0" applyNumberFormat="1" applyFont="1" applyBorder="1" applyAlignment="1">
      <alignment horizontal="left" vertical="center" wrapText="1"/>
    </xf>
    <xf numFmtId="14" fontId="70" fillId="0" borderId="14" xfId="0" applyNumberFormat="1" applyFont="1" applyBorder="1" applyAlignment="1">
      <alignment horizontal="left" vertical="center"/>
    </xf>
    <xf numFmtId="14" fontId="70" fillId="0" borderId="3" xfId="0" applyNumberFormat="1" applyFont="1" applyBorder="1" applyAlignment="1">
      <alignment horizontal="left" vertical="center"/>
    </xf>
    <xf numFmtId="15" fontId="20" fillId="0" borderId="14" xfId="1" applyNumberFormat="1" applyFont="1" applyBorder="1" applyAlignment="1">
      <alignment horizontal="left" vertical="top"/>
    </xf>
    <xf numFmtId="15" fontId="70" fillId="0" borderId="14" xfId="1" applyNumberFormat="1" applyFont="1" applyBorder="1" applyAlignment="1">
      <alignment horizontal="left" vertical="center"/>
    </xf>
    <xf numFmtId="14" fontId="70" fillId="0" borderId="3" xfId="0" applyNumberFormat="1" applyFont="1" applyBorder="1" applyAlignment="1">
      <alignment horizontal="left" vertical="center" wrapText="1"/>
    </xf>
    <xf numFmtId="14" fontId="20" fillId="0" borderId="14" xfId="2" applyNumberFormat="1" applyFont="1" applyBorder="1" applyAlignment="1">
      <alignment horizontal="left" vertical="top"/>
    </xf>
    <xf numFmtId="14" fontId="20" fillId="0" borderId="0" xfId="2" applyNumberFormat="1" applyFont="1" applyAlignment="1">
      <alignment horizontal="left" vertical="top"/>
    </xf>
    <xf numFmtId="0" fontId="20" fillId="0" borderId="0" xfId="2" applyFont="1" applyAlignment="1">
      <alignment horizontal="left" vertical="top"/>
    </xf>
    <xf numFmtId="0" fontId="70" fillId="0" borderId="14" xfId="0" applyFont="1" applyBorder="1" applyAlignment="1">
      <alignment horizontal="left" vertical="top" wrapText="1"/>
    </xf>
    <xf numFmtId="0" fontId="11" fillId="0" borderId="0" xfId="2" applyFont="1" applyAlignment="1">
      <alignment horizontal="left"/>
    </xf>
    <xf numFmtId="164" fontId="0" fillId="0" borderId="0" xfId="1" applyFont="1" applyAlignment="1">
      <alignment horizontal="left" vertical="top"/>
    </xf>
    <xf numFmtId="0" fontId="70" fillId="0" borderId="14" xfId="0" applyFont="1" applyBorder="1" applyAlignment="1">
      <alignment vertical="center"/>
    </xf>
    <xf numFmtId="0" fontId="20" fillId="0" borderId="0" xfId="2" applyFont="1"/>
    <xf numFmtId="0" fontId="70" fillId="0" borderId="4" xfId="0" applyFont="1" applyBorder="1" applyAlignment="1">
      <alignment vertical="center"/>
    </xf>
    <xf numFmtId="0" fontId="20" fillId="0" borderId="14" xfId="2" applyFont="1" applyBorder="1"/>
    <xf numFmtId="0" fontId="70" fillId="0" borderId="21" xfId="0" applyFont="1" applyBorder="1" applyAlignment="1">
      <alignment vertical="center"/>
    </xf>
    <xf numFmtId="0" fontId="70" fillId="0" borderId="14" xfId="0" applyFont="1" applyBorder="1" applyAlignment="1">
      <alignment horizontal="left" vertical="center"/>
    </xf>
    <xf numFmtId="0" fontId="70" fillId="0" borderId="27" xfId="0" applyFont="1" applyBorder="1" applyAlignment="1">
      <alignment horizontal="left" vertical="center"/>
    </xf>
    <xf numFmtId="0" fontId="20" fillId="0" borderId="27" xfId="2" applyFont="1" applyBorder="1"/>
    <xf numFmtId="0" fontId="70" fillId="0" borderId="27" xfId="0" applyFont="1" applyBorder="1" applyAlignment="1">
      <alignment horizontal="center" vertical="center"/>
    </xf>
    <xf numFmtId="0" fontId="70" fillId="0" borderId="27" xfId="0" applyFont="1" applyBorder="1" applyAlignment="1">
      <alignment vertical="center"/>
    </xf>
    <xf numFmtId="14" fontId="66" fillId="0" borderId="0" xfId="0" applyNumberFormat="1" applyFont="1" applyAlignment="1">
      <alignment horizontal="left" vertical="top"/>
    </xf>
    <xf numFmtId="14" fontId="71" fillId="0" borderId="0" xfId="0" applyNumberFormat="1" applyFont="1" applyAlignment="1">
      <alignment horizontal="left"/>
    </xf>
    <xf numFmtId="169" fontId="29" fillId="0" borderId="0" xfId="1" applyNumberFormat="1" applyFont="1"/>
    <xf numFmtId="169" fontId="29" fillId="0" borderId="14" xfId="1" applyNumberFormat="1" applyFont="1" applyBorder="1"/>
    <xf numFmtId="169" fontId="29" fillId="0" borderId="0" xfId="0" applyNumberFormat="1" applyFont="1"/>
    <xf numFmtId="3" fontId="29" fillId="0" borderId="0" xfId="0" applyNumberFormat="1" applyFont="1"/>
    <xf numFmtId="164" fontId="29" fillId="0" borderId="0" xfId="1" applyFont="1"/>
    <xf numFmtId="169" fontId="0" fillId="0" borderId="0" xfId="1" applyNumberFormat="1" applyFont="1" applyAlignment="1">
      <alignment horizontal="left" vertical="top"/>
    </xf>
    <xf numFmtId="43" fontId="29" fillId="0" borderId="0" xfId="0" applyNumberFormat="1" applyFont="1"/>
    <xf numFmtId="0" fontId="71" fillId="0" borderId="0" xfId="0" applyFont="1"/>
    <xf numFmtId="169" fontId="71" fillId="0" borderId="0" xfId="1" applyNumberFormat="1" applyFont="1"/>
    <xf numFmtId="4" fontId="0" fillId="0" borderId="0" xfId="0" applyNumberFormat="1" applyAlignment="1">
      <alignment horizontal="right"/>
    </xf>
    <xf numFmtId="169" fontId="0" fillId="0" borderId="0" xfId="1" applyNumberFormat="1" applyFont="1" applyAlignment="1">
      <alignment horizontal="right"/>
    </xf>
    <xf numFmtId="15" fontId="20" fillId="0" borderId="14" xfId="1" applyNumberFormat="1" applyFont="1" applyBorder="1" applyAlignment="1">
      <alignment horizontal="left"/>
    </xf>
    <xf numFmtId="15" fontId="20" fillId="0" borderId="0" xfId="1" applyNumberFormat="1" applyFont="1" applyAlignment="1">
      <alignment horizontal="left"/>
    </xf>
    <xf numFmtId="15" fontId="24" fillId="0" borderId="0" xfId="1" applyNumberFormat="1" applyFont="1" applyAlignment="1">
      <alignment horizontal="left" vertical="top"/>
    </xf>
    <xf numFmtId="15" fontId="20" fillId="0" borderId="0" xfId="1" applyNumberFormat="1" applyFont="1" applyAlignment="1">
      <alignment horizontal="left" vertical="top"/>
    </xf>
    <xf numFmtId="15" fontId="22" fillId="0" borderId="0" xfId="1" applyNumberFormat="1" applyFont="1" applyAlignment="1">
      <alignment horizontal="left"/>
    </xf>
    <xf numFmtId="15" fontId="20" fillId="0" borderId="14" xfId="1" applyNumberFormat="1" applyFont="1" applyBorder="1" applyAlignment="1">
      <alignment horizontal="left" vertical="center"/>
    </xf>
    <xf numFmtId="0" fontId="0" fillId="0" borderId="14" xfId="0" applyBorder="1" applyAlignment="1">
      <alignment horizontal="left" vertical="top"/>
    </xf>
    <xf numFmtId="49" fontId="12" fillId="0" borderId="0" xfId="0" applyNumberFormat="1" applyFont="1" applyAlignment="1">
      <alignment horizontal="left" vertical="top"/>
    </xf>
    <xf numFmtId="49" fontId="12" fillId="0" borderId="14" xfId="0" applyNumberFormat="1" applyFont="1" applyBorder="1" applyAlignment="1">
      <alignment horizontal="left" vertical="top"/>
    </xf>
    <xf numFmtId="170" fontId="12" fillId="0" borderId="14" xfId="0" applyNumberFormat="1" applyFont="1" applyBorder="1" applyAlignment="1">
      <alignment horizontal="left" vertical="top"/>
    </xf>
    <xf numFmtId="0" fontId="12" fillId="0" borderId="0" xfId="0" applyFont="1" applyAlignment="1">
      <alignment horizontal="left" vertical="top"/>
    </xf>
    <xf numFmtId="164" fontId="3" fillId="0" borderId="0" xfId="1" applyFont="1" applyAlignment="1">
      <alignment horizontal="left" vertical="top"/>
    </xf>
    <xf numFmtId="49" fontId="12" fillId="0" borderId="0" xfId="0" applyNumberFormat="1" applyFont="1" applyAlignment="1">
      <alignment horizontal="left" vertical="center"/>
    </xf>
    <xf numFmtId="0" fontId="12" fillId="0" borderId="14" xfId="0" applyFont="1" applyBorder="1" applyAlignment="1">
      <alignment horizontal="left" vertical="top"/>
    </xf>
    <xf numFmtId="0" fontId="72" fillId="0" borderId="14" xfId="0" applyFont="1" applyBorder="1" applyAlignment="1">
      <alignment horizontal="left" vertical="center"/>
    </xf>
    <xf numFmtId="169" fontId="1" fillId="0" borderId="14" xfId="1" applyNumberFormat="1" applyFont="1" applyBorder="1"/>
    <xf numFmtId="164" fontId="0" fillId="0" borderId="14" xfId="1" applyFont="1" applyBorder="1"/>
    <xf numFmtId="0" fontId="15" fillId="0" borderId="14" xfId="0" applyFont="1" applyBorder="1" applyAlignment="1">
      <alignment horizontal="left" vertical="top"/>
    </xf>
    <xf numFmtId="169" fontId="1" fillId="0" borderId="0" xfId="1" applyNumberFormat="1" applyFont="1" applyBorder="1"/>
    <xf numFmtId="164" fontId="0" fillId="0" borderId="0" xfId="1" applyFont="1" applyBorder="1"/>
    <xf numFmtId="0" fontId="15" fillId="0" borderId="0" xfId="0" applyFont="1" applyAlignment="1">
      <alignment horizontal="left" vertical="top"/>
    </xf>
    <xf numFmtId="169" fontId="45" fillId="0" borderId="0" xfId="1" applyNumberFormat="1" applyFont="1"/>
    <xf numFmtId="169" fontId="53" fillId="0" borderId="0" xfId="1" applyNumberFormat="1" applyFont="1" applyBorder="1" applyAlignment="1">
      <alignment horizontal="right" vertical="center"/>
    </xf>
    <xf numFmtId="164" fontId="3" fillId="0" borderId="0" xfId="1" applyFont="1" applyBorder="1"/>
    <xf numFmtId="169" fontId="7" fillId="0" borderId="0" xfId="1" applyNumberFormat="1" applyFont="1" applyAlignment="1">
      <alignment horizontal="left" vertical="top"/>
    </xf>
    <xf numFmtId="164" fontId="7" fillId="0" borderId="0" xfId="1" applyFont="1" applyAlignment="1">
      <alignment horizontal="left" vertical="top"/>
    </xf>
    <xf numFmtId="164" fontId="7" fillId="0" borderId="0" xfId="1" applyFont="1" applyAlignment="1">
      <alignment vertical="top"/>
    </xf>
    <xf numFmtId="169" fontId="1" fillId="0" borderId="0" xfId="1" applyNumberFormat="1" applyFont="1"/>
    <xf numFmtId="169" fontId="53" fillId="0" borderId="14" xfId="1" applyNumberFormat="1" applyFont="1" applyBorder="1" applyAlignment="1">
      <alignment horizontal="right" vertical="center"/>
    </xf>
    <xf numFmtId="169" fontId="53" fillId="2" borderId="14" xfId="1" applyNumberFormat="1" applyFont="1" applyFill="1" applyBorder="1" applyAlignment="1">
      <alignment horizontal="right" vertical="center"/>
    </xf>
    <xf numFmtId="164" fontId="12" fillId="0" borderId="14" xfId="1" applyFont="1" applyBorder="1" applyAlignment="1">
      <alignment horizontal="left" vertical="top"/>
    </xf>
    <xf numFmtId="169" fontId="0" fillId="27" borderId="0" xfId="1" applyNumberFormat="1" applyFont="1" applyFill="1"/>
    <xf numFmtId="169" fontId="1" fillId="12" borderId="0" xfId="1" applyNumberFormat="1" applyFont="1" applyFill="1"/>
    <xf numFmtId="169" fontId="1" fillId="20" borderId="0" xfId="1" applyNumberFormat="1" applyFont="1" applyFill="1"/>
    <xf numFmtId="169" fontId="53" fillId="0" borderId="0" xfId="1" applyNumberFormat="1" applyFont="1" applyAlignment="1">
      <alignment horizontal="left" vertical="center"/>
    </xf>
    <xf numFmtId="169" fontId="1" fillId="2" borderId="0" xfId="1" applyNumberFormat="1" applyFont="1" applyFill="1"/>
    <xf numFmtId="169" fontId="3" fillId="0" borderId="0" xfId="1" applyNumberFormat="1" applyFont="1"/>
    <xf numFmtId="169" fontId="53" fillId="0" borderId="0" xfId="1" applyNumberFormat="1" applyFont="1" applyAlignment="1">
      <alignment horizontal="right" vertical="center"/>
    </xf>
    <xf numFmtId="169" fontId="45" fillId="0" borderId="0" xfId="1" applyNumberFormat="1" applyFont="1" applyFill="1"/>
    <xf numFmtId="169" fontId="1" fillId="0" borderId="0" xfId="1" applyNumberFormat="1" applyFont="1" applyFill="1"/>
    <xf numFmtId="169" fontId="1" fillId="28" borderId="0" xfId="1" applyNumberFormat="1" applyFont="1" applyFill="1" applyBorder="1"/>
    <xf numFmtId="169" fontId="53" fillId="0" borderId="0" xfId="0" applyNumberFormat="1" applyFont="1" applyAlignment="1">
      <alignment horizontal="right" vertical="center"/>
    </xf>
    <xf numFmtId="0" fontId="0" fillId="2" borderId="0" xfId="0" applyFill="1"/>
    <xf numFmtId="169" fontId="53" fillId="0" borderId="21" xfId="1" applyNumberFormat="1" applyFont="1" applyBorder="1" applyAlignment="1">
      <alignment horizontal="right" vertical="center"/>
    </xf>
    <xf numFmtId="169" fontId="53" fillId="28" borderId="14" xfId="1" applyNumberFormat="1" applyFont="1" applyFill="1" applyBorder="1" applyAlignment="1">
      <alignment horizontal="right" vertical="center"/>
    </xf>
    <xf numFmtId="0" fontId="8" fillId="0" borderId="0" xfId="2" applyFont="1"/>
    <xf numFmtId="0" fontId="73" fillId="0" borderId="14" xfId="0" applyFont="1" applyBorder="1" applyAlignment="1">
      <alignment horizontal="left" vertical="top"/>
    </xf>
    <xf numFmtId="169" fontId="53" fillId="0" borderId="3" xfId="1" applyNumberFormat="1" applyFont="1" applyBorder="1" applyAlignment="1">
      <alignment horizontal="right" vertical="center"/>
    </xf>
    <xf numFmtId="169" fontId="53" fillId="28" borderId="0" xfId="1" applyNumberFormat="1" applyFont="1" applyFill="1" applyBorder="1" applyAlignment="1">
      <alignment horizontal="right" vertical="center"/>
    </xf>
    <xf numFmtId="169" fontId="53" fillId="0" borderId="15" xfId="1" applyNumberFormat="1" applyFont="1" applyBorder="1" applyAlignment="1">
      <alignment horizontal="right" vertical="center"/>
    </xf>
    <xf numFmtId="169" fontId="1" fillId="28" borderId="0" xfId="1" applyNumberFormat="1" applyFont="1" applyFill="1" applyBorder="1" applyAlignment="1">
      <alignment horizontal="left"/>
    </xf>
    <xf numFmtId="169" fontId="1" fillId="0" borderId="0" xfId="1" applyNumberFormat="1" applyFont="1" applyAlignment="1">
      <alignment horizontal="left"/>
    </xf>
    <xf numFmtId="169" fontId="53" fillId="0" borderId="21" xfId="0" applyNumberFormat="1" applyFont="1" applyBorder="1" applyAlignment="1">
      <alignment horizontal="right" vertical="center"/>
    </xf>
    <xf numFmtId="0" fontId="12" fillId="0" borderId="14" xfId="0" applyFont="1" applyBorder="1" applyAlignment="1">
      <alignment horizontal="left" vertical="center"/>
    </xf>
    <xf numFmtId="169" fontId="53" fillId="0" borderId="14" xfId="0" applyNumberFormat="1" applyFont="1" applyBorder="1" applyAlignment="1">
      <alignment horizontal="right" vertical="center"/>
    </xf>
    <xf numFmtId="164" fontId="53" fillId="0" borderId="14" xfId="0" applyNumberFormat="1" applyFont="1" applyBorder="1" applyAlignment="1">
      <alignment horizontal="right" vertical="center"/>
    </xf>
    <xf numFmtId="164" fontId="53" fillId="0" borderId="3" xfId="0" applyNumberFormat="1" applyFont="1" applyBorder="1" applyAlignment="1">
      <alignment horizontal="right" vertical="center"/>
    </xf>
    <xf numFmtId="169" fontId="53" fillId="28" borderId="0" xfId="0" applyNumberFormat="1" applyFont="1" applyFill="1" applyAlignment="1">
      <alignment horizontal="right" vertical="center"/>
    </xf>
    <xf numFmtId="164" fontId="53" fillId="28" borderId="0" xfId="0" applyNumberFormat="1" applyFont="1" applyFill="1" applyAlignment="1">
      <alignment horizontal="right" vertical="center"/>
    </xf>
    <xf numFmtId="164" fontId="53" fillId="0" borderId="21" xfId="0" applyNumberFormat="1" applyFont="1" applyBorder="1" applyAlignment="1">
      <alignment horizontal="right" vertical="center"/>
    </xf>
    <xf numFmtId="164" fontId="74" fillId="0" borderId="14" xfId="0" applyNumberFormat="1" applyFont="1" applyBorder="1" applyAlignment="1">
      <alignment horizontal="right" vertical="center"/>
    </xf>
    <xf numFmtId="169" fontId="12" fillId="0" borderId="14" xfId="0" applyNumberFormat="1" applyFont="1" applyBorder="1" applyAlignment="1">
      <alignment horizontal="right" vertical="center"/>
    </xf>
    <xf numFmtId="43" fontId="0" fillId="0" borderId="0" xfId="0" applyNumberFormat="1"/>
    <xf numFmtId="164" fontId="12" fillId="0" borderId="14" xfId="0" applyNumberFormat="1" applyFont="1" applyBorder="1" applyAlignment="1">
      <alignment horizontal="right" vertical="center"/>
    </xf>
    <xf numFmtId="169" fontId="46" fillId="0" borderId="0" xfId="1" applyNumberFormat="1" applyFont="1" applyFill="1"/>
    <xf numFmtId="169" fontId="3" fillId="0" borderId="0" xfId="1" applyNumberFormat="1" applyFont="1" applyFill="1"/>
    <xf numFmtId="15" fontId="69" fillId="0" borderId="60" xfId="1" applyNumberFormat="1" applyFont="1" applyBorder="1" applyAlignment="1">
      <alignment vertical="center"/>
    </xf>
    <xf numFmtId="15" fontId="22" fillId="0" borderId="0" xfId="1" applyNumberFormat="1" applyFont="1" applyAlignment="1">
      <alignment vertical="top"/>
    </xf>
    <xf numFmtId="15" fontId="69" fillId="0" borderId="0" xfId="1" applyNumberFormat="1" applyFont="1" applyBorder="1" applyAlignment="1">
      <alignment vertical="center"/>
    </xf>
    <xf numFmtId="0" fontId="22" fillId="0" borderId="0" xfId="4" applyFont="1" applyAlignment="1">
      <alignment horizontal="left" vertical="top"/>
    </xf>
    <xf numFmtId="0" fontId="22" fillId="2" borderId="0" xfId="4" applyFont="1" applyFill="1" applyAlignment="1">
      <alignment horizontal="left" vertical="top"/>
    </xf>
    <xf numFmtId="0" fontId="26" fillId="0" borderId="2" xfId="2" applyFont="1" applyBorder="1"/>
    <xf numFmtId="164" fontId="23" fillId="2" borderId="2" xfId="1" applyFont="1" applyFill="1" applyBorder="1" applyAlignment="1">
      <alignment horizontal="left" vertical="top"/>
    </xf>
    <xf numFmtId="164" fontId="23" fillId="3" borderId="2" xfId="1" applyFont="1" applyFill="1" applyBorder="1" applyAlignment="1">
      <alignment horizontal="left" vertical="top"/>
    </xf>
    <xf numFmtId="0" fontId="23" fillId="2" borderId="2" xfId="0" applyFont="1" applyFill="1" applyBorder="1" applyAlignment="1">
      <alignment horizontal="left" vertical="top"/>
    </xf>
    <xf numFmtId="0" fontId="23" fillId="0" borderId="2" xfId="0" applyFont="1" applyBorder="1" applyAlignment="1">
      <alignment horizontal="left" vertical="top"/>
    </xf>
    <xf numFmtId="0" fontId="70" fillId="0" borderId="61" xfId="0" applyFont="1" applyBorder="1" applyAlignment="1">
      <alignment vertical="center"/>
    </xf>
    <xf numFmtId="0" fontId="77" fillId="0" borderId="61" xfId="0" applyFont="1" applyBorder="1" applyAlignment="1">
      <alignment vertical="center"/>
    </xf>
    <xf numFmtId="0" fontId="75" fillId="0" borderId="0" xfId="2" applyFont="1" applyAlignment="1">
      <alignment horizontal="left" vertical="top"/>
    </xf>
    <xf numFmtId="0" fontId="70" fillId="0" borderId="62" xfId="0" applyFont="1" applyBorder="1" applyAlignment="1">
      <alignment vertical="center"/>
    </xf>
    <xf numFmtId="0" fontId="3" fillId="0" borderId="61" xfId="2" applyBorder="1" applyAlignment="1">
      <alignment horizontal="left" vertical="top"/>
    </xf>
    <xf numFmtId="0" fontId="20" fillId="0" borderId="61" xfId="2" applyFont="1" applyBorder="1"/>
    <xf numFmtId="0" fontId="20" fillId="2" borderId="61" xfId="2" applyFont="1" applyFill="1" applyBorder="1"/>
    <xf numFmtId="0" fontId="3" fillId="2" borderId="61" xfId="2" applyFill="1" applyBorder="1" applyAlignment="1">
      <alignment horizontal="left" vertical="top"/>
    </xf>
    <xf numFmtId="0" fontId="0" fillId="0" borderId="61" xfId="0" applyBorder="1"/>
    <xf numFmtId="0" fontId="0" fillId="0" borderId="7" xfId="0" applyBorder="1"/>
    <xf numFmtId="0" fontId="76" fillId="29" borderId="2" xfId="4" applyFont="1" applyFill="1" applyBorder="1" applyAlignment="1">
      <alignment horizontal="left" vertical="top"/>
    </xf>
    <xf numFmtId="0" fontId="76" fillId="0" borderId="2" xfId="2" applyFont="1" applyBorder="1" applyAlignment="1">
      <alignment horizontal="left" vertical="top"/>
    </xf>
    <xf numFmtId="0" fontId="78" fillId="0" borderId="14" xfId="0" applyFont="1" applyBorder="1" applyAlignment="1">
      <alignment horizontal="left" vertical="top"/>
    </xf>
    <xf numFmtId="0" fontId="3" fillId="0" borderId="14" xfId="2" applyBorder="1" applyAlignment="1">
      <alignment horizontal="left" vertical="top"/>
    </xf>
    <xf numFmtId="164" fontId="15" fillId="0" borderId="14" xfId="1" applyFont="1" applyBorder="1" applyAlignment="1">
      <alignment horizontal="left" vertical="top"/>
    </xf>
    <xf numFmtId="0" fontId="79" fillId="0" borderId="0" xfId="2" applyFont="1" applyAlignment="1">
      <alignment vertical="top"/>
    </xf>
    <xf numFmtId="0" fontId="80" fillId="0" borderId="2" xfId="0" applyFont="1" applyBorder="1"/>
    <xf numFmtId="0" fontId="81" fillId="0" borderId="2" xfId="0" applyFont="1" applyBorder="1" applyAlignment="1">
      <alignment vertical="top"/>
    </xf>
    <xf numFmtId="0" fontId="79" fillId="0" borderId="14" xfId="2" applyFont="1" applyBorder="1" applyAlignment="1">
      <alignment vertical="top"/>
    </xf>
    <xf numFmtId="164" fontId="80" fillId="0" borderId="0" xfId="1" applyFont="1" applyAlignment="1"/>
    <xf numFmtId="0" fontId="80" fillId="0" borderId="0" xfId="0" applyFont="1" applyAlignment="1">
      <alignment vertical="top"/>
    </xf>
    <xf numFmtId="0" fontId="23" fillId="0" borderId="62" xfId="4" applyFont="1" applyBorder="1" applyAlignment="1">
      <alignment horizontal="left" vertical="top"/>
    </xf>
    <xf numFmtId="0" fontId="23" fillId="0" borderId="62" xfId="0" applyFont="1" applyBorder="1" applyAlignment="1">
      <alignment horizontal="left" vertical="top"/>
    </xf>
    <xf numFmtId="0" fontId="24" fillId="0" borderId="19" xfId="0" applyFont="1" applyBorder="1" applyAlignment="1">
      <alignment horizontal="left" vertical="top"/>
    </xf>
    <xf numFmtId="0" fontId="24" fillId="0" borderId="21" xfId="0" applyFont="1" applyBorder="1" applyAlignment="1">
      <alignment horizontal="left" vertical="top"/>
    </xf>
    <xf numFmtId="169" fontId="24" fillId="0" borderId="21" xfId="1" applyNumberFormat="1" applyFont="1" applyBorder="1" applyAlignment="1">
      <alignment horizontal="left" vertical="top"/>
    </xf>
    <xf numFmtId="0" fontId="24" fillId="0" borderId="63" xfId="0" applyFont="1" applyBorder="1" applyAlignment="1">
      <alignment horizontal="left" vertical="top"/>
    </xf>
    <xf numFmtId="15" fontId="24" fillId="0" borderId="0" xfId="0" applyNumberFormat="1" applyFont="1" applyAlignment="1">
      <alignment horizontal="left" vertical="top"/>
    </xf>
    <xf numFmtId="169" fontId="24" fillId="0" borderId="0" xfId="1" applyNumberFormat="1" applyFont="1" applyBorder="1" applyAlignment="1">
      <alignment horizontal="left" vertical="top"/>
    </xf>
    <xf numFmtId="164" fontId="22" fillId="0" borderId="0" xfId="1" applyFont="1" applyAlignment="1">
      <alignment horizontal="left" vertical="top"/>
    </xf>
    <xf numFmtId="0" fontId="23" fillId="3" borderId="62" xfId="0" applyFont="1" applyFill="1" applyBorder="1" applyAlignment="1">
      <alignment horizontal="left" vertical="top"/>
    </xf>
    <xf numFmtId="0" fontId="23" fillId="2" borderId="62" xfId="0" applyFont="1" applyFill="1" applyBorder="1" applyAlignment="1">
      <alignment horizontal="left" vertical="top"/>
    </xf>
    <xf numFmtId="0" fontId="82" fillId="0" borderId="0" xfId="0" applyFont="1" applyAlignment="1">
      <alignment horizontal="left" vertical="top"/>
    </xf>
    <xf numFmtId="0" fontId="76" fillId="3" borderId="2" xfId="2" applyFont="1" applyFill="1" applyBorder="1" applyAlignment="1">
      <alignment horizontal="left" vertical="top"/>
    </xf>
    <xf numFmtId="0" fontId="76" fillId="2" borderId="2" xfId="2" applyFont="1" applyFill="1" applyBorder="1" applyAlignment="1">
      <alignment vertical="top"/>
    </xf>
    <xf numFmtId="0" fontId="83" fillId="0" borderId="0" xfId="2" applyFont="1" applyAlignment="1">
      <alignment horizontal="left" vertical="top"/>
    </xf>
    <xf numFmtId="166" fontId="0" fillId="0" borderId="0" xfId="1" applyNumberFormat="1" applyFont="1"/>
    <xf numFmtId="49" fontId="84" fillId="0" borderId="64" xfId="0" applyNumberFormat="1" applyFont="1" applyBorder="1" applyAlignment="1">
      <alignment vertical="top"/>
    </xf>
    <xf numFmtId="49" fontId="85" fillId="0" borderId="65" xfId="0" applyNumberFormat="1" applyFont="1" applyBorder="1" applyAlignment="1">
      <alignment vertical="top"/>
    </xf>
    <xf numFmtId="49" fontId="85" fillId="0" borderId="64" xfId="0" applyNumberFormat="1" applyFont="1" applyBorder="1" applyAlignment="1">
      <alignment vertical="top"/>
    </xf>
    <xf numFmtId="49" fontId="3" fillId="0" borderId="0" xfId="0" applyNumberFormat="1" applyFont="1" applyAlignment="1">
      <alignment horizontal="center" vertical="top"/>
    </xf>
    <xf numFmtId="49" fontId="54" fillId="0" borderId="61" xfId="0" applyNumberFormat="1" applyFont="1" applyBorder="1" applyAlignment="1">
      <alignment horizontal="center" vertical="top"/>
    </xf>
    <xf numFmtId="49" fontId="85" fillId="0" borderId="22" xfId="0" applyNumberFormat="1" applyFont="1" applyBorder="1" applyAlignment="1">
      <alignment horizontal="center" vertical="top"/>
    </xf>
    <xf numFmtId="49" fontId="85" fillId="0" borderId="0" xfId="0" applyNumberFormat="1" applyFont="1" applyAlignment="1">
      <alignment vertical="top"/>
    </xf>
    <xf numFmtId="178" fontId="85" fillId="0" borderId="66" xfId="0" applyNumberFormat="1" applyFont="1" applyBorder="1" applyAlignment="1">
      <alignment horizontal="right" vertical="top"/>
    </xf>
    <xf numFmtId="178" fontId="54" fillId="0" borderId="0" xfId="0" applyNumberFormat="1" applyFont="1" applyAlignment="1">
      <alignment horizontal="right" vertical="top"/>
    </xf>
    <xf numFmtId="49" fontId="86" fillId="0" borderId="0" xfId="0" applyNumberFormat="1" applyFont="1" applyAlignment="1">
      <alignment horizontal="left" vertical="top" indent="2"/>
    </xf>
    <xf numFmtId="179" fontId="86" fillId="0" borderId="0" xfId="0" applyNumberFormat="1" applyFont="1" applyAlignment="1">
      <alignment horizontal="right" vertical="top"/>
    </xf>
    <xf numFmtId="178" fontId="86" fillId="0" borderId="0" xfId="0" applyNumberFormat="1" applyFont="1" applyAlignment="1">
      <alignment horizontal="right" vertical="top"/>
    </xf>
    <xf numFmtId="179" fontId="54" fillId="0" borderId="0" xfId="0" applyNumberFormat="1" applyFont="1" applyAlignment="1">
      <alignment horizontal="right" vertical="top"/>
    </xf>
    <xf numFmtId="49" fontId="54" fillId="0" borderId="0" xfId="0" applyNumberFormat="1" applyFont="1" applyAlignment="1">
      <alignment vertical="top" wrapText="1"/>
    </xf>
    <xf numFmtId="166" fontId="0" fillId="0" borderId="0" xfId="1" applyNumberFormat="1" applyFont="1" applyAlignment="1">
      <alignment horizontal="left" vertical="top"/>
    </xf>
    <xf numFmtId="49" fontId="3" fillId="0" borderId="0" xfId="0" applyNumberFormat="1" applyFont="1" applyAlignment="1">
      <alignment vertical="top"/>
    </xf>
    <xf numFmtId="49" fontId="85" fillId="0" borderId="0" xfId="0" applyNumberFormat="1" applyFont="1" applyAlignment="1">
      <alignment horizontal="center" vertical="top"/>
    </xf>
    <xf numFmtId="14" fontId="0" fillId="0" borderId="0" xfId="0" applyNumberFormat="1" applyAlignment="1">
      <alignment horizontal="left"/>
    </xf>
    <xf numFmtId="166" fontId="0" fillId="0" borderId="0" xfId="0" applyNumberFormat="1"/>
    <xf numFmtId="0" fontId="0" fillId="0" borderId="0" xfId="0" applyAlignment="1">
      <alignment horizontal="center" vertical="center"/>
    </xf>
    <xf numFmtId="166" fontId="1" fillId="0" borderId="0" xfId="1" applyNumberFormat="1" applyFont="1"/>
    <xf numFmtId="14" fontId="29" fillId="0" borderId="0" xfId="0" applyNumberFormat="1" applyFont="1" applyAlignment="1">
      <alignment vertical="top"/>
    </xf>
    <xf numFmtId="164" fontId="0" fillId="0" borderId="0" xfId="1" applyFont="1" applyAlignment="1">
      <alignment horizontal="center" vertical="center"/>
    </xf>
    <xf numFmtId="49" fontId="4" fillId="0" borderId="0" xfId="0" applyNumberFormat="1" applyFont="1" applyAlignment="1">
      <alignment vertical="top"/>
    </xf>
    <xf numFmtId="166" fontId="4" fillId="0" borderId="0" xfId="0" applyNumberFormat="1" applyFont="1" applyAlignment="1">
      <alignment vertical="top"/>
    </xf>
    <xf numFmtId="166" fontId="87" fillId="0" borderId="0" xfId="0" applyNumberFormat="1" applyFont="1"/>
    <xf numFmtId="49" fontId="4" fillId="0" borderId="0" xfId="0" applyNumberFormat="1" applyFont="1" applyAlignment="1">
      <alignment horizontal="center" vertical="top"/>
    </xf>
    <xf numFmtId="1" fontId="0" fillId="0" borderId="0" xfId="0" applyNumberFormat="1"/>
    <xf numFmtId="164" fontId="54" fillId="0" borderId="0" xfId="1" applyFont="1" applyAlignment="1">
      <alignment horizontal="right" vertical="top"/>
    </xf>
    <xf numFmtId="0" fontId="2" fillId="0" borderId="0" xfId="0" applyFont="1"/>
    <xf numFmtId="1" fontId="2" fillId="0" borderId="0" xfId="0" applyNumberFormat="1" applyFont="1"/>
    <xf numFmtId="0" fontId="20" fillId="2" borderId="61" xfId="0" applyFont="1" applyFill="1" applyBorder="1" applyAlignment="1">
      <alignment vertical="top"/>
    </xf>
    <xf numFmtId="0" fontId="89" fillId="0" borderId="61" xfId="0" applyFont="1" applyBorder="1" applyAlignment="1">
      <alignment vertical="center" wrapText="1"/>
    </xf>
    <xf numFmtId="0" fontId="89" fillId="14" borderId="61" xfId="0" applyFont="1" applyFill="1" applyBorder="1" applyAlignment="1">
      <alignment vertical="center" wrapText="1"/>
    </xf>
    <xf numFmtId="0" fontId="89" fillId="10" borderId="61" xfId="0" applyFont="1" applyFill="1" applyBorder="1" applyAlignment="1">
      <alignment vertical="center" wrapText="1"/>
    </xf>
    <xf numFmtId="0" fontId="89" fillId="9" borderId="61" xfId="0" applyFont="1" applyFill="1" applyBorder="1" applyAlignment="1">
      <alignment vertical="center" wrapText="1"/>
    </xf>
    <xf numFmtId="0" fontId="89" fillId="9" borderId="61" xfId="0" applyFont="1" applyFill="1" applyBorder="1" applyAlignment="1">
      <alignment horizontal="left" vertical="top" wrapText="1"/>
    </xf>
    <xf numFmtId="0" fontId="22" fillId="2" borderId="61" xfId="0" applyFont="1" applyFill="1" applyBorder="1" applyAlignment="1">
      <alignment vertical="top" wrapText="1"/>
    </xf>
    <xf numFmtId="0" fontId="89" fillId="0" borderId="61" xfId="0" applyFont="1" applyBorder="1" applyAlignment="1">
      <alignment horizontal="center" vertical="center" wrapText="1"/>
    </xf>
    <xf numFmtId="0" fontId="89" fillId="14" borderId="61" xfId="0" applyFont="1" applyFill="1" applyBorder="1" applyAlignment="1">
      <alignment horizontal="center" vertical="center" wrapText="1"/>
    </xf>
    <xf numFmtId="0" fontId="20" fillId="0" borderId="61" xfId="0" applyFont="1" applyBorder="1" applyAlignment="1">
      <alignment horizontal="left" vertical="top"/>
    </xf>
    <xf numFmtId="15" fontId="22" fillId="0" borderId="61" xfId="0" applyNumberFormat="1" applyFont="1" applyBorder="1" applyAlignment="1">
      <alignment horizontal="center" vertical="center"/>
    </xf>
    <xf numFmtId="164" fontId="22" fillId="11" borderId="61" xfId="1" applyFont="1" applyFill="1" applyBorder="1" applyAlignment="1">
      <alignment horizontal="center" vertical="center"/>
    </xf>
    <xf numFmtId="15" fontId="22" fillId="11" borderId="61" xfId="0" applyNumberFormat="1" applyFont="1" applyFill="1" applyBorder="1" applyAlignment="1">
      <alignment horizontal="center" vertical="center"/>
    </xf>
    <xf numFmtId="0" fontId="22" fillId="11" borderId="61" xfId="0" applyFont="1" applyFill="1" applyBorder="1" applyAlignment="1">
      <alignment horizontal="left" vertical="top"/>
    </xf>
    <xf numFmtId="164" fontId="22" fillId="0" borderId="61" xfId="1" applyFont="1" applyBorder="1" applyAlignment="1">
      <alignment vertical="top"/>
    </xf>
    <xf numFmtId="164" fontId="22" fillId="0" borderId="61" xfId="0" applyNumberFormat="1" applyFont="1" applyBorder="1" applyAlignment="1">
      <alignment horizontal="center" vertical="center"/>
    </xf>
    <xf numFmtId="169" fontId="22" fillId="0" borderId="61" xfId="1" applyNumberFormat="1" applyFont="1" applyBorder="1" applyAlignment="1">
      <alignment horizontal="center" vertical="center"/>
    </xf>
    <xf numFmtId="164" fontId="22" fillId="0" borderId="61" xfId="1" applyFont="1" applyBorder="1" applyAlignment="1">
      <alignment horizontal="center" vertical="center"/>
    </xf>
    <xf numFmtId="0" fontId="22" fillId="11" borderId="61" xfId="0" applyFont="1" applyFill="1" applyBorder="1" applyAlignment="1">
      <alignment horizontal="center" vertical="center"/>
    </xf>
    <xf numFmtId="164" fontId="17" fillId="0" borderId="61" xfId="1" applyFont="1" applyBorder="1" applyAlignment="1">
      <alignment horizontal="left" vertical="top"/>
    </xf>
    <xf numFmtId="0" fontId="15" fillId="0" borderId="61" xfId="0" applyFont="1" applyBorder="1"/>
    <xf numFmtId="0" fontId="22" fillId="0" borderId="61" xfId="0" applyFont="1" applyBorder="1" applyAlignment="1">
      <alignment horizontal="center" vertical="center"/>
    </xf>
    <xf numFmtId="15" fontId="16" fillId="0" borderId="61" xfId="0" applyNumberFormat="1" applyFont="1" applyBorder="1" applyAlignment="1">
      <alignment horizontal="center" vertical="center"/>
    </xf>
    <xf numFmtId="164" fontId="16" fillId="11" borderId="61" xfId="1" applyFont="1" applyFill="1" applyBorder="1" applyAlignment="1">
      <alignment horizontal="center" vertical="center"/>
    </xf>
    <xf numFmtId="15" fontId="16" fillId="11" borderId="61" xfId="0" applyNumberFormat="1" applyFont="1" applyFill="1" applyBorder="1" applyAlignment="1">
      <alignment horizontal="center" vertical="center"/>
    </xf>
    <xf numFmtId="0" fontId="16" fillId="11" borderId="61" xfId="0" applyFont="1" applyFill="1" applyBorder="1" applyAlignment="1">
      <alignment horizontal="left" vertical="top"/>
    </xf>
    <xf numFmtId="164" fontId="16" fillId="0" borderId="61" xfId="1" applyFont="1" applyBorder="1" applyAlignment="1">
      <alignment vertical="top"/>
    </xf>
    <xf numFmtId="0" fontId="16" fillId="0" borderId="61" xfId="0" applyFont="1" applyBorder="1" applyAlignment="1">
      <alignment horizontal="center" vertical="center"/>
    </xf>
    <xf numFmtId="164" fontId="16" fillId="0" borderId="61" xfId="0" applyNumberFormat="1" applyFont="1" applyBorder="1" applyAlignment="1">
      <alignment horizontal="center" vertical="center"/>
    </xf>
    <xf numFmtId="164" fontId="16" fillId="0" borderId="61" xfId="1" applyFont="1" applyBorder="1" applyAlignment="1">
      <alignment horizontal="center" vertical="center"/>
    </xf>
    <xf numFmtId="0" fontId="16" fillId="11" borderId="61" xfId="0" applyFont="1" applyFill="1" applyBorder="1" applyAlignment="1">
      <alignment horizontal="center" vertical="center"/>
    </xf>
    <xf numFmtId="164" fontId="15" fillId="0" borderId="61" xfId="1" applyFont="1" applyBorder="1" applyAlignment="1">
      <alignment horizontal="left" vertical="top"/>
    </xf>
    <xf numFmtId="15" fontId="15" fillId="0" borderId="61" xfId="0" applyNumberFormat="1" applyFont="1" applyBorder="1"/>
    <xf numFmtId="0" fontId="15" fillId="0" borderId="61" xfId="0" applyFont="1" applyBorder="1" applyAlignment="1">
      <alignment horizontal="left" vertical="top"/>
    </xf>
    <xf numFmtId="164" fontId="15" fillId="0" borderId="61" xfId="1" applyFont="1" applyBorder="1" applyAlignment="1">
      <alignment vertical="top"/>
    </xf>
    <xf numFmtId="2" fontId="15" fillId="0" borderId="61" xfId="0" applyNumberFormat="1" applyFont="1" applyBorder="1"/>
    <xf numFmtId="15" fontId="18" fillId="0" borderId="61" xfId="0" applyNumberFormat="1" applyFont="1" applyBorder="1"/>
    <xf numFmtId="169" fontId="15" fillId="0" borderId="61" xfId="1" applyNumberFormat="1" applyFont="1" applyBorder="1" applyAlignment="1">
      <alignment vertical="top"/>
    </xf>
    <xf numFmtId="15" fontId="19" fillId="0" borderId="61" xfId="0" applyNumberFormat="1" applyFont="1" applyBorder="1"/>
    <xf numFmtId="169" fontId="15" fillId="0" borderId="61" xfId="1" applyNumberFormat="1" applyFont="1" applyBorder="1"/>
    <xf numFmtId="0" fontId="20" fillId="0" borderId="61" xfId="0" applyFont="1" applyBorder="1"/>
    <xf numFmtId="14" fontId="15" fillId="0" borderId="61" xfId="0" applyNumberFormat="1" applyFont="1" applyBorder="1"/>
    <xf numFmtId="169" fontId="16" fillId="0" borderId="61" xfId="1" applyNumberFormat="1" applyFont="1" applyBorder="1" applyAlignment="1">
      <alignment horizontal="center" vertical="center"/>
    </xf>
    <xf numFmtId="0" fontId="13" fillId="0" borderId="61" xfId="0" applyFont="1" applyBorder="1" applyAlignment="1">
      <alignment horizontal="left" vertical="top"/>
    </xf>
    <xf numFmtId="0" fontId="13" fillId="0" borderId="61" xfId="0" applyFont="1" applyBorder="1" applyAlignment="1">
      <alignment horizontal="left"/>
    </xf>
    <xf numFmtId="0" fontId="13" fillId="0" borderId="61" xfId="0" applyFont="1" applyBorder="1" applyAlignment="1">
      <alignment horizontal="right"/>
    </xf>
    <xf numFmtId="0" fontId="14" fillId="0" borderId="61" xfId="0" applyFont="1" applyBorder="1" applyAlignment="1">
      <alignment horizontal="left" vertical="top"/>
    </xf>
    <xf numFmtId="0" fontId="14" fillId="0" borderId="61" xfId="0" applyFont="1" applyBorder="1" applyAlignment="1">
      <alignment horizontal="left" vertical="center"/>
    </xf>
    <xf numFmtId="0" fontId="13" fillId="12" borderId="61" xfId="0" applyFont="1" applyFill="1" applyBorder="1" applyAlignment="1">
      <alignment horizontal="left" vertical="top"/>
    </xf>
    <xf numFmtId="0" fontId="14" fillId="12" borderId="61" xfId="0" applyFont="1" applyFill="1" applyBorder="1" applyAlignment="1">
      <alignment horizontal="right" vertical="center"/>
    </xf>
    <xf numFmtId="2" fontId="13" fillId="8" borderId="61" xfId="0" applyNumberFormat="1" applyFont="1" applyFill="1" applyBorder="1" applyAlignment="1">
      <alignment horizontal="left" vertical="top"/>
    </xf>
    <xf numFmtId="0" fontId="14" fillId="8" borderId="61" xfId="0" applyFont="1" applyFill="1" applyBorder="1" applyAlignment="1">
      <alignment horizontal="right" vertical="center"/>
    </xf>
    <xf numFmtId="0" fontId="14" fillId="13" borderId="61" xfId="0" applyFont="1" applyFill="1" applyBorder="1" applyAlignment="1">
      <alignment horizontal="right" vertical="center"/>
    </xf>
    <xf numFmtId="0" fontId="66" fillId="0" borderId="21" xfId="0" applyFont="1" applyFill="1" applyBorder="1" applyAlignment="1">
      <alignment horizontal="left" vertical="top"/>
    </xf>
    <xf numFmtId="0" fontId="90" fillId="27" borderId="67" xfId="0" applyFont="1" applyFill="1" applyBorder="1" applyAlignment="1">
      <alignment horizontal="left" vertical="top" wrapText="1"/>
    </xf>
    <xf numFmtId="0" fontId="0" fillId="0" borderId="21" xfId="0" applyBorder="1" applyAlignment="1">
      <alignment horizontal="left" vertical="top"/>
    </xf>
    <xf numFmtId="0" fontId="0" fillId="0" borderId="61" xfId="0" applyBorder="1" applyAlignment="1">
      <alignment horizontal="left" vertical="top"/>
    </xf>
    <xf numFmtId="0" fontId="11" fillId="0" borderId="61" xfId="0" applyFont="1" applyBorder="1"/>
    <xf numFmtId="43" fontId="0" fillId="0" borderId="61" xfId="11" applyFont="1" applyFill="1" applyBorder="1" applyAlignment="1">
      <alignment horizontal="left" vertical="top"/>
    </xf>
  </cellXfs>
  <cellStyles count="15">
    <cellStyle name="Comma" xfId="1" builtinId="3"/>
    <cellStyle name="Comma 2" xfId="3" xr:uid="{8DEA66EE-1364-48B1-872F-D42F61D1A3A5}"/>
    <cellStyle name="Comma 2 3" xfId="11" xr:uid="{56C46E72-FD75-44CD-BBD1-62C81357EE3E}"/>
    <cellStyle name="Comma 3" xfId="10" xr:uid="{76AF5E81-4210-452D-B2C8-FE8173146ECB}"/>
    <cellStyle name="Normal" xfId="0" builtinId="0"/>
    <cellStyle name="Normal 10" xfId="14" xr:uid="{93CCC4E3-56B1-4C9D-9509-8EE071B89421}"/>
    <cellStyle name="Normal 11" xfId="13" xr:uid="{DA2BD976-FC73-49DC-B3FC-AA635EED9ACD}"/>
    <cellStyle name="Normal 2" xfId="2" xr:uid="{735C7361-0B54-41AC-9EB4-7D2DD4E866FC}"/>
    <cellStyle name="Normal 3" xfId="4" xr:uid="{5382D2ED-2153-419A-8DAF-197CECA5105E}"/>
    <cellStyle name="Normal 4" xfId="6" xr:uid="{7E64016D-7DDC-44C2-8CC7-DCD008A4C353}"/>
    <cellStyle name="Normal 5" xfId="5" xr:uid="{67C63E39-E0F8-4D00-9E3D-80D04A8C5DCD}"/>
    <cellStyle name="Normal 6" xfId="8" xr:uid="{3FB6EE72-0E94-43D0-97B9-57B3ABF51AE6}"/>
    <cellStyle name="Normal 7" xfId="7" xr:uid="{AEE99687-145D-4F43-A9DB-8CEF2BC0CB7A}"/>
    <cellStyle name="Normal 8" xfId="9" xr:uid="{3A0C93B3-4A86-4D7B-B223-70A6CBC8FE42}"/>
    <cellStyle name="Normal 9" xfId="12" xr:uid="{D7579063-9FDB-4C11-B702-35E36E18AAA7}"/>
  </cellStyles>
  <dxfs count="1">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Business Templates">
  <a:themeElements>
    <a:clrScheme name="TM00587582">
      <a:dk1>
        <a:srgbClr val="000000"/>
      </a:dk1>
      <a:lt1>
        <a:srgbClr val="FFFFFF"/>
      </a:lt1>
      <a:dk2>
        <a:srgbClr val="44546A"/>
      </a:dk2>
      <a:lt2>
        <a:srgbClr val="E7E6E6"/>
      </a:lt2>
      <a:accent1>
        <a:srgbClr val="0D497E"/>
      </a:accent1>
      <a:accent2>
        <a:srgbClr val="DFF3F2"/>
      </a:accent2>
      <a:accent3>
        <a:srgbClr val="C0D9F2"/>
      </a:accent3>
      <a:accent4>
        <a:srgbClr val="E63C28"/>
      </a:accent4>
      <a:accent5>
        <a:srgbClr val="8D9CAD"/>
      </a:accent5>
      <a:accent6>
        <a:srgbClr val="D2AC3C"/>
      </a:accent6>
      <a:hlink>
        <a:srgbClr val="0563C1"/>
      </a:hlink>
      <a:folHlink>
        <a:srgbClr val="954F72"/>
      </a:folHlink>
    </a:clrScheme>
    <a:fontScheme name="Custom 22">
      <a:majorFont>
        <a:latin typeface="Franklin Gothic Medium"/>
        <a:ea typeface=""/>
        <a:cs typeface=""/>
      </a:majorFont>
      <a:minorFont>
        <a:latin typeface="Franklin Gothic Book"/>
        <a:ea typeface=""/>
        <a:cs typeface=""/>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Dark" id="{D39323B7-B2D6-4C10-818B-A5CD4ACE85BD}" vid="{15FD9199-0511-4D87-8BFB-2FF3F0C5B55D}"/>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rive.google.com/file/d/17Rt-ILtOlGC5AzDtUVvDsAp2BBUo8NW2/view?usp=drive_link" TargetMode="External"/><Relationship Id="rId1" Type="http://schemas.openxmlformats.org/officeDocument/2006/relationships/hyperlink" Target="https://drive.google.com/file/d/17Rt-ILtOlGC5AzDtUVvDsAp2BBUo8NW2/view?usp=drive_link"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EB8CC-2604-4E9C-A40F-7785486F61A1}">
  <sheetPr filterMode="1"/>
  <dimension ref="A1:N799"/>
  <sheetViews>
    <sheetView topLeftCell="H1" workbookViewId="0">
      <pane ySplit="1" topLeftCell="A2" activePane="bottomLeft" state="frozen"/>
      <selection pane="bottomLeft" activeCell="L258" sqref="L258"/>
    </sheetView>
  </sheetViews>
  <sheetFormatPr defaultColWidth="28.77734375" defaultRowHeight="14.25"/>
  <cols>
    <col min="1" max="1" width="5.5546875" style="15" bestFit="1" customWidth="1"/>
    <col min="2" max="2" width="9.44140625" style="15" bestFit="1" customWidth="1"/>
    <col min="3" max="3" width="11" style="15" bestFit="1" customWidth="1"/>
    <col min="4" max="4" width="13.44140625" style="15" bestFit="1" customWidth="1"/>
    <col min="5" max="5" width="18.21875" style="15" bestFit="1" customWidth="1"/>
    <col min="6" max="6" width="14.6640625" style="15" bestFit="1" customWidth="1"/>
    <col min="7" max="8" width="15.33203125" style="15" bestFit="1" customWidth="1"/>
    <col min="9" max="9" width="13.21875" style="15" bestFit="1" customWidth="1"/>
    <col min="10" max="10" width="15" style="15" bestFit="1" customWidth="1"/>
    <col min="11" max="11" width="44.21875" style="15" customWidth="1"/>
    <col min="12" max="12" width="19.44140625" style="15" customWidth="1"/>
    <col min="13" max="13" width="16.5546875" style="15" bestFit="1" customWidth="1"/>
    <col min="14" max="14" width="13.77734375" style="15" bestFit="1" customWidth="1"/>
    <col min="15" max="15" width="12.6640625" style="15" bestFit="1" customWidth="1"/>
    <col min="16" max="16384" width="28.77734375" style="15"/>
  </cols>
  <sheetData>
    <row r="1" spans="1:14" ht="15">
      <c r="A1" s="1214" t="s">
        <v>56</v>
      </c>
      <c r="B1" s="1214" t="s">
        <v>55</v>
      </c>
      <c r="C1" s="1215" t="s">
        <v>54</v>
      </c>
      <c r="D1" s="1214" t="s">
        <v>53</v>
      </c>
      <c r="E1" s="1214" t="s">
        <v>52</v>
      </c>
      <c r="F1" s="1214" t="s">
        <v>51</v>
      </c>
      <c r="G1" s="1215" t="s">
        <v>375</v>
      </c>
      <c r="H1" s="1215" t="s">
        <v>6</v>
      </c>
      <c r="I1" s="1215" t="s">
        <v>993</v>
      </c>
      <c r="J1" s="1205" t="s">
        <v>123</v>
      </c>
      <c r="K1" s="1214" t="s">
        <v>50</v>
      </c>
      <c r="L1" s="1215" t="s">
        <v>376</v>
      </c>
      <c r="M1" s="1206" t="s">
        <v>7</v>
      </c>
      <c r="N1" s="1216" t="s">
        <v>3915</v>
      </c>
    </row>
    <row r="2" spans="1:14" hidden="1">
      <c r="A2" s="448">
        <v>1</v>
      </c>
      <c r="B2" s="448" t="s">
        <v>49</v>
      </c>
      <c r="C2" s="1211">
        <v>45833</v>
      </c>
      <c r="D2" s="1211">
        <v>45833</v>
      </c>
      <c r="E2" s="448" t="s">
        <v>1229</v>
      </c>
      <c r="F2" s="448"/>
      <c r="G2" s="1212">
        <v>0</v>
      </c>
      <c r="H2" s="1212">
        <v>50000000</v>
      </c>
      <c r="I2" s="1212">
        <f>H2-G2</f>
        <v>50000000</v>
      </c>
      <c r="J2" s="1212">
        <v>-25404225.289999999</v>
      </c>
      <c r="K2" s="448" t="s">
        <v>48</v>
      </c>
      <c r="L2" s="448" t="s">
        <v>3718</v>
      </c>
      <c r="M2" s="448" t="s">
        <v>377</v>
      </c>
      <c r="N2" s="15" t="s">
        <v>3917</v>
      </c>
    </row>
    <row r="3" spans="1:14" hidden="1">
      <c r="A3" s="1207">
        <f>A2+1</f>
        <v>2</v>
      </c>
      <c r="B3" s="1208" t="s">
        <v>47</v>
      </c>
      <c r="C3" s="278">
        <v>45833</v>
      </c>
      <c r="D3" s="278">
        <v>45833</v>
      </c>
      <c r="E3" s="1208" t="s">
        <v>1230</v>
      </c>
      <c r="F3" s="1208"/>
      <c r="G3" s="1209">
        <v>0</v>
      </c>
      <c r="H3" s="1209">
        <v>50000000</v>
      </c>
      <c r="I3" s="1209">
        <f t="shared" ref="I3:I66" si="0">H3-G3</f>
        <v>50000000</v>
      </c>
      <c r="J3" s="1209">
        <v>24595774.710000001</v>
      </c>
      <c r="K3" s="1208" t="s">
        <v>46</v>
      </c>
      <c r="L3" s="1208" t="s">
        <v>3718</v>
      </c>
      <c r="M3" s="1210" t="s">
        <v>377</v>
      </c>
      <c r="N3" s="15" t="s">
        <v>3917</v>
      </c>
    </row>
    <row r="4" spans="1:14" hidden="1">
      <c r="A4" s="208">
        <f t="shared" ref="A4:A67" si="1">A3+1</f>
        <v>3</v>
      </c>
      <c r="B4" s="130" t="s">
        <v>45</v>
      </c>
      <c r="C4" s="131">
        <v>45833</v>
      </c>
      <c r="D4" s="131">
        <v>45833</v>
      </c>
      <c r="E4" s="130" t="s">
        <v>1231</v>
      </c>
      <c r="F4" s="130"/>
      <c r="G4" s="116">
        <v>0</v>
      </c>
      <c r="H4" s="116">
        <v>20000000</v>
      </c>
      <c r="I4" s="116">
        <f t="shared" si="0"/>
        <v>20000000</v>
      </c>
      <c r="J4" s="116">
        <v>44595774.710000001</v>
      </c>
      <c r="K4" s="130" t="s">
        <v>44</v>
      </c>
      <c r="L4" s="130" t="s">
        <v>3718</v>
      </c>
      <c r="M4" s="209" t="s">
        <v>377</v>
      </c>
      <c r="N4" s="15" t="s">
        <v>3917</v>
      </c>
    </row>
    <row r="5" spans="1:14" hidden="1">
      <c r="A5" s="208">
        <f t="shared" si="1"/>
        <v>4</v>
      </c>
      <c r="B5" s="130" t="s">
        <v>43</v>
      </c>
      <c r="C5" s="131">
        <v>45833</v>
      </c>
      <c r="D5" s="131">
        <v>45833</v>
      </c>
      <c r="E5" s="130" t="s">
        <v>1232</v>
      </c>
      <c r="F5" s="130"/>
      <c r="G5" s="116">
        <v>0</v>
      </c>
      <c r="H5" s="116">
        <v>50000000</v>
      </c>
      <c r="I5" s="116">
        <f t="shared" si="0"/>
        <v>50000000</v>
      </c>
      <c r="J5" s="116">
        <v>94595774.709999993</v>
      </c>
      <c r="K5" s="130" t="s">
        <v>42</v>
      </c>
      <c r="L5" s="130" t="s">
        <v>3718</v>
      </c>
      <c r="M5" s="209" t="s">
        <v>377</v>
      </c>
      <c r="N5" s="15" t="s">
        <v>3917</v>
      </c>
    </row>
    <row r="6" spans="1:14" hidden="1">
      <c r="A6" s="208">
        <f t="shared" si="1"/>
        <v>5</v>
      </c>
      <c r="B6" s="130" t="s">
        <v>41</v>
      </c>
      <c r="C6" s="131">
        <v>45833</v>
      </c>
      <c r="D6" s="131">
        <v>45833</v>
      </c>
      <c r="E6" s="130" t="s">
        <v>1233</v>
      </c>
      <c r="F6" s="130"/>
      <c r="G6" s="116">
        <v>169000000</v>
      </c>
      <c r="H6" s="116">
        <v>0</v>
      </c>
      <c r="I6" s="116">
        <f t="shared" si="0"/>
        <v>-169000000</v>
      </c>
      <c r="J6" s="116">
        <v>-74404225.290000007</v>
      </c>
      <c r="K6" s="130" t="s">
        <v>40</v>
      </c>
      <c r="L6" s="130" t="s">
        <v>3722</v>
      </c>
      <c r="M6" s="209" t="s">
        <v>25</v>
      </c>
      <c r="N6" s="15" t="s">
        <v>3917</v>
      </c>
    </row>
    <row r="7" spans="1:14" ht="15.75" hidden="1">
      <c r="A7" s="208">
        <f t="shared" si="1"/>
        <v>6</v>
      </c>
      <c r="B7" s="130" t="s">
        <v>39</v>
      </c>
      <c r="C7" s="131">
        <v>45833</v>
      </c>
      <c r="D7" s="131">
        <v>45833</v>
      </c>
      <c r="E7" s="130" t="s">
        <v>1234</v>
      </c>
      <c r="F7" s="130"/>
      <c r="G7" s="116">
        <v>7721100</v>
      </c>
      <c r="H7" s="116">
        <v>0</v>
      </c>
      <c r="I7" s="116">
        <f t="shared" si="0"/>
        <v>-7721100</v>
      </c>
      <c r="J7" s="116">
        <v>-82125325.290000007</v>
      </c>
      <c r="K7" s="130" t="s">
        <v>38</v>
      </c>
      <c r="L7" s="2" t="s">
        <v>702</v>
      </c>
      <c r="M7" s="209" t="s">
        <v>189</v>
      </c>
      <c r="N7" s="15" t="s">
        <v>3917</v>
      </c>
    </row>
    <row r="8" spans="1:14" hidden="1">
      <c r="A8" s="208">
        <f t="shared" si="1"/>
        <v>7</v>
      </c>
      <c r="B8" s="130" t="s">
        <v>37</v>
      </c>
      <c r="C8" s="131">
        <v>45833</v>
      </c>
      <c r="D8" s="131">
        <v>45833</v>
      </c>
      <c r="E8" s="130" t="s">
        <v>1235</v>
      </c>
      <c r="F8" s="130"/>
      <c r="G8" s="116">
        <v>893276</v>
      </c>
      <c r="H8" s="116">
        <v>0</v>
      </c>
      <c r="I8" s="116">
        <f t="shared" si="0"/>
        <v>-893276</v>
      </c>
      <c r="J8" s="116">
        <v>-83018601.290000007</v>
      </c>
      <c r="K8" s="130" t="s">
        <v>36</v>
      </c>
      <c r="L8" s="130" t="s">
        <v>702</v>
      </c>
      <c r="M8" s="209">
        <v>0</v>
      </c>
      <c r="N8" s="15" t="s">
        <v>3917</v>
      </c>
    </row>
    <row r="9" spans="1:14" hidden="1">
      <c r="A9" s="208">
        <f t="shared" si="1"/>
        <v>8</v>
      </c>
      <c r="B9" s="130" t="s">
        <v>35</v>
      </c>
      <c r="C9" s="131">
        <v>45833</v>
      </c>
      <c r="D9" s="131">
        <v>45833</v>
      </c>
      <c r="E9" s="130" t="s">
        <v>1235</v>
      </c>
      <c r="F9" s="130"/>
      <c r="G9" s="116">
        <v>6245021.5</v>
      </c>
      <c r="H9" s="116">
        <v>0</v>
      </c>
      <c r="I9" s="116">
        <f t="shared" si="0"/>
        <v>-6245021.5</v>
      </c>
      <c r="J9" s="116">
        <v>-89263622.790000007</v>
      </c>
      <c r="K9" s="130" t="s">
        <v>34</v>
      </c>
      <c r="L9" s="130" t="s">
        <v>702</v>
      </c>
      <c r="M9" s="209">
        <v>0</v>
      </c>
      <c r="N9" s="15" t="s">
        <v>3917</v>
      </c>
    </row>
    <row r="10" spans="1:14" hidden="1">
      <c r="A10" s="208">
        <f t="shared" si="1"/>
        <v>9</v>
      </c>
      <c r="B10" s="130" t="s">
        <v>33</v>
      </c>
      <c r="C10" s="131">
        <v>45833</v>
      </c>
      <c r="D10" s="131">
        <v>45833</v>
      </c>
      <c r="E10" s="130" t="s">
        <v>1236</v>
      </c>
      <c r="F10" s="130"/>
      <c r="G10" s="116">
        <v>7721100</v>
      </c>
      <c r="H10" s="116">
        <v>0</v>
      </c>
      <c r="I10" s="116">
        <f t="shared" si="0"/>
        <v>-7721100</v>
      </c>
      <c r="J10" s="116">
        <v>-96984722.790000007</v>
      </c>
      <c r="K10" s="130" t="s">
        <v>32</v>
      </c>
      <c r="L10" s="130" t="s">
        <v>702</v>
      </c>
      <c r="M10" s="209">
        <v>0</v>
      </c>
      <c r="N10" s="15" t="s">
        <v>3917</v>
      </c>
    </row>
    <row r="11" spans="1:14" hidden="1">
      <c r="A11" s="208">
        <f t="shared" si="1"/>
        <v>10</v>
      </c>
      <c r="B11" s="130" t="s">
        <v>31</v>
      </c>
      <c r="C11" s="131">
        <v>45833</v>
      </c>
      <c r="D11" s="131">
        <v>45833</v>
      </c>
      <c r="E11" s="130" t="s">
        <v>1237</v>
      </c>
      <c r="F11" s="130"/>
      <c r="G11" s="116">
        <v>1080000</v>
      </c>
      <c r="H11" s="116">
        <v>0</v>
      </c>
      <c r="I11" s="116">
        <f t="shared" si="0"/>
        <v>-1080000</v>
      </c>
      <c r="J11" s="116">
        <v>-98064722.790000007</v>
      </c>
      <c r="K11" s="130" t="s">
        <v>30</v>
      </c>
      <c r="L11" s="130" t="s">
        <v>702</v>
      </c>
      <c r="M11" s="209">
        <v>0</v>
      </c>
      <c r="N11" s="15" t="s">
        <v>3917</v>
      </c>
    </row>
    <row r="12" spans="1:14" hidden="1">
      <c r="A12" s="208">
        <f t="shared" si="1"/>
        <v>11</v>
      </c>
      <c r="B12" s="130" t="s">
        <v>29</v>
      </c>
      <c r="C12" s="131">
        <v>45833</v>
      </c>
      <c r="D12" s="131">
        <v>45833</v>
      </c>
      <c r="E12" s="130" t="s">
        <v>1238</v>
      </c>
      <c r="F12" s="130"/>
      <c r="G12" s="116">
        <v>0</v>
      </c>
      <c r="H12" s="116">
        <v>166000000</v>
      </c>
      <c r="I12" s="116">
        <f t="shared" si="0"/>
        <v>166000000</v>
      </c>
      <c r="J12" s="116">
        <v>67935277.209999993</v>
      </c>
      <c r="K12" s="130" t="s">
        <v>28</v>
      </c>
      <c r="L12" s="130" t="s">
        <v>3718</v>
      </c>
      <c r="M12" s="209" t="s">
        <v>377</v>
      </c>
      <c r="N12" s="15" t="s">
        <v>3917</v>
      </c>
    </row>
    <row r="13" spans="1:14" hidden="1">
      <c r="A13" s="208">
        <f t="shared" si="1"/>
        <v>12</v>
      </c>
      <c r="B13" s="130" t="s">
        <v>27</v>
      </c>
      <c r="C13" s="131">
        <v>45833</v>
      </c>
      <c r="D13" s="131">
        <v>45833</v>
      </c>
      <c r="E13" s="130" t="s">
        <v>1239</v>
      </c>
      <c r="F13" s="130"/>
      <c r="G13" s="116">
        <v>165000000</v>
      </c>
      <c r="H13" s="116">
        <v>0</v>
      </c>
      <c r="I13" s="116">
        <f t="shared" si="0"/>
        <v>-165000000</v>
      </c>
      <c r="J13" s="116">
        <v>-97064722.790000007</v>
      </c>
      <c r="K13" s="130" t="s">
        <v>26</v>
      </c>
      <c r="L13" s="130" t="s">
        <v>3722</v>
      </c>
      <c r="M13" s="209" t="s">
        <v>25</v>
      </c>
      <c r="N13" s="15" t="s">
        <v>3917</v>
      </c>
    </row>
    <row r="14" spans="1:14" hidden="1">
      <c r="A14" s="208">
        <f t="shared" si="1"/>
        <v>13</v>
      </c>
      <c r="B14" s="130" t="s">
        <v>24</v>
      </c>
      <c r="C14" s="131">
        <v>45833</v>
      </c>
      <c r="D14" s="131">
        <v>45833</v>
      </c>
      <c r="E14" s="130" t="s">
        <v>1240</v>
      </c>
      <c r="F14" s="130"/>
      <c r="G14" s="116">
        <v>0</v>
      </c>
      <c r="H14" s="116">
        <v>40000000</v>
      </c>
      <c r="I14" s="116">
        <f t="shared" si="0"/>
        <v>40000000</v>
      </c>
      <c r="J14" s="116">
        <v>-57064722.789999999</v>
      </c>
      <c r="K14" s="130" t="s">
        <v>23</v>
      </c>
      <c r="L14" s="130" t="s">
        <v>3718</v>
      </c>
      <c r="M14" s="209" t="s">
        <v>377</v>
      </c>
      <c r="N14" s="15" t="s">
        <v>3917</v>
      </c>
    </row>
    <row r="15" spans="1:14" hidden="1">
      <c r="A15" s="208">
        <f t="shared" si="1"/>
        <v>14</v>
      </c>
      <c r="B15" s="130" t="s">
        <v>22</v>
      </c>
      <c r="C15" s="131">
        <v>45833</v>
      </c>
      <c r="D15" s="131">
        <v>45833</v>
      </c>
      <c r="E15" s="130" t="s">
        <v>1241</v>
      </c>
      <c r="F15" s="130"/>
      <c r="G15" s="116">
        <v>21375000</v>
      </c>
      <c r="H15" s="116">
        <v>0</v>
      </c>
      <c r="I15" s="116">
        <f t="shared" si="0"/>
        <v>-21375000</v>
      </c>
      <c r="J15" s="116">
        <v>-78439722.790000007</v>
      </c>
      <c r="K15" s="130" t="s">
        <v>21</v>
      </c>
      <c r="L15" s="130" t="s">
        <v>3722</v>
      </c>
      <c r="M15" s="209" t="s">
        <v>20</v>
      </c>
      <c r="N15" s="15" t="s">
        <v>3917</v>
      </c>
    </row>
    <row r="16" spans="1:14" hidden="1">
      <c r="A16" s="208">
        <f t="shared" si="1"/>
        <v>15</v>
      </c>
      <c r="B16" s="130" t="s">
        <v>19</v>
      </c>
      <c r="C16" s="131">
        <v>45834</v>
      </c>
      <c r="D16" s="131">
        <v>45834</v>
      </c>
      <c r="E16" s="130" t="s">
        <v>14</v>
      </c>
      <c r="F16" s="130" t="s">
        <v>4</v>
      </c>
      <c r="G16" s="116">
        <v>72104.42</v>
      </c>
      <c r="H16" s="116">
        <v>0</v>
      </c>
      <c r="I16" s="116">
        <f t="shared" si="0"/>
        <v>-72104.42</v>
      </c>
      <c r="J16" s="116">
        <v>-78511827.209999993</v>
      </c>
      <c r="K16" s="130" t="s">
        <v>18</v>
      </c>
      <c r="L16" s="52" t="s">
        <v>702</v>
      </c>
      <c r="M16" s="209">
        <v>0</v>
      </c>
      <c r="N16" s="15" t="s">
        <v>3917</v>
      </c>
    </row>
    <row r="17" spans="1:14" hidden="1">
      <c r="A17" s="208">
        <f t="shared" si="1"/>
        <v>16</v>
      </c>
      <c r="B17" s="130" t="s">
        <v>17</v>
      </c>
      <c r="C17" s="131">
        <v>45834</v>
      </c>
      <c r="D17" s="131">
        <v>45834</v>
      </c>
      <c r="E17" s="130" t="s">
        <v>14</v>
      </c>
      <c r="F17" s="130" t="s">
        <v>4</v>
      </c>
      <c r="G17" s="116">
        <v>44093.35</v>
      </c>
      <c r="H17" s="116">
        <v>0</v>
      </c>
      <c r="I17" s="116">
        <f t="shared" si="0"/>
        <v>-44093.35</v>
      </c>
      <c r="J17" s="116">
        <v>-78555920.560000002</v>
      </c>
      <c r="K17" s="130" t="s">
        <v>16</v>
      </c>
      <c r="L17" s="130" t="s">
        <v>702</v>
      </c>
      <c r="M17" s="209">
        <v>0</v>
      </c>
      <c r="N17" s="15" t="s">
        <v>3917</v>
      </c>
    </row>
    <row r="18" spans="1:14" hidden="1">
      <c r="A18" s="208">
        <f t="shared" si="1"/>
        <v>17</v>
      </c>
      <c r="B18" s="130" t="s">
        <v>15</v>
      </c>
      <c r="C18" s="131">
        <v>45834</v>
      </c>
      <c r="D18" s="131">
        <v>45834</v>
      </c>
      <c r="E18" s="130" t="s">
        <v>14</v>
      </c>
      <c r="F18" s="130" t="s">
        <v>4</v>
      </c>
      <c r="G18" s="116">
        <v>124960.69</v>
      </c>
      <c r="H18" s="116">
        <v>0</v>
      </c>
      <c r="I18" s="116">
        <f t="shared" si="0"/>
        <v>-124960.69</v>
      </c>
      <c r="J18" s="116">
        <v>-78680881.25</v>
      </c>
      <c r="K18" s="130" t="s">
        <v>13</v>
      </c>
      <c r="L18" s="130" t="s">
        <v>702</v>
      </c>
      <c r="M18" s="209">
        <v>0</v>
      </c>
      <c r="N18" s="15" t="s">
        <v>3917</v>
      </c>
    </row>
    <row r="19" spans="1:14" hidden="1">
      <c r="A19" s="208">
        <f t="shared" si="1"/>
        <v>18</v>
      </c>
      <c r="B19" s="130" t="s">
        <v>12</v>
      </c>
      <c r="C19" s="131">
        <v>45834</v>
      </c>
      <c r="D19" s="131">
        <v>45834</v>
      </c>
      <c r="E19" s="130" t="s">
        <v>9</v>
      </c>
      <c r="F19" s="130" t="s">
        <v>4</v>
      </c>
      <c r="G19" s="116">
        <v>4692.8</v>
      </c>
      <c r="H19" s="116">
        <v>0</v>
      </c>
      <c r="I19" s="116">
        <f t="shared" si="0"/>
        <v>-4692.8</v>
      </c>
      <c r="J19" s="116">
        <v>-78685574.049999997</v>
      </c>
      <c r="K19" s="130" t="s">
        <v>11</v>
      </c>
      <c r="L19" s="130" t="s">
        <v>702</v>
      </c>
      <c r="M19" s="209">
        <v>0</v>
      </c>
      <c r="N19" s="15" t="s">
        <v>3917</v>
      </c>
    </row>
    <row r="20" spans="1:14" hidden="1">
      <c r="A20" s="208">
        <f t="shared" si="1"/>
        <v>19</v>
      </c>
      <c r="B20" s="130" t="s">
        <v>10</v>
      </c>
      <c r="C20" s="131">
        <v>45834</v>
      </c>
      <c r="D20" s="131">
        <v>45834</v>
      </c>
      <c r="E20" s="130" t="s">
        <v>9</v>
      </c>
      <c r="F20" s="130" t="s">
        <v>4</v>
      </c>
      <c r="G20" s="116">
        <v>1341.56</v>
      </c>
      <c r="H20" s="116">
        <v>0</v>
      </c>
      <c r="I20" s="116">
        <f t="shared" si="0"/>
        <v>-1341.56</v>
      </c>
      <c r="J20" s="116">
        <v>-78686915.609999999</v>
      </c>
      <c r="K20" s="130" t="s">
        <v>8</v>
      </c>
      <c r="L20" s="130" t="s">
        <v>702</v>
      </c>
      <c r="M20" s="209">
        <v>0</v>
      </c>
      <c r="N20" s="15" t="s">
        <v>3917</v>
      </c>
    </row>
    <row r="21" spans="1:14" hidden="1">
      <c r="A21" s="208">
        <f t="shared" si="1"/>
        <v>20</v>
      </c>
      <c r="B21" s="130" t="s">
        <v>110</v>
      </c>
      <c r="C21" s="131">
        <v>45834</v>
      </c>
      <c r="D21" s="131">
        <v>45834</v>
      </c>
      <c r="E21" s="130">
        <v>45834.525636574072</v>
      </c>
      <c r="F21" s="130" t="s">
        <v>4</v>
      </c>
      <c r="G21" s="116">
        <v>18990.18</v>
      </c>
      <c r="H21" s="116">
        <v>0</v>
      </c>
      <c r="I21" s="116">
        <f t="shared" si="0"/>
        <v>-18990.18</v>
      </c>
      <c r="J21" s="116">
        <v>-78705905.790000007</v>
      </c>
      <c r="K21" s="130" t="s">
        <v>111</v>
      </c>
      <c r="L21" s="130" t="s">
        <v>702</v>
      </c>
      <c r="M21" s="209">
        <v>0</v>
      </c>
      <c r="N21" s="15" t="s">
        <v>3917</v>
      </c>
    </row>
    <row r="22" spans="1:14" hidden="1">
      <c r="A22" s="208">
        <f t="shared" si="1"/>
        <v>21</v>
      </c>
      <c r="B22" s="130" t="s">
        <v>112</v>
      </c>
      <c r="C22" s="131">
        <v>45834</v>
      </c>
      <c r="D22" s="131">
        <v>45834</v>
      </c>
      <c r="E22" s="130">
        <v>45834.525648148148</v>
      </c>
      <c r="F22" s="130" t="s">
        <v>4</v>
      </c>
      <c r="G22" s="116">
        <v>5417.12</v>
      </c>
      <c r="H22" s="116">
        <v>0</v>
      </c>
      <c r="I22" s="116">
        <f t="shared" si="0"/>
        <v>-5417.12</v>
      </c>
      <c r="J22" s="116">
        <v>-78711322.909999996</v>
      </c>
      <c r="K22" s="130" t="s">
        <v>113</v>
      </c>
      <c r="L22" s="130" t="s">
        <v>702</v>
      </c>
      <c r="M22" s="209">
        <v>0</v>
      </c>
      <c r="N22" s="15" t="s">
        <v>3917</v>
      </c>
    </row>
    <row r="23" spans="1:14" hidden="1">
      <c r="A23" s="208">
        <f t="shared" si="1"/>
        <v>22</v>
      </c>
      <c r="B23" s="130" t="s">
        <v>114</v>
      </c>
      <c r="C23" s="131">
        <v>45834</v>
      </c>
      <c r="D23" s="131">
        <v>45834</v>
      </c>
      <c r="E23" s="130">
        <v>45834.525648148148</v>
      </c>
      <c r="F23" s="130" t="s">
        <v>4</v>
      </c>
      <c r="G23" s="116">
        <v>63413.279999999999</v>
      </c>
      <c r="H23" s="116">
        <v>0</v>
      </c>
      <c r="I23" s="116">
        <f t="shared" si="0"/>
        <v>-63413.279999999999</v>
      </c>
      <c r="J23" s="116">
        <v>-78774736.189999998</v>
      </c>
      <c r="K23" s="130" t="s">
        <v>115</v>
      </c>
      <c r="L23" s="130" t="s">
        <v>702</v>
      </c>
      <c r="M23" s="209">
        <v>0</v>
      </c>
      <c r="N23" s="15" t="s">
        <v>3917</v>
      </c>
    </row>
    <row r="24" spans="1:14" hidden="1">
      <c r="A24" s="208">
        <f t="shared" si="1"/>
        <v>23</v>
      </c>
      <c r="B24" s="130" t="s">
        <v>116</v>
      </c>
      <c r="C24" s="131">
        <v>45834</v>
      </c>
      <c r="D24" s="131">
        <v>45834</v>
      </c>
      <c r="E24" s="130">
        <v>45834.525648148148</v>
      </c>
      <c r="F24" s="130" t="s">
        <v>4</v>
      </c>
      <c r="G24" s="116">
        <v>18703.71</v>
      </c>
      <c r="H24" s="116">
        <v>0</v>
      </c>
      <c r="I24" s="116">
        <f t="shared" si="0"/>
        <v>-18703.71</v>
      </c>
      <c r="J24" s="116">
        <v>-78793439.900000006</v>
      </c>
      <c r="K24" s="130" t="s">
        <v>117</v>
      </c>
      <c r="L24" s="130" t="s">
        <v>702</v>
      </c>
      <c r="M24" s="209">
        <v>0</v>
      </c>
      <c r="N24" s="15" t="s">
        <v>3917</v>
      </c>
    </row>
    <row r="25" spans="1:14" hidden="1">
      <c r="A25" s="208">
        <f t="shared" si="1"/>
        <v>24</v>
      </c>
      <c r="B25" s="130" t="s">
        <v>118</v>
      </c>
      <c r="C25" s="131">
        <v>45834</v>
      </c>
      <c r="D25" s="131">
        <v>45834</v>
      </c>
      <c r="E25" s="130">
        <v>45834.525659722225</v>
      </c>
      <c r="F25" s="130" t="s">
        <v>4</v>
      </c>
      <c r="G25" s="116">
        <v>3821.25</v>
      </c>
      <c r="H25" s="116">
        <v>0</v>
      </c>
      <c r="I25" s="116">
        <f t="shared" si="0"/>
        <v>-3821.25</v>
      </c>
      <c r="J25" s="116">
        <v>-78797261.150000006</v>
      </c>
      <c r="K25" s="130" t="s">
        <v>119</v>
      </c>
      <c r="L25" s="130" t="s">
        <v>702</v>
      </c>
      <c r="M25" s="209">
        <v>0</v>
      </c>
      <c r="N25" s="15" t="s">
        <v>3917</v>
      </c>
    </row>
    <row r="26" spans="1:14" hidden="1">
      <c r="A26" s="208">
        <f t="shared" si="1"/>
        <v>25</v>
      </c>
      <c r="B26" s="178" t="s">
        <v>132</v>
      </c>
      <c r="C26" s="179">
        <v>45835</v>
      </c>
      <c r="D26" s="179">
        <v>45835</v>
      </c>
      <c r="E26" s="178" t="s">
        <v>133</v>
      </c>
      <c r="F26" s="178" t="s">
        <v>4</v>
      </c>
      <c r="G26" s="146">
        <v>83058.83</v>
      </c>
      <c r="H26" s="146">
        <v>0</v>
      </c>
      <c r="I26" s="116">
        <f t="shared" si="0"/>
        <v>-83058.83</v>
      </c>
      <c r="J26" s="126">
        <v>-78880319.980000004</v>
      </c>
      <c r="K26" s="180" t="s">
        <v>134</v>
      </c>
      <c r="L26" s="130" t="s">
        <v>702</v>
      </c>
      <c r="M26" s="209">
        <v>0</v>
      </c>
      <c r="N26" s="15" t="s">
        <v>3917</v>
      </c>
    </row>
    <row r="27" spans="1:14" hidden="1">
      <c r="A27" s="208">
        <f t="shared" si="1"/>
        <v>26</v>
      </c>
      <c r="B27" s="178" t="s">
        <v>135</v>
      </c>
      <c r="C27" s="179">
        <v>45835</v>
      </c>
      <c r="D27" s="179">
        <v>45835</v>
      </c>
      <c r="E27" s="178" t="s">
        <v>136</v>
      </c>
      <c r="F27" s="178" t="s">
        <v>4</v>
      </c>
      <c r="G27" s="146">
        <v>2310.9499999999998</v>
      </c>
      <c r="H27" s="146">
        <v>0</v>
      </c>
      <c r="I27" s="116">
        <f t="shared" si="0"/>
        <v>-2310.9499999999998</v>
      </c>
      <c r="J27" s="126">
        <v>-78882630.930000007</v>
      </c>
      <c r="K27" s="180" t="s">
        <v>137</v>
      </c>
      <c r="L27" s="130" t="s">
        <v>702</v>
      </c>
      <c r="M27" s="209">
        <v>0</v>
      </c>
      <c r="N27" s="15" t="s">
        <v>3917</v>
      </c>
    </row>
    <row r="28" spans="1:14" hidden="1">
      <c r="A28" s="208">
        <f t="shared" si="1"/>
        <v>27</v>
      </c>
      <c r="B28" s="178" t="s">
        <v>138</v>
      </c>
      <c r="C28" s="179">
        <v>45835</v>
      </c>
      <c r="D28" s="179">
        <v>45835</v>
      </c>
      <c r="E28" s="178" t="s">
        <v>139</v>
      </c>
      <c r="F28" s="178" t="s">
        <v>4</v>
      </c>
      <c r="G28" s="146">
        <v>77220.02</v>
      </c>
      <c r="H28" s="146">
        <v>0</v>
      </c>
      <c r="I28" s="116">
        <f t="shared" si="0"/>
        <v>-77220.02</v>
      </c>
      <c r="J28" s="126">
        <v>-78959850.950000003</v>
      </c>
      <c r="K28" s="180" t="s">
        <v>140</v>
      </c>
      <c r="L28" s="130" t="s">
        <v>702</v>
      </c>
      <c r="M28" s="209">
        <v>0</v>
      </c>
      <c r="N28" s="15" t="s">
        <v>3917</v>
      </c>
    </row>
    <row r="29" spans="1:14" hidden="1">
      <c r="A29" s="208">
        <f t="shared" si="1"/>
        <v>28</v>
      </c>
      <c r="B29" s="178" t="s">
        <v>141</v>
      </c>
      <c r="C29" s="179">
        <v>45835</v>
      </c>
      <c r="D29" s="179">
        <v>45835</v>
      </c>
      <c r="E29" s="178" t="s">
        <v>139</v>
      </c>
      <c r="F29" s="178" t="s">
        <v>4</v>
      </c>
      <c r="G29" s="146">
        <v>21983.75</v>
      </c>
      <c r="H29" s="146">
        <v>0</v>
      </c>
      <c r="I29" s="116">
        <f t="shared" si="0"/>
        <v>-21983.75</v>
      </c>
      <c r="J29" s="126">
        <v>-78981834.700000003</v>
      </c>
      <c r="K29" s="180" t="s">
        <v>142</v>
      </c>
      <c r="L29" s="130" t="s">
        <v>702</v>
      </c>
      <c r="M29" s="209">
        <v>0</v>
      </c>
      <c r="N29" s="15" t="s">
        <v>3917</v>
      </c>
    </row>
    <row r="30" spans="1:14" hidden="1">
      <c r="A30" s="208">
        <f t="shared" si="1"/>
        <v>29</v>
      </c>
      <c r="B30" s="178" t="s">
        <v>143</v>
      </c>
      <c r="C30" s="179">
        <v>45835</v>
      </c>
      <c r="D30" s="179">
        <v>45835</v>
      </c>
      <c r="E30" s="178" t="s">
        <v>144</v>
      </c>
      <c r="F30" s="178" t="s">
        <v>4</v>
      </c>
      <c r="G30" s="146">
        <v>85769.26</v>
      </c>
      <c r="H30" s="146">
        <v>0</v>
      </c>
      <c r="I30" s="116">
        <f t="shared" si="0"/>
        <v>-85769.26</v>
      </c>
      <c r="J30" s="126">
        <v>-79067603.959999993</v>
      </c>
      <c r="K30" s="180" t="s">
        <v>145</v>
      </c>
      <c r="L30" s="130" t="s">
        <v>702</v>
      </c>
      <c r="M30" s="209">
        <v>0</v>
      </c>
      <c r="N30" s="15" t="s">
        <v>3917</v>
      </c>
    </row>
    <row r="31" spans="1:14" hidden="1">
      <c r="A31" s="208">
        <f t="shared" si="1"/>
        <v>30</v>
      </c>
      <c r="B31" s="178" t="s">
        <v>146</v>
      </c>
      <c r="C31" s="179">
        <v>45835</v>
      </c>
      <c r="D31" s="179">
        <v>45835</v>
      </c>
      <c r="E31" s="178" t="s">
        <v>144</v>
      </c>
      <c r="F31" s="178" t="s">
        <v>4</v>
      </c>
      <c r="G31" s="146">
        <v>36480.92</v>
      </c>
      <c r="H31" s="146">
        <v>0</v>
      </c>
      <c r="I31" s="116">
        <f t="shared" si="0"/>
        <v>-36480.92</v>
      </c>
      <c r="J31" s="126">
        <v>-79104084.879999995</v>
      </c>
      <c r="K31" s="180" t="s">
        <v>147</v>
      </c>
      <c r="L31" s="130" t="s">
        <v>702</v>
      </c>
      <c r="M31" s="209">
        <v>0</v>
      </c>
      <c r="N31" s="15" t="s">
        <v>3917</v>
      </c>
    </row>
    <row r="32" spans="1:14" hidden="1">
      <c r="A32" s="208">
        <f t="shared" si="1"/>
        <v>31</v>
      </c>
      <c r="B32" s="178" t="s">
        <v>148</v>
      </c>
      <c r="C32" s="179">
        <v>45835</v>
      </c>
      <c r="D32" s="179">
        <v>45835</v>
      </c>
      <c r="E32" s="178" t="s">
        <v>149</v>
      </c>
      <c r="F32" s="178" t="s">
        <v>4</v>
      </c>
      <c r="G32" s="146">
        <v>0</v>
      </c>
      <c r="H32" s="146">
        <v>7766362</v>
      </c>
      <c r="I32" s="116">
        <f t="shared" si="0"/>
        <v>7766362</v>
      </c>
      <c r="J32" s="126">
        <v>-71337722.879999995</v>
      </c>
      <c r="K32" s="180" t="s">
        <v>150</v>
      </c>
      <c r="L32" s="54" t="s">
        <v>3723</v>
      </c>
      <c r="M32" s="209" t="s">
        <v>378</v>
      </c>
      <c r="N32" s="15" t="s">
        <v>3917</v>
      </c>
    </row>
    <row r="33" spans="1:14" hidden="1">
      <c r="A33" s="208">
        <f t="shared" si="1"/>
        <v>32</v>
      </c>
      <c r="B33" s="130"/>
      <c r="C33" s="131">
        <v>45836</v>
      </c>
      <c r="D33" s="131">
        <f>D30+1</f>
        <v>45836</v>
      </c>
      <c r="E33" s="130"/>
      <c r="F33" s="130"/>
      <c r="G33" s="116">
        <v>0</v>
      </c>
      <c r="H33" s="116">
        <v>0</v>
      </c>
      <c r="I33" s="116">
        <f t="shared" si="0"/>
        <v>0</v>
      </c>
      <c r="J33" s="126">
        <v>-71337722.879999995</v>
      </c>
      <c r="K33" s="130"/>
      <c r="L33" s="130" t="s">
        <v>3723</v>
      </c>
      <c r="M33" s="209">
        <v>0</v>
      </c>
      <c r="N33" s="15" t="s">
        <v>3917</v>
      </c>
    </row>
    <row r="34" spans="1:14" hidden="1">
      <c r="A34" s="208">
        <f t="shared" si="1"/>
        <v>33</v>
      </c>
      <c r="B34" s="130"/>
      <c r="C34" s="131">
        <v>45837</v>
      </c>
      <c r="D34" s="131">
        <f>D33+1</f>
        <v>45837</v>
      </c>
      <c r="E34" s="130"/>
      <c r="F34" s="130"/>
      <c r="G34" s="116">
        <v>0</v>
      </c>
      <c r="H34" s="116">
        <v>0</v>
      </c>
      <c r="I34" s="116">
        <f t="shared" si="0"/>
        <v>0</v>
      </c>
      <c r="J34" s="126">
        <v>-71337722.879999995</v>
      </c>
      <c r="K34" s="130"/>
      <c r="L34" s="130" t="s">
        <v>3723</v>
      </c>
      <c r="M34" s="209">
        <v>0</v>
      </c>
      <c r="N34" s="15" t="s">
        <v>3917</v>
      </c>
    </row>
    <row r="35" spans="1:14" hidden="1">
      <c r="A35" s="208">
        <f t="shared" si="1"/>
        <v>34</v>
      </c>
      <c r="B35" s="181" t="s">
        <v>225</v>
      </c>
      <c r="C35" s="182">
        <v>45838</v>
      </c>
      <c r="D35" s="182">
        <v>45838</v>
      </c>
      <c r="E35" s="181" t="s">
        <v>226</v>
      </c>
      <c r="F35" s="181" t="s">
        <v>4</v>
      </c>
      <c r="G35" s="126">
        <v>0</v>
      </c>
      <c r="H35" s="126">
        <v>60000000</v>
      </c>
      <c r="I35" s="116">
        <f t="shared" si="0"/>
        <v>60000000</v>
      </c>
      <c r="J35" s="126">
        <v>-11337722.880000001</v>
      </c>
      <c r="K35" s="125" t="s">
        <v>227</v>
      </c>
      <c r="L35" s="130" t="s">
        <v>3718</v>
      </c>
      <c r="M35" s="209" t="s">
        <v>377</v>
      </c>
      <c r="N35" s="15" t="s">
        <v>3917</v>
      </c>
    </row>
    <row r="36" spans="1:14" hidden="1">
      <c r="A36" s="208">
        <f t="shared" si="1"/>
        <v>35</v>
      </c>
      <c r="B36" s="181" t="s">
        <v>228</v>
      </c>
      <c r="C36" s="182">
        <v>45838</v>
      </c>
      <c r="D36" s="182">
        <v>45838</v>
      </c>
      <c r="E36" s="181" t="s">
        <v>229</v>
      </c>
      <c r="F36" s="181" t="s">
        <v>4</v>
      </c>
      <c r="G36" s="126">
        <v>228333.6</v>
      </c>
      <c r="H36" s="126">
        <v>0</v>
      </c>
      <c r="I36" s="116">
        <f t="shared" si="0"/>
        <v>-228333.6</v>
      </c>
      <c r="J36" s="126">
        <v>-11566056.48</v>
      </c>
      <c r="K36" s="125" t="s">
        <v>230</v>
      </c>
      <c r="L36" s="52" t="s">
        <v>702</v>
      </c>
      <c r="M36" s="209">
        <v>0</v>
      </c>
      <c r="N36" s="15" t="s">
        <v>3917</v>
      </c>
    </row>
    <row r="37" spans="1:14" hidden="1">
      <c r="A37" s="208">
        <f t="shared" si="1"/>
        <v>36</v>
      </c>
      <c r="B37" s="181" t="s">
        <v>231</v>
      </c>
      <c r="C37" s="182">
        <v>45838</v>
      </c>
      <c r="D37" s="182">
        <v>45838</v>
      </c>
      <c r="E37" s="181" t="s">
        <v>232</v>
      </c>
      <c r="F37" s="181" t="s">
        <v>4</v>
      </c>
      <c r="G37" s="126">
        <v>185199.94</v>
      </c>
      <c r="H37" s="126">
        <v>0</v>
      </c>
      <c r="I37" s="116">
        <f t="shared" si="0"/>
        <v>-185199.94</v>
      </c>
      <c r="J37" s="126">
        <v>-11751256.42</v>
      </c>
      <c r="K37" s="125" t="s">
        <v>233</v>
      </c>
      <c r="L37" s="52" t="s">
        <v>702</v>
      </c>
      <c r="M37" s="209">
        <v>0</v>
      </c>
      <c r="N37" s="15" t="s">
        <v>3917</v>
      </c>
    </row>
    <row r="38" spans="1:14" hidden="1">
      <c r="A38" s="208">
        <f t="shared" si="1"/>
        <v>37</v>
      </c>
      <c r="B38" s="181" t="s">
        <v>234</v>
      </c>
      <c r="C38" s="182">
        <v>45838</v>
      </c>
      <c r="D38" s="182">
        <v>45838</v>
      </c>
      <c r="E38" s="181" t="s">
        <v>235</v>
      </c>
      <c r="F38" s="181" t="s">
        <v>4</v>
      </c>
      <c r="G38" s="126">
        <v>56092.34</v>
      </c>
      <c r="H38" s="126">
        <v>0</v>
      </c>
      <c r="I38" s="116">
        <f t="shared" si="0"/>
        <v>-56092.34</v>
      </c>
      <c r="J38" s="126">
        <v>-11807348.76</v>
      </c>
      <c r="K38" s="125" t="s">
        <v>236</v>
      </c>
      <c r="L38" s="52" t="s">
        <v>702</v>
      </c>
      <c r="M38" s="209">
        <v>0</v>
      </c>
      <c r="N38" s="15" t="s">
        <v>3917</v>
      </c>
    </row>
    <row r="39" spans="1:14" hidden="1">
      <c r="A39" s="208">
        <f t="shared" si="1"/>
        <v>38</v>
      </c>
      <c r="B39" s="181" t="s">
        <v>237</v>
      </c>
      <c r="C39" s="182">
        <v>45838</v>
      </c>
      <c r="D39" s="182">
        <v>45838</v>
      </c>
      <c r="E39" s="181" t="s">
        <v>238</v>
      </c>
      <c r="F39" s="181" t="s">
        <v>4</v>
      </c>
      <c r="G39" s="126">
        <v>14454.69</v>
      </c>
      <c r="H39" s="126">
        <v>0</v>
      </c>
      <c r="I39" s="116">
        <f t="shared" si="0"/>
        <v>-14454.69</v>
      </c>
      <c r="J39" s="126">
        <v>-11821803.449999999</v>
      </c>
      <c r="K39" s="125" t="s">
        <v>239</v>
      </c>
      <c r="L39" s="52" t="s">
        <v>702</v>
      </c>
      <c r="M39" s="209">
        <v>0</v>
      </c>
      <c r="N39" s="15" t="s">
        <v>3917</v>
      </c>
    </row>
    <row r="40" spans="1:14" hidden="1">
      <c r="A40" s="208">
        <f t="shared" si="1"/>
        <v>39</v>
      </c>
      <c r="B40" s="181" t="s">
        <v>240</v>
      </c>
      <c r="C40" s="182">
        <v>45838</v>
      </c>
      <c r="D40" s="182">
        <v>45838</v>
      </c>
      <c r="E40" s="181" t="s">
        <v>241</v>
      </c>
      <c r="F40" s="181" t="s">
        <v>4</v>
      </c>
      <c r="G40" s="126">
        <v>4941.1899999999996</v>
      </c>
      <c r="H40" s="126">
        <v>0</v>
      </c>
      <c r="I40" s="116">
        <f t="shared" si="0"/>
        <v>-4941.1899999999996</v>
      </c>
      <c r="J40" s="126">
        <v>-11826744.640000001</v>
      </c>
      <c r="K40" s="125" t="s">
        <v>242</v>
      </c>
      <c r="L40" s="52" t="s">
        <v>702</v>
      </c>
      <c r="M40" s="209">
        <v>0</v>
      </c>
      <c r="N40" s="15" t="s">
        <v>3917</v>
      </c>
    </row>
    <row r="41" spans="1:14" hidden="1">
      <c r="A41" s="208">
        <f t="shared" si="1"/>
        <v>40</v>
      </c>
      <c r="B41" s="181" t="s">
        <v>243</v>
      </c>
      <c r="C41" s="182">
        <v>45838</v>
      </c>
      <c r="D41" s="182">
        <v>45838</v>
      </c>
      <c r="E41" s="181" t="s">
        <v>244</v>
      </c>
      <c r="F41" s="181" t="s">
        <v>4</v>
      </c>
      <c r="G41" s="126">
        <v>5015000</v>
      </c>
      <c r="H41" s="126">
        <v>0</v>
      </c>
      <c r="I41" s="116">
        <f t="shared" si="0"/>
        <v>-5015000</v>
      </c>
      <c r="J41" s="126">
        <v>-16841744.640000001</v>
      </c>
      <c r="K41" s="125" t="s">
        <v>245</v>
      </c>
      <c r="L41" s="52" t="s">
        <v>702</v>
      </c>
      <c r="M41" s="209">
        <v>0</v>
      </c>
      <c r="N41" s="15" t="s">
        <v>3917</v>
      </c>
    </row>
    <row r="42" spans="1:14" hidden="1">
      <c r="A42" s="208">
        <f t="shared" si="1"/>
        <v>41</v>
      </c>
      <c r="B42" s="181" t="s">
        <v>246</v>
      </c>
      <c r="C42" s="182">
        <v>45838</v>
      </c>
      <c r="D42" s="182">
        <v>45838</v>
      </c>
      <c r="E42" s="181" t="s">
        <v>244</v>
      </c>
      <c r="F42" s="181" t="s">
        <v>4</v>
      </c>
      <c r="G42" s="126">
        <v>5015000</v>
      </c>
      <c r="H42" s="126">
        <v>0</v>
      </c>
      <c r="I42" s="116">
        <f t="shared" si="0"/>
        <v>-5015000</v>
      </c>
      <c r="J42" s="126">
        <v>-21856744.640000001</v>
      </c>
      <c r="K42" s="125" t="s">
        <v>247</v>
      </c>
      <c r="L42" s="52" t="s">
        <v>702</v>
      </c>
      <c r="M42" s="209">
        <v>0</v>
      </c>
      <c r="N42" s="15" t="s">
        <v>3917</v>
      </c>
    </row>
    <row r="43" spans="1:14" hidden="1">
      <c r="A43" s="208">
        <f t="shared" si="1"/>
        <v>42</v>
      </c>
      <c r="B43" s="181" t="s">
        <v>248</v>
      </c>
      <c r="C43" s="182">
        <v>45838</v>
      </c>
      <c r="D43" s="182">
        <v>45838</v>
      </c>
      <c r="E43" s="181" t="s">
        <v>249</v>
      </c>
      <c r="F43" s="181" t="s">
        <v>4</v>
      </c>
      <c r="G43" s="126">
        <v>1827.95</v>
      </c>
      <c r="H43" s="126">
        <v>0</v>
      </c>
      <c r="I43" s="116">
        <f t="shared" si="0"/>
        <v>-1827.95</v>
      </c>
      <c r="J43" s="126">
        <v>-21858572.59</v>
      </c>
      <c r="K43" s="125" t="s">
        <v>250</v>
      </c>
      <c r="L43" s="52" t="s">
        <v>702</v>
      </c>
      <c r="M43" s="209">
        <v>0</v>
      </c>
      <c r="N43" s="15" t="s">
        <v>3917</v>
      </c>
    </row>
    <row r="44" spans="1:14" hidden="1">
      <c r="A44" s="208">
        <f t="shared" si="1"/>
        <v>43</v>
      </c>
      <c r="B44" s="181" t="s">
        <v>251</v>
      </c>
      <c r="C44" s="182">
        <v>45838</v>
      </c>
      <c r="D44" s="182">
        <v>45838</v>
      </c>
      <c r="E44" s="181" t="s">
        <v>252</v>
      </c>
      <c r="F44" s="181" t="s">
        <v>4</v>
      </c>
      <c r="G44" s="126">
        <v>0</v>
      </c>
      <c r="H44" s="126">
        <v>1000000</v>
      </c>
      <c r="I44" s="116">
        <f t="shared" si="0"/>
        <v>1000000</v>
      </c>
      <c r="J44" s="126">
        <v>-20858572.59</v>
      </c>
      <c r="K44" s="125" t="s">
        <v>253</v>
      </c>
      <c r="L44" s="130" t="s">
        <v>3718</v>
      </c>
      <c r="M44" s="209" t="s">
        <v>377</v>
      </c>
      <c r="N44" s="15" t="s">
        <v>3917</v>
      </c>
    </row>
    <row r="45" spans="1:14" hidden="1">
      <c r="A45" s="208">
        <f t="shared" si="1"/>
        <v>44</v>
      </c>
      <c r="B45" s="181" t="s">
        <v>254</v>
      </c>
      <c r="C45" s="182">
        <v>45838</v>
      </c>
      <c r="D45" s="182">
        <v>45838</v>
      </c>
      <c r="E45" s="181" t="s">
        <v>255</v>
      </c>
      <c r="F45" s="181" t="s">
        <v>4</v>
      </c>
      <c r="G45" s="126">
        <v>590</v>
      </c>
      <c r="H45" s="126">
        <v>0</v>
      </c>
      <c r="I45" s="116">
        <f t="shared" si="0"/>
        <v>-590</v>
      </c>
      <c r="J45" s="126">
        <v>-20859162.59</v>
      </c>
      <c r="K45" s="125" t="s">
        <v>256</v>
      </c>
      <c r="L45" s="52" t="s">
        <v>3719</v>
      </c>
      <c r="M45" s="209" t="s">
        <v>379</v>
      </c>
      <c r="N45" s="15" t="s">
        <v>3917</v>
      </c>
    </row>
    <row r="46" spans="1:14" hidden="1">
      <c r="A46" s="208">
        <f t="shared" si="1"/>
        <v>45</v>
      </c>
      <c r="B46" s="181" t="s">
        <v>257</v>
      </c>
      <c r="C46" s="182">
        <v>45838</v>
      </c>
      <c r="D46" s="182">
        <v>45838</v>
      </c>
      <c r="E46" s="181" t="s">
        <v>255</v>
      </c>
      <c r="F46" s="181" t="s">
        <v>4</v>
      </c>
      <c r="G46" s="126">
        <v>30349.46</v>
      </c>
      <c r="H46" s="126">
        <v>0</v>
      </c>
      <c r="I46" s="116">
        <f t="shared" si="0"/>
        <v>-30349.46</v>
      </c>
      <c r="J46" s="126">
        <v>-20889512.050000001</v>
      </c>
      <c r="K46" s="125" t="s">
        <v>258</v>
      </c>
      <c r="L46" s="52" t="s">
        <v>3726</v>
      </c>
      <c r="M46" s="209" t="s">
        <v>379</v>
      </c>
      <c r="N46" s="15" t="s">
        <v>3917</v>
      </c>
    </row>
    <row r="47" spans="1:14" hidden="1">
      <c r="A47" s="208">
        <f t="shared" si="1"/>
        <v>46</v>
      </c>
      <c r="B47" s="132" t="s">
        <v>398</v>
      </c>
      <c r="C47" s="133">
        <v>45839</v>
      </c>
      <c r="D47" s="133">
        <v>45839</v>
      </c>
      <c r="E47" s="132" t="s">
        <v>399</v>
      </c>
      <c r="F47" s="132" t="s">
        <v>4</v>
      </c>
      <c r="G47" s="126">
        <v>1227.5899999999999</v>
      </c>
      <c r="H47" s="126">
        <v>0</v>
      </c>
      <c r="I47" s="116">
        <f t="shared" si="0"/>
        <v>-1227.5899999999999</v>
      </c>
      <c r="J47" s="126">
        <v>-20890739.640000001</v>
      </c>
      <c r="K47" s="134" t="s">
        <v>400</v>
      </c>
      <c r="L47" s="52" t="s">
        <v>3726</v>
      </c>
      <c r="M47" s="209">
        <v>0</v>
      </c>
      <c r="N47" s="15" t="s">
        <v>3917</v>
      </c>
    </row>
    <row r="48" spans="1:14" hidden="1">
      <c r="A48" s="208">
        <f t="shared" si="1"/>
        <v>47</v>
      </c>
      <c r="B48" s="132" t="s">
        <v>401</v>
      </c>
      <c r="C48" s="133">
        <v>45839</v>
      </c>
      <c r="D48" s="133">
        <v>45839</v>
      </c>
      <c r="E48" s="132" t="s">
        <v>402</v>
      </c>
      <c r="F48" s="132" t="s">
        <v>4</v>
      </c>
      <c r="G48" s="126">
        <v>5712.08</v>
      </c>
      <c r="H48" s="126">
        <v>0</v>
      </c>
      <c r="I48" s="116">
        <f t="shared" si="0"/>
        <v>-5712.08</v>
      </c>
      <c r="J48" s="126">
        <v>-20896451.719999999</v>
      </c>
      <c r="K48" s="134" t="s">
        <v>403</v>
      </c>
      <c r="L48" s="52" t="s">
        <v>3726</v>
      </c>
      <c r="M48" s="209">
        <v>0</v>
      </c>
      <c r="N48" s="15" t="s">
        <v>3917</v>
      </c>
    </row>
    <row r="49" spans="1:14" hidden="1">
      <c r="A49" s="208">
        <f t="shared" si="1"/>
        <v>48</v>
      </c>
      <c r="B49" s="132" t="s">
        <v>404</v>
      </c>
      <c r="C49" s="133">
        <v>45839</v>
      </c>
      <c r="D49" s="133">
        <v>45839</v>
      </c>
      <c r="E49" s="132" t="s">
        <v>405</v>
      </c>
      <c r="F49" s="132" t="s">
        <v>4</v>
      </c>
      <c r="G49" s="126">
        <v>138329.78</v>
      </c>
      <c r="H49" s="126">
        <v>0</v>
      </c>
      <c r="I49" s="116">
        <f t="shared" si="0"/>
        <v>-138329.78</v>
      </c>
      <c r="J49" s="126">
        <v>-21034781.5</v>
      </c>
      <c r="K49" s="134" t="s">
        <v>406</v>
      </c>
      <c r="L49" s="130" t="s">
        <v>702</v>
      </c>
      <c r="M49" s="209">
        <v>0</v>
      </c>
      <c r="N49" s="15" t="s">
        <v>3917</v>
      </c>
    </row>
    <row r="50" spans="1:14" hidden="1">
      <c r="A50" s="208">
        <f t="shared" si="1"/>
        <v>49</v>
      </c>
      <c r="B50" s="132" t="s">
        <v>407</v>
      </c>
      <c r="C50" s="133">
        <v>45839</v>
      </c>
      <c r="D50" s="133">
        <v>45839</v>
      </c>
      <c r="E50" s="132" t="s">
        <v>408</v>
      </c>
      <c r="F50" s="132" t="s">
        <v>4</v>
      </c>
      <c r="G50" s="126">
        <v>5462.06</v>
      </c>
      <c r="H50" s="126">
        <v>0</v>
      </c>
      <c r="I50" s="116">
        <f t="shared" si="0"/>
        <v>-5462.06</v>
      </c>
      <c r="J50" s="126">
        <v>-21040243.559999999</v>
      </c>
      <c r="K50" s="134" t="s">
        <v>409</v>
      </c>
      <c r="L50" s="130" t="s">
        <v>702</v>
      </c>
      <c r="M50" s="209">
        <v>0</v>
      </c>
      <c r="N50" s="15" t="s">
        <v>3917</v>
      </c>
    </row>
    <row r="51" spans="1:14" hidden="1">
      <c r="A51" s="208">
        <f t="shared" si="1"/>
        <v>50</v>
      </c>
      <c r="B51" s="132" t="s">
        <v>410</v>
      </c>
      <c r="C51" s="133">
        <v>45839</v>
      </c>
      <c r="D51" s="133">
        <v>45839</v>
      </c>
      <c r="E51" s="132" t="s">
        <v>408</v>
      </c>
      <c r="F51" s="132" t="s">
        <v>4</v>
      </c>
      <c r="G51" s="126">
        <v>11258.5</v>
      </c>
      <c r="H51" s="126">
        <v>0</v>
      </c>
      <c r="I51" s="116">
        <f t="shared" si="0"/>
        <v>-11258.5</v>
      </c>
      <c r="J51" s="126">
        <v>-21051502.059999999</v>
      </c>
      <c r="K51" s="134" t="s">
        <v>411</v>
      </c>
      <c r="L51" s="130" t="s">
        <v>702</v>
      </c>
      <c r="M51" s="209">
        <v>0</v>
      </c>
      <c r="N51" s="15" t="s">
        <v>3917</v>
      </c>
    </row>
    <row r="52" spans="1:14" hidden="1">
      <c r="A52" s="208">
        <f t="shared" si="1"/>
        <v>51</v>
      </c>
      <c r="B52" s="132" t="s">
        <v>412</v>
      </c>
      <c r="C52" s="133">
        <v>45839</v>
      </c>
      <c r="D52" s="133">
        <v>45839</v>
      </c>
      <c r="E52" s="132" t="s">
        <v>413</v>
      </c>
      <c r="F52" s="132" t="s">
        <v>4</v>
      </c>
      <c r="G52" s="126">
        <v>200010</v>
      </c>
      <c r="H52" s="126">
        <v>0</v>
      </c>
      <c r="I52" s="116">
        <f t="shared" si="0"/>
        <v>-200010</v>
      </c>
      <c r="J52" s="126">
        <v>-21251512.059999999</v>
      </c>
      <c r="K52" s="134" t="s">
        <v>414</v>
      </c>
      <c r="L52" s="130" t="s">
        <v>702</v>
      </c>
      <c r="M52" s="209">
        <v>0</v>
      </c>
      <c r="N52" s="15" t="s">
        <v>3917</v>
      </c>
    </row>
    <row r="53" spans="1:14" hidden="1">
      <c r="A53" s="208">
        <f t="shared" si="1"/>
        <v>52</v>
      </c>
      <c r="B53" s="132" t="s">
        <v>415</v>
      </c>
      <c r="C53" s="133">
        <v>45839</v>
      </c>
      <c r="D53" s="133">
        <v>45839</v>
      </c>
      <c r="E53" s="132" t="s">
        <v>416</v>
      </c>
      <c r="F53" s="132" t="s">
        <v>4</v>
      </c>
      <c r="G53" s="126">
        <v>19278.02</v>
      </c>
      <c r="H53" s="126">
        <v>0</v>
      </c>
      <c r="I53" s="116">
        <f t="shared" si="0"/>
        <v>-19278.02</v>
      </c>
      <c r="J53" s="126">
        <v>-21270790.079999998</v>
      </c>
      <c r="K53" s="134" t="s">
        <v>417</v>
      </c>
      <c r="L53" s="130" t="s">
        <v>702</v>
      </c>
      <c r="M53" s="209">
        <v>0</v>
      </c>
      <c r="N53" s="15" t="s">
        <v>3917</v>
      </c>
    </row>
    <row r="54" spans="1:14" hidden="1">
      <c r="A54" s="208">
        <f t="shared" si="1"/>
        <v>53</v>
      </c>
      <c r="B54" s="132" t="s">
        <v>418</v>
      </c>
      <c r="C54" s="133">
        <v>45839</v>
      </c>
      <c r="D54" s="133">
        <v>45839</v>
      </c>
      <c r="E54" s="132" t="s">
        <v>419</v>
      </c>
      <c r="F54" s="132" t="s">
        <v>4</v>
      </c>
      <c r="G54" s="126">
        <v>13827.87</v>
      </c>
      <c r="H54" s="126">
        <v>0</v>
      </c>
      <c r="I54" s="116">
        <f t="shared" si="0"/>
        <v>-13827.87</v>
      </c>
      <c r="J54" s="126">
        <v>-21284617.949999999</v>
      </c>
      <c r="K54" s="134" t="s">
        <v>420</v>
      </c>
      <c r="L54" s="130" t="s">
        <v>702</v>
      </c>
      <c r="M54" s="209">
        <v>0</v>
      </c>
      <c r="N54" s="15" t="s">
        <v>3917</v>
      </c>
    </row>
    <row r="55" spans="1:14" hidden="1">
      <c r="A55" s="208">
        <f t="shared" si="1"/>
        <v>54</v>
      </c>
      <c r="B55" s="132" t="s">
        <v>421</v>
      </c>
      <c r="C55" s="133">
        <v>45839</v>
      </c>
      <c r="D55" s="133">
        <v>45839</v>
      </c>
      <c r="E55" s="132" t="s">
        <v>422</v>
      </c>
      <c r="F55" s="132" t="s">
        <v>4</v>
      </c>
      <c r="G55" s="126">
        <v>867003</v>
      </c>
      <c r="H55" s="126">
        <v>0</v>
      </c>
      <c r="I55" s="116">
        <f t="shared" si="0"/>
        <v>-867003</v>
      </c>
      <c r="J55" s="126">
        <v>-22151620.949999999</v>
      </c>
      <c r="K55" s="134" t="s">
        <v>423</v>
      </c>
      <c r="L55" s="130" t="s">
        <v>702</v>
      </c>
      <c r="M55" s="209">
        <v>0</v>
      </c>
      <c r="N55" s="15" t="s">
        <v>3917</v>
      </c>
    </row>
    <row r="56" spans="1:14" hidden="1">
      <c r="A56" s="208">
        <f t="shared" si="1"/>
        <v>55</v>
      </c>
      <c r="B56" s="132" t="s">
        <v>424</v>
      </c>
      <c r="C56" s="133">
        <v>45839</v>
      </c>
      <c r="D56" s="133">
        <v>45839</v>
      </c>
      <c r="E56" s="132" t="s">
        <v>425</v>
      </c>
      <c r="F56" s="132" t="s">
        <v>4</v>
      </c>
      <c r="G56" s="126">
        <v>895569</v>
      </c>
      <c r="H56" s="126">
        <v>0</v>
      </c>
      <c r="I56" s="116">
        <f t="shared" si="0"/>
        <v>-895569</v>
      </c>
      <c r="J56" s="126">
        <v>-23047189.949999999</v>
      </c>
      <c r="K56" s="134" t="s">
        <v>426</v>
      </c>
      <c r="L56" s="130" t="s">
        <v>702</v>
      </c>
      <c r="M56" s="209">
        <v>0</v>
      </c>
      <c r="N56" s="15" t="s">
        <v>3917</v>
      </c>
    </row>
    <row r="57" spans="1:14" hidden="1">
      <c r="A57" s="208">
        <f t="shared" si="1"/>
        <v>56</v>
      </c>
      <c r="B57" s="132" t="s">
        <v>427</v>
      </c>
      <c r="C57" s="133">
        <v>45839</v>
      </c>
      <c r="D57" s="133">
        <v>45839</v>
      </c>
      <c r="E57" s="132" t="s">
        <v>428</v>
      </c>
      <c r="F57" s="132" t="s">
        <v>4</v>
      </c>
      <c r="G57" s="126">
        <v>0</v>
      </c>
      <c r="H57" s="126">
        <v>80000000</v>
      </c>
      <c r="I57" s="116">
        <f t="shared" si="0"/>
        <v>80000000</v>
      </c>
      <c r="J57" s="126">
        <v>56952810.049999997</v>
      </c>
      <c r="K57" s="134" t="s">
        <v>429</v>
      </c>
      <c r="L57" s="130" t="s">
        <v>3718</v>
      </c>
      <c r="M57" s="209">
        <v>0</v>
      </c>
      <c r="N57" s="15" t="s">
        <v>3917</v>
      </c>
    </row>
    <row r="58" spans="1:14" ht="15.75" hidden="1">
      <c r="A58" s="208">
        <f t="shared" si="1"/>
        <v>57</v>
      </c>
      <c r="B58" s="130" t="s">
        <v>430</v>
      </c>
      <c r="C58" s="133">
        <v>45839</v>
      </c>
      <c r="D58" s="133">
        <v>45840</v>
      </c>
      <c r="E58" s="130" t="s">
        <v>431</v>
      </c>
      <c r="F58" s="130" t="s">
        <v>4</v>
      </c>
      <c r="G58" s="116">
        <v>478301</v>
      </c>
      <c r="H58" s="116">
        <v>0</v>
      </c>
      <c r="I58" s="116">
        <f t="shared" si="0"/>
        <v>-478301</v>
      </c>
      <c r="J58" s="116">
        <v>56474509.049999997</v>
      </c>
      <c r="K58" s="130" t="s">
        <v>432</v>
      </c>
      <c r="L58" s="2" t="s">
        <v>3717</v>
      </c>
      <c r="M58" s="209" t="str">
        <f>L58</f>
        <v>Repayment of  Loan &amp; interest</v>
      </c>
      <c r="N58" s="15" t="s">
        <v>3918</v>
      </c>
    </row>
    <row r="59" spans="1:14" hidden="1">
      <c r="A59" s="208">
        <f t="shared" si="1"/>
        <v>58</v>
      </c>
      <c r="B59" s="130" t="s">
        <v>433</v>
      </c>
      <c r="C59" s="133">
        <v>45840</v>
      </c>
      <c r="D59" s="133">
        <v>45840</v>
      </c>
      <c r="E59" s="130" t="s">
        <v>434</v>
      </c>
      <c r="F59" s="130" t="s">
        <v>4</v>
      </c>
      <c r="G59" s="116">
        <v>4492.1499999999996</v>
      </c>
      <c r="H59" s="116">
        <v>0</v>
      </c>
      <c r="I59" s="116">
        <f t="shared" si="0"/>
        <v>-4492.1499999999996</v>
      </c>
      <c r="J59" s="116">
        <v>56470016.899999999</v>
      </c>
      <c r="K59" s="130" t="s">
        <v>435</v>
      </c>
      <c r="L59" s="52" t="s">
        <v>702</v>
      </c>
      <c r="M59" s="209" t="s">
        <v>514</v>
      </c>
      <c r="N59" s="15" t="s">
        <v>3917</v>
      </c>
    </row>
    <row r="60" spans="1:14" hidden="1">
      <c r="A60" s="208">
        <f t="shared" si="1"/>
        <v>59</v>
      </c>
      <c r="B60" s="130" t="s">
        <v>436</v>
      </c>
      <c r="C60" s="133">
        <v>45840</v>
      </c>
      <c r="D60" s="133">
        <v>45840</v>
      </c>
      <c r="E60" s="130" t="s">
        <v>437</v>
      </c>
      <c r="F60" s="130" t="s">
        <v>4</v>
      </c>
      <c r="G60" s="116">
        <v>58389.61</v>
      </c>
      <c r="H60" s="116">
        <v>0</v>
      </c>
      <c r="I60" s="116">
        <f t="shared" si="0"/>
        <v>-58389.61</v>
      </c>
      <c r="J60" s="116">
        <v>56411627.289999999</v>
      </c>
      <c r="K60" s="130" t="s">
        <v>438</v>
      </c>
      <c r="L60" s="130" t="s">
        <v>702</v>
      </c>
      <c r="M60" s="209" t="s">
        <v>514</v>
      </c>
      <c r="N60" s="15" t="s">
        <v>3917</v>
      </c>
    </row>
    <row r="61" spans="1:14" hidden="1">
      <c r="A61" s="208">
        <f t="shared" si="1"/>
        <v>60</v>
      </c>
      <c r="B61" s="130" t="s">
        <v>439</v>
      </c>
      <c r="C61" s="133">
        <v>45840</v>
      </c>
      <c r="D61" s="133">
        <v>45840</v>
      </c>
      <c r="E61" s="130" t="s">
        <v>440</v>
      </c>
      <c r="F61" s="130" t="s">
        <v>4</v>
      </c>
      <c r="G61" s="116">
        <v>44306.91</v>
      </c>
      <c r="H61" s="116">
        <v>0</v>
      </c>
      <c r="I61" s="116">
        <f t="shared" si="0"/>
        <v>-44306.91</v>
      </c>
      <c r="J61" s="116">
        <v>56367320.380000003</v>
      </c>
      <c r="K61" s="130" t="s">
        <v>441</v>
      </c>
      <c r="L61" s="130" t="s">
        <v>702</v>
      </c>
      <c r="M61" s="209" t="s">
        <v>514</v>
      </c>
      <c r="N61" s="15" t="s">
        <v>3917</v>
      </c>
    </row>
    <row r="62" spans="1:14" hidden="1">
      <c r="A62" s="208">
        <f t="shared" si="1"/>
        <v>61</v>
      </c>
      <c r="B62" s="14" t="s">
        <v>442</v>
      </c>
      <c r="C62" s="25">
        <v>45840</v>
      </c>
      <c r="D62" s="25">
        <v>45840</v>
      </c>
      <c r="E62" s="14" t="s">
        <v>443</v>
      </c>
      <c r="F62" s="14" t="s">
        <v>4</v>
      </c>
      <c r="G62" s="27">
        <v>6346.65</v>
      </c>
      <c r="H62" s="27">
        <v>0</v>
      </c>
      <c r="I62" s="27">
        <f t="shared" si="0"/>
        <v>-6346.65</v>
      </c>
      <c r="J62" s="27">
        <v>56360973.729999997</v>
      </c>
      <c r="K62" s="14" t="s">
        <v>444</v>
      </c>
      <c r="L62" s="14" t="s">
        <v>702</v>
      </c>
      <c r="M62" s="41" t="s">
        <v>514</v>
      </c>
      <c r="N62" s="15" t="s">
        <v>3917</v>
      </c>
    </row>
    <row r="63" spans="1:14" hidden="1">
      <c r="A63" s="208">
        <f t="shared" si="1"/>
        <v>62</v>
      </c>
      <c r="B63" s="14" t="s">
        <v>445</v>
      </c>
      <c r="C63" s="25">
        <v>45840</v>
      </c>
      <c r="D63" s="25">
        <v>45840</v>
      </c>
      <c r="E63" s="14" t="s">
        <v>446</v>
      </c>
      <c r="F63" s="14" t="s">
        <v>4</v>
      </c>
      <c r="G63" s="27">
        <v>27500.79</v>
      </c>
      <c r="H63" s="27">
        <v>0</v>
      </c>
      <c r="I63" s="27">
        <f t="shared" si="0"/>
        <v>-27500.79</v>
      </c>
      <c r="J63" s="27">
        <v>56333472.939999998</v>
      </c>
      <c r="K63" s="14" t="s">
        <v>447</v>
      </c>
      <c r="L63" s="14" t="s">
        <v>702</v>
      </c>
      <c r="M63" s="41" t="s">
        <v>514</v>
      </c>
      <c r="N63" s="15" t="s">
        <v>3917</v>
      </c>
    </row>
    <row r="64" spans="1:14" hidden="1">
      <c r="A64" s="208">
        <f t="shared" si="1"/>
        <v>63</v>
      </c>
      <c r="B64" s="14" t="s">
        <v>448</v>
      </c>
      <c r="C64" s="25">
        <v>45840</v>
      </c>
      <c r="D64" s="25">
        <v>45840</v>
      </c>
      <c r="E64" s="14" t="s">
        <v>449</v>
      </c>
      <c r="F64" s="14" t="s">
        <v>4</v>
      </c>
      <c r="G64" s="27">
        <v>6183.03</v>
      </c>
      <c r="H64" s="27">
        <v>0</v>
      </c>
      <c r="I64" s="27">
        <f t="shared" si="0"/>
        <v>-6183.03</v>
      </c>
      <c r="J64" s="27">
        <v>56327289.909999996</v>
      </c>
      <c r="K64" s="14" t="s">
        <v>450</v>
      </c>
      <c r="L64" s="14" t="s">
        <v>702</v>
      </c>
      <c r="M64" s="41" t="s">
        <v>514</v>
      </c>
      <c r="N64" s="15" t="s">
        <v>3917</v>
      </c>
    </row>
    <row r="65" spans="1:14" hidden="1">
      <c r="A65" s="208">
        <f t="shared" si="1"/>
        <v>64</v>
      </c>
      <c r="B65" s="14" t="s">
        <v>451</v>
      </c>
      <c r="C65" s="25">
        <v>45840</v>
      </c>
      <c r="D65" s="25">
        <v>45840</v>
      </c>
      <c r="E65" s="14" t="s">
        <v>449</v>
      </c>
      <c r="F65" s="14" t="s">
        <v>4</v>
      </c>
      <c r="G65" s="27">
        <v>5917.19</v>
      </c>
      <c r="H65" s="27">
        <v>0</v>
      </c>
      <c r="I65" s="27">
        <f t="shared" si="0"/>
        <v>-5917.19</v>
      </c>
      <c r="J65" s="27">
        <v>56321372.719999999</v>
      </c>
      <c r="K65" s="14" t="s">
        <v>452</v>
      </c>
      <c r="L65" s="14" t="s">
        <v>702</v>
      </c>
      <c r="M65" s="41" t="s">
        <v>514</v>
      </c>
      <c r="N65" s="15" t="s">
        <v>3917</v>
      </c>
    </row>
    <row r="66" spans="1:14" hidden="1">
      <c r="A66" s="208">
        <f t="shared" si="1"/>
        <v>65</v>
      </c>
      <c r="B66" s="14" t="s">
        <v>453</v>
      </c>
      <c r="C66" s="25">
        <v>45840</v>
      </c>
      <c r="D66" s="25">
        <v>45840</v>
      </c>
      <c r="E66" s="14" t="s">
        <v>454</v>
      </c>
      <c r="F66" s="14" t="s">
        <v>4</v>
      </c>
      <c r="G66" s="27">
        <v>2975502.76</v>
      </c>
      <c r="H66" s="27">
        <v>0</v>
      </c>
      <c r="I66" s="27">
        <f t="shared" si="0"/>
        <v>-2975502.76</v>
      </c>
      <c r="J66" s="27">
        <v>53345869.960000001</v>
      </c>
      <c r="K66" s="14" t="s">
        <v>455</v>
      </c>
      <c r="L66" s="14" t="s">
        <v>702</v>
      </c>
      <c r="M66" s="41" t="s">
        <v>514</v>
      </c>
      <c r="N66" s="15" t="s">
        <v>3917</v>
      </c>
    </row>
    <row r="67" spans="1:14" hidden="1">
      <c r="A67" s="208">
        <f t="shared" si="1"/>
        <v>66</v>
      </c>
      <c r="B67" s="14" t="s">
        <v>456</v>
      </c>
      <c r="C67" s="25">
        <v>45840</v>
      </c>
      <c r="D67" s="25">
        <v>45840</v>
      </c>
      <c r="E67" s="14" t="s">
        <v>454</v>
      </c>
      <c r="F67" s="14" t="s">
        <v>4</v>
      </c>
      <c r="G67" s="27">
        <v>3042214.86</v>
      </c>
      <c r="H67" s="27">
        <v>0</v>
      </c>
      <c r="I67" s="27">
        <f t="shared" ref="I67:I130" si="2">H67-G67</f>
        <v>-3042214.86</v>
      </c>
      <c r="J67" s="27">
        <v>50303655.100000001</v>
      </c>
      <c r="K67" s="14" t="s">
        <v>457</v>
      </c>
      <c r="L67" s="14" t="s">
        <v>702</v>
      </c>
      <c r="M67" s="41" t="s">
        <v>514</v>
      </c>
      <c r="N67" s="15" t="s">
        <v>3917</v>
      </c>
    </row>
    <row r="68" spans="1:14" hidden="1">
      <c r="A68" s="208">
        <f t="shared" ref="A68:A131" si="3">A67+1</f>
        <v>67</v>
      </c>
      <c r="B68" s="14" t="s">
        <v>458</v>
      </c>
      <c r="C68" s="25">
        <v>45840</v>
      </c>
      <c r="D68" s="25">
        <v>45840</v>
      </c>
      <c r="E68" s="14" t="s">
        <v>454</v>
      </c>
      <c r="F68" s="14" t="s">
        <v>4</v>
      </c>
      <c r="G68" s="27">
        <v>6630902.5</v>
      </c>
      <c r="H68" s="27">
        <v>0</v>
      </c>
      <c r="I68" s="27">
        <f t="shared" si="2"/>
        <v>-6630902.5</v>
      </c>
      <c r="J68" s="27">
        <v>43672752.600000001</v>
      </c>
      <c r="K68" s="14" t="s">
        <v>459</v>
      </c>
      <c r="L68" s="14" t="s">
        <v>702</v>
      </c>
      <c r="M68" s="41" t="s">
        <v>514</v>
      </c>
      <c r="N68" s="15" t="s">
        <v>3917</v>
      </c>
    </row>
    <row r="69" spans="1:14" hidden="1">
      <c r="A69" s="208">
        <f t="shared" si="3"/>
        <v>68</v>
      </c>
      <c r="B69" s="14" t="s">
        <v>460</v>
      </c>
      <c r="C69" s="25">
        <v>45840</v>
      </c>
      <c r="D69" s="25">
        <v>45840</v>
      </c>
      <c r="E69" s="14" t="s">
        <v>461</v>
      </c>
      <c r="F69" s="14" t="s">
        <v>4</v>
      </c>
      <c r="G69" s="27">
        <v>2480890.0099999998</v>
      </c>
      <c r="H69" s="27">
        <v>0</v>
      </c>
      <c r="I69" s="27">
        <f t="shared" si="2"/>
        <v>-2480890.0099999998</v>
      </c>
      <c r="J69" s="27">
        <v>41191862.590000004</v>
      </c>
      <c r="K69" s="14" t="s">
        <v>462</v>
      </c>
      <c r="L69" s="14" t="s">
        <v>702</v>
      </c>
      <c r="M69" s="41" t="s">
        <v>514</v>
      </c>
      <c r="N69" s="15" t="s">
        <v>3917</v>
      </c>
    </row>
    <row r="70" spans="1:14" hidden="1">
      <c r="A70" s="208">
        <f t="shared" si="3"/>
        <v>69</v>
      </c>
      <c r="B70" s="24" t="s">
        <v>463</v>
      </c>
      <c r="C70" s="28">
        <v>45840</v>
      </c>
      <c r="D70" s="28">
        <v>45840</v>
      </c>
      <c r="E70" s="24" t="s">
        <v>464</v>
      </c>
      <c r="F70" s="24" t="s">
        <v>4</v>
      </c>
      <c r="G70" s="27">
        <v>0</v>
      </c>
      <c r="H70" s="57">
        <v>1791999.41</v>
      </c>
      <c r="I70" s="27">
        <f t="shared" si="2"/>
        <v>1791999.41</v>
      </c>
      <c r="J70" s="57">
        <v>42983862</v>
      </c>
      <c r="K70" s="26" t="s">
        <v>465</v>
      </c>
      <c r="L70" s="50" t="s">
        <v>3723</v>
      </c>
      <c r="M70" s="41" t="s">
        <v>515</v>
      </c>
      <c r="N70" s="15" t="s">
        <v>3917</v>
      </c>
    </row>
    <row r="71" spans="1:14" ht="15.75" hidden="1">
      <c r="A71" s="208">
        <f t="shared" si="3"/>
        <v>70</v>
      </c>
      <c r="B71" s="14" t="s">
        <v>699</v>
      </c>
      <c r="C71" s="13">
        <v>45841</v>
      </c>
      <c r="D71" s="13">
        <v>45841</v>
      </c>
      <c r="E71" s="14" t="s">
        <v>700</v>
      </c>
      <c r="F71" s="14" t="s">
        <v>4</v>
      </c>
      <c r="G71" s="47">
        <v>6253509.5999999996</v>
      </c>
      <c r="H71" s="27">
        <v>0</v>
      </c>
      <c r="I71" s="27">
        <f t="shared" si="2"/>
        <v>-6253509.5999999996</v>
      </c>
      <c r="J71" s="27">
        <v>36730352.399999999</v>
      </c>
      <c r="K71" s="14" t="s">
        <v>701</v>
      </c>
      <c r="L71" s="2" t="s">
        <v>702</v>
      </c>
      <c r="M71" s="41" t="str">
        <f t="shared" ref="M71:M89" si="4">L71</f>
        <v>Invoice Discounting</v>
      </c>
      <c r="N71" s="15" t="s">
        <v>3917</v>
      </c>
    </row>
    <row r="72" spans="1:14" ht="15.75" hidden="1">
      <c r="A72" s="208">
        <f t="shared" si="3"/>
        <v>71</v>
      </c>
      <c r="B72" s="14" t="s">
        <v>703</v>
      </c>
      <c r="C72" s="13">
        <v>45841</v>
      </c>
      <c r="D72" s="13">
        <v>45841</v>
      </c>
      <c r="E72" s="14" t="s">
        <v>700</v>
      </c>
      <c r="F72" s="14" t="s">
        <v>4</v>
      </c>
      <c r="G72" s="47">
        <v>16008.83</v>
      </c>
      <c r="H72" s="27">
        <v>0</v>
      </c>
      <c r="I72" s="27">
        <f t="shared" si="2"/>
        <v>-16008.83</v>
      </c>
      <c r="J72" s="27">
        <v>36714343.57</v>
      </c>
      <c r="K72" s="14" t="s">
        <v>704</v>
      </c>
      <c r="L72" s="2" t="s">
        <v>702</v>
      </c>
      <c r="M72" s="41" t="str">
        <f t="shared" si="4"/>
        <v>Invoice Discounting</v>
      </c>
      <c r="N72" s="15" t="s">
        <v>3917</v>
      </c>
    </row>
    <row r="73" spans="1:14" ht="15.75" hidden="1">
      <c r="A73" s="208">
        <f t="shared" si="3"/>
        <v>72</v>
      </c>
      <c r="B73" s="14" t="s">
        <v>705</v>
      </c>
      <c r="C73" s="13">
        <v>45841</v>
      </c>
      <c r="D73" s="13">
        <v>45841</v>
      </c>
      <c r="E73" s="14" t="s">
        <v>706</v>
      </c>
      <c r="F73" s="14" t="s">
        <v>4</v>
      </c>
      <c r="G73" s="47">
        <v>48725.63</v>
      </c>
      <c r="H73" s="27">
        <v>0</v>
      </c>
      <c r="I73" s="27">
        <f t="shared" si="2"/>
        <v>-48725.63</v>
      </c>
      <c r="J73" s="27">
        <v>36665617.939999998</v>
      </c>
      <c r="K73" s="14" t="s">
        <v>707</v>
      </c>
      <c r="L73" s="2" t="s">
        <v>702</v>
      </c>
      <c r="M73" s="41" t="str">
        <f t="shared" si="4"/>
        <v>Invoice Discounting</v>
      </c>
      <c r="N73" s="15" t="s">
        <v>3917</v>
      </c>
    </row>
    <row r="74" spans="1:14" ht="15.75" hidden="1">
      <c r="A74" s="208">
        <f t="shared" si="3"/>
        <v>73</v>
      </c>
      <c r="B74" s="14" t="s">
        <v>708</v>
      </c>
      <c r="C74" s="13">
        <v>45841</v>
      </c>
      <c r="D74" s="13">
        <v>45841</v>
      </c>
      <c r="E74" s="14" t="s">
        <v>706</v>
      </c>
      <c r="F74" s="14" t="s">
        <v>4</v>
      </c>
      <c r="G74" s="47">
        <v>4340.7299999999996</v>
      </c>
      <c r="H74" s="27">
        <v>0</v>
      </c>
      <c r="I74" s="27">
        <f t="shared" si="2"/>
        <v>-4340.7299999999996</v>
      </c>
      <c r="J74" s="27">
        <v>36661277.210000001</v>
      </c>
      <c r="K74" s="14" t="s">
        <v>709</v>
      </c>
      <c r="L74" s="2" t="s">
        <v>702</v>
      </c>
      <c r="M74" s="41" t="str">
        <f t="shared" si="4"/>
        <v>Invoice Discounting</v>
      </c>
      <c r="N74" s="15" t="s">
        <v>3917</v>
      </c>
    </row>
    <row r="75" spans="1:14" ht="15.75" hidden="1">
      <c r="A75" s="208">
        <f t="shared" si="3"/>
        <v>74</v>
      </c>
      <c r="B75" s="14" t="s">
        <v>710</v>
      </c>
      <c r="C75" s="13">
        <v>45841</v>
      </c>
      <c r="D75" s="13">
        <v>45841</v>
      </c>
      <c r="E75" s="14" t="s">
        <v>706</v>
      </c>
      <c r="F75" s="14" t="s">
        <v>4</v>
      </c>
      <c r="G75" s="47">
        <v>23361.46</v>
      </c>
      <c r="H75" s="27">
        <v>0</v>
      </c>
      <c r="I75" s="27">
        <f t="shared" si="2"/>
        <v>-23361.46</v>
      </c>
      <c r="J75" s="27">
        <v>36637915.75</v>
      </c>
      <c r="K75" s="14" t="s">
        <v>711</v>
      </c>
      <c r="L75" s="2" t="s">
        <v>702</v>
      </c>
      <c r="M75" s="41" t="str">
        <f t="shared" si="4"/>
        <v>Invoice Discounting</v>
      </c>
      <c r="N75" s="15" t="s">
        <v>3917</v>
      </c>
    </row>
    <row r="76" spans="1:14" ht="15.75" hidden="1">
      <c r="A76" s="208">
        <f t="shared" si="3"/>
        <v>75</v>
      </c>
      <c r="B76" s="14" t="s">
        <v>712</v>
      </c>
      <c r="C76" s="13">
        <v>45841</v>
      </c>
      <c r="D76" s="13">
        <v>45841</v>
      </c>
      <c r="E76" s="14" t="s">
        <v>713</v>
      </c>
      <c r="F76" s="14" t="s">
        <v>4</v>
      </c>
      <c r="G76" s="47">
        <v>37934.980000000003</v>
      </c>
      <c r="H76" s="27">
        <v>0</v>
      </c>
      <c r="I76" s="27">
        <f t="shared" si="2"/>
        <v>-37934.980000000003</v>
      </c>
      <c r="J76" s="27">
        <v>36599980.770000003</v>
      </c>
      <c r="K76" s="14" t="s">
        <v>714</v>
      </c>
      <c r="L76" s="2" t="s">
        <v>702</v>
      </c>
      <c r="M76" s="41" t="str">
        <f t="shared" si="4"/>
        <v>Invoice Discounting</v>
      </c>
      <c r="N76" s="15" t="s">
        <v>3917</v>
      </c>
    </row>
    <row r="77" spans="1:14" ht="15.75" hidden="1">
      <c r="A77" s="208">
        <f t="shared" si="3"/>
        <v>76</v>
      </c>
      <c r="B77" s="14" t="s">
        <v>715</v>
      </c>
      <c r="C77" s="13">
        <v>45841</v>
      </c>
      <c r="D77" s="13">
        <v>45841</v>
      </c>
      <c r="E77" s="14" t="s">
        <v>716</v>
      </c>
      <c r="F77" s="14" t="s">
        <v>4</v>
      </c>
      <c r="G77" s="47">
        <v>13673.63</v>
      </c>
      <c r="H77" s="27">
        <v>0</v>
      </c>
      <c r="I77" s="27">
        <f t="shared" si="2"/>
        <v>-13673.63</v>
      </c>
      <c r="J77" s="27">
        <v>36586307.140000001</v>
      </c>
      <c r="K77" s="14" t="s">
        <v>717</v>
      </c>
      <c r="L77" s="2" t="s">
        <v>702</v>
      </c>
      <c r="M77" s="41" t="str">
        <f t="shared" si="4"/>
        <v>Invoice Discounting</v>
      </c>
      <c r="N77" s="15" t="s">
        <v>3917</v>
      </c>
    </row>
    <row r="78" spans="1:14" ht="15.75" hidden="1">
      <c r="A78" s="208">
        <f t="shared" si="3"/>
        <v>77</v>
      </c>
      <c r="B78" s="14" t="s">
        <v>718</v>
      </c>
      <c r="C78" s="13">
        <v>45841</v>
      </c>
      <c r="D78" s="13">
        <v>45841</v>
      </c>
      <c r="E78" s="14" t="s">
        <v>719</v>
      </c>
      <c r="F78" s="14" t="s">
        <v>4</v>
      </c>
      <c r="G78" s="47">
        <v>115383.94</v>
      </c>
      <c r="H78" s="27">
        <v>0</v>
      </c>
      <c r="I78" s="27">
        <f t="shared" si="2"/>
        <v>-115383.94</v>
      </c>
      <c r="J78" s="27">
        <v>36470923.200000003</v>
      </c>
      <c r="K78" s="14" t="s">
        <v>720</v>
      </c>
      <c r="L78" s="2" t="s">
        <v>702</v>
      </c>
      <c r="M78" s="41" t="str">
        <f t="shared" si="4"/>
        <v>Invoice Discounting</v>
      </c>
      <c r="N78" s="15" t="s">
        <v>3917</v>
      </c>
    </row>
    <row r="79" spans="1:14" ht="15.75" hidden="1">
      <c r="A79" s="208">
        <f t="shared" si="3"/>
        <v>78</v>
      </c>
      <c r="B79" s="14" t="s">
        <v>721</v>
      </c>
      <c r="C79" s="13">
        <v>45841</v>
      </c>
      <c r="D79" s="13">
        <v>45841</v>
      </c>
      <c r="E79" s="14" t="s">
        <v>722</v>
      </c>
      <c r="F79" s="14" t="s">
        <v>4</v>
      </c>
      <c r="G79" s="47">
        <v>6253509.5999999996</v>
      </c>
      <c r="H79" s="27">
        <v>0</v>
      </c>
      <c r="I79" s="27">
        <f t="shared" si="2"/>
        <v>-6253509.5999999996</v>
      </c>
      <c r="J79" s="27">
        <v>30217413.600000001</v>
      </c>
      <c r="K79" s="14" t="s">
        <v>723</v>
      </c>
      <c r="L79" s="2" t="s">
        <v>702</v>
      </c>
      <c r="M79" s="41" t="str">
        <f t="shared" si="4"/>
        <v>Invoice Discounting</v>
      </c>
      <c r="N79" s="15" t="s">
        <v>3917</v>
      </c>
    </row>
    <row r="80" spans="1:14" ht="15.75" hidden="1">
      <c r="A80" s="208">
        <f t="shared" si="3"/>
        <v>79</v>
      </c>
      <c r="B80" s="14" t="s">
        <v>724</v>
      </c>
      <c r="C80" s="13">
        <v>45841</v>
      </c>
      <c r="D80" s="13">
        <v>45841</v>
      </c>
      <c r="E80" s="14" t="s">
        <v>725</v>
      </c>
      <c r="F80" s="14" t="s">
        <v>4</v>
      </c>
      <c r="G80" s="47">
        <v>6166.29</v>
      </c>
      <c r="H80" s="27">
        <v>0</v>
      </c>
      <c r="I80" s="27">
        <f t="shared" si="2"/>
        <v>-6166.29</v>
      </c>
      <c r="J80" s="27">
        <v>30211247.309999999</v>
      </c>
      <c r="K80" s="14" t="s">
        <v>726</v>
      </c>
      <c r="L80" s="2" t="s">
        <v>702</v>
      </c>
      <c r="M80" s="41" t="str">
        <f t="shared" si="4"/>
        <v>Invoice Discounting</v>
      </c>
      <c r="N80" s="15" t="s">
        <v>3917</v>
      </c>
    </row>
    <row r="81" spans="1:14" ht="15.75" hidden="1">
      <c r="A81" s="208">
        <f t="shared" si="3"/>
        <v>80</v>
      </c>
      <c r="B81" s="14" t="s">
        <v>727</v>
      </c>
      <c r="C81" s="13">
        <v>45841</v>
      </c>
      <c r="D81" s="13">
        <v>45841</v>
      </c>
      <c r="E81" s="14" t="s">
        <v>728</v>
      </c>
      <c r="F81" s="14" t="s">
        <v>4</v>
      </c>
      <c r="G81" s="47">
        <v>6253509.5999999996</v>
      </c>
      <c r="H81" s="27">
        <v>0</v>
      </c>
      <c r="I81" s="27">
        <f t="shared" si="2"/>
        <v>-6253509.5999999996</v>
      </c>
      <c r="J81" s="27">
        <v>23957737.710000001</v>
      </c>
      <c r="K81" s="14" t="s">
        <v>729</v>
      </c>
      <c r="L81" s="2" t="s">
        <v>702</v>
      </c>
      <c r="M81" s="41" t="str">
        <f t="shared" si="4"/>
        <v>Invoice Discounting</v>
      </c>
      <c r="N81" s="15" t="s">
        <v>3917</v>
      </c>
    </row>
    <row r="82" spans="1:14" ht="15.75" hidden="1">
      <c r="A82" s="208">
        <f t="shared" si="3"/>
        <v>81</v>
      </c>
      <c r="B82" s="14" t="s">
        <v>730</v>
      </c>
      <c r="C82" s="13">
        <v>45841</v>
      </c>
      <c r="D82" s="13">
        <v>45841</v>
      </c>
      <c r="E82" s="14" t="s">
        <v>728</v>
      </c>
      <c r="F82" s="14" t="s">
        <v>4</v>
      </c>
      <c r="G82" s="47">
        <v>63926.25</v>
      </c>
      <c r="H82" s="27">
        <v>0</v>
      </c>
      <c r="I82" s="27">
        <f t="shared" si="2"/>
        <v>-63926.25</v>
      </c>
      <c r="J82" s="27">
        <v>23893811.460000001</v>
      </c>
      <c r="K82" s="14" t="s">
        <v>731</v>
      </c>
      <c r="L82" s="2" t="s">
        <v>702</v>
      </c>
      <c r="M82" s="41" t="str">
        <f t="shared" si="4"/>
        <v>Invoice Discounting</v>
      </c>
      <c r="N82" s="15" t="s">
        <v>3917</v>
      </c>
    </row>
    <row r="83" spans="1:14" ht="15.75" hidden="1">
      <c r="A83" s="208">
        <f t="shared" si="3"/>
        <v>82</v>
      </c>
      <c r="B83" s="14" t="s">
        <v>732</v>
      </c>
      <c r="C83" s="13">
        <v>45841</v>
      </c>
      <c r="D83" s="13">
        <v>45841</v>
      </c>
      <c r="E83" s="14" t="s">
        <v>733</v>
      </c>
      <c r="F83" s="14" t="s">
        <v>4</v>
      </c>
      <c r="G83" s="47">
        <v>1250701.52</v>
      </c>
      <c r="H83" s="27">
        <v>0</v>
      </c>
      <c r="I83" s="27">
        <f t="shared" si="2"/>
        <v>-1250701.52</v>
      </c>
      <c r="J83" s="27">
        <v>22643109.940000001</v>
      </c>
      <c r="K83" s="14" t="s">
        <v>734</v>
      </c>
      <c r="L83" s="2" t="s">
        <v>702</v>
      </c>
      <c r="M83" s="41" t="str">
        <f t="shared" si="4"/>
        <v>Invoice Discounting</v>
      </c>
      <c r="N83" s="15" t="s">
        <v>3917</v>
      </c>
    </row>
    <row r="84" spans="1:14" ht="15.75" hidden="1">
      <c r="A84" s="208">
        <f t="shared" si="3"/>
        <v>83</v>
      </c>
      <c r="B84" s="14" t="s">
        <v>735</v>
      </c>
      <c r="C84" s="13">
        <v>45841</v>
      </c>
      <c r="D84" s="13">
        <v>45841</v>
      </c>
      <c r="E84" s="14" t="s">
        <v>733</v>
      </c>
      <c r="F84" s="14" t="s">
        <v>4</v>
      </c>
      <c r="G84" s="47">
        <v>6253509.5999999996</v>
      </c>
      <c r="H84" s="27">
        <v>0</v>
      </c>
      <c r="I84" s="27">
        <f t="shared" si="2"/>
        <v>-6253509.5999999996</v>
      </c>
      <c r="J84" s="27">
        <v>16389600.34</v>
      </c>
      <c r="K84" s="14" t="s">
        <v>736</v>
      </c>
      <c r="L84" s="2" t="s">
        <v>702</v>
      </c>
      <c r="M84" s="41" t="str">
        <f t="shared" si="4"/>
        <v>Invoice Discounting</v>
      </c>
      <c r="N84" s="15" t="s">
        <v>3917</v>
      </c>
    </row>
    <row r="85" spans="1:14" ht="15.75" hidden="1">
      <c r="A85" s="208">
        <f t="shared" si="3"/>
        <v>84</v>
      </c>
      <c r="B85" s="14" t="s">
        <v>737</v>
      </c>
      <c r="C85" s="13">
        <v>45841</v>
      </c>
      <c r="D85" s="13">
        <v>45841</v>
      </c>
      <c r="E85" s="14" t="s">
        <v>738</v>
      </c>
      <c r="F85" s="14" t="s">
        <v>4</v>
      </c>
      <c r="G85" s="47">
        <v>75639.42</v>
      </c>
      <c r="H85" s="27">
        <v>0</v>
      </c>
      <c r="I85" s="27">
        <f t="shared" si="2"/>
        <v>-75639.42</v>
      </c>
      <c r="J85" s="27">
        <v>16313960.92</v>
      </c>
      <c r="K85" s="14" t="s">
        <v>739</v>
      </c>
      <c r="L85" s="2" t="s">
        <v>702</v>
      </c>
      <c r="M85" s="41" t="str">
        <f t="shared" si="4"/>
        <v>Invoice Discounting</v>
      </c>
      <c r="N85" s="15" t="s">
        <v>3917</v>
      </c>
    </row>
    <row r="86" spans="1:14" ht="15.75" hidden="1">
      <c r="A86" s="208">
        <f t="shared" si="3"/>
        <v>85</v>
      </c>
      <c r="B86" s="14" t="s">
        <v>740</v>
      </c>
      <c r="C86" s="13">
        <v>45841</v>
      </c>
      <c r="D86" s="13">
        <v>45841</v>
      </c>
      <c r="E86" s="14" t="s">
        <v>741</v>
      </c>
      <c r="F86" s="14" t="s">
        <v>4</v>
      </c>
      <c r="G86" s="47">
        <v>74847.61</v>
      </c>
      <c r="H86" s="27">
        <v>0</v>
      </c>
      <c r="I86" s="27">
        <f t="shared" si="2"/>
        <v>-74847.61</v>
      </c>
      <c r="J86" s="27">
        <v>16239113.310000001</v>
      </c>
      <c r="K86" s="14" t="s">
        <v>742</v>
      </c>
      <c r="L86" s="2" t="s">
        <v>702</v>
      </c>
      <c r="M86" s="41" t="str">
        <f t="shared" si="4"/>
        <v>Invoice Discounting</v>
      </c>
      <c r="N86" s="15" t="s">
        <v>3917</v>
      </c>
    </row>
    <row r="87" spans="1:14" ht="15.75" hidden="1">
      <c r="A87" s="208">
        <f t="shared" si="3"/>
        <v>86</v>
      </c>
      <c r="B87" s="14" t="s">
        <v>743</v>
      </c>
      <c r="C87" s="13">
        <v>45841</v>
      </c>
      <c r="D87" s="13">
        <v>45841</v>
      </c>
      <c r="E87" s="14" t="s">
        <v>741</v>
      </c>
      <c r="F87" s="14" t="s">
        <v>4</v>
      </c>
      <c r="G87" s="47">
        <v>1649.21</v>
      </c>
      <c r="H87" s="27">
        <v>0</v>
      </c>
      <c r="I87" s="27">
        <f t="shared" si="2"/>
        <v>-1649.21</v>
      </c>
      <c r="J87" s="27">
        <v>16237464.1</v>
      </c>
      <c r="K87" s="14" t="s">
        <v>744</v>
      </c>
      <c r="L87" s="2" t="s">
        <v>702</v>
      </c>
      <c r="M87" s="41" t="str">
        <f t="shared" si="4"/>
        <v>Invoice Discounting</v>
      </c>
      <c r="N87" s="15" t="s">
        <v>3917</v>
      </c>
    </row>
    <row r="88" spans="1:14" ht="15.75" hidden="1">
      <c r="A88" s="208">
        <f t="shared" si="3"/>
        <v>87</v>
      </c>
      <c r="B88" s="14" t="s">
        <v>745</v>
      </c>
      <c r="C88" s="13">
        <v>45841</v>
      </c>
      <c r="D88" s="13">
        <v>45841</v>
      </c>
      <c r="E88" s="14" t="s">
        <v>746</v>
      </c>
      <c r="F88" s="14" t="s">
        <v>4</v>
      </c>
      <c r="G88" s="47">
        <v>6253509.5999999996</v>
      </c>
      <c r="H88" s="27">
        <v>0</v>
      </c>
      <c r="I88" s="27">
        <f t="shared" si="2"/>
        <v>-6253509.5999999996</v>
      </c>
      <c r="J88" s="27">
        <v>9983954.5</v>
      </c>
      <c r="K88" s="14" t="s">
        <v>747</v>
      </c>
      <c r="L88" s="2" t="s">
        <v>702</v>
      </c>
      <c r="M88" s="41" t="str">
        <f t="shared" si="4"/>
        <v>Invoice Discounting</v>
      </c>
      <c r="N88" s="15" t="s">
        <v>3917</v>
      </c>
    </row>
    <row r="89" spans="1:14" ht="15.75" hidden="1">
      <c r="A89" s="208">
        <f t="shared" si="3"/>
        <v>88</v>
      </c>
      <c r="B89" s="14" t="s">
        <v>748</v>
      </c>
      <c r="C89" s="13">
        <v>45841</v>
      </c>
      <c r="D89" s="13">
        <v>45841</v>
      </c>
      <c r="E89" s="14" t="s">
        <v>749</v>
      </c>
      <c r="F89" s="14" t="s">
        <v>4</v>
      </c>
      <c r="G89" s="47">
        <v>326447</v>
      </c>
      <c r="H89" s="27">
        <v>0</v>
      </c>
      <c r="I89" s="27">
        <f t="shared" si="2"/>
        <v>-326447</v>
      </c>
      <c r="J89" s="27">
        <v>9657507.5</v>
      </c>
      <c r="K89" s="14" t="s">
        <v>750</v>
      </c>
      <c r="L89" s="2" t="s">
        <v>702</v>
      </c>
      <c r="M89" s="41" t="str">
        <f t="shared" si="4"/>
        <v>Invoice Discounting</v>
      </c>
      <c r="N89" s="15" t="s">
        <v>3917</v>
      </c>
    </row>
    <row r="90" spans="1:14" ht="15.75" hidden="1">
      <c r="A90" s="208">
        <f t="shared" si="3"/>
        <v>89</v>
      </c>
      <c r="B90" s="14" t="s">
        <v>751</v>
      </c>
      <c r="C90" s="13">
        <v>45841</v>
      </c>
      <c r="D90" s="13">
        <v>45841</v>
      </c>
      <c r="E90" s="14" t="s">
        <v>752</v>
      </c>
      <c r="F90" s="14" t="s">
        <v>4</v>
      </c>
      <c r="G90" s="47">
        <v>666231.24</v>
      </c>
      <c r="H90" s="27">
        <v>0</v>
      </c>
      <c r="I90" s="27">
        <f t="shared" si="2"/>
        <v>-666231.24</v>
      </c>
      <c r="J90" s="27">
        <v>8991276.2599999998</v>
      </c>
      <c r="K90" s="14" t="s">
        <v>753</v>
      </c>
      <c r="L90" s="2" t="s">
        <v>3719</v>
      </c>
      <c r="M90" s="41" t="s">
        <v>754</v>
      </c>
      <c r="N90" s="15" t="s">
        <v>3917</v>
      </c>
    </row>
    <row r="91" spans="1:14" ht="15.75" hidden="1">
      <c r="A91" s="208">
        <f t="shared" si="3"/>
        <v>90</v>
      </c>
      <c r="B91" s="42" t="s">
        <v>755</v>
      </c>
      <c r="C91" s="25">
        <v>45842</v>
      </c>
      <c r="D91" s="43">
        <v>45842</v>
      </c>
      <c r="E91" s="42" t="s">
        <v>756</v>
      </c>
      <c r="F91" s="42" t="s">
        <v>4</v>
      </c>
      <c r="G91" s="47">
        <v>4039617</v>
      </c>
      <c r="H91" s="57">
        <v>0</v>
      </c>
      <c r="I91" s="27">
        <f t="shared" si="2"/>
        <v>-4039617</v>
      </c>
      <c r="J91" s="27">
        <v>4951659.26</v>
      </c>
      <c r="K91" s="44" t="s">
        <v>757</v>
      </c>
      <c r="L91" s="2" t="s">
        <v>702</v>
      </c>
      <c r="M91" s="41" t="str">
        <f t="shared" ref="M91:M103" si="5">L91</f>
        <v>Invoice Discounting</v>
      </c>
      <c r="N91" s="15" t="s">
        <v>3917</v>
      </c>
    </row>
    <row r="92" spans="1:14" ht="15.75" hidden="1">
      <c r="A92" s="208">
        <f t="shared" si="3"/>
        <v>91</v>
      </c>
      <c r="B92" s="42" t="s">
        <v>758</v>
      </c>
      <c r="C92" s="25">
        <v>45842</v>
      </c>
      <c r="D92" s="43">
        <v>45842</v>
      </c>
      <c r="E92" s="42" t="s">
        <v>759</v>
      </c>
      <c r="F92" s="42" t="s">
        <v>4</v>
      </c>
      <c r="G92" s="47">
        <v>3066192.4</v>
      </c>
      <c r="H92" s="57">
        <v>0</v>
      </c>
      <c r="I92" s="27">
        <f t="shared" si="2"/>
        <v>-3066192.4</v>
      </c>
      <c r="J92" s="27">
        <v>1885466.86</v>
      </c>
      <c r="K92" s="44" t="s">
        <v>760</v>
      </c>
      <c r="L92" s="2" t="s">
        <v>702</v>
      </c>
      <c r="M92" s="41" t="str">
        <f t="shared" si="5"/>
        <v>Invoice Discounting</v>
      </c>
      <c r="N92" s="15" t="s">
        <v>3917</v>
      </c>
    </row>
    <row r="93" spans="1:14" ht="15.75" hidden="1">
      <c r="A93" s="208">
        <f t="shared" si="3"/>
        <v>92</v>
      </c>
      <c r="B93" s="42" t="s">
        <v>761</v>
      </c>
      <c r="C93" s="25">
        <v>45842</v>
      </c>
      <c r="D93" s="43">
        <v>45842</v>
      </c>
      <c r="E93" s="42" t="s">
        <v>759</v>
      </c>
      <c r="F93" s="42" t="s">
        <v>4</v>
      </c>
      <c r="G93" s="47">
        <v>5319234.5999999996</v>
      </c>
      <c r="H93" s="57">
        <v>0</v>
      </c>
      <c r="I93" s="27">
        <f t="shared" si="2"/>
        <v>-5319234.5999999996</v>
      </c>
      <c r="J93" s="27">
        <v>-3433767.74</v>
      </c>
      <c r="K93" s="44" t="s">
        <v>762</v>
      </c>
      <c r="L93" s="2" t="s">
        <v>702</v>
      </c>
      <c r="M93" s="41" t="str">
        <f t="shared" si="5"/>
        <v>Invoice Discounting</v>
      </c>
      <c r="N93" s="15" t="s">
        <v>3917</v>
      </c>
    </row>
    <row r="94" spans="1:14" ht="15.75" hidden="1">
      <c r="A94" s="208">
        <f t="shared" si="3"/>
        <v>93</v>
      </c>
      <c r="B94" s="42" t="s">
        <v>763</v>
      </c>
      <c r="C94" s="25">
        <v>45842</v>
      </c>
      <c r="D94" s="43">
        <v>45842</v>
      </c>
      <c r="E94" s="42" t="s">
        <v>759</v>
      </c>
      <c r="F94" s="42" t="s">
        <v>4</v>
      </c>
      <c r="G94" s="47">
        <v>594570</v>
      </c>
      <c r="H94" s="57">
        <v>0</v>
      </c>
      <c r="I94" s="27">
        <f t="shared" si="2"/>
        <v>-594570</v>
      </c>
      <c r="J94" s="27">
        <v>-4028337.74</v>
      </c>
      <c r="K94" s="44" t="s">
        <v>764</v>
      </c>
      <c r="L94" s="2" t="s">
        <v>702</v>
      </c>
      <c r="M94" s="41" t="str">
        <f t="shared" si="5"/>
        <v>Invoice Discounting</v>
      </c>
      <c r="N94" s="15" t="s">
        <v>3917</v>
      </c>
    </row>
    <row r="95" spans="1:14" hidden="1">
      <c r="A95" s="208">
        <f t="shared" si="3"/>
        <v>94</v>
      </c>
      <c r="B95" s="42" t="s">
        <v>765</v>
      </c>
      <c r="C95" s="25">
        <v>45842</v>
      </c>
      <c r="D95" s="43">
        <v>45842</v>
      </c>
      <c r="E95" s="42" t="s">
        <v>766</v>
      </c>
      <c r="F95" s="42" t="s">
        <v>4</v>
      </c>
      <c r="G95" s="47">
        <v>1233.0999999999999</v>
      </c>
      <c r="H95" s="57">
        <v>0</v>
      </c>
      <c r="I95" s="27">
        <f t="shared" si="2"/>
        <v>-1233.0999999999999</v>
      </c>
      <c r="J95" s="27">
        <v>-4029570.84</v>
      </c>
      <c r="K95" s="44" t="s">
        <v>767</v>
      </c>
      <c r="L95" s="1200" t="s">
        <v>542</v>
      </c>
      <c r="M95" s="41" t="str">
        <f t="shared" si="5"/>
        <v>Other Expenses</v>
      </c>
      <c r="N95" s="15" t="s">
        <v>3917</v>
      </c>
    </row>
    <row r="96" spans="1:14" hidden="1">
      <c r="A96" s="208">
        <f t="shared" si="3"/>
        <v>95</v>
      </c>
      <c r="B96" s="42" t="s">
        <v>768</v>
      </c>
      <c r="C96" s="25">
        <v>45842</v>
      </c>
      <c r="D96" s="43">
        <v>45842</v>
      </c>
      <c r="E96" s="42" t="s">
        <v>769</v>
      </c>
      <c r="F96" s="42" t="s">
        <v>4</v>
      </c>
      <c r="G96" s="47">
        <v>115</v>
      </c>
      <c r="H96" s="27">
        <v>0</v>
      </c>
      <c r="I96" s="27">
        <f t="shared" si="2"/>
        <v>-115</v>
      </c>
      <c r="J96" s="27">
        <v>-4029685.84</v>
      </c>
      <c r="K96" s="44" t="s">
        <v>770</v>
      </c>
      <c r="L96" s="14" t="s">
        <v>542</v>
      </c>
      <c r="M96" s="41" t="str">
        <f t="shared" si="5"/>
        <v>Other Expenses</v>
      </c>
      <c r="N96" s="15" t="s">
        <v>3917</v>
      </c>
    </row>
    <row r="97" spans="1:14" ht="15.75" hidden="1">
      <c r="A97" s="208">
        <f t="shared" si="3"/>
        <v>96</v>
      </c>
      <c r="B97" s="42" t="s">
        <v>771</v>
      </c>
      <c r="C97" s="45">
        <v>45843</v>
      </c>
      <c r="D97" s="46">
        <v>45843</v>
      </c>
      <c r="E97" s="42" t="s">
        <v>772</v>
      </c>
      <c r="F97" s="42" t="s">
        <v>4</v>
      </c>
      <c r="G97" s="47">
        <v>495069.86</v>
      </c>
      <c r="H97" s="27">
        <v>0</v>
      </c>
      <c r="I97" s="27">
        <f t="shared" si="2"/>
        <v>-495069.86</v>
      </c>
      <c r="J97" s="27">
        <v>-4524755.7</v>
      </c>
      <c r="K97" s="44" t="s">
        <v>773</v>
      </c>
      <c r="L97" s="2" t="s">
        <v>702</v>
      </c>
      <c r="M97" s="41" t="str">
        <f t="shared" si="5"/>
        <v>Invoice Discounting</v>
      </c>
      <c r="N97" s="15" t="s">
        <v>3917</v>
      </c>
    </row>
    <row r="98" spans="1:14" ht="15.75" hidden="1">
      <c r="A98" s="208">
        <f t="shared" si="3"/>
        <v>97</v>
      </c>
      <c r="B98" s="42" t="s">
        <v>774</v>
      </c>
      <c r="C98" s="45">
        <v>45843</v>
      </c>
      <c r="D98" s="46">
        <v>45843</v>
      </c>
      <c r="E98" s="42" t="s">
        <v>775</v>
      </c>
      <c r="F98" s="42" t="s">
        <v>4</v>
      </c>
      <c r="G98" s="47">
        <v>123767.46</v>
      </c>
      <c r="H98" s="27">
        <v>0</v>
      </c>
      <c r="I98" s="27">
        <f t="shared" si="2"/>
        <v>-123767.46</v>
      </c>
      <c r="J98" s="27">
        <v>-4648523.16</v>
      </c>
      <c r="K98" s="44" t="s">
        <v>776</v>
      </c>
      <c r="L98" s="2" t="s">
        <v>702</v>
      </c>
      <c r="M98" s="41" t="str">
        <f t="shared" si="5"/>
        <v>Invoice Discounting</v>
      </c>
      <c r="N98" s="15" t="s">
        <v>3917</v>
      </c>
    </row>
    <row r="99" spans="1:14" ht="15.75" hidden="1">
      <c r="A99" s="208">
        <f t="shared" si="3"/>
        <v>98</v>
      </c>
      <c r="B99" s="42" t="s">
        <v>777</v>
      </c>
      <c r="C99" s="45">
        <v>45843</v>
      </c>
      <c r="D99" s="46">
        <v>45843</v>
      </c>
      <c r="E99" s="42" t="s">
        <v>778</v>
      </c>
      <c r="F99" s="42" t="s">
        <v>4</v>
      </c>
      <c r="G99" s="47">
        <v>250389.45</v>
      </c>
      <c r="H99" s="27">
        <v>0</v>
      </c>
      <c r="I99" s="27">
        <f t="shared" si="2"/>
        <v>-250389.45</v>
      </c>
      <c r="J99" s="27">
        <v>-4898912.6100000003</v>
      </c>
      <c r="K99" s="44" t="s">
        <v>779</v>
      </c>
      <c r="L99" s="2" t="s">
        <v>702</v>
      </c>
      <c r="M99" s="41" t="str">
        <f t="shared" si="5"/>
        <v>Invoice Discounting</v>
      </c>
      <c r="N99" s="15" t="s">
        <v>3917</v>
      </c>
    </row>
    <row r="100" spans="1:14" ht="15.75" hidden="1">
      <c r="A100" s="208">
        <f t="shared" si="3"/>
        <v>99</v>
      </c>
      <c r="B100" s="42" t="s">
        <v>780</v>
      </c>
      <c r="C100" s="45">
        <v>45843</v>
      </c>
      <c r="D100" s="46">
        <v>45843</v>
      </c>
      <c r="E100" s="42" t="s">
        <v>778</v>
      </c>
      <c r="F100" s="42" t="s">
        <v>4</v>
      </c>
      <c r="G100" s="47">
        <v>314116.63</v>
      </c>
      <c r="H100" s="27">
        <v>0</v>
      </c>
      <c r="I100" s="27">
        <f t="shared" si="2"/>
        <v>-314116.63</v>
      </c>
      <c r="J100" s="27">
        <v>-5213029.24</v>
      </c>
      <c r="K100" s="44" t="s">
        <v>781</v>
      </c>
      <c r="L100" s="2" t="s">
        <v>702</v>
      </c>
      <c r="M100" s="41" t="str">
        <f t="shared" si="5"/>
        <v>Invoice Discounting</v>
      </c>
      <c r="N100" s="15" t="s">
        <v>3917</v>
      </c>
    </row>
    <row r="101" spans="1:14" ht="15.75" hidden="1">
      <c r="A101" s="208">
        <f t="shared" si="3"/>
        <v>100</v>
      </c>
      <c r="B101" s="42" t="s">
        <v>782</v>
      </c>
      <c r="C101" s="45">
        <v>45843</v>
      </c>
      <c r="D101" s="46">
        <v>45843</v>
      </c>
      <c r="E101" s="42" t="s">
        <v>778</v>
      </c>
      <c r="F101" s="42" t="s">
        <v>4</v>
      </c>
      <c r="G101" s="47">
        <v>314116.63</v>
      </c>
      <c r="H101" s="27">
        <v>0</v>
      </c>
      <c r="I101" s="27">
        <f t="shared" si="2"/>
        <v>-314116.63</v>
      </c>
      <c r="J101" s="27">
        <v>-5527145.8700000001</v>
      </c>
      <c r="K101" s="44" t="s">
        <v>783</v>
      </c>
      <c r="L101" s="2" t="s">
        <v>702</v>
      </c>
      <c r="M101" s="41" t="str">
        <f t="shared" si="5"/>
        <v>Invoice Discounting</v>
      </c>
      <c r="N101" s="15" t="s">
        <v>3917</v>
      </c>
    </row>
    <row r="102" spans="1:14" hidden="1">
      <c r="A102" s="208">
        <f t="shared" si="3"/>
        <v>101</v>
      </c>
      <c r="B102" s="42"/>
      <c r="C102" s="45">
        <v>45844</v>
      </c>
      <c r="D102" s="45">
        <v>45844</v>
      </c>
      <c r="E102" s="42"/>
      <c r="F102" s="42"/>
      <c r="G102" s="47">
        <v>0</v>
      </c>
      <c r="H102" s="27">
        <v>0</v>
      </c>
      <c r="I102" s="27">
        <f t="shared" si="2"/>
        <v>0</v>
      </c>
      <c r="J102" s="27">
        <v>-5527145.8700000001</v>
      </c>
      <c r="K102" s="44"/>
      <c r="L102" s="41" t="s">
        <v>702</v>
      </c>
      <c r="M102" s="41" t="s">
        <v>542</v>
      </c>
      <c r="N102" s="15" t="s">
        <v>3917</v>
      </c>
    </row>
    <row r="103" spans="1:14" hidden="1">
      <c r="A103" s="208">
        <f t="shared" si="3"/>
        <v>102</v>
      </c>
      <c r="B103" s="42" t="s">
        <v>784</v>
      </c>
      <c r="C103" s="45">
        <v>45845</v>
      </c>
      <c r="D103" s="45">
        <v>45845</v>
      </c>
      <c r="E103" s="42" t="s">
        <v>785</v>
      </c>
      <c r="F103" s="42" t="s">
        <v>4</v>
      </c>
      <c r="G103" s="47">
        <v>590</v>
      </c>
      <c r="H103" s="57">
        <v>0</v>
      </c>
      <c r="I103" s="27">
        <f t="shared" si="2"/>
        <v>-590</v>
      </c>
      <c r="J103" s="27">
        <v>-5527735.8700000001</v>
      </c>
      <c r="K103" s="44" t="s">
        <v>786</v>
      </c>
      <c r="L103" s="14" t="s">
        <v>542</v>
      </c>
      <c r="M103" s="41" t="str">
        <f t="shared" si="5"/>
        <v>Other Expenses</v>
      </c>
      <c r="N103" s="15" t="s">
        <v>3917</v>
      </c>
    </row>
    <row r="104" spans="1:14" hidden="1">
      <c r="A104" s="208">
        <f t="shared" si="3"/>
        <v>103</v>
      </c>
      <c r="B104" s="42" t="s">
        <v>787</v>
      </c>
      <c r="C104" s="45">
        <v>45845</v>
      </c>
      <c r="D104" s="45">
        <v>45845</v>
      </c>
      <c r="E104" s="42" t="s">
        <v>788</v>
      </c>
      <c r="F104" s="42" t="s">
        <v>4</v>
      </c>
      <c r="G104" s="47">
        <v>1180</v>
      </c>
      <c r="H104" s="57">
        <v>0</v>
      </c>
      <c r="I104" s="27">
        <f t="shared" si="2"/>
        <v>-1180</v>
      </c>
      <c r="J104" s="27">
        <v>-5528915.8700000001</v>
      </c>
      <c r="K104" s="44" t="s">
        <v>789</v>
      </c>
      <c r="L104" s="14" t="s">
        <v>3726</v>
      </c>
      <c r="M104" s="41" t="s">
        <v>790</v>
      </c>
      <c r="N104" s="15" t="s">
        <v>3917</v>
      </c>
    </row>
    <row r="105" spans="1:14" hidden="1">
      <c r="A105" s="208">
        <f t="shared" si="3"/>
        <v>104</v>
      </c>
      <c r="B105" s="42" t="s">
        <v>791</v>
      </c>
      <c r="C105" s="45">
        <v>45845</v>
      </c>
      <c r="D105" s="45">
        <v>45845</v>
      </c>
      <c r="E105" s="42" t="s">
        <v>792</v>
      </c>
      <c r="F105" s="42" t="s">
        <v>4</v>
      </c>
      <c r="G105" s="47">
        <v>37280901</v>
      </c>
      <c r="H105" s="57">
        <v>0</v>
      </c>
      <c r="I105" s="27">
        <f t="shared" si="2"/>
        <v>-37280901</v>
      </c>
      <c r="J105" s="27">
        <v>-42809816.869999997</v>
      </c>
      <c r="K105" s="44" t="s">
        <v>793</v>
      </c>
      <c r="L105" s="14" t="s">
        <v>984</v>
      </c>
      <c r="M105" s="41" t="s">
        <v>790</v>
      </c>
      <c r="N105" s="15" t="s">
        <v>3917</v>
      </c>
    </row>
    <row r="106" spans="1:14" ht="15.75" hidden="1">
      <c r="A106" s="208">
        <f t="shared" si="3"/>
        <v>105</v>
      </c>
      <c r="B106" s="14" t="s">
        <v>794</v>
      </c>
      <c r="C106" s="13">
        <v>45846</v>
      </c>
      <c r="D106" s="13">
        <v>45846</v>
      </c>
      <c r="E106" s="14" t="s">
        <v>795</v>
      </c>
      <c r="F106" s="14"/>
      <c r="G106" s="47">
        <v>92823.57</v>
      </c>
      <c r="H106" s="27">
        <v>0</v>
      </c>
      <c r="I106" s="27">
        <f t="shared" si="2"/>
        <v>-92823.57</v>
      </c>
      <c r="J106" s="27">
        <v>-42902640.439999998</v>
      </c>
      <c r="K106" s="14" t="s">
        <v>796</v>
      </c>
      <c r="L106" s="2" t="s">
        <v>702</v>
      </c>
      <c r="M106" s="41" t="str">
        <f t="shared" ref="M106:M108" si="6">L106</f>
        <v>Invoice Discounting</v>
      </c>
      <c r="N106" s="15" t="s">
        <v>3917</v>
      </c>
    </row>
    <row r="107" spans="1:14" ht="15.75" hidden="1">
      <c r="A107" s="208">
        <f t="shared" si="3"/>
        <v>106</v>
      </c>
      <c r="B107" s="14" t="s">
        <v>797</v>
      </c>
      <c r="C107" s="13">
        <v>45846</v>
      </c>
      <c r="D107" s="13">
        <v>45846</v>
      </c>
      <c r="E107" s="14" t="s">
        <v>798</v>
      </c>
      <c r="F107" s="14"/>
      <c r="G107" s="47">
        <v>564.09</v>
      </c>
      <c r="H107" s="27">
        <v>0</v>
      </c>
      <c r="I107" s="27">
        <f t="shared" si="2"/>
        <v>-564.09</v>
      </c>
      <c r="J107" s="27">
        <v>-42903204.530000001</v>
      </c>
      <c r="K107" s="14" t="s">
        <v>799</v>
      </c>
      <c r="L107" s="2" t="s">
        <v>702</v>
      </c>
      <c r="M107" s="41" t="str">
        <f t="shared" si="6"/>
        <v>Invoice Discounting</v>
      </c>
      <c r="N107" s="15" t="s">
        <v>3917</v>
      </c>
    </row>
    <row r="108" spans="1:14" ht="15.75" hidden="1">
      <c r="A108" s="208">
        <f t="shared" si="3"/>
        <v>107</v>
      </c>
      <c r="B108" s="14" t="s">
        <v>800</v>
      </c>
      <c r="C108" s="13">
        <v>45846</v>
      </c>
      <c r="D108" s="13">
        <v>45846</v>
      </c>
      <c r="E108" s="14" t="s">
        <v>798</v>
      </c>
      <c r="F108" s="14"/>
      <c r="G108" s="47">
        <v>8436.58</v>
      </c>
      <c r="H108" s="27">
        <v>0</v>
      </c>
      <c r="I108" s="27">
        <f t="shared" si="2"/>
        <v>-8436.58</v>
      </c>
      <c r="J108" s="27">
        <v>-42911641.109999999</v>
      </c>
      <c r="K108" s="14" t="s">
        <v>801</v>
      </c>
      <c r="L108" s="2" t="s">
        <v>702</v>
      </c>
      <c r="M108" s="41" t="str">
        <f t="shared" si="6"/>
        <v>Invoice Discounting</v>
      </c>
      <c r="N108" s="15" t="s">
        <v>3917</v>
      </c>
    </row>
    <row r="109" spans="1:14" hidden="1">
      <c r="A109" s="208">
        <f t="shared" si="3"/>
        <v>108</v>
      </c>
      <c r="B109" s="24" t="s">
        <v>802</v>
      </c>
      <c r="C109" s="28">
        <v>45847</v>
      </c>
      <c r="D109" s="28">
        <v>45847</v>
      </c>
      <c r="E109" s="24" t="s">
        <v>803</v>
      </c>
      <c r="F109" s="14"/>
      <c r="G109" s="57">
        <v>590</v>
      </c>
      <c r="H109" s="57">
        <v>0</v>
      </c>
      <c r="I109" s="27">
        <f t="shared" si="2"/>
        <v>-590</v>
      </c>
      <c r="J109" s="57">
        <v>-42912231.109999999</v>
      </c>
      <c r="K109" s="26" t="s">
        <v>804</v>
      </c>
      <c r="L109" s="14" t="s">
        <v>542</v>
      </c>
      <c r="M109" s="41" t="s">
        <v>805</v>
      </c>
      <c r="N109" s="15" t="s">
        <v>3917</v>
      </c>
    </row>
    <row r="110" spans="1:14" hidden="1">
      <c r="A110" s="208">
        <f t="shared" si="3"/>
        <v>109</v>
      </c>
      <c r="B110" s="24" t="s">
        <v>806</v>
      </c>
      <c r="C110" s="28">
        <v>45847</v>
      </c>
      <c r="D110" s="28">
        <v>45847</v>
      </c>
      <c r="E110" s="24" t="s">
        <v>803</v>
      </c>
      <c r="F110" s="14"/>
      <c r="G110" s="57">
        <v>1180</v>
      </c>
      <c r="H110" s="57">
        <v>0</v>
      </c>
      <c r="I110" s="27">
        <f t="shared" si="2"/>
        <v>-1180</v>
      </c>
      <c r="J110" s="57">
        <v>-42913411.109999999</v>
      </c>
      <c r="K110" s="26" t="s">
        <v>807</v>
      </c>
      <c r="L110" s="14" t="s">
        <v>3726</v>
      </c>
      <c r="M110" s="41" t="s">
        <v>790</v>
      </c>
      <c r="N110" s="15" t="s">
        <v>3917</v>
      </c>
    </row>
    <row r="111" spans="1:14" hidden="1">
      <c r="A111" s="208">
        <f t="shared" si="3"/>
        <v>110</v>
      </c>
      <c r="B111" s="24" t="s">
        <v>808</v>
      </c>
      <c r="C111" s="28">
        <v>45847</v>
      </c>
      <c r="D111" s="28">
        <v>45847</v>
      </c>
      <c r="E111" s="24" t="s">
        <v>809</v>
      </c>
      <c r="F111" s="14"/>
      <c r="G111" s="57">
        <v>11486939</v>
      </c>
      <c r="H111" s="57">
        <v>0</v>
      </c>
      <c r="I111" s="27">
        <f t="shared" si="2"/>
        <v>-11486939</v>
      </c>
      <c r="J111" s="57">
        <v>-54400350.109999999</v>
      </c>
      <c r="K111" s="26" t="s">
        <v>810</v>
      </c>
      <c r="L111" s="14" t="s">
        <v>984</v>
      </c>
      <c r="M111" s="41" t="str">
        <f t="shared" ref="M111" si="7">L111</f>
        <v>LC/BG Payable</v>
      </c>
      <c r="N111" s="15" t="s">
        <v>3917</v>
      </c>
    </row>
    <row r="112" spans="1:14" ht="15.75" hidden="1">
      <c r="A112" s="208">
        <f t="shared" si="3"/>
        <v>111</v>
      </c>
      <c r="B112" s="24" t="s">
        <v>811</v>
      </c>
      <c r="C112" s="28">
        <v>45847</v>
      </c>
      <c r="D112" s="28">
        <v>45847</v>
      </c>
      <c r="E112" s="24" t="s">
        <v>812</v>
      </c>
      <c r="F112" s="14"/>
      <c r="G112" s="57">
        <v>0</v>
      </c>
      <c r="H112" s="57">
        <v>0.25</v>
      </c>
      <c r="I112" s="27">
        <f t="shared" si="2"/>
        <v>0.25</v>
      </c>
      <c r="J112" s="57">
        <v>-54400349.859999999</v>
      </c>
      <c r="K112" s="26" t="s">
        <v>813</v>
      </c>
      <c r="L112" s="2" t="s">
        <v>542</v>
      </c>
      <c r="M112" s="41" t="s">
        <v>814</v>
      </c>
      <c r="N112" s="15" t="s">
        <v>3917</v>
      </c>
    </row>
    <row r="113" spans="1:14" ht="15.75" hidden="1">
      <c r="A113" s="208">
        <f t="shared" si="3"/>
        <v>112</v>
      </c>
      <c r="B113" s="24" t="s">
        <v>815</v>
      </c>
      <c r="C113" s="28">
        <v>45847</v>
      </c>
      <c r="D113" s="28">
        <v>45847</v>
      </c>
      <c r="E113" s="24" t="s">
        <v>816</v>
      </c>
      <c r="F113" s="14"/>
      <c r="G113" s="57">
        <v>31224.799999999999</v>
      </c>
      <c r="H113" s="57">
        <v>0</v>
      </c>
      <c r="I113" s="27">
        <f t="shared" si="2"/>
        <v>-31224.799999999999</v>
      </c>
      <c r="J113" s="57">
        <v>-54431574.659999996</v>
      </c>
      <c r="K113" s="26" t="s">
        <v>817</v>
      </c>
      <c r="L113" s="2" t="s">
        <v>702</v>
      </c>
      <c r="M113" s="41" t="str">
        <f t="shared" ref="M113:M114" si="8">L113</f>
        <v>Invoice Discounting</v>
      </c>
      <c r="N113" s="15" t="s">
        <v>3917</v>
      </c>
    </row>
    <row r="114" spans="1:14" ht="15.75" hidden="1">
      <c r="A114" s="208">
        <f t="shared" si="3"/>
        <v>113</v>
      </c>
      <c r="B114" s="24" t="s">
        <v>818</v>
      </c>
      <c r="C114" s="28">
        <v>45847</v>
      </c>
      <c r="D114" s="28">
        <v>45847</v>
      </c>
      <c r="E114" s="24" t="s">
        <v>816</v>
      </c>
      <c r="F114" s="14"/>
      <c r="G114" s="57">
        <v>36762.1</v>
      </c>
      <c r="H114" s="57">
        <v>0</v>
      </c>
      <c r="I114" s="27">
        <f t="shared" si="2"/>
        <v>-36762.1</v>
      </c>
      <c r="J114" s="57">
        <v>-54468336.759999998</v>
      </c>
      <c r="K114" s="26" t="s">
        <v>819</v>
      </c>
      <c r="L114" s="2" t="s">
        <v>702</v>
      </c>
      <c r="M114" s="41" t="str">
        <f t="shared" si="8"/>
        <v>Invoice Discounting</v>
      </c>
      <c r="N114" s="15" t="s">
        <v>3917</v>
      </c>
    </row>
    <row r="115" spans="1:14" ht="15.75" hidden="1">
      <c r="A115" s="208">
        <f t="shared" si="3"/>
        <v>114</v>
      </c>
      <c r="B115" s="24" t="s">
        <v>820</v>
      </c>
      <c r="C115" s="28">
        <v>45847</v>
      </c>
      <c r="D115" s="28">
        <v>45847</v>
      </c>
      <c r="E115" s="24" t="s">
        <v>821</v>
      </c>
      <c r="F115" s="14"/>
      <c r="G115" s="57">
        <v>0</v>
      </c>
      <c r="H115" s="57">
        <v>11508182</v>
      </c>
      <c r="I115" s="27">
        <f t="shared" si="2"/>
        <v>11508182</v>
      </c>
      <c r="J115" s="57">
        <v>-42960154.759999998</v>
      </c>
      <c r="K115" s="26" t="s">
        <v>822</v>
      </c>
      <c r="L115" s="2" t="s">
        <v>3913</v>
      </c>
      <c r="M115" s="41" t="s">
        <v>823</v>
      </c>
      <c r="N115" s="15" t="s">
        <v>3916</v>
      </c>
    </row>
    <row r="116" spans="1:14" ht="15.75" hidden="1">
      <c r="A116" s="208">
        <f t="shared" si="3"/>
        <v>115</v>
      </c>
      <c r="B116" s="42" t="s">
        <v>824</v>
      </c>
      <c r="C116" s="45">
        <v>45848</v>
      </c>
      <c r="D116" s="45">
        <v>45848</v>
      </c>
      <c r="E116" s="42" t="s">
        <v>825</v>
      </c>
      <c r="F116" s="42" t="s">
        <v>4</v>
      </c>
      <c r="G116" s="57">
        <v>39581</v>
      </c>
      <c r="H116" s="57">
        <v>0</v>
      </c>
      <c r="I116" s="27">
        <f t="shared" si="2"/>
        <v>-39581</v>
      </c>
      <c r="J116" s="57">
        <v>-42999735.759999998</v>
      </c>
      <c r="K116" s="44" t="s">
        <v>826</v>
      </c>
      <c r="L116" s="2" t="s">
        <v>3717</v>
      </c>
      <c r="M116" s="41" t="str">
        <f t="shared" ref="M116:M125" si="9">L116</f>
        <v>Repayment of  Loan &amp; interest</v>
      </c>
      <c r="N116" s="15" t="s">
        <v>3918</v>
      </c>
    </row>
    <row r="117" spans="1:14" ht="15.75" hidden="1">
      <c r="A117" s="208">
        <f t="shared" si="3"/>
        <v>116</v>
      </c>
      <c r="B117" s="42" t="s">
        <v>827</v>
      </c>
      <c r="C117" s="45">
        <v>45848</v>
      </c>
      <c r="D117" s="45">
        <v>45848</v>
      </c>
      <c r="E117" s="42" t="s">
        <v>828</v>
      </c>
      <c r="F117" s="42" t="s">
        <v>4</v>
      </c>
      <c r="G117" s="57">
        <v>28915.91</v>
      </c>
      <c r="H117" s="57">
        <v>0</v>
      </c>
      <c r="I117" s="27">
        <f t="shared" si="2"/>
        <v>-28915.91</v>
      </c>
      <c r="J117" s="57">
        <v>-43028651.670000002</v>
      </c>
      <c r="K117" s="44" t="s">
        <v>829</v>
      </c>
      <c r="L117" s="2" t="s">
        <v>702</v>
      </c>
      <c r="M117" s="41" t="str">
        <f t="shared" si="9"/>
        <v>Invoice Discounting</v>
      </c>
      <c r="N117" s="15" t="s">
        <v>3917</v>
      </c>
    </row>
    <row r="118" spans="1:14" ht="15.75" hidden="1">
      <c r="A118" s="208">
        <f t="shared" si="3"/>
        <v>117</v>
      </c>
      <c r="B118" s="42" t="s">
        <v>830</v>
      </c>
      <c r="C118" s="45">
        <v>45848</v>
      </c>
      <c r="D118" s="45">
        <v>45848</v>
      </c>
      <c r="E118" s="42" t="s">
        <v>831</v>
      </c>
      <c r="F118" s="42" t="s">
        <v>4</v>
      </c>
      <c r="G118" s="57">
        <v>24041.99</v>
      </c>
      <c r="H118" s="57">
        <v>0</v>
      </c>
      <c r="I118" s="27">
        <f t="shared" si="2"/>
        <v>-24041.99</v>
      </c>
      <c r="J118" s="57">
        <v>-43052693.659999996</v>
      </c>
      <c r="K118" s="44" t="s">
        <v>832</v>
      </c>
      <c r="L118" s="2" t="s">
        <v>702</v>
      </c>
      <c r="M118" s="41" t="str">
        <f t="shared" si="9"/>
        <v>Invoice Discounting</v>
      </c>
      <c r="N118" s="15" t="s">
        <v>3917</v>
      </c>
    </row>
    <row r="119" spans="1:14" ht="15.75" hidden="1">
      <c r="A119" s="208">
        <f t="shared" si="3"/>
        <v>118</v>
      </c>
      <c r="B119" s="42" t="s">
        <v>833</v>
      </c>
      <c r="C119" s="45">
        <v>45848</v>
      </c>
      <c r="D119" s="45">
        <v>45848</v>
      </c>
      <c r="E119" s="42" t="s">
        <v>831</v>
      </c>
      <c r="F119" s="42" t="s">
        <v>4</v>
      </c>
      <c r="G119" s="57">
        <v>1331.77</v>
      </c>
      <c r="H119" s="57">
        <v>0</v>
      </c>
      <c r="I119" s="27">
        <f t="shared" si="2"/>
        <v>-1331.77</v>
      </c>
      <c r="J119" s="57">
        <v>-43054025.43</v>
      </c>
      <c r="K119" s="44" t="s">
        <v>834</v>
      </c>
      <c r="L119" s="2" t="s">
        <v>702</v>
      </c>
      <c r="M119" s="41" t="str">
        <f t="shared" si="9"/>
        <v>Invoice Discounting</v>
      </c>
      <c r="N119" s="15" t="s">
        <v>3917</v>
      </c>
    </row>
    <row r="120" spans="1:14" ht="15.75" hidden="1">
      <c r="A120" s="208">
        <f t="shared" si="3"/>
        <v>119</v>
      </c>
      <c r="B120" s="42" t="s">
        <v>835</v>
      </c>
      <c r="C120" s="45">
        <v>45848</v>
      </c>
      <c r="D120" s="45">
        <v>45848</v>
      </c>
      <c r="E120" s="42" t="s">
        <v>836</v>
      </c>
      <c r="F120" s="42" t="s">
        <v>4</v>
      </c>
      <c r="G120" s="57">
        <v>11243.09</v>
      </c>
      <c r="H120" s="57">
        <v>0</v>
      </c>
      <c r="I120" s="27">
        <f t="shared" si="2"/>
        <v>-11243.09</v>
      </c>
      <c r="J120" s="57">
        <v>-43065268.520000003</v>
      </c>
      <c r="K120" s="44" t="s">
        <v>837</v>
      </c>
      <c r="L120" s="2" t="s">
        <v>702</v>
      </c>
      <c r="M120" s="41" t="str">
        <f t="shared" si="9"/>
        <v>Invoice Discounting</v>
      </c>
      <c r="N120" s="15" t="s">
        <v>3917</v>
      </c>
    </row>
    <row r="121" spans="1:14" ht="15.75" hidden="1">
      <c r="A121" s="208">
        <f t="shared" si="3"/>
        <v>120</v>
      </c>
      <c r="B121" s="42" t="s">
        <v>838</v>
      </c>
      <c r="C121" s="45">
        <v>45848</v>
      </c>
      <c r="D121" s="45">
        <v>45848</v>
      </c>
      <c r="E121" s="42" t="s">
        <v>839</v>
      </c>
      <c r="F121" s="42" t="s">
        <v>4</v>
      </c>
      <c r="G121" s="57">
        <v>13460.2</v>
      </c>
      <c r="H121" s="57">
        <v>0</v>
      </c>
      <c r="I121" s="27">
        <f t="shared" si="2"/>
        <v>-13460.2</v>
      </c>
      <c r="J121" s="57">
        <v>-43078728.719999999</v>
      </c>
      <c r="K121" s="44" t="s">
        <v>840</v>
      </c>
      <c r="L121" s="2" t="s">
        <v>702</v>
      </c>
      <c r="M121" s="41" t="str">
        <f t="shared" si="9"/>
        <v>Invoice Discounting</v>
      </c>
      <c r="N121" s="15" t="s">
        <v>3917</v>
      </c>
    </row>
    <row r="122" spans="1:14" ht="15.75" hidden="1">
      <c r="A122" s="208">
        <f t="shared" si="3"/>
        <v>121</v>
      </c>
      <c r="B122" s="42" t="s">
        <v>841</v>
      </c>
      <c r="C122" s="45">
        <v>45848</v>
      </c>
      <c r="D122" s="45">
        <v>45848</v>
      </c>
      <c r="E122" s="42" t="s">
        <v>839</v>
      </c>
      <c r="F122" s="42" t="s">
        <v>4</v>
      </c>
      <c r="G122" s="57">
        <v>28354.2</v>
      </c>
      <c r="H122" s="57">
        <v>0</v>
      </c>
      <c r="I122" s="27">
        <f t="shared" si="2"/>
        <v>-28354.2</v>
      </c>
      <c r="J122" s="57">
        <v>-43107082.920000002</v>
      </c>
      <c r="K122" s="44" t="s">
        <v>842</v>
      </c>
      <c r="L122" s="2" t="s">
        <v>702</v>
      </c>
      <c r="M122" s="41" t="str">
        <f t="shared" si="9"/>
        <v>Invoice Discounting</v>
      </c>
      <c r="N122" s="15" t="s">
        <v>3917</v>
      </c>
    </row>
    <row r="123" spans="1:14" ht="15.75" hidden="1">
      <c r="A123" s="208">
        <f t="shared" si="3"/>
        <v>122</v>
      </c>
      <c r="B123" s="42" t="s">
        <v>843</v>
      </c>
      <c r="C123" s="45">
        <v>45848</v>
      </c>
      <c r="D123" s="45">
        <v>45848</v>
      </c>
      <c r="E123" s="42" t="s">
        <v>844</v>
      </c>
      <c r="F123" s="42" t="s">
        <v>4</v>
      </c>
      <c r="G123" s="57">
        <v>92051.88</v>
      </c>
      <c r="H123" s="57">
        <v>0</v>
      </c>
      <c r="I123" s="27">
        <f t="shared" si="2"/>
        <v>-92051.88</v>
      </c>
      <c r="J123" s="57">
        <v>-43199134.799999997</v>
      </c>
      <c r="K123" s="44" t="s">
        <v>845</v>
      </c>
      <c r="L123" s="2" t="s">
        <v>702</v>
      </c>
      <c r="M123" s="41" t="str">
        <f t="shared" si="9"/>
        <v>Invoice Discounting</v>
      </c>
      <c r="N123" s="15" t="s">
        <v>3917</v>
      </c>
    </row>
    <row r="124" spans="1:14" ht="15.75" hidden="1">
      <c r="A124" s="208">
        <f t="shared" si="3"/>
        <v>123</v>
      </c>
      <c r="B124" s="42" t="s">
        <v>846</v>
      </c>
      <c r="C124" s="45">
        <v>45848</v>
      </c>
      <c r="D124" s="45">
        <v>45848</v>
      </c>
      <c r="E124" s="42" t="s">
        <v>847</v>
      </c>
      <c r="F124" s="42" t="s">
        <v>4</v>
      </c>
      <c r="G124" s="57">
        <v>0</v>
      </c>
      <c r="H124" s="57">
        <v>25291959</v>
      </c>
      <c r="I124" s="27">
        <f t="shared" si="2"/>
        <v>25291959</v>
      </c>
      <c r="J124" s="57">
        <v>-17907175.800000001</v>
      </c>
      <c r="K124" s="44" t="s">
        <v>848</v>
      </c>
      <c r="L124" s="2" t="s">
        <v>3913</v>
      </c>
      <c r="M124" s="41" t="str">
        <f t="shared" si="9"/>
        <v>Investment (Redemption) in FD</v>
      </c>
      <c r="N124" s="15" t="s">
        <v>3916</v>
      </c>
    </row>
    <row r="125" spans="1:14" ht="15.75" hidden="1">
      <c r="A125" s="208">
        <f t="shared" si="3"/>
        <v>124</v>
      </c>
      <c r="B125" s="42" t="s">
        <v>849</v>
      </c>
      <c r="C125" s="45">
        <v>45848</v>
      </c>
      <c r="D125" s="45">
        <v>45848</v>
      </c>
      <c r="E125" s="42" t="s">
        <v>850</v>
      </c>
      <c r="F125" s="42" t="s">
        <v>4</v>
      </c>
      <c r="G125" s="57">
        <v>0</v>
      </c>
      <c r="H125" s="57">
        <v>21875079</v>
      </c>
      <c r="I125" s="27">
        <f t="shared" si="2"/>
        <v>21875079</v>
      </c>
      <c r="J125" s="57">
        <v>3967903.2</v>
      </c>
      <c r="K125" s="44" t="s">
        <v>851</v>
      </c>
      <c r="L125" s="2" t="s">
        <v>3913</v>
      </c>
      <c r="M125" s="41" t="str">
        <f t="shared" si="9"/>
        <v>Investment (Redemption) in FD</v>
      </c>
      <c r="N125" s="15" t="s">
        <v>3916</v>
      </c>
    </row>
    <row r="126" spans="1:14" hidden="1">
      <c r="A126" s="208">
        <f t="shared" si="3"/>
        <v>125</v>
      </c>
      <c r="B126" s="14"/>
      <c r="C126" s="45">
        <v>45849</v>
      </c>
      <c r="D126" s="45">
        <v>45849</v>
      </c>
      <c r="E126" s="14"/>
      <c r="F126" s="14"/>
      <c r="G126" s="204">
        <v>0</v>
      </c>
      <c r="H126" s="77">
        <v>0</v>
      </c>
      <c r="I126" s="77">
        <f t="shared" si="2"/>
        <v>0</v>
      </c>
      <c r="J126" s="57">
        <v>3967903.2</v>
      </c>
      <c r="K126" s="14"/>
      <c r="L126" s="41" t="s">
        <v>3913</v>
      </c>
      <c r="M126" s="41"/>
      <c r="N126" s="15" t="s">
        <v>3916</v>
      </c>
    </row>
    <row r="127" spans="1:14" hidden="1">
      <c r="A127" s="208">
        <f t="shared" si="3"/>
        <v>126</v>
      </c>
      <c r="B127" s="14"/>
      <c r="C127" s="45">
        <f>C126+1</f>
        <v>45850</v>
      </c>
      <c r="D127" s="45">
        <f>D126+1</f>
        <v>45850</v>
      </c>
      <c r="E127" s="14"/>
      <c r="F127" s="14"/>
      <c r="G127" s="204">
        <v>0</v>
      </c>
      <c r="H127" s="77">
        <v>0</v>
      </c>
      <c r="I127" s="77">
        <f t="shared" si="2"/>
        <v>0</v>
      </c>
      <c r="J127" s="76">
        <v>3967903.2</v>
      </c>
      <c r="K127" s="14"/>
      <c r="L127" s="41" t="s">
        <v>3913</v>
      </c>
      <c r="M127" s="41"/>
      <c r="N127" s="15" t="s">
        <v>3916</v>
      </c>
    </row>
    <row r="128" spans="1:14" hidden="1">
      <c r="A128" s="208">
        <f t="shared" si="3"/>
        <v>127</v>
      </c>
      <c r="B128" s="14"/>
      <c r="C128" s="13">
        <f>C127+1</f>
        <v>45851</v>
      </c>
      <c r="D128" s="13">
        <f>D127+1</f>
        <v>45851</v>
      </c>
      <c r="E128" s="14"/>
      <c r="F128" s="14"/>
      <c r="G128" s="204">
        <v>0</v>
      </c>
      <c r="H128" s="77">
        <v>0</v>
      </c>
      <c r="I128" s="77">
        <f t="shared" si="2"/>
        <v>0</v>
      </c>
      <c r="J128" s="76">
        <v>3967903.2</v>
      </c>
      <c r="K128" s="14"/>
      <c r="L128" s="41" t="s">
        <v>3913</v>
      </c>
      <c r="M128" s="41"/>
      <c r="N128" s="15" t="s">
        <v>3916</v>
      </c>
    </row>
    <row r="129" spans="1:14" ht="15.75" hidden="1">
      <c r="A129" s="208">
        <f t="shared" si="3"/>
        <v>128</v>
      </c>
      <c r="B129" s="42" t="s">
        <v>1070</v>
      </c>
      <c r="C129" s="13">
        <v>45852</v>
      </c>
      <c r="D129" s="13">
        <v>45852</v>
      </c>
      <c r="E129" s="42" t="s">
        <v>1071</v>
      </c>
      <c r="F129" s="14"/>
      <c r="G129" s="78">
        <v>375.17</v>
      </c>
      <c r="H129" s="78">
        <v>0</v>
      </c>
      <c r="I129" s="77">
        <f t="shared" si="2"/>
        <v>-375.17</v>
      </c>
      <c r="J129" s="76">
        <v>3967528.03</v>
      </c>
      <c r="K129" s="44" t="s">
        <v>1072</v>
      </c>
      <c r="L129" s="2" t="s">
        <v>702</v>
      </c>
      <c r="M129" s="41"/>
      <c r="N129" s="15" t="s">
        <v>3917</v>
      </c>
    </row>
    <row r="130" spans="1:14" ht="15.75" hidden="1">
      <c r="A130" s="208">
        <f t="shared" si="3"/>
        <v>129</v>
      </c>
      <c r="B130" s="42" t="s">
        <v>1073</v>
      </c>
      <c r="C130" s="13">
        <v>45852</v>
      </c>
      <c r="D130" s="13">
        <v>45852</v>
      </c>
      <c r="E130" s="42" t="s">
        <v>1074</v>
      </c>
      <c r="F130" s="14"/>
      <c r="G130" s="78">
        <v>264506.77</v>
      </c>
      <c r="H130" s="78">
        <v>0</v>
      </c>
      <c r="I130" s="77">
        <f t="shared" si="2"/>
        <v>-264506.77</v>
      </c>
      <c r="J130" s="76">
        <v>3703021.26</v>
      </c>
      <c r="K130" s="44" t="s">
        <v>1075</v>
      </c>
      <c r="L130" s="2" t="s">
        <v>702</v>
      </c>
      <c r="M130" s="41"/>
      <c r="N130" s="15" t="s">
        <v>3917</v>
      </c>
    </row>
    <row r="131" spans="1:14" ht="15.75" hidden="1">
      <c r="A131" s="208">
        <f t="shared" si="3"/>
        <v>130</v>
      </c>
      <c r="B131" s="42" t="s">
        <v>1076</v>
      </c>
      <c r="C131" s="13">
        <v>45852</v>
      </c>
      <c r="D131" s="13">
        <v>45852</v>
      </c>
      <c r="E131" s="42" t="s">
        <v>1074</v>
      </c>
      <c r="F131" s="14"/>
      <c r="G131" s="78">
        <v>7764.41</v>
      </c>
      <c r="H131" s="78">
        <v>0</v>
      </c>
      <c r="I131" s="77">
        <f t="shared" ref="I131:I195" si="10">H131-G131</f>
        <v>-7764.41</v>
      </c>
      <c r="J131" s="76">
        <v>3695256.85</v>
      </c>
      <c r="K131" s="44" t="s">
        <v>1077</v>
      </c>
      <c r="L131" s="2" t="s">
        <v>702</v>
      </c>
      <c r="M131" s="41"/>
      <c r="N131" s="15" t="s">
        <v>3917</v>
      </c>
    </row>
    <row r="132" spans="1:14" ht="15.75" hidden="1">
      <c r="A132" s="208">
        <f t="shared" ref="A132:A196" si="11">A131+1</f>
        <v>131</v>
      </c>
      <c r="B132" s="42" t="s">
        <v>1078</v>
      </c>
      <c r="C132" s="13">
        <v>45852</v>
      </c>
      <c r="D132" s="13">
        <v>45852</v>
      </c>
      <c r="E132" s="42" t="s">
        <v>1074</v>
      </c>
      <c r="F132" s="14"/>
      <c r="G132" s="78">
        <v>267255.55</v>
      </c>
      <c r="H132" s="78">
        <v>0</v>
      </c>
      <c r="I132" s="77">
        <f t="shared" si="10"/>
        <v>-267255.55</v>
      </c>
      <c r="J132" s="76">
        <v>3428001.3</v>
      </c>
      <c r="K132" s="44" t="s">
        <v>1079</v>
      </c>
      <c r="L132" s="2" t="s">
        <v>702</v>
      </c>
      <c r="M132" s="41"/>
      <c r="N132" s="15" t="s">
        <v>3917</v>
      </c>
    </row>
    <row r="133" spans="1:14" ht="15.75" hidden="1">
      <c r="A133" s="208">
        <f t="shared" si="11"/>
        <v>132</v>
      </c>
      <c r="B133" s="42" t="s">
        <v>1080</v>
      </c>
      <c r="C133" s="13">
        <v>45852</v>
      </c>
      <c r="D133" s="13">
        <v>45852</v>
      </c>
      <c r="E133" s="42" t="s">
        <v>1081</v>
      </c>
      <c r="F133" s="14"/>
      <c r="G133" s="78">
        <v>6052</v>
      </c>
      <c r="H133" s="78">
        <v>0</v>
      </c>
      <c r="I133" s="77">
        <f t="shared" si="10"/>
        <v>-6052</v>
      </c>
      <c r="J133" s="76">
        <v>3421949.3</v>
      </c>
      <c r="K133" s="44" t="s">
        <v>1082</v>
      </c>
      <c r="L133" s="2" t="s">
        <v>702</v>
      </c>
      <c r="M133" s="41"/>
      <c r="N133" s="15" t="s">
        <v>3917</v>
      </c>
    </row>
    <row r="134" spans="1:14" ht="15.75" hidden="1">
      <c r="A134" s="208">
        <f t="shared" si="11"/>
        <v>133</v>
      </c>
      <c r="B134" s="42" t="s">
        <v>1083</v>
      </c>
      <c r="C134" s="13">
        <v>45852</v>
      </c>
      <c r="D134" s="13">
        <v>45852</v>
      </c>
      <c r="E134" s="42" t="s">
        <v>1081</v>
      </c>
      <c r="F134" s="14"/>
      <c r="G134" s="78">
        <v>459211.52000000002</v>
      </c>
      <c r="H134" s="78">
        <v>0</v>
      </c>
      <c r="I134" s="77">
        <f t="shared" si="10"/>
        <v>-459211.52000000002</v>
      </c>
      <c r="J134" s="76">
        <v>2962737.78</v>
      </c>
      <c r="K134" s="44" t="s">
        <v>1084</v>
      </c>
      <c r="L134" s="2" t="s">
        <v>702</v>
      </c>
      <c r="M134" s="41"/>
      <c r="N134" s="15" t="s">
        <v>3917</v>
      </c>
    </row>
    <row r="135" spans="1:14" ht="15.75" hidden="1">
      <c r="A135" s="208">
        <f t="shared" si="11"/>
        <v>134</v>
      </c>
      <c r="B135" s="42" t="s">
        <v>1085</v>
      </c>
      <c r="C135" s="13">
        <v>45852</v>
      </c>
      <c r="D135" s="13">
        <v>45852</v>
      </c>
      <c r="E135" s="42" t="s">
        <v>1086</v>
      </c>
      <c r="F135" s="14"/>
      <c r="G135" s="78">
        <v>20604.36</v>
      </c>
      <c r="H135" s="78">
        <v>0</v>
      </c>
      <c r="I135" s="77">
        <f t="shared" si="10"/>
        <v>-20604.36</v>
      </c>
      <c r="J135" s="76">
        <v>2942133.42</v>
      </c>
      <c r="K135" s="44" t="s">
        <v>1087</v>
      </c>
      <c r="L135" s="2" t="s">
        <v>702</v>
      </c>
      <c r="M135" s="41"/>
      <c r="N135" s="15" t="s">
        <v>3917</v>
      </c>
    </row>
    <row r="136" spans="1:14" ht="15.75" hidden="1">
      <c r="A136" s="208">
        <f t="shared" si="11"/>
        <v>135</v>
      </c>
      <c r="B136" s="42" t="s">
        <v>1088</v>
      </c>
      <c r="C136" s="13">
        <v>45852</v>
      </c>
      <c r="D136" s="13">
        <v>45852</v>
      </c>
      <c r="E136" s="42" t="s">
        <v>1086</v>
      </c>
      <c r="F136" s="14"/>
      <c r="G136" s="78">
        <v>142574.47</v>
      </c>
      <c r="H136" s="78">
        <v>0</v>
      </c>
      <c r="I136" s="77">
        <f t="shared" si="10"/>
        <v>-142574.47</v>
      </c>
      <c r="J136" s="76">
        <v>2799558.95</v>
      </c>
      <c r="K136" s="44" t="s">
        <v>1089</v>
      </c>
      <c r="L136" s="2" t="s">
        <v>702</v>
      </c>
      <c r="M136" s="41"/>
      <c r="N136" s="15" t="s">
        <v>3917</v>
      </c>
    </row>
    <row r="137" spans="1:14" ht="15.75" hidden="1">
      <c r="A137" s="208">
        <f t="shared" si="11"/>
        <v>136</v>
      </c>
      <c r="B137" s="42" t="s">
        <v>1090</v>
      </c>
      <c r="C137" s="13">
        <v>45852</v>
      </c>
      <c r="D137" s="13">
        <v>45852</v>
      </c>
      <c r="E137" s="42" t="s">
        <v>1091</v>
      </c>
      <c r="F137" s="14"/>
      <c r="G137" s="78">
        <v>24971.06</v>
      </c>
      <c r="H137" s="78">
        <v>0</v>
      </c>
      <c r="I137" s="77">
        <f t="shared" si="10"/>
        <v>-24971.06</v>
      </c>
      <c r="J137" s="76">
        <v>2774587.89</v>
      </c>
      <c r="K137" s="44" t="s">
        <v>1092</v>
      </c>
      <c r="L137" s="2" t="s">
        <v>702</v>
      </c>
      <c r="M137" s="41"/>
      <c r="N137" s="15" t="s">
        <v>3917</v>
      </c>
    </row>
    <row r="138" spans="1:14" ht="15.75" hidden="1">
      <c r="A138" s="208">
        <f t="shared" si="11"/>
        <v>137</v>
      </c>
      <c r="B138" s="42" t="s">
        <v>1093</v>
      </c>
      <c r="C138" s="13">
        <v>45852</v>
      </c>
      <c r="D138" s="13">
        <v>45852</v>
      </c>
      <c r="E138" s="42" t="s">
        <v>1094</v>
      </c>
      <c r="F138" s="14"/>
      <c r="G138" s="78">
        <v>13869.21</v>
      </c>
      <c r="H138" s="78">
        <v>0</v>
      </c>
      <c r="I138" s="77">
        <f t="shared" si="10"/>
        <v>-13869.21</v>
      </c>
      <c r="J138" s="76">
        <v>2760718.68</v>
      </c>
      <c r="K138" s="44" t="s">
        <v>1095</v>
      </c>
      <c r="L138" s="2" t="s">
        <v>702</v>
      </c>
      <c r="M138" s="41"/>
      <c r="N138" s="15" t="s">
        <v>3917</v>
      </c>
    </row>
    <row r="139" spans="1:14" ht="15.75" hidden="1">
      <c r="A139" s="208">
        <f t="shared" si="11"/>
        <v>138</v>
      </c>
      <c r="B139" s="42" t="s">
        <v>1096</v>
      </c>
      <c r="C139" s="13">
        <v>45852</v>
      </c>
      <c r="D139" s="13">
        <v>45852</v>
      </c>
      <c r="E139" s="42" t="s">
        <v>1094</v>
      </c>
      <c r="F139" s="14"/>
      <c r="G139" s="78">
        <v>4215.67</v>
      </c>
      <c r="H139" s="78">
        <v>0</v>
      </c>
      <c r="I139" s="77">
        <f t="shared" si="10"/>
        <v>-4215.67</v>
      </c>
      <c r="J139" s="76">
        <v>2756503.01</v>
      </c>
      <c r="K139" s="44" t="s">
        <v>1097</v>
      </c>
      <c r="L139" s="2" t="s">
        <v>702</v>
      </c>
      <c r="M139" s="41"/>
      <c r="N139" s="15" t="s">
        <v>3917</v>
      </c>
    </row>
    <row r="140" spans="1:14" ht="15.75" hidden="1">
      <c r="A140" s="208">
        <f t="shared" si="11"/>
        <v>139</v>
      </c>
      <c r="B140" s="42" t="s">
        <v>1098</v>
      </c>
      <c r="C140" s="13">
        <v>45852</v>
      </c>
      <c r="D140" s="13">
        <v>45852</v>
      </c>
      <c r="E140" s="42" t="s">
        <v>1099</v>
      </c>
      <c r="F140" s="14"/>
      <c r="G140" s="78">
        <v>3890.69</v>
      </c>
      <c r="H140" s="78">
        <v>0</v>
      </c>
      <c r="I140" s="77">
        <f t="shared" si="10"/>
        <v>-3890.69</v>
      </c>
      <c r="J140" s="76">
        <v>2752612.32</v>
      </c>
      <c r="K140" s="44" t="s">
        <v>1100</v>
      </c>
      <c r="L140" s="2" t="s">
        <v>702</v>
      </c>
      <c r="M140" s="41"/>
      <c r="N140" s="15" t="s">
        <v>3917</v>
      </c>
    </row>
    <row r="141" spans="1:14" ht="15.75" hidden="1">
      <c r="A141" s="208">
        <f t="shared" si="11"/>
        <v>140</v>
      </c>
      <c r="B141" s="42" t="s">
        <v>1101</v>
      </c>
      <c r="C141" s="13">
        <v>45852</v>
      </c>
      <c r="D141" s="13">
        <v>45852</v>
      </c>
      <c r="E141" s="42" t="s">
        <v>1102</v>
      </c>
      <c r="F141" s="14"/>
      <c r="G141" s="78">
        <v>6609.25</v>
      </c>
      <c r="H141" s="78">
        <v>0</v>
      </c>
      <c r="I141" s="77">
        <f t="shared" si="10"/>
        <v>-6609.25</v>
      </c>
      <c r="J141" s="76">
        <v>2746003.07</v>
      </c>
      <c r="K141" s="44" t="s">
        <v>1103</v>
      </c>
      <c r="L141" s="2" t="s">
        <v>702</v>
      </c>
      <c r="M141" s="41"/>
      <c r="N141" s="15" t="s">
        <v>3917</v>
      </c>
    </row>
    <row r="142" spans="1:14" ht="15.75" hidden="1">
      <c r="A142" s="208">
        <f t="shared" si="11"/>
        <v>141</v>
      </c>
      <c r="B142" s="42" t="s">
        <v>1104</v>
      </c>
      <c r="C142" s="13">
        <v>45852</v>
      </c>
      <c r="D142" s="13">
        <v>45852</v>
      </c>
      <c r="E142" s="42" t="s">
        <v>1102</v>
      </c>
      <c r="F142" s="14"/>
      <c r="G142" s="78">
        <v>53841.85</v>
      </c>
      <c r="H142" s="78">
        <v>0</v>
      </c>
      <c r="I142" s="77">
        <f t="shared" si="10"/>
        <v>-53841.85</v>
      </c>
      <c r="J142" s="76">
        <v>2692161.22</v>
      </c>
      <c r="K142" s="44" t="s">
        <v>1105</v>
      </c>
      <c r="L142" s="2" t="s">
        <v>702</v>
      </c>
      <c r="M142" s="41"/>
      <c r="N142" s="15" t="s">
        <v>3917</v>
      </c>
    </row>
    <row r="143" spans="1:14" ht="15.75" hidden="1">
      <c r="A143" s="208">
        <f t="shared" si="11"/>
        <v>142</v>
      </c>
      <c r="B143" s="42" t="s">
        <v>1106</v>
      </c>
      <c r="C143" s="13">
        <v>45852</v>
      </c>
      <c r="D143" s="13">
        <v>45852</v>
      </c>
      <c r="E143" s="42" t="s">
        <v>1107</v>
      </c>
      <c r="F143" s="14"/>
      <c r="G143" s="78">
        <v>3890.69</v>
      </c>
      <c r="H143" s="78">
        <v>0</v>
      </c>
      <c r="I143" s="77">
        <f t="shared" si="10"/>
        <v>-3890.69</v>
      </c>
      <c r="J143" s="76">
        <v>2688270.53</v>
      </c>
      <c r="K143" s="44" t="s">
        <v>1108</v>
      </c>
      <c r="L143" s="2" t="s">
        <v>702</v>
      </c>
      <c r="M143" s="41"/>
      <c r="N143" s="15" t="s">
        <v>3917</v>
      </c>
    </row>
    <row r="144" spans="1:14" ht="15.75" hidden="1">
      <c r="A144" s="208">
        <f t="shared" si="11"/>
        <v>143</v>
      </c>
      <c r="B144" s="42" t="s">
        <v>1109</v>
      </c>
      <c r="C144" s="13">
        <v>45852</v>
      </c>
      <c r="D144" s="13">
        <v>45852</v>
      </c>
      <c r="E144" s="42" t="s">
        <v>1110</v>
      </c>
      <c r="F144" s="14"/>
      <c r="G144" s="78">
        <v>2307608.7999999998</v>
      </c>
      <c r="H144" s="78">
        <v>0</v>
      </c>
      <c r="I144" s="77">
        <f t="shared" si="10"/>
        <v>-2307608.7999999998</v>
      </c>
      <c r="J144" s="76">
        <v>380661.73</v>
      </c>
      <c r="K144" s="44" t="s">
        <v>1111</v>
      </c>
      <c r="L144" s="2" t="s">
        <v>702</v>
      </c>
      <c r="M144" s="41"/>
      <c r="N144" s="15" t="s">
        <v>3917</v>
      </c>
    </row>
    <row r="145" spans="1:14" ht="15.75" hidden="1">
      <c r="A145" s="208">
        <f t="shared" si="11"/>
        <v>144</v>
      </c>
      <c r="B145" s="42" t="s">
        <v>1112</v>
      </c>
      <c r="C145" s="13">
        <v>45852</v>
      </c>
      <c r="D145" s="13">
        <v>45852</v>
      </c>
      <c r="E145" s="42" t="s">
        <v>1113</v>
      </c>
      <c r="F145" s="14"/>
      <c r="G145" s="78">
        <v>645997.6</v>
      </c>
      <c r="H145" s="78">
        <v>0</v>
      </c>
      <c r="I145" s="77">
        <f t="shared" si="10"/>
        <v>-645997.6</v>
      </c>
      <c r="J145" s="76">
        <v>-265335.87</v>
      </c>
      <c r="K145" s="44" t="s">
        <v>1114</v>
      </c>
      <c r="L145" s="2" t="s">
        <v>702</v>
      </c>
      <c r="M145" s="41"/>
      <c r="N145" s="15" t="s">
        <v>3917</v>
      </c>
    </row>
    <row r="146" spans="1:14" ht="15.75" hidden="1">
      <c r="A146" s="208">
        <f t="shared" si="11"/>
        <v>145</v>
      </c>
      <c r="B146" s="42" t="s">
        <v>1115</v>
      </c>
      <c r="C146" s="13">
        <v>45852</v>
      </c>
      <c r="D146" s="13">
        <v>45852</v>
      </c>
      <c r="E146" s="42" t="s">
        <v>1116</v>
      </c>
      <c r="F146" s="14"/>
      <c r="G146" s="78">
        <v>1180</v>
      </c>
      <c r="H146" s="78">
        <v>0</v>
      </c>
      <c r="I146" s="77">
        <f t="shared" si="10"/>
        <v>-1180</v>
      </c>
      <c r="J146" s="76">
        <v>-266515.87</v>
      </c>
      <c r="K146" s="44" t="s">
        <v>1117</v>
      </c>
      <c r="L146" s="2" t="s">
        <v>3719</v>
      </c>
      <c r="M146" s="41" t="s">
        <v>1118</v>
      </c>
      <c r="N146" s="15" t="s">
        <v>3917</v>
      </c>
    </row>
    <row r="147" spans="1:14" ht="15.75" hidden="1">
      <c r="A147" s="208">
        <f t="shared" si="11"/>
        <v>146</v>
      </c>
      <c r="B147" s="42" t="s">
        <v>1119</v>
      </c>
      <c r="C147" s="13">
        <v>45852</v>
      </c>
      <c r="D147" s="13">
        <v>45852</v>
      </c>
      <c r="E147" s="42" t="s">
        <v>1116</v>
      </c>
      <c r="F147" s="14"/>
      <c r="G147" s="78">
        <v>590</v>
      </c>
      <c r="H147" s="78">
        <v>0</v>
      </c>
      <c r="I147" s="77">
        <f t="shared" si="10"/>
        <v>-590</v>
      </c>
      <c r="J147" s="76">
        <v>-267105.87</v>
      </c>
      <c r="K147" s="44" t="s">
        <v>1120</v>
      </c>
      <c r="L147" s="2" t="s">
        <v>542</v>
      </c>
      <c r="M147" s="41"/>
      <c r="N147" s="15" t="s">
        <v>3917</v>
      </c>
    </row>
    <row r="148" spans="1:14" ht="15.75" hidden="1">
      <c r="A148" s="208">
        <f t="shared" si="11"/>
        <v>147</v>
      </c>
      <c r="B148" s="42" t="s">
        <v>1121</v>
      </c>
      <c r="C148" s="13">
        <v>45852</v>
      </c>
      <c r="D148" s="13">
        <v>45852</v>
      </c>
      <c r="E148" s="42" t="s">
        <v>1122</v>
      </c>
      <c r="F148" s="14"/>
      <c r="G148" s="78">
        <v>11662317</v>
      </c>
      <c r="H148" s="78">
        <v>0</v>
      </c>
      <c r="I148" s="77">
        <f t="shared" si="10"/>
        <v>-11662317</v>
      </c>
      <c r="J148" s="76">
        <v>-11929422.869999999</v>
      </c>
      <c r="K148" s="44" t="s">
        <v>1123</v>
      </c>
      <c r="L148" s="2" t="s">
        <v>3719</v>
      </c>
      <c r="M148" s="41" t="s">
        <v>1118</v>
      </c>
      <c r="N148" s="15" t="s">
        <v>3917</v>
      </c>
    </row>
    <row r="149" spans="1:14" ht="15.75" hidden="1">
      <c r="A149" s="208">
        <f t="shared" si="11"/>
        <v>148</v>
      </c>
      <c r="B149" s="42" t="s">
        <v>1124</v>
      </c>
      <c r="C149" s="13">
        <v>45852</v>
      </c>
      <c r="D149" s="13">
        <v>45852</v>
      </c>
      <c r="E149" s="42" t="s">
        <v>1125</v>
      </c>
      <c r="F149" s="14"/>
      <c r="G149" s="78">
        <v>0</v>
      </c>
      <c r="H149" s="78">
        <v>11688789</v>
      </c>
      <c r="I149" s="77">
        <f t="shared" si="10"/>
        <v>11688789</v>
      </c>
      <c r="J149" s="76">
        <v>-240633.87</v>
      </c>
      <c r="K149" s="44" t="s">
        <v>1126</v>
      </c>
      <c r="L149" s="2" t="s">
        <v>3913</v>
      </c>
      <c r="M149" s="41"/>
      <c r="N149" s="15" t="s">
        <v>3916</v>
      </c>
    </row>
    <row r="150" spans="1:14" ht="15.75" hidden="1">
      <c r="A150" s="208">
        <f t="shared" si="11"/>
        <v>149</v>
      </c>
      <c r="B150" s="42" t="s">
        <v>1127</v>
      </c>
      <c r="C150" s="45">
        <v>45853</v>
      </c>
      <c r="D150" s="45">
        <f>D149+1</f>
        <v>45853</v>
      </c>
      <c r="E150" s="42" t="s">
        <v>1128</v>
      </c>
      <c r="F150" s="42">
        <v>137</v>
      </c>
      <c r="G150" s="78">
        <v>50000</v>
      </c>
      <c r="H150" s="78">
        <v>0</v>
      </c>
      <c r="I150" s="77">
        <f t="shared" si="10"/>
        <v>-50000</v>
      </c>
      <c r="J150" s="76">
        <v>-290633.87</v>
      </c>
      <c r="K150" s="44" t="s">
        <v>1129</v>
      </c>
      <c r="L150" s="2" t="s">
        <v>542</v>
      </c>
      <c r="M150" s="41" t="s">
        <v>1130</v>
      </c>
      <c r="N150" s="15" t="s">
        <v>3917</v>
      </c>
    </row>
    <row r="151" spans="1:14" ht="15.75" hidden="1">
      <c r="A151" s="208">
        <f t="shared" si="11"/>
        <v>150</v>
      </c>
      <c r="B151" s="42" t="s">
        <v>1131</v>
      </c>
      <c r="C151" s="45">
        <v>45854</v>
      </c>
      <c r="D151" s="45">
        <v>45854</v>
      </c>
      <c r="E151" s="42" t="s">
        <v>1132</v>
      </c>
      <c r="F151" s="42" t="s">
        <v>4</v>
      </c>
      <c r="G151" s="78">
        <v>300000</v>
      </c>
      <c r="H151" s="78">
        <v>0</v>
      </c>
      <c r="I151" s="77">
        <f t="shared" si="10"/>
        <v>-300000</v>
      </c>
      <c r="J151" s="76">
        <v>-590633.87</v>
      </c>
      <c r="K151" s="44" t="s">
        <v>1133</v>
      </c>
      <c r="L151" s="2" t="s">
        <v>3719</v>
      </c>
      <c r="M151" s="41" t="s">
        <v>1134</v>
      </c>
      <c r="N151" s="15" t="s">
        <v>3917</v>
      </c>
    </row>
    <row r="152" spans="1:14" ht="15.75" hidden="1">
      <c r="A152" s="208">
        <f t="shared" si="11"/>
        <v>151</v>
      </c>
      <c r="B152" s="42" t="s">
        <v>1135</v>
      </c>
      <c r="C152" s="45">
        <v>45854</v>
      </c>
      <c r="D152" s="45">
        <v>45854</v>
      </c>
      <c r="E152" s="42" t="s">
        <v>1136</v>
      </c>
      <c r="F152" s="42" t="s">
        <v>4</v>
      </c>
      <c r="G152" s="78">
        <v>5000</v>
      </c>
      <c r="H152" s="78">
        <v>0</v>
      </c>
      <c r="I152" s="77">
        <f t="shared" si="10"/>
        <v>-5000</v>
      </c>
      <c r="J152" s="76">
        <v>-595633.87</v>
      </c>
      <c r="K152" s="44" t="s">
        <v>1137</v>
      </c>
      <c r="L152" s="2" t="s">
        <v>3719</v>
      </c>
      <c r="M152" s="41" t="s">
        <v>1138</v>
      </c>
      <c r="N152" s="15" t="s">
        <v>3917</v>
      </c>
    </row>
    <row r="153" spans="1:14" ht="15.75" hidden="1">
      <c r="A153" s="208">
        <f t="shared" si="11"/>
        <v>152</v>
      </c>
      <c r="B153" s="42" t="s">
        <v>1139</v>
      </c>
      <c r="C153" s="45">
        <v>45854</v>
      </c>
      <c r="D153" s="45">
        <v>45854</v>
      </c>
      <c r="E153" s="42" t="s">
        <v>1136</v>
      </c>
      <c r="F153" s="42" t="s">
        <v>4</v>
      </c>
      <c r="G153" s="78">
        <v>6000</v>
      </c>
      <c r="H153" s="78">
        <v>0</v>
      </c>
      <c r="I153" s="77">
        <f t="shared" si="10"/>
        <v>-6000</v>
      </c>
      <c r="J153" s="76">
        <v>-601633.87</v>
      </c>
      <c r="K153" s="44" t="s">
        <v>1140</v>
      </c>
      <c r="L153" s="2" t="s">
        <v>3719</v>
      </c>
      <c r="M153" s="41" t="s">
        <v>1141</v>
      </c>
      <c r="N153" s="15" t="s">
        <v>3917</v>
      </c>
    </row>
    <row r="154" spans="1:14" ht="15.75" hidden="1">
      <c r="A154" s="208">
        <f t="shared" si="11"/>
        <v>153</v>
      </c>
      <c r="B154" s="42" t="s">
        <v>1142</v>
      </c>
      <c r="C154" s="45">
        <v>45854</v>
      </c>
      <c r="D154" s="45">
        <v>45854</v>
      </c>
      <c r="E154" s="42" t="s">
        <v>1143</v>
      </c>
      <c r="F154" s="42" t="s">
        <v>4</v>
      </c>
      <c r="G154" s="78">
        <v>5000</v>
      </c>
      <c r="H154" s="78">
        <v>0</v>
      </c>
      <c r="I154" s="77">
        <f t="shared" si="10"/>
        <v>-5000</v>
      </c>
      <c r="J154" s="76">
        <v>-606633.87</v>
      </c>
      <c r="K154" s="44" t="s">
        <v>1144</v>
      </c>
      <c r="L154" s="2" t="s">
        <v>3726</v>
      </c>
      <c r="M154" s="41" t="s">
        <v>1145</v>
      </c>
      <c r="N154" s="15" t="s">
        <v>3917</v>
      </c>
    </row>
    <row r="155" spans="1:14" ht="15.75" hidden="1">
      <c r="A155" s="208">
        <f t="shared" si="11"/>
        <v>154</v>
      </c>
      <c r="B155" s="42" t="s">
        <v>1146</v>
      </c>
      <c r="C155" s="45">
        <v>45854</v>
      </c>
      <c r="D155" s="45">
        <v>45854</v>
      </c>
      <c r="E155" s="42" t="s">
        <v>1143</v>
      </c>
      <c r="F155" s="42" t="s">
        <v>4</v>
      </c>
      <c r="G155" s="78">
        <v>30000</v>
      </c>
      <c r="H155" s="78">
        <v>0</v>
      </c>
      <c r="I155" s="77">
        <f t="shared" si="10"/>
        <v>-30000</v>
      </c>
      <c r="J155" s="76">
        <v>-636633.87</v>
      </c>
      <c r="K155" s="44" t="s">
        <v>1147</v>
      </c>
      <c r="L155" s="2" t="s">
        <v>3719</v>
      </c>
      <c r="M155" s="41" t="s">
        <v>1148</v>
      </c>
      <c r="N155" s="15" t="s">
        <v>3917</v>
      </c>
    </row>
    <row r="156" spans="1:14" ht="15.75" hidden="1">
      <c r="A156" s="208">
        <f t="shared" si="11"/>
        <v>155</v>
      </c>
      <c r="B156" s="42" t="s">
        <v>1149</v>
      </c>
      <c r="C156" s="45">
        <v>45854</v>
      </c>
      <c r="D156" s="45">
        <v>45854</v>
      </c>
      <c r="E156" s="42" t="s">
        <v>1150</v>
      </c>
      <c r="F156" s="42" t="s">
        <v>4</v>
      </c>
      <c r="G156" s="78">
        <v>12000</v>
      </c>
      <c r="H156" s="78">
        <v>0</v>
      </c>
      <c r="I156" s="77">
        <f t="shared" si="10"/>
        <v>-12000</v>
      </c>
      <c r="J156" s="76">
        <v>-648633.87</v>
      </c>
      <c r="K156" s="44" t="s">
        <v>1151</v>
      </c>
      <c r="L156" s="2" t="s">
        <v>3719</v>
      </c>
      <c r="M156" s="41" t="s">
        <v>1141</v>
      </c>
      <c r="N156" s="15" t="s">
        <v>3917</v>
      </c>
    </row>
    <row r="157" spans="1:14" ht="15.75" hidden="1">
      <c r="A157" s="208">
        <f t="shared" si="11"/>
        <v>156</v>
      </c>
      <c r="B157" s="42" t="s">
        <v>1152</v>
      </c>
      <c r="C157" s="45">
        <v>45854</v>
      </c>
      <c r="D157" s="45">
        <v>45854</v>
      </c>
      <c r="E157" s="42" t="s">
        <v>1150</v>
      </c>
      <c r="F157" s="42" t="s">
        <v>4</v>
      </c>
      <c r="G157" s="78">
        <v>395556</v>
      </c>
      <c r="H157" s="78">
        <v>0</v>
      </c>
      <c r="I157" s="77">
        <f t="shared" si="10"/>
        <v>-395556</v>
      </c>
      <c r="J157" s="76">
        <v>-1044189.87</v>
      </c>
      <c r="K157" s="44" t="s">
        <v>1153</v>
      </c>
      <c r="L157" s="2" t="s">
        <v>3719</v>
      </c>
      <c r="M157" s="41" t="s">
        <v>1154</v>
      </c>
      <c r="N157" s="15" t="s">
        <v>3917</v>
      </c>
    </row>
    <row r="158" spans="1:14" hidden="1">
      <c r="A158" s="208">
        <f t="shared" si="11"/>
        <v>157</v>
      </c>
      <c r="B158" s="42" t="s">
        <v>1155</v>
      </c>
      <c r="C158" s="45">
        <v>45854</v>
      </c>
      <c r="D158" s="45">
        <v>45854</v>
      </c>
      <c r="E158" s="42" t="s">
        <v>1156</v>
      </c>
      <c r="F158" s="42" t="s">
        <v>4</v>
      </c>
      <c r="G158" s="78">
        <v>30000000</v>
      </c>
      <c r="H158" s="78">
        <v>0</v>
      </c>
      <c r="I158" s="77">
        <f t="shared" si="10"/>
        <v>-30000000</v>
      </c>
      <c r="J158" s="76">
        <v>-31044189.870000001</v>
      </c>
      <c r="K158" s="44" t="s">
        <v>1157</v>
      </c>
      <c r="L158" s="14" t="s">
        <v>3718</v>
      </c>
      <c r="M158" s="41" t="s">
        <v>682</v>
      </c>
      <c r="N158" s="15" t="s">
        <v>3917</v>
      </c>
    </row>
    <row r="159" spans="1:14" ht="15.75" hidden="1">
      <c r="A159" s="208">
        <f t="shared" si="11"/>
        <v>158</v>
      </c>
      <c r="B159" s="42" t="s">
        <v>1158</v>
      </c>
      <c r="C159" s="45">
        <v>45854</v>
      </c>
      <c r="D159" s="45">
        <v>45854</v>
      </c>
      <c r="E159" s="42" t="s">
        <v>1159</v>
      </c>
      <c r="F159" s="42" t="s">
        <v>4</v>
      </c>
      <c r="G159" s="78">
        <v>58770.84</v>
      </c>
      <c r="H159" s="78">
        <v>0</v>
      </c>
      <c r="I159" s="77">
        <f t="shared" si="10"/>
        <v>-58770.84</v>
      </c>
      <c r="J159" s="76">
        <v>-31102960.710000001</v>
      </c>
      <c r="K159" s="44" t="s">
        <v>1160</v>
      </c>
      <c r="L159" s="2" t="s">
        <v>702</v>
      </c>
      <c r="M159" s="41"/>
      <c r="N159" s="15" t="s">
        <v>3917</v>
      </c>
    </row>
    <row r="160" spans="1:14" ht="15.75" hidden="1">
      <c r="A160" s="208">
        <f t="shared" si="11"/>
        <v>159</v>
      </c>
      <c r="B160" s="42" t="s">
        <v>1161</v>
      </c>
      <c r="C160" s="45">
        <v>45854</v>
      </c>
      <c r="D160" s="45">
        <v>45854</v>
      </c>
      <c r="E160" s="42" t="s">
        <v>1162</v>
      </c>
      <c r="F160" s="42" t="s">
        <v>4</v>
      </c>
      <c r="G160" s="78">
        <v>4789.6899999999996</v>
      </c>
      <c r="H160" s="78">
        <v>0</v>
      </c>
      <c r="I160" s="77">
        <f t="shared" si="10"/>
        <v>-4789.6899999999996</v>
      </c>
      <c r="J160" s="76">
        <v>-31107750.399999999</v>
      </c>
      <c r="K160" s="44" t="s">
        <v>1163</v>
      </c>
      <c r="L160" s="2" t="s">
        <v>702</v>
      </c>
      <c r="M160" s="41"/>
      <c r="N160" s="15" t="s">
        <v>3917</v>
      </c>
    </row>
    <row r="161" spans="1:14" ht="15.75" hidden="1">
      <c r="A161" s="208">
        <f t="shared" si="11"/>
        <v>160</v>
      </c>
      <c r="B161" s="42" t="s">
        <v>1164</v>
      </c>
      <c r="C161" s="45">
        <v>45854</v>
      </c>
      <c r="D161" s="45">
        <v>45854</v>
      </c>
      <c r="E161" s="42" t="s">
        <v>1162</v>
      </c>
      <c r="F161" s="42" t="s">
        <v>4</v>
      </c>
      <c r="G161" s="78">
        <v>14619.65</v>
      </c>
      <c r="H161" s="78">
        <v>0</v>
      </c>
      <c r="I161" s="77">
        <f t="shared" si="10"/>
        <v>-14619.65</v>
      </c>
      <c r="J161" s="76">
        <v>-31122370.050000001</v>
      </c>
      <c r="K161" s="44" t="s">
        <v>1165</v>
      </c>
      <c r="L161" s="2" t="s">
        <v>702</v>
      </c>
      <c r="M161" s="41"/>
      <c r="N161" s="15" t="s">
        <v>3917</v>
      </c>
    </row>
    <row r="162" spans="1:14" ht="15.75" hidden="1">
      <c r="A162" s="208">
        <f t="shared" si="11"/>
        <v>161</v>
      </c>
      <c r="B162" s="42" t="s">
        <v>1166</v>
      </c>
      <c r="C162" s="45">
        <v>45854</v>
      </c>
      <c r="D162" s="45">
        <v>45854</v>
      </c>
      <c r="E162" s="42" t="s">
        <v>1167</v>
      </c>
      <c r="F162" s="42" t="s">
        <v>4</v>
      </c>
      <c r="G162" s="78">
        <v>1409.88</v>
      </c>
      <c r="H162" s="78">
        <v>0</v>
      </c>
      <c r="I162" s="77">
        <f t="shared" si="10"/>
        <v>-1409.88</v>
      </c>
      <c r="J162" s="76">
        <v>-31123779.93</v>
      </c>
      <c r="K162" s="44" t="s">
        <v>1168</v>
      </c>
      <c r="L162" s="2" t="s">
        <v>702</v>
      </c>
      <c r="M162" s="41"/>
      <c r="N162" s="15" t="s">
        <v>3917</v>
      </c>
    </row>
    <row r="163" spans="1:14" ht="15.75" hidden="1">
      <c r="A163" s="208">
        <f t="shared" si="11"/>
        <v>162</v>
      </c>
      <c r="B163" s="42" t="s">
        <v>1169</v>
      </c>
      <c r="C163" s="45">
        <v>45854</v>
      </c>
      <c r="D163" s="45">
        <v>45854</v>
      </c>
      <c r="E163" s="42" t="s">
        <v>1167</v>
      </c>
      <c r="F163" s="42" t="s">
        <v>4</v>
      </c>
      <c r="G163" s="78">
        <v>4854.92</v>
      </c>
      <c r="H163" s="78">
        <v>0</v>
      </c>
      <c r="I163" s="77">
        <f t="shared" si="10"/>
        <v>-4854.92</v>
      </c>
      <c r="J163" s="76">
        <v>-31128634.850000001</v>
      </c>
      <c r="K163" s="44" t="s">
        <v>1170</v>
      </c>
      <c r="L163" s="2" t="s">
        <v>702</v>
      </c>
      <c r="M163" s="41"/>
      <c r="N163" s="15" t="s">
        <v>3917</v>
      </c>
    </row>
    <row r="164" spans="1:14" ht="15.75" hidden="1">
      <c r="A164" s="208">
        <f t="shared" si="11"/>
        <v>163</v>
      </c>
      <c r="B164" s="42" t="s">
        <v>1171</v>
      </c>
      <c r="C164" s="45">
        <v>45854</v>
      </c>
      <c r="D164" s="45">
        <v>45854</v>
      </c>
      <c r="E164" s="42" t="s">
        <v>1172</v>
      </c>
      <c r="F164" s="42" t="s">
        <v>4</v>
      </c>
      <c r="G164" s="78">
        <v>3732.86</v>
      </c>
      <c r="H164" s="78">
        <v>0</v>
      </c>
      <c r="I164" s="77">
        <f t="shared" si="10"/>
        <v>-3732.86</v>
      </c>
      <c r="J164" s="76">
        <v>-31132367.710000001</v>
      </c>
      <c r="K164" s="44" t="s">
        <v>1173</v>
      </c>
      <c r="L164" s="2" t="s">
        <v>702</v>
      </c>
      <c r="M164" s="41"/>
      <c r="N164" s="15" t="s">
        <v>3917</v>
      </c>
    </row>
    <row r="165" spans="1:14" ht="15.75" hidden="1">
      <c r="A165" s="208">
        <f t="shared" si="11"/>
        <v>164</v>
      </c>
      <c r="B165" s="42" t="s">
        <v>1174</v>
      </c>
      <c r="C165" s="45">
        <v>45854</v>
      </c>
      <c r="D165" s="45">
        <v>45854</v>
      </c>
      <c r="E165" s="42" t="s">
        <v>1172</v>
      </c>
      <c r="F165" s="42" t="s">
        <v>4</v>
      </c>
      <c r="G165" s="78">
        <v>255538.08</v>
      </c>
      <c r="H165" s="78">
        <v>0</v>
      </c>
      <c r="I165" s="77">
        <f t="shared" si="10"/>
        <v>-255538.08</v>
      </c>
      <c r="J165" s="76">
        <v>-31387905.789999999</v>
      </c>
      <c r="K165" s="44" t="s">
        <v>1175</v>
      </c>
      <c r="L165" s="2" t="s">
        <v>702</v>
      </c>
      <c r="M165" s="41"/>
      <c r="N165" s="15" t="s">
        <v>3917</v>
      </c>
    </row>
    <row r="166" spans="1:14" ht="15.75" hidden="1">
      <c r="A166" s="208">
        <f t="shared" si="11"/>
        <v>165</v>
      </c>
      <c r="B166" s="42" t="s">
        <v>1176</v>
      </c>
      <c r="C166" s="45">
        <v>45855</v>
      </c>
      <c r="D166" s="45">
        <v>45855</v>
      </c>
      <c r="E166" s="42" t="s">
        <v>1177</v>
      </c>
      <c r="F166" s="42" t="s">
        <v>4</v>
      </c>
      <c r="G166" s="78">
        <v>24837.67</v>
      </c>
      <c r="H166" s="78">
        <v>0</v>
      </c>
      <c r="I166" s="77">
        <f t="shared" si="10"/>
        <v>-24837.67</v>
      </c>
      <c r="J166" s="76">
        <v>-31412743.460000001</v>
      </c>
      <c r="K166" s="44" t="s">
        <v>1178</v>
      </c>
      <c r="L166" s="2" t="s">
        <v>702</v>
      </c>
      <c r="M166" s="41"/>
      <c r="N166" s="15" t="s">
        <v>3917</v>
      </c>
    </row>
    <row r="167" spans="1:14" ht="15.75" hidden="1">
      <c r="A167" s="208">
        <f t="shared" si="11"/>
        <v>166</v>
      </c>
      <c r="B167" s="42" t="s">
        <v>1179</v>
      </c>
      <c r="C167" s="45">
        <v>45855</v>
      </c>
      <c r="D167" s="45">
        <v>45855</v>
      </c>
      <c r="E167" s="42" t="s">
        <v>1177</v>
      </c>
      <c r="F167" s="42" t="s">
        <v>4</v>
      </c>
      <c r="G167" s="78">
        <v>28300</v>
      </c>
      <c r="H167" s="78">
        <v>0</v>
      </c>
      <c r="I167" s="77">
        <f t="shared" si="10"/>
        <v>-28300</v>
      </c>
      <c r="J167" s="76">
        <v>-31441043.460000001</v>
      </c>
      <c r="K167" s="44" t="s">
        <v>1180</v>
      </c>
      <c r="L167" s="2" t="s">
        <v>702</v>
      </c>
      <c r="M167" s="41"/>
      <c r="N167" s="15" t="s">
        <v>3917</v>
      </c>
    </row>
    <row r="168" spans="1:14" ht="15.75" hidden="1">
      <c r="A168" s="208">
        <f t="shared" si="11"/>
        <v>167</v>
      </c>
      <c r="B168" s="42" t="s">
        <v>1181</v>
      </c>
      <c r="C168" s="45">
        <v>45855</v>
      </c>
      <c r="D168" s="45">
        <v>45855</v>
      </c>
      <c r="E168" s="42" t="s">
        <v>1182</v>
      </c>
      <c r="F168" s="42" t="s">
        <v>4</v>
      </c>
      <c r="G168" s="78">
        <v>3690.47</v>
      </c>
      <c r="H168" s="78">
        <v>0</v>
      </c>
      <c r="I168" s="77">
        <f t="shared" si="10"/>
        <v>-3690.47</v>
      </c>
      <c r="J168" s="76">
        <v>-31444733.93</v>
      </c>
      <c r="K168" s="44" t="s">
        <v>1183</v>
      </c>
      <c r="L168" s="2" t="s">
        <v>702</v>
      </c>
      <c r="M168" s="41"/>
      <c r="N168" s="15" t="s">
        <v>3917</v>
      </c>
    </row>
    <row r="169" spans="1:14" ht="15.75" hidden="1">
      <c r="A169" s="208">
        <f t="shared" si="11"/>
        <v>168</v>
      </c>
      <c r="B169" s="42" t="s">
        <v>1184</v>
      </c>
      <c r="C169" s="45">
        <v>45855</v>
      </c>
      <c r="D169" s="45">
        <v>45855</v>
      </c>
      <c r="E169" s="42" t="s">
        <v>1182</v>
      </c>
      <c r="F169" s="42" t="s">
        <v>4</v>
      </c>
      <c r="G169" s="78">
        <v>4411.71</v>
      </c>
      <c r="H169" s="78">
        <v>0</v>
      </c>
      <c r="I169" s="77">
        <f t="shared" si="10"/>
        <v>-4411.71</v>
      </c>
      <c r="J169" s="76">
        <v>-31449145.640000001</v>
      </c>
      <c r="K169" s="44" t="s">
        <v>1185</v>
      </c>
      <c r="L169" s="2" t="s">
        <v>702</v>
      </c>
      <c r="M169" s="41"/>
      <c r="N169" s="15" t="s">
        <v>3917</v>
      </c>
    </row>
    <row r="170" spans="1:14" ht="15.75" hidden="1">
      <c r="A170" s="208">
        <f t="shared" si="11"/>
        <v>169</v>
      </c>
      <c r="B170" s="42" t="s">
        <v>1186</v>
      </c>
      <c r="C170" s="45">
        <v>45855</v>
      </c>
      <c r="D170" s="45">
        <v>45855</v>
      </c>
      <c r="E170" s="42" t="s">
        <v>1187</v>
      </c>
      <c r="F170" s="42" t="s">
        <v>4</v>
      </c>
      <c r="G170" s="78">
        <v>9649.61</v>
      </c>
      <c r="H170" s="78">
        <v>0</v>
      </c>
      <c r="I170" s="77">
        <f t="shared" si="10"/>
        <v>-9649.61</v>
      </c>
      <c r="J170" s="76">
        <v>-31458795.25</v>
      </c>
      <c r="K170" s="44" t="s">
        <v>1188</v>
      </c>
      <c r="L170" s="2" t="s">
        <v>702</v>
      </c>
      <c r="M170" s="41"/>
      <c r="N170" s="15" t="s">
        <v>3917</v>
      </c>
    </row>
    <row r="171" spans="1:14" ht="15.75" hidden="1">
      <c r="A171" s="208">
        <f t="shared" si="11"/>
        <v>170</v>
      </c>
      <c r="B171" s="42" t="s">
        <v>1189</v>
      </c>
      <c r="C171" s="45">
        <v>45855</v>
      </c>
      <c r="D171" s="45">
        <v>45855</v>
      </c>
      <c r="E171" s="42" t="s">
        <v>1190</v>
      </c>
      <c r="F171" s="42" t="s">
        <v>4</v>
      </c>
      <c r="G171" s="78">
        <v>98817.68</v>
      </c>
      <c r="H171" s="78">
        <v>0</v>
      </c>
      <c r="I171" s="77">
        <f t="shared" si="10"/>
        <v>-98817.68</v>
      </c>
      <c r="J171" s="76">
        <v>-31557612.93</v>
      </c>
      <c r="K171" s="44" t="s">
        <v>1191</v>
      </c>
      <c r="L171" s="2" t="s">
        <v>702</v>
      </c>
      <c r="M171" s="41"/>
      <c r="N171" s="15" t="s">
        <v>3917</v>
      </c>
    </row>
    <row r="172" spans="1:14" ht="15.75" hidden="1">
      <c r="A172" s="208">
        <f t="shared" si="11"/>
        <v>171</v>
      </c>
      <c r="B172" s="42" t="s">
        <v>1192</v>
      </c>
      <c r="C172" s="45">
        <v>45855</v>
      </c>
      <c r="D172" s="45">
        <v>45855</v>
      </c>
      <c r="E172" s="42" t="s">
        <v>1193</v>
      </c>
      <c r="F172" s="42" t="s">
        <v>4</v>
      </c>
      <c r="G172" s="78">
        <v>11015.91</v>
      </c>
      <c r="H172" s="78">
        <v>0</v>
      </c>
      <c r="I172" s="77">
        <f t="shared" si="10"/>
        <v>-11015.91</v>
      </c>
      <c r="J172" s="76">
        <v>-31568628.84</v>
      </c>
      <c r="K172" s="44" t="s">
        <v>1194</v>
      </c>
      <c r="L172" s="2" t="s">
        <v>702</v>
      </c>
      <c r="M172" s="41"/>
      <c r="N172" s="15" t="s">
        <v>3917</v>
      </c>
    </row>
    <row r="173" spans="1:14" hidden="1">
      <c r="A173" s="208">
        <f t="shared" si="11"/>
        <v>172</v>
      </c>
      <c r="B173" s="42"/>
      <c r="C173" s="45">
        <v>45855</v>
      </c>
      <c r="D173" s="45">
        <v>45855</v>
      </c>
      <c r="E173" s="42"/>
      <c r="F173" s="42"/>
      <c r="G173" s="78">
        <v>0</v>
      </c>
      <c r="H173" s="78">
        <v>2186.19000000507</v>
      </c>
      <c r="I173" s="77">
        <f t="shared" si="10"/>
        <v>2186.19000000507</v>
      </c>
      <c r="J173" s="76">
        <v>-31566442.649999995</v>
      </c>
      <c r="K173" s="44"/>
      <c r="L173" s="14" t="s">
        <v>3721</v>
      </c>
      <c r="M173" s="41"/>
      <c r="N173" s="15" t="s">
        <v>3917</v>
      </c>
    </row>
    <row r="174" spans="1:14" ht="15.75" hidden="1">
      <c r="A174" s="208">
        <f t="shared" si="11"/>
        <v>173</v>
      </c>
      <c r="B174" s="42" t="s">
        <v>1195</v>
      </c>
      <c r="C174" s="45">
        <v>45856</v>
      </c>
      <c r="D174" s="45">
        <v>45856</v>
      </c>
      <c r="E174" s="42" t="s">
        <v>1196</v>
      </c>
      <c r="F174" s="42" t="s">
        <v>4</v>
      </c>
      <c r="G174" s="78">
        <v>5114615</v>
      </c>
      <c r="H174" s="78">
        <v>0</v>
      </c>
      <c r="I174" s="77">
        <f t="shared" si="10"/>
        <v>-5114615</v>
      </c>
      <c r="J174" s="76">
        <v>-36681057.649999999</v>
      </c>
      <c r="K174" s="44" t="s">
        <v>1197</v>
      </c>
      <c r="L174" s="2" t="s">
        <v>702</v>
      </c>
      <c r="M174" s="41"/>
      <c r="N174" s="15" t="s">
        <v>3917</v>
      </c>
    </row>
    <row r="175" spans="1:14" ht="15.75" hidden="1">
      <c r="A175" s="208">
        <f t="shared" si="11"/>
        <v>174</v>
      </c>
      <c r="B175" s="42" t="s">
        <v>1198</v>
      </c>
      <c r="C175" s="45">
        <v>45856</v>
      </c>
      <c r="D175" s="45">
        <v>45856</v>
      </c>
      <c r="E175" s="42" t="s">
        <v>1199</v>
      </c>
      <c r="F175" s="42" t="s">
        <v>4</v>
      </c>
      <c r="G175" s="78">
        <v>6507686</v>
      </c>
      <c r="H175" s="78">
        <v>0</v>
      </c>
      <c r="I175" s="77">
        <f t="shared" si="10"/>
        <v>-6507686</v>
      </c>
      <c r="J175" s="76">
        <v>-43188743.649999999</v>
      </c>
      <c r="K175" s="44" t="s">
        <v>1200</v>
      </c>
      <c r="L175" s="2" t="s">
        <v>702</v>
      </c>
      <c r="M175" s="41"/>
      <c r="N175" s="15" t="s">
        <v>3917</v>
      </c>
    </row>
    <row r="176" spans="1:14" ht="15.75" hidden="1">
      <c r="A176" s="208">
        <f t="shared" si="11"/>
        <v>175</v>
      </c>
      <c r="B176" s="42" t="s">
        <v>1201</v>
      </c>
      <c r="C176" s="45">
        <v>45856</v>
      </c>
      <c r="D176" s="45">
        <v>45856</v>
      </c>
      <c r="E176" s="42" t="s">
        <v>1202</v>
      </c>
      <c r="F176" s="42" t="s">
        <v>4</v>
      </c>
      <c r="G176" s="78">
        <v>2112993</v>
      </c>
      <c r="H176" s="78">
        <v>0</v>
      </c>
      <c r="I176" s="77">
        <f t="shared" si="10"/>
        <v>-2112993</v>
      </c>
      <c r="J176" s="76">
        <v>-45301736.649999999</v>
      </c>
      <c r="K176" s="44" t="s">
        <v>1203</v>
      </c>
      <c r="L176" s="2" t="s">
        <v>702</v>
      </c>
      <c r="M176" s="41"/>
      <c r="N176" s="15" t="s">
        <v>3917</v>
      </c>
    </row>
    <row r="177" spans="1:14" ht="15.75" hidden="1">
      <c r="A177" s="208">
        <f t="shared" si="11"/>
        <v>176</v>
      </c>
      <c r="B177" s="42" t="s">
        <v>1204</v>
      </c>
      <c r="C177" s="45">
        <v>45856</v>
      </c>
      <c r="D177" s="45">
        <v>45856</v>
      </c>
      <c r="E177" s="42" t="s">
        <v>1205</v>
      </c>
      <c r="F177" s="42" t="s">
        <v>4</v>
      </c>
      <c r="G177" s="78">
        <v>9139972</v>
      </c>
      <c r="H177" s="78">
        <v>0</v>
      </c>
      <c r="I177" s="77">
        <f t="shared" si="10"/>
        <v>-9139972</v>
      </c>
      <c r="J177" s="76">
        <v>-54441708.649999999</v>
      </c>
      <c r="K177" s="44" t="s">
        <v>1206</v>
      </c>
      <c r="L177" s="2" t="s">
        <v>702</v>
      </c>
      <c r="M177" s="41"/>
      <c r="N177" s="15" t="s">
        <v>3917</v>
      </c>
    </row>
    <row r="178" spans="1:14" ht="15.75" hidden="1">
      <c r="A178" s="208">
        <f t="shared" si="11"/>
        <v>177</v>
      </c>
      <c r="B178" s="42" t="s">
        <v>1207</v>
      </c>
      <c r="C178" s="45">
        <v>45856</v>
      </c>
      <c r="D178" s="45">
        <v>45856</v>
      </c>
      <c r="E178" s="42" t="s">
        <v>1208</v>
      </c>
      <c r="F178" s="42" t="s">
        <v>4</v>
      </c>
      <c r="G178" s="78">
        <v>3557.69</v>
      </c>
      <c r="H178" s="78">
        <v>0</v>
      </c>
      <c r="I178" s="77">
        <f t="shared" si="10"/>
        <v>-3557.69</v>
      </c>
      <c r="J178" s="76">
        <v>-54445266.340000004</v>
      </c>
      <c r="K178" s="44" t="s">
        <v>1209</v>
      </c>
      <c r="L178" s="2" t="s">
        <v>702</v>
      </c>
      <c r="M178" s="41"/>
      <c r="N178" s="15" t="s">
        <v>3917</v>
      </c>
    </row>
    <row r="179" spans="1:14" ht="15.75" hidden="1">
      <c r="A179" s="208">
        <f t="shared" si="11"/>
        <v>178</v>
      </c>
      <c r="B179" s="42" t="s">
        <v>1210</v>
      </c>
      <c r="C179" s="45">
        <v>45856</v>
      </c>
      <c r="D179" s="45">
        <v>45856</v>
      </c>
      <c r="E179" s="42" t="s">
        <v>1211</v>
      </c>
      <c r="F179" s="42" t="s">
        <v>4</v>
      </c>
      <c r="G179" s="78">
        <v>13241.69</v>
      </c>
      <c r="H179" s="78">
        <v>0</v>
      </c>
      <c r="I179" s="77">
        <f t="shared" si="10"/>
        <v>-13241.69</v>
      </c>
      <c r="J179" s="76">
        <v>-54458508.030000001</v>
      </c>
      <c r="K179" s="44" t="s">
        <v>1212</v>
      </c>
      <c r="L179" s="2" t="s">
        <v>702</v>
      </c>
      <c r="M179" s="41"/>
      <c r="N179" s="15" t="s">
        <v>3917</v>
      </c>
    </row>
    <row r="180" spans="1:14" ht="15.75" hidden="1">
      <c r="A180" s="208">
        <f t="shared" si="11"/>
        <v>179</v>
      </c>
      <c r="B180" s="42" t="s">
        <v>1213</v>
      </c>
      <c r="C180" s="45">
        <v>45856</v>
      </c>
      <c r="D180" s="45">
        <v>45856</v>
      </c>
      <c r="E180" s="42" t="s">
        <v>1211</v>
      </c>
      <c r="F180" s="42" t="s">
        <v>4</v>
      </c>
      <c r="G180" s="78">
        <v>3121.88</v>
      </c>
      <c r="H180" s="78">
        <v>0</v>
      </c>
      <c r="I180" s="77">
        <f t="shared" si="10"/>
        <v>-3121.88</v>
      </c>
      <c r="J180" s="76">
        <v>-54461629.909999996</v>
      </c>
      <c r="K180" s="44" t="s">
        <v>1214</v>
      </c>
      <c r="L180" s="2" t="s">
        <v>702</v>
      </c>
      <c r="M180" s="41"/>
      <c r="N180" s="15" t="s">
        <v>3917</v>
      </c>
    </row>
    <row r="181" spans="1:14" hidden="1">
      <c r="A181" s="208">
        <f t="shared" si="11"/>
        <v>180</v>
      </c>
      <c r="B181" s="42" t="s">
        <v>1243</v>
      </c>
      <c r="C181" s="45">
        <v>45856</v>
      </c>
      <c r="D181" s="45">
        <v>45856</v>
      </c>
      <c r="E181" s="42" t="s">
        <v>1244</v>
      </c>
      <c r="F181" s="42" t="s">
        <v>4</v>
      </c>
      <c r="G181" s="78">
        <v>0</v>
      </c>
      <c r="H181" s="78">
        <v>393.51</v>
      </c>
      <c r="I181" s="77">
        <f t="shared" si="10"/>
        <v>393.51</v>
      </c>
      <c r="J181" s="76">
        <v>-54461236.399999999</v>
      </c>
      <c r="K181" s="44" t="s">
        <v>1245</v>
      </c>
      <c r="L181" s="14" t="s">
        <v>3721</v>
      </c>
      <c r="M181" s="41"/>
      <c r="N181" s="15" t="s">
        <v>3917</v>
      </c>
    </row>
    <row r="182" spans="1:14" hidden="1">
      <c r="A182" s="208">
        <f t="shared" si="11"/>
        <v>181</v>
      </c>
      <c r="B182" s="42" t="s">
        <v>1246</v>
      </c>
      <c r="C182" s="45">
        <v>45856</v>
      </c>
      <c r="D182" s="45">
        <v>45856</v>
      </c>
      <c r="E182" s="42" t="s">
        <v>1247</v>
      </c>
      <c r="F182" s="42" t="s">
        <v>4</v>
      </c>
      <c r="G182" s="78">
        <v>1180</v>
      </c>
      <c r="H182" s="78">
        <v>0</v>
      </c>
      <c r="I182" s="77">
        <f t="shared" si="10"/>
        <v>-1180</v>
      </c>
      <c r="J182" s="76">
        <v>-54462416.399999999</v>
      </c>
      <c r="K182" s="44" t="s">
        <v>1248</v>
      </c>
      <c r="L182" s="14" t="s">
        <v>3719</v>
      </c>
      <c r="M182" s="41"/>
      <c r="N182" s="15" t="s">
        <v>3917</v>
      </c>
    </row>
    <row r="183" spans="1:14" hidden="1">
      <c r="A183" s="208">
        <f t="shared" si="11"/>
        <v>182</v>
      </c>
      <c r="B183" s="42" t="s">
        <v>1249</v>
      </c>
      <c r="C183" s="45">
        <v>45856</v>
      </c>
      <c r="D183" s="45">
        <v>45856</v>
      </c>
      <c r="E183" s="42" t="s">
        <v>1250</v>
      </c>
      <c r="F183" s="42" t="s">
        <v>4</v>
      </c>
      <c r="G183" s="78">
        <v>0</v>
      </c>
      <c r="H183" s="78">
        <v>21613.200000000001</v>
      </c>
      <c r="I183" s="77">
        <f t="shared" si="10"/>
        <v>21613.200000000001</v>
      </c>
      <c r="J183" s="76">
        <v>-54440803.200000003</v>
      </c>
      <c r="K183" s="44" t="s">
        <v>1251</v>
      </c>
      <c r="L183" s="14" t="s">
        <v>3721</v>
      </c>
      <c r="M183" s="41"/>
      <c r="N183" s="15" t="s">
        <v>3917</v>
      </c>
    </row>
    <row r="184" spans="1:14" hidden="1">
      <c r="A184" s="208">
        <f t="shared" si="11"/>
        <v>183</v>
      </c>
      <c r="B184" s="42" t="s">
        <v>1252</v>
      </c>
      <c r="C184" s="45">
        <v>45857</v>
      </c>
      <c r="D184" s="45">
        <v>45857</v>
      </c>
      <c r="E184" s="42" t="s">
        <v>1253</v>
      </c>
      <c r="F184" s="42" t="s">
        <v>4</v>
      </c>
      <c r="G184" s="78">
        <v>7000000</v>
      </c>
      <c r="H184" s="78">
        <v>0</v>
      </c>
      <c r="I184" s="77">
        <f t="shared" si="10"/>
        <v>-7000000</v>
      </c>
      <c r="J184" s="76">
        <v>-61440803.200000003</v>
      </c>
      <c r="K184" s="44" t="s">
        <v>1254</v>
      </c>
      <c r="L184" s="14" t="s">
        <v>3718</v>
      </c>
      <c r="M184" s="41"/>
      <c r="N184" s="15" t="s">
        <v>3917</v>
      </c>
    </row>
    <row r="185" spans="1:14" ht="15.75" hidden="1">
      <c r="A185" s="208">
        <f t="shared" si="11"/>
        <v>184</v>
      </c>
      <c r="B185" s="42" t="s">
        <v>1255</v>
      </c>
      <c r="C185" s="45">
        <v>45857</v>
      </c>
      <c r="D185" s="45">
        <v>45857</v>
      </c>
      <c r="E185" s="42" t="s">
        <v>1256</v>
      </c>
      <c r="F185" s="42" t="s">
        <v>4</v>
      </c>
      <c r="G185" s="78">
        <v>2205000</v>
      </c>
      <c r="H185" s="78">
        <v>0</v>
      </c>
      <c r="I185" s="77">
        <f t="shared" si="10"/>
        <v>-2205000</v>
      </c>
      <c r="J185" s="76">
        <v>-63645803.200000003</v>
      </c>
      <c r="K185" s="44" t="s">
        <v>1257</v>
      </c>
      <c r="L185" s="2" t="s">
        <v>702</v>
      </c>
      <c r="M185" s="41"/>
      <c r="N185" s="15" t="s">
        <v>3917</v>
      </c>
    </row>
    <row r="186" spans="1:14" ht="15.75" hidden="1">
      <c r="A186" s="208">
        <f t="shared" si="11"/>
        <v>185</v>
      </c>
      <c r="B186" s="42" t="s">
        <v>1258</v>
      </c>
      <c r="C186" s="45">
        <v>45857</v>
      </c>
      <c r="D186" s="45">
        <v>45857</v>
      </c>
      <c r="E186" s="42" t="s">
        <v>1259</v>
      </c>
      <c r="F186" s="42" t="s">
        <v>4</v>
      </c>
      <c r="G186" s="78">
        <v>5145000</v>
      </c>
      <c r="H186" s="78">
        <v>0</v>
      </c>
      <c r="I186" s="77">
        <f t="shared" si="10"/>
        <v>-5145000</v>
      </c>
      <c r="J186" s="76">
        <v>-68790803.200000003</v>
      </c>
      <c r="K186" s="44" t="s">
        <v>1260</v>
      </c>
      <c r="L186" s="2" t="s">
        <v>702</v>
      </c>
      <c r="M186" s="41"/>
      <c r="N186" s="15" t="s">
        <v>3917</v>
      </c>
    </row>
    <row r="187" spans="1:14" hidden="1">
      <c r="A187" s="208">
        <f t="shared" si="11"/>
        <v>186</v>
      </c>
      <c r="B187" s="42" t="s">
        <v>1261</v>
      </c>
      <c r="C187" s="45">
        <v>45857</v>
      </c>
      <c r="D187" s="45">
        <v>45857</v>
      </c>
      <c r="E187" s="42" t="s">
        <v>1262</v>
      </c>
      <c r="F187" s="42" t="s">
        <v>4</v>
      </c>
      <c r="G187" s="78">
        <v>590</v>
      </c>
      <c r="H187" s="78">
        <v>0</v>
      </c>
      <c r="I187" s="77">
        <f t="shared" si="10"/>
        <v>-590</v>
      </c>
      <c r="J187" s="76">
        <v>-68791393.200000003</v>
      </c>
      <c r="K187" s="44" t="s">
        <v>1263</v>
      </c>
      <c r="L187" s="14" t="s">
        <v>542</v>
      </c>
      <c r="M187" s="41"/>
      <c r="N187" s="15" t="s">
        <v>3917</v>
      </c>
    </row>
    <row r="188" spans="1:14" hidden="1">
      <c r="A188" s="208">
        <f t="shared" si="11"/>
        <v>187</v>
      </c>
      <c r="B188" s="42" t="s">
        <v>1264</v>
      </c>
      <c r="C188" s="45">
        <v>45857</v>
      </c>
      <c r="D188" s="45">
        <v>45857</v>
      </c>
      <c r="E188" s="42" t="s">
        <v>1265</v>
      </c>
      <c r="F188" s="42" t="s">
        <v>4</v>
      </c>
      <c r="G188" s="78">
        <v>1180</v>
      </c>
      <c r="H188" s="78">
        <v>0</v>
      </c>
      <c r="I188" s="77">
        <f t="shared" si="10"/>
        <v>-1180</v>
      </c>
      <c r="J188" s="76">
        <v>-68792573.200000003</v>
      </c>
      <c r="K188" s="44" t="s">
        <v>1266</v>
      </c>
      <c r="L188" s="14" t="s">
        <v>3726</v>
      </c>
      <c r="M188" s="41"/>
      <c r="N188" s="15" t="s">
        <v>3917</v>
      </c>
    </row>
    <row r="189" spans="1:14" hidden="1">
      <c r="A189" s="208">
        <f t="shared" si="11"/>
        <v>188</v>
      </c>
      <c r="B189" s="42" t="s">
        <v>1267</v>
      </c>
      <c r="C189" s="45">
        <v>45857</v>
      </c>
      <c r="D189" s="45">
        <v>45857</v>
      </c>
      <c r="E189" s="42" t="s">
        <v>1268</v>
      </c>
      <c r="F189" s="42" t="s">
        <v>4</v>
      </c>
      <c r="G189" s="78">
        <v>2001970</v>
      </c>
      <c r="H189" s="78">
        <v>0</v>
      </c>
      <c r="I189" s="77">
        <f t="shared" si="10"/>
        <v>-2001970</v>
      </c>
      <c r="J189" s="76">
        <v>-70794543.200000003</v>
      </c>
      <c r="K189" s="44" t="s">
        <v>1269</v>
      </c>
      <c r="L189" s="14" t="s">
        <v>984</v>
      </c>
      <c r="M189" s="41"/>
      <c r="N189" s="15" t="s">
        <v>3917</v>
      </c>
    </row>
    <row r="190" spans="1:14" hidden="1">
      <c r="A190" s="208">
        <f t="shared" si="11"/>
        <v>189</v>
      </c>
      <c r="B190" s="42" t="s">
        <v>1270</v>
      </c>
      <c r="C190" s="45">
        <v>45857</v>
      </c>
      <c r="D190" s="45">
        <v>45857</v>
      </c>
      <c r="E190" s="42" t="s">
        <v>1271</v>
      </c>
      <c r="F190" s="42" t="s">
        <v>4</v>
      </c>
      <c r="G190" s="78">
        <v>0</v>
      </c>
      <c r="H190" s="78">
        <v>2007499</v>
      </c>
      <c r="I190" s="77">
        <f t="shared" si="10"/>
        <v>2007499</v>
      </c>
      <c r="J190" s="76">
        <v>-68787044.200000003</v>
      </c>
      <c r="K190" s="44" t="s">
        <v>822</v>
      </c>
      <c r="L190" s="14" t="s">
        <v>3913</v>
      </c>
      <c r="M190" s="41"/>
      <c r="N190" s="15" t="s">
        <v>3916</v>
      </c>
    </row>
    <row r="191" spans="1:14" hidden="1">
      <c r="A191" s="208">
        <f t="shared" si="11"/>
        <v>190</v>
      </c>
      <c r="B191" s="42" t="s">
        <v>1272</v>
      </c>
      <c r="C191" s="45">
        <v>45857</v>
      </c>
      <c r="D191" s="45">
        <v>45857</v>
      </c>
      <c r="E191" s="42" t="s">
        <v>1273</v>
      </c>
      <c r="F191" s="42" t="s">
        <v>4</v>
      </c>
      <c r="G191" s="78">
        <v>0</v>
      </c>
      <c r="H191" s="78">
        <v>3890.38</v>
      </c>
      <c r="I191" s="77">
        <f t="shared" si="10"/>
        <v>3890.38</v>
      </c>
      <c r="J191" s="76">
        <v>-68783153.819999993</v>
      </c>
      <c r="K191" s="44" t="s">
        <v>1274</v>
      </c>
      <c r="L191" s="14" t="s">
        <v>3721</v>
      </c>
      <c r="M191" s="41"/>
      <c r="N191" s="15" t="s">
        <v>3917</v>
      </c>
    </row>
    <row r="192" spans="1:14" hidden="1">
      <c r="A192" s="208">
        <f t="shared" si="11"/>
        <v>191</v>
      </c>
      <c r="B192" s="42"/>
      <c r="C192" s="45">
        <f>C191+1</f>
        <v>45858</v>
      </c>
      <c r="D192" s="45">
        <f>D191+1</f>
        <v>45858</v>
      </c>
      <c r="E192" s="42"/>
      <c r="F192" s="42"/>
      <c r="G192" s="78"/>
      <c r="H192" s="78"/>
      <c r="I192" s="77">
        <f t="shared" si="10"/>
        <v>0</v>
      </c>
      <c r="J192" s="76">
        <v>-68783153.819999993</v>
      </c>
      <c r="K192" s="44"/>
      <c r="L192" s="14" t="s">
        <v>3721</v>
      </c>
      <c r="M192" s="41"/>
      <c r="N192" s="15" t="s">
        <v>3917</v>
      </c>
    </row>
    <row r="193" spans="1:14" hidden="1">
      <c r="A193" s="208">
        <f t="shared" si="11"/>
        <v>192</v>
      </c>
      <c r="B193" s="42" t="s">
        <v>1275</v>
      </c>
      <c r="C193" s="45">
        <v>45859</v>
      </c>
      <c r="D193" s="45">
        <v>45859</v>
      </c>
      <c r="E193" s="42" t="s">
        <v>1276</v>
      </c>
      <c r="F193" s="42" t="s">
        <v>4</v>
      </c>
      <c r="G193" s="78">
        <v>6965.57</v>
      </c>
      <c r="H193" s="78">
        <v>0</v>
      </c>
      <c r="I193" s="77">
        <f t="shared" si="10"/>
        <v>-6965.57</v>
      </c>
      <c r="J193" s="76">
        <v>-68790119.390000001</v>
      </c>
      <c r="K193" s="44" t="s">
        <v>1277</v>
      </c>
      <c r="L193" s="14" t="s">
        <v>702</v>
      </c>
      <c r="M193" s="41"/>
      <c r="N193" s="15" t="s">
        <v>3917</v>
      </c>
    </row>
    <row r="194" spans="1:14" hidden="1">
      <c r="A194" s="208">
        <f t="shared" si="11"/>
        <v>193</v>
      </c>
      <c r="B194" s="42" t="s">
        <v>1278</v>
      </c>
      <c r="C194" s="45">
        <v>45859</v>
      </c>
      <c r="D194" s="45">
        <v>45859</v>
      </c>
      <c r="E194" s="42" t="s">
        <v>1276</v>
      </c>
      <c r="F194" s="42" t="s">
        <v>4</v>
      </c>
      <c r="G194" s="78">
        <v>7192.78</v>
      </c>
      <c r="H194" s="78">
        <v>0</v>
      </c>
      <c r="I194" s="77">
        <f t="shared" si="10"/>
        <v>-7192.78</v>
      </c>
      <c r="J194" s="76">
        <v>-68797312.170000002</v>
      </c>
      <c r="K194" s="44" t="s">
        <v>1279</v>
      </c>
      <c r="L194" s="14" t="s">
        <v>702</v>
      </c>
      <c r="M194" s="41"/>
      <c r="N194" s="15" t="s">
        <v>3917</v>
      </c>
    </row>
    <row r="195" spans="1:14" hidden="1">
      <c r="A195" s="208">
        <f t="shared" si="11"/>
        <v>194</v>
      </c>
      <c r="B195" s="42" t="s">
        <v>1280</v>
      </c>
      <c r="C195" s="45">
        <v>45859</v>
      </c>
      <c r="D195" s="45">
        <v>45859</v>
      </c>
      <c r="E195" s="42" t="s">
        <v>1276</v>
      </c>
      <c r="F195" s="42" t="s">
        <v>4</v>
      </c>
      <c r="G195" s="78">
        <v>97575.23</v>
      </c>
      <c r="H195" s="78">
        <v>0</v>
      </c>
      <c r="I195" s="77">
        <f t="shared" si="10"/>
        <v>-97575.23</v>
      </c>
      <c r="J195" s="76">
        <v>-68894887.400000006</v>
      </c>
      <c r="K195" s="44" t="s">
        <v>1281</v>
      </c>
      <c r="L195" s="14" t="s">
        <v>702</v>
      </c>
      <c r="M195" s="41"/>
      <c r="N195" s="15" t="s">
        <v>3917</v>
      </c>
    </row>
    <row r="196" spans="1:14" hidden="1">
      <c r="A196" s="208">
        <f t="shared" si="11"/>
        <v>195</v>
      </c>
      <c r="B196" s="42" t="s">
        <v>1282</v>
      </c>
      <c r="C196" s="45">
        <v>45859</v>
      </c>
      <c r="D196" s="45">
        <v>45859</v>
      </c>
      <c r="E196" s="42" t="s">
        <v>1283</v>
      </c>
      <c r="F196" s="42" t="s">
        <v>4</v>
      </c>
      <c r="G196" s="78">
        <v>15468.21</v>
      </c>
      <c r="H196" s="78">
        <v>0</v>
      </c>
      <c r="I196" s="77">
        <f t="shared" ref="I196:I239" si="12">H196-G196</f>
        <v>-15468.21</v>
      </c>
      <c r="J196" s="76">
        <v>-68910355.609999999</v>
      </c>
      <c r="K196" s="44" t="s">
        <v>1284</v>
      </c>
      <c r="L196" s="14" t="s">
        <v>702</v>
      </c>
      <c r="M196" s="41"/>
      <c r="N196" s="15" t="s">
        <v>3917</v>
      </c>
    </row>
    <row r="197" spans="1:14" hidden="1">
      <c r="A197" s="208">
        <f t="shared" ref="A197:A260" si="13">A196+1</f>
        <v>196</v>
      </c>
      <c r="B197" s="42" t="s">
        <v>1285</v>
      </c>
      <c r="C197" s="45">
        <v>45859</v>
      </c>
      <c r="D197" s="45">
        <v>45859</v>
      </c>
      <c r="E197" s="42" t="s">
        <v>1283</v>
      </c>
      <c r="F197" s="42" t="s">
        <v>4</v>
      </c>
      <c r="G197" s="78">
        <v>31275.73</v>
      </c>
      <c r="H197" s="78">
        <v>0</v>
      </c>
      <c r="I197" s="77">
        <f t="shared" si="12"/>
        <v>-31275.73</v>
      </c>
      <c r="J197" s="76">
        <v>-68941631.340000004</v>
      </c>
      <c r="K197" s="44" t="s">
        <v>1286</v>
      </c>
      <c r="L197" s="14" t="s">
        <v>702</v>
      </c>
      <c r="M197" s="41"/>
      <c r="N197" s="15" t="s">
        <v>3917</v>
      </c>
    </row>
    <row r="198" spans="1:14" hidden="1">
      <c r="A198" s="208">
        <f t="shared" si="13"/>
        <v>197</v>
      </c>
      <c r="B198" s="42" t="s">
        <v>1287</v>
      </c>
      <c r="C198" s="45">
        <v>45859</v>
      </c>
      <c r="D198" s="45">
        <v>45859</v>
      </c>
      <c r="E198" s="42" t="s">
        <v>1288</v>
      </c>
      <c r="F198" s="42" t="s">
        <v>4</v>
      </c>
      <c r="G198" s="78">
        <v>7936.84</v>
      </c>
      <c r="H198" s="78">
        <v>0</v>
      </c>
      <c r="I198" s="77">
        <f t="shared" si="12"/>
        <v>-7936.84</v>
      </c>
      <c r="J198" s="76">
        <v>-68949568.180000007</v>
      </c>
      <c r="K198" s="44" t="s">
        <v>1289</v>
      </c>
      <c r="L198" s="14" t="s">
        <v>702</v>
      </c>
      <c r="M198" s="41"/>
      <c r="N198" s="15" t="s">
        <v>3917</v>
      </c>
    </row>
    <row r="199" spans="1:14" hidden="1">
      <c r="A199" s="208">
        <f t="shared" si="13"/>
        <v>198</v>
      </c>
      <c r="B199" s="42" t="s">
        <v>1290</v>
      </c>
      <c r="C199" s="45">
        <v>45859</v>
      </c>
      <c r="D199" s="45">
        <v>45859</v>
      </c>
      <c r="E199" s="42" t="s">
        <v>1288</v>
      </c>
      <c r="F199" s="42" t="s">
        <v>4</v>
      </c>
      <c r="G199" s="78">
        <v>110316.82</v>
      </c>
      <c r="H199" s="78">
        <v>0</v>
      </c>
      <c r="I199" s="77">
        <f t="shared" si="12"/>
        <v>-110316.82</v>
      </c>
      <c r="J199" s="76">
        <v>-69059885</v>
      </c>
      <c r="K199" s="44" t="s">
        <v>1291</v>
      </c>
      <c r="L199" s="14" t="s">
        <v>702</v>
      </c>
      <c r="M199" s="41"/>
      <c r="N199" s="15" t="s">
        <v>3917</v>
      </c>
    </row>
    <row r="200" spans="1:14" hidden="1">
      <c r="A200" s="208">
        <f t="shared" si="13"/>
        <v>199</v>
      </c>
      <c r="B200" s="42" t="s">
        <v>1292</v>
      </c>
      <c r="C200" s="45">
        <v>45859</v>
      </c>
      <c r="D200" s="45">
        <v>45859</v>
      </c>
      <c r="E200" s="42" t="s">
        <v>1288</v>
      </c>
      <c r="F200" s="42" t="s">
        <v>4</v>
      </c>
      <c r="G200" s="78">
        <v>259320.23</v>
      </c>
      <c r="H200" s="78">
        <v>0</v>
      </c>
      <c r="I200" s="77">
        <f t="shared" si="12"/>
        <v>-259320.23</v>
      </c>
      <c r="J200" s="76">
        <v>-69319205.230000004</v>
      </c>
      <c r="K200" s="44" t="s">
        <v>1293</v>
      </c>
      <c r="L200" s="14" t="s">
        <v>702</v>
      </c>
      <c r="M200" s="41"/>
      <c r="N200" s="15" t="s">
        <v>3917</v>
      </c>
    </row>
    <row r="201" spans="1:14" hidden="1">
      <c r="A201" s="208">
        <f t="shared" si="13"/>
        <v>200</v>
      </c>
      <c r="B201" s="42" t="s">
        <v>1294</v>
      </c>
      <c r="C201" s="45">
        <v>45859</v>
      </c>
      <c r="D201" s="45">
        <v>45859</v>
      </c>
      <c r="E201" s="42" t="s">
        <v>1295</v>
      </c>
      <c r="F201" s="42" t="s">
        <v>4</v>
      </c>
      <c r="G201" s="78">
        <v>2612210</v>
      </c>
      <c r="H201" s="78">
        <v>0</v>
      </c>
      <c r="I201" s="77">
        <f t="shared" si="12"/>
        <v>-2612210</v>
      </c>
      <c r="J201" s="76">
        <v>-71931415.230000004</v>
      </c>
      <c r="K201" s="44" t="s">
        <v>1296</v>
      </c>
      <c r="L201" s="14" t="s">
        <v>702</v>
      </c>
      <c r="M201" s="41"/>
      <c r="N201" s="15" t="s">
        <v>3917</v>
      </c>
    </row>
    <row r="202" spans="1:14" hidden="1">
      <c r="A202" s="208">
        <f t="shared" si="13"/>
        <v>201</v>
      </c>
      <c r="B202" s="42" t="s">
        <v>1297</v>
      </c>
      <c r="C202" s="45">
        <v>45859</v>
      </c>
      <c r="D202" s="45">
        <v>45859</v>
      </c>
      <c r="E202" s="42" t="s">
        <v>1295</v>
      </c>
      <c r="F202" s="42" t="s">
        <v>4</v>
      </c>
      <c r="G202" s="78">
        <v>476464.98</v>
      </c>
      <c r="H202" s="78">
        <v>0</v>
      </c>
      <c r="I202" s="77">
        <f t="shared" si="12"/>
        <v>-476464.98</v>
      </c>
      <c r="J202" s="76">
        <v>-72407880.209999993</v>
      </c>
      <c r="K202" s="44" t="s">
        <v>1298</v>
      </c>
      <c r="L202" s="14" t="s">
        <v>702</v>
      </c>
      <c r="M202" s="41"/>
      <c r="N202" s="15" t="s">
        <v>3917</v>
      </c>
    </row>
    <row r="203" spans="1:14" hidden="1">
      <c r="A203" s="208">
        <f t="shared" si="13"/>
        <v>202</v>
      </c>
      <c r="B203" s="42" t="s">
        <v>1299</v>
      </c>
      <c r="C203" s="45">
        <v>45859</v>
      </c>
      <c r="D203" s="45">
        <v>45859</v>
      </c>
      <c r="E203" s="42" t="s">
        <v>1295</v>
      </c>
      <c r="F203" s="42" t="s">
        <v>4</v>
      </c>
      <c r="G203" s="78">
        <v>381222.9</v>
      </c>
      <c r="H203" s="78">
        <v>0</v>
      </c>
      <c r="I203" s="77">
        <f t="shared" si="12"/>
        <v>-381222.9</v>
      </c>
      <c r="J203" s="76">
        <v>-72789103.109999999</v>
      </c>
      <c r="K203" s="44" t="s">
        <v>1300</v>
      </c>
      <c r="L203" s="14" t="s">
        <v>702</v>
      </c>
      <c r="M203" s="41"/>
      <c r="N203" s="15" t="s">
        <v>3917</v>
      </c>
    </row>
    <row r="204" spans="1:14" hidden="1">
      <c r="A204" s="208">
        <f t="shared" si="13"/>
        <v>203</v>
      </c>
      <c r="B204" s="42" t="s">
        <v>1301</v>
      </c>
      <c r="C204" s="45">
        <v>45859</v>
      </c>
      <c r="D204" s="45">
        <v>45859</v>
      </c>
      <c r="E204" s="42" t="s">
        <v>1302</v>
      </c>
      <c r="F204" s="42" t="s">
        <v>4</v>
      </c>
      <c r="G204" s="78">
        <v>42606.66</v>
      </c>
      <c r="H204" s="78">
        <v>0</v>
      </c>
      <c r="I204" s="77">
        <f t="shared" si="12"/>
        <v>-42606.66</v>
      </c>
      <c r="J204" s="76">
        <v>-72831709.769999996</v>
      </c>
      <c r="K204" s="44" t="s">
        <v>1303</v>
      </c>
      <c r="L204" s="14" t="s">
        <v>702</v>
      </c>
      <c r="M204" s="41"/>
      <c r="N204" s="15" t="s">
        <v>3917</v>
      </c>
    </row>
    <row r="205" spans="1:14" hidden="1">
      <c r="A205" s="208">
        <f t="shared" si="13"/>
        <v>204</v>
      </c>
      <c r="B205" s="42" t="s">
        <v>1304</v>
      </c>
      <c r="C205" s="45">
        <v>45859</v>
      </c>
      <c r="D205" s="45">
        <v>45859</v>
      </c>
      <c r="E205" s="42" t="s">
        <v>1305</v>
      </c>
      <c r="F205" s="42" t="s">
        <v>4</v>
      </c>
      <c r="G205" s="78">
        <v>14149.86</v>
      </c>
      <c r="H205" s="78">
        <v>0</v>
      </c>
      <c r="I205" s="77">
        <f t="shared" si="12"/>
        <v>-14149.86</v>
      </c>
      <c r="J205" s="76">
        <v>-72845859.629999995</v>
      </c>
      <c r="K205" s="44" t="s">
        <v>1306</v>
      </c>
      <c r="L205" s="14" t="s">
        <v>702</v>
      </c>
      <c r="M205" s="41"/>
      <c r="N205" s="15" t="s">
        <v>3917</v>
      </c>
    </row>
    <row r="206" spans="1:14" hidden="1">
      <c r="A206" s="208">
        <f t="shared" si="13"/>
        <v>205</v>
      </c>
      <c r="B206" s="42" t="s">
        <v>1307</v>
      </c>
      <c r="C206" s="45">
        <v>45859</v>
      </c>
      <c r="D206" s="45">
        <v>45859</v>
      </c>
      <c r="E206" s="42" t="s">
        <v>1305</v>
      </c>
      <c r="F206" s="42" t="s">
        <v>4</v>
      </c>
      <c r="G206" s="78">
        <v>279750</v>
      </c>
      <c r="H206" s="78">
        <v>0</v>
      </c>
      <c r="I206" s="77">
        <f t="shared" si="12"/>
        <v>-279750</v>
      </c>
      <c r="J206" s="76">
        <v>-73125609.629999995</v>
      </c>
      <c r="K206" s="44" t="s">
        <v>1308</v>
      </c>
      <c r="L206" s="14" t="s">
        <v>702</v>
      </c>
      <c r="M206" s="41"/>
      <c r="N206" s="15" t="s">
        <v>3917</v>
      </c>
    </row>
    <row r="207" spans="1:14" hidden="1">
      <c r="A207" s="208">
        <f t="shared" si="13"/>
        <v>206</v>
      </c>
      <c r="B207" s="42" t="s">
        <v>1309</v>
      </c>
      <c r="C207" s="45">
        <v>45859</v>
      </c>
      <c r="D207" s="45">
        <v>45859</v>
      </c>
      <c r="E207" s="42" t="s">
        <v>1310</v>
      </c>
      <c r="F207" s="42" t="s">
        <v>4</v>
      </c>
      <c r="G207" s="78">
        <v>6676.01</v>
      </c>
      <c r="H207" s="78">
        <v>0</v>
      </c>
      <c r="I207" s="77">
        <f t="shared" si="12"/>
        <v>-6676.01</v>
      </c>
      <c r="J207" s="76">
        <v>-73132285.640000001</v>
      </c>
      <c r="K207" s="44" t="s">
        <v>1311</v>
      </c>
      <c r="L207" s="14" t="s">
        <v>702</v>
      </c>
      <c r="M207" s="41"/>
      <c r="N207" s="15" t="s">
        <v>3917</v>
      </c>
    </row>
    <row r="208" spans="1:14" hidden="1">
      <c r="A208" s="208">
        <f t="shared" si="13"/>
        <v>207</v>
      </c>
      <c r="B208" s="42" t="s">
        <v>1312</v>
      </c>
      <c r="C208" s="45">
        <v>45859</v>
      </c>
      <c r="D208" s="45">
        <v>45859</v>
      </c>
      <c r="E208" s="42" t="s">
        <v>1310</v>
      </c>
      <c r="F208" s="42" t="s">
        <v>4</v>
      </c>
      <c r="G208" s="78">
        <v>1915879</v>
      </c>
      <c r="H208" s="78">
        <v>0</v>
      </c>
      <c r="I208" s="77">
        <f t="shared" si="12"/>
        <v>-1915879</v>
      </c>
      <c r="J208" s="76">
        <v>-75048164.640000001</v>
      </c>
      <c r="K208" s="44" t="s">
        <v>1313</v>
      </c>
      <c r="L208" s="14" t="s">
        <v>702</v>
      </c>
      <c r="M208" s="41"/>
      <c r="N208" s="15" t="s">
        <v>3917</v>
      </c>
    </row>
    <row r="209" spans="1:14" hidden="1">
      <c r="A209" s="208">
        <f t="shared" si="13"/>
        <v>208</v>
      </c>
      <c r="B209" s="42" t="s">
        <v>1314</v>
      </c>
      <c r="C209" s="45">
        <v>45859</v>
      </c>
      <c r="D209" s="45">
        <v>45859</v>
      </c>
      <c r="E209" s="42" t="s">
        <v>1310</v>
      </c>
      <c r="F209" s="42" t="s">
        <v>4</v>
      </c>
      <c r="G209" s="78">
        <v>19823.16</v>
      </c>
      <c r="H209" s="78">
        <v>0</v>
      </c>
      <c r="I209" s="77">
        <f t="shared" si="12"/>
        <v>-19823.16</v>
      </c>
      <c r="J209" s="76">
        <v>-75067987.799999997</v>
      </c>
      <c r="K209" s="44" t="s">
        <v>1315</v>
      </c>
      <c r="L209" s="14" t="s">
        <v>702</v>
      </c>
      <c r="M209" s="41"/>
      <c r="N209" s="15" t="s">
        <v>3917</v>
      </c>
    </row>
    <row r="210" spans="1:14" hidden="1">
      <c r="A210" s="208">
        <f t="shared" si="13"/>
        <v>209</v>
      </c>
      <c r="B210" s="42" t="s">
        <v>1316</v>
      </c>
      <c r="C210" s="45">
        <v>45859</v>
      </c>
      <c r="D210" s="45">
        <v>45859</v>
      </c>
      <c r="E210" s="42" t="s">
        <v>1317</v>
      </c>
      <c r="F210" s="42" t="s">
        <v>4</v>
      </c>
      <c r="G210" s="78">
        <v>55239.38</v>
      </c>
      <c r="H210" s="78">
        <v>0</v>
      </c>
      <c r="I210" s="77">
        <f t="shared" si="12"/>
        <v>-55239.38</v>
      </c>
      <c r="J210" s="76">
        <v>-75123227.180000007</v>
      </c>
      <c r="K210" s="44" t="s">
        <v>1318</v>
      </c>
      <c r="L210" s="14" t="s">
        <v>702</v>
      </c>
      <c r="M210" s="41"/>
      <c r="N210" s="15" t="s">
        <v>3917</v>
      </c>
    </row>
    <row r="211" spans="1:14" hidden="1">
      <c r="A211" s="208">
        <f t="shared" si="13"/>
        <v>210</v>
      </c>
      <c r="B211" s="42" t="s">
        <v>1319</v>
      </c>
      <c r="C211" s="45">
        <v>45859</v>
      </c>
      <c r="D211" s="45">
        <v>45859</v>
      </c>
      <c r="E211" s="42" t="s">
        <v>1317</v>
      </c>
      <c r="F211" s="42" t="s">
        <v>4</v>
      </c>
      <c r="G211" s="78">
        <v>259320.23</v>
      </c>
      <c r="H211" s="78">
        <v>0</v>
      </c>
      <c r="I211" s="77">
        <f t="shared" si="12"/>
        <v>-259320.23</v>
      </c>
      <c r="J211" s="76">
        <v>-75382547.409999996</v>
      </c>
      <c r="K211" s="44" t="s">
        <v>1320</v>
      </c>
      <c r="L211" s="14" t="s">
        <v>702</v>
      </c>
      <c r="M211" s="41"/>
      <c r="N211" s="15" t="s">
        <v>3917</v>
      </c>
    </row>
    <row r="212" spans="1:14" hidden="1">
      <c r="A212" s="208">
        <f t="shared" si="13"/>
        <v>211</v>
      </c>
      <c r="B212" s="42" t="s">
        <v>1321</v>
      </c>
      <c r="C212" s="45">
        <v>45859</v>
      </c>
      <c r="D212" s="45">
        <v>45859</v>
      </c>
      <c r="E212" s="42" t="s">
        <v>1317</v>
      </c>
      <c r="F212" s="42" t="s">
        <v>4</v>
      </c>
      <c r="G212" s="78">
        <v>2830.6</v>
      </c>
      <c r="H212" s="78">
        <v>0</v>
      </c>
      <c r="I212" s="77">
        <f t="shared" si="12"/>
        <v>-2830.6</v>
      </c>
      <c r="J212" s="76">
        <v>-75385378.010000005</v>
      </c>
      <c r="K212" s="44" t="s">
        <v>1322</v>
      </c>
      <c r="L212" s="14" t="s">
        <v>702</v>
      </c>
      <c r="M212" s="41"/>
      <c r="N212" s="15" t="s">
        <v>3917</v>
      </c>
    </row>
    <row r="213" spans="1:14" hidden="1">
      <c r="A213" s="208">
        <f t="shared" si="13"/>
        <v>212</v>
      </c>
      <c r="B213" s="42" t="s">
        <v>1323</v>
      </c>
      <c r="C213" s="45">
        <v>45859</v>
      </c>
      <c r="D213" s="45">
        <v>45859</v>
      </c>
      <c r="E213" s="42" t="s">
        <v>1317</v>
      </c>
      <c r="F213" s="42" t="s">
        <v>4</v>
      </c>
      <c r="G213" s="78">
        <v>476464.98</v>
      </c>
      <c r="H213" s="78">
        <v>0</v>
      </c>
      <c r="I213" s="77">
        <f t="shared" si="12"/>
        <v>-476464.98</v>
      </c>
      <c r="J213" s="76">
        <v>-75861842.989999995</v>
      </c>
      <c r="K213" s="44" t="s">
        <v>1324</v>
      </c>
      <c r="L213" s="14" t="s">
        <v>702</v>
      </c>
      <c r="M213" s="41"/>
      <c r="N213" s="15" t="s">
        <v>3917</v>
      </c>
    </row>
    <row r="214" spans="1:14" hidden="1">
      <c r="A214" s="208">
        <f t="shared" si="13"/>
        <v>213</v>
      </c>
      <c r="B214" s="42" t="s">
        <v>1325</v>
      </c>
      <c r="C214" s="45">
        <v>45859</v>
      </c>
      <c r="D214" s="45">
        <v>45859</v>
      </c>
      <c r="E214" s="42" t="s">
        <v>1326</v>
      </c>
      <c r="F214" s="42" t="s">
        <v>4</v>
      </c>
      <c r="G214" s="78">
        <v>8664.43</v>
      </c>
      <c r="H214" s="78">
        <v>0</v>
      </c>
      <c r="I214" s="77">
        <f t="shared" si="12"/>
        <v>-8664.43</v>
      </c>
      <c r="J214" s="76">
        <v>-75870507.420000002</v>
      </c>
      <c r="K214" s="44" t="s">
        <v>1327</v>
      </c>
      <c r="L214" s="14" t="s">
        <v>702</v>
      </c>
      <c r="M214" s="41"/>
      <c r="N214" s="15" t="s">
        <v>3917</v>
      </c>
    </row>
    <row r="215" spans="1:14" hidden="1">
      <c r="A215" s="208">
        <f t="shared" si="13"/>
        <v>214</v>
      </c>
      <c r="B215" s="42" t="s">
        <v>1328</v>
      </c>
      <c r="C215" s="45">
        <v>45859</v>
      </c>
      <c r="D215" s="45">
        <v>45859</v>
      </c>
      <c r="E215" s="42" t="s">
        <v>1326</v>
      </c>
      <c r="F215" s="42" t="s">
        <v>4</v>
      </c>
      <c r="G215" s="78">
        <v>2027.46</v>
      </c>
      <c r="H215" s="78">
        <v>0</v>
      </c>
      <c r="I215" s="77">
        <f t="shared" si="12"/>
        <v>-2027.46</v>
      </c>
      <c r="J215" s="76">
        <v>-75872534.879999995</v>
      </c>
      <c r="K215" s="44" t="s">
        <v>1329</v>
      </c>
      <c r="L215" s="14" t="s">
        <v>702</v>
      </c>
      <c r="M215" s="41"/>
      <c r="N215" s="15" t="s">
        <v>3917</v>
      </c>
    </row>
    <row r="216" spans="1:14" hidden="1">
      <c r="A216" s="208">
        <f t="shared" si="13"/>
        <v>215</v>
      </c>
      <c r="B216" s="42" t="s">
        <v>1330</v>
      </c>
      <c r="C216" s="45">
        <v>45859</v>
      </c>
      <c r="D216" s="45">
        <v>45859</v>
      </c>
      <c r="E216" s="42" t="s">
        <v>1326</v>
      </c>
      <c r="F216" s="42" t="s">
        <v>4</v>
      </c>
      <c r="G216" s="78">
        <v>259320.23</v>
      </c>
      <c r="H216" s="78">
        <v>0</v>
      </c>
      <c r="I216" s="77">
        <f t="shared" si="12"/>
        <v>-259320.23</v>
      </c>
      <c r="J216" s="76">
        <v>-76131855.109999999</v>
      </c>
      <c r="K216" s="44" t="s">
        <v>1331</v>
      </c>
      <c r="L216" s="14" t="s">
        <v>702</v>
      </c>
      <c r="M216" s="41"/>
      <c r="N216" s="15" t="s">
        <v>3917</v>
      </c>
    </row>
    <row r="217" spans="1:14" hidden="1">
      <c r="A217" s="208">
        <f t="shared" si="13"/>
        <v>216</v>
      </c>
      <c r="B217" s="42" t="s">
        <v>1332</v>
      </c>
      <c r="C217" s="45">
        <v>45859</v>
      </c>
      <c r="D217" s="45">
        <v>45859</v>
      </c>
      <c r="E217" s="42" t="s">
        <v>1333</v>
      </c>
      <c r="F217" s="42" t="s">
        <v>4</v>
      </c>
      <c r="G217" s="78">
        <v>20452.21</v>
      </c>
      <c r="H217" s="78">
        <v>0</v>
      </c>
      <c r="I217" s="77">
        <f t="shared" si="12"/>
        <v>-20452.21</v>
      </c>
      <c r="J217" s="76">
        <v>-76152307.319999993</v>
      </c>
      <c r="K217" s="44" t="s">
        <v>1334</v>
      </c>
      <c r="L217" s="14" t="s">
        <v>702</v>
      </c>
      <c r="M217" s="41"/>
      <c r="N217" s="15" t="s">
        <v>3917</v>
      </c>
    </row>
    <row r="218" spans="1:14" hidden="1">
      <c r="A218" s="208">
        <f t="shared" si="13"/>
        <v>217</v>
      </c>
      <c r="B218" s="42" t="s">
        <v>1335</v>
      </c>
      <c r="C218" s="45">
        <v>45859</v>
      </c>
      <c r="D218" s="45">
        <v>45859</v>
      </c>
      <c r="E218" s="42" t="s">
        <v>1333</v>
      </c>
      <c r="F218" s="42" t="s">
        <v>4</v>
      </c>
      <c r="G218" s="78">
        <v>304368</v>
      </c>
      <c r="H218" s="78">
        <v>0</v>
      </c>
      <c r="I218" s="77">
        <f t="shared" si="12"/>
        <v>-304368</v>
      </c>
      <c r="J218" s="76">
        <v>-76456675.319999993</v>
      </c>
      <c r="K218" s="44" t="s">
        <v>1336</v>
      </c>
      <c r="L218" s="14" t="s">
        <v>702</v>
      </c>
      <c r="M218" s="41"/>
      <c r="N218" s="15" t="s">
        <v>3917</v>
      </c>
    </row>
    <row r="219" spans="1:14" hidden="1">
      <c r="A219" s="208">
        <f t="shared" si="13"/>
        <v>218</v>
      </c>
      <c r="B219" s="42" t="s">
        <v>1337</v>
      </c>
      <c r="C219" s="45">
        <v>45859</v>
      </c>
      <c r="D219" s="45">
        <v>45859</v>
      </c>
      <c r="E219" s="42" t="s">
        <v>1333</v>
      </c>
      <c r="F219" s="42" t="s">
        <v>4</v>
      </c>
      <c r="G219" s="78">
        <v>94056.46</v>
      </c>
      <c r="H219" s="78">
        <v>0</v>
      </c>
      <c r="I219" s="77">
        <f t="shared" si="12"/>
        <v>-94056.46</v>
      </c>
      <c r="J219" s="76">
        <v>-76550731.780000001</v>
      </c>
      <c r="K219" s="44" t="s">
        <v>1338</v>
      </c>
      <c r="L219" s="14" t="s">
        <v>702</v>
      </c>
      <c r="M219" s="41"/>
      <c r="N219" s="15" t="s">
        <v>3917</v>
      </c>
    </row>
    <row r="220" spans="1:14" hidden="1">
      <c r="A220" s="208">
        <f t="shared" si="13"/>
        <v>219</v>
      </c>
      <c r="B220" s="42" t="s">
        <v>1339</v>
      </c>
      <c r="C220" s="45">
        <v>45859</v>
      </c>
      <c r="D220" s="45">
        <v>45859</v>
      </c>
      <c r="E220" s="42" t="s">
        <v>1340</v>
      </c>
      <c r="F220" s="42" t="s">
        <v>4</v>
      </c>
      <c r="G220" s="78">
        <v>381222.9</v>
      </c>
      <c r="H220" s="78">
        <v>0</v>
      </c>
      <c r="I220" s="77">
        <f t="shared" si="12"/>
        <v>-381222.9</v>
      </c>
      <c r="J220" s="76">
        <v>-76931954.680000007</v>
      </c>
      <c r="K220" s="44" t="s">
        <v>1341</v>
      </c>
      <c r="L220" s="14" t="s">
        <v>702</v>
      </c>
      <c r="M220" s="41"/>
      <c r="N220" s="15" t="s">
        <v>3917</v>
      </c>
    </row>
    <row r="221" spans="1:14" hidden="1">
      <c r="A221" s="208">
        <f t="shared" si="13"/>
        <v>220</v>
      </c>
      <c r="B221" s="42" t="s">
        <v>1342</v>
      </c>
      <c r="C221" s="45">
        <v>45859</v>
      </c>
      <c r="D221" s="45">
        <v>45859</v>
      </c>
      <c r="E221" s="42" t="s">
        <v>1340</v>
      </c>
      <c r="F221" s="42" t="s">
        <v>4</v>
      </c>
      <c r="G221" s="78">
        <v>583.44000000000005</v>
      </c>
      <c r="H221" s="78">
        <v>0</v>
      </c>
      <c r="I221" s="77">
        <f t="shared" si="12"/>
        <v>-583.44000000000005</v>
      </c>
      <c r="J221" s="76">
        <v>-76932538.120000005</v>
      </c>
      <c r="K221" s="44" t="s">
        <v>1343</v>
      </c>
      <c r="L221" s="14" t="s">
        <v>702</v>
      </c>
      <c r="M221" s="41"/>
      <c r="N221" s="15" t="s">
        <v>3917</v>
      </c>
    </row>
    <row r="222" spans="1:14" hidden="1">
      <c r="A222" s="208">
        <f t="shared" si="13"/>
        <v>221</v>
      </c>
      <c r="B222" s="42" t="s">
        <v>1344</v>
      </c>
      <c r="C222" s="45">
        <v>45859</v>
      </c>
      <c r="D222" s="45">
        <v>45859</v>
      </c>
      <c r="E222" s="42" t="s">
        <v>1340</v>
      </c>
      <c r="F222" s="42" t="s">
        <v>4</v>
      </c>
      <c r="G222" s="78">
        <v>1080954</v>
      </c>
      <c r="H222" s="78">
        <v>0</v>
      </c>
      <c r="I222" s="77">
        <f t="shared" si="12"/>
        <v>-1080954</v>
      </c>
      <c r="J222" s="76">
        <v>-78013492.120000005</v>
      </c>
      <c r="K222" s="44" t="s">
        <v>1345</v>
      </c>
      <c r="L222" s="14" t="s">
        <v>702</v>
      </c>
      <c r="M222" s="41"/>
      <c r="N222" s="15" t="s">
        <v>3917</v>
      </c>
    </row>
    <row r="223" spans="1:14" hidden="1">
      <c r="A223" s="208">
        <f t="shared" si="13"/>
        <v>222</v>
      </c>
      <c r="B223" s="42" t="s">
        <v>1346</v>
      </c>
      <c r="C223" s="45">
        <v>45859</v>
      </c>
      <c r="D223" s="45">
        <v>45859</v>
      </c>
      <c r="E223" s="42" t="s">
        <v>1347</v>
      </c>
      <c r="F223" s="42" t="s">
        <v>4</v>
      </c>
      <c r="G223" s="78">
        <v>381222.9</v>
      </c>
      <c r="H223" s="78">
        <v>0</v>
      </c>
      <c r="I223" s="77">
        <f t="shared" si="12"/>
        <v>-381222.9</v>
      </c>
      <c r="J223" s="76">
        <v>-78394715.019999996</v>
      </c>
      <c r="K223" s="44" t="s">
        <v>1348</v>
      </c>
      <c r="L223" s="14" t="s">
        <v>702</v>
      </c>
      <c r="M223" s="41"/>
      <c r="N223" s="15" t="s">
        <v>3917</v>
      </c>
    </row>
    <row r="224" spans="1:14" hidden="1">
      <c r="A224" s="208">
        <f t="shared" si="13"/>
        <v>223</v>
      </c>
      <c r="B224" s="42" t="s">
        <v>1349</v>
      </c>
      <c r="C224" s="45">
        <v>45859</v>
      </c>
      <c r="D224" s="45">
        <v>45859</v>
      </c>
      <c r="E224" s="42" t="s">
        <v>1350</v>
      </c>
      <c r="F224" s="42" t="s">
        <v>4</v>
      </c>
      <c r="G224" s="78">
        <v>1180</v>
      </c>
      <c r="H224" s="78">
        <v>0</v>
      </c>
      <c r="I224" s="77">
        <f t="shared" si="12"/>
        <v>-1180</v>
      </c>
      <c r="J224" s="76">
        <v>-78395895.019999996</v>
      </c>
      <c r="K224" s="44" t="s">
        <v>1351</v>
      </c>
      <c r="L224" s="14" t="s">
        <v>3726</v>
      </c>
      <c r="M224" s="41" t="s">
        <v>873</v>
      </c>
      <c r="N224" s="15" t="s">
        <v>3917</v>
      </c>
    </row>
    <row r="225" spans="1:14" hidden="1">
      <c r="A225" s="208">
        <f t="shared" si="13"/>
        <v>224</v>
      </c>
      <c r="B225" s="42" t="s">
        <v>1352</v>
      </c>
      <c r="C225" s="45">
        <v>45859</v>
      </c>
      <c r="D225" s="45">
        <v>45859</v>
      </c>
      <c r="E225" s="42" t="s">
        <v>1350</v>
      </c>
      <c r="F225" s="42" t="s">
        <v>4</v>
      </c>
      <c r="G225" s="78">
        <v>590</v>
      </c>
      <c r="H225" s="78">
        <v>0</v>
      </c>
      <c r="I225" s="77">
        <f t="shared" si="12"/>
        <v>-590</v>
      </c>
      <c r="J225" s="76">
        <v>-78396485.019999996</v>
      </c>
      <c r="K225" s="44" t="s">
        <v>1353</v>
      </c>
      <c r="L225" s="14" t="s">
        <v>542</v>
      </c>
      <c r="M225" s="41"/>
      <c r="N225" s="15" t="s">
        <v>3917</v>
      </c>
    </row>
    <row r="226" spans="1:14" hidden="1">
      <c r="A226" s="208">
        <f t="shared" si="13"/>
        <v>225</v>
      </c>
      <c r="B226" s="42" t="s">
        <v>1354</v>
      </c>
      <c r="C226" s="45">
        <v>45859</v>
      </c>
      <c r="D226" s="45">
        <v>45859</v>
      </c>
      <c r="E226" s="42" t="s">
        <v>1355</v>
      </c>
      <c r="F226" s="42" t="s">
        <v>4</v>
      </c>
      <c r="G226" s="205">
        <v>4237641</v>
      </c>
      <c r="H226" s="78">
        <v>0</v>
      </c>
      <c r="I226" s="77">
        <f t="shared" si="12"/>
        <v>-4237641</v>
      </c>
      <c r="J226" s="76">
        <v>-82634126.019999996</v>
      </c>
      <c r="K226" s="44" t="s">
        <v>1356</v>
      </c>
      <c r="L226" s="14" t="s">
        <v>3719</v>
      </c>
      <c r="M226" s="41" t="s">
        <v>873</v>
      </c>
      <c r="N226" s="15" t="s">
        <v>3917</v>
      </c>
    </row>
    <row r="227" spans="1:14" ht="15" hidden="1" thickBot="1">
      <c r="A227" s="130">
        <f t="shared" si="13"/>
        <v>226</v>
      </c>
      <c r="B227" s="42" t="s">
        <v>1357</v>
      </c>
      <c r="C227" s="45">
        <v>45859</v>
      </c>
      <c r="D227" s="45">
        <v>45859</v>
      </c>
      <c r="E227" s="42" t="s">
        <v>1358</v>
      </c>
      <c r="F227" s="42" t="s">
        <v>4</v>
      </c>
      <c r="G227" s="78">
        <v>0</v>
      </c>
      <c r="H227" s="238">
        <v>3829013.95</v>
      </c>
      <c r="I227" s="77">
        <f t="shared" si="12"/>
        <v>3829013.95</v>
      </c>
      <c r="J227" s="76">
        <v>-78805112.069999993</v>
      </c>
      <c r="K227" s="44" t="s">
        <v>1359</v>
      </c>
      <c r="L227" s="14" t="s">
        <v>3913</v>
      </c>
      <c r="M227" s="210"/>
      <c r="N227" s="15" t="s">
        <v>3916</v>
      </c>
    </row>
    <row r="228" spans="1:14" ht="15" hidden="1">
      <c r="A228" s="236">
        <f t="shared" si="13"/>
        <v>227</v>
      </c>
      <c r="B228" s="42" t="s">
        <v>1381</v>
      </c>
      <c r="C228" s="45">
        <v>45860</v>
      </c>
      <c r="D228" s="45">
        <v>45860</v>
      </c>
      <c r="E228" s="42" t="s">
        <v>1382</v>
      </c>
      <c r="F228" s="42" t="s">
        <v>4</v>
      </c>
      <c r="G228" s="76">
        <v>275084.62</v>
      </c>
      <c r="H228" s="237">
        <v>0</v>
      </c>
      <c r="I228" s="77">
        <f t="shared" si="12"/>
        <v>-275084.62</v>
      </c>
      <c r="J228" s="76">
        <v>-79080196.689999998</v>
      </c>
      <c r="K228" s="44" t="s">
        <v>1383</v>
      </c>
      <c r="L228" s="14" t="s">
        <v>702</v>
      </c>
      <c r="N228" s="15" t="s">
        <v>3917</v>
      </c>
    </row>
    <row r="229" spans="1:14" ht="15" hidden="1">
      <c r="A229" s="236">
        <f t="shared" si="13"/>
        <v>228</v>
      </c>
      <c r="B229" s="42" t="s">
        <v>1384</v>
      </c>
      <c r="C229" s="45">
        <v>45860</v>
      </c>
      <c r="D229" s="45">
        <v>45860</v>
      </c>
      <c r="E229" s="42" t="s">
        <v>1385</v>
      </c>
      <c r="F229" s="42" t="s">
        <v>4</v>
      </c>
      <c r="G229" s="76">
        <v>380210.78</v>
      </c>
      <c r="H229" s="237">
        <v>0</v>
      </c>
      <c r="I229" s="77">
        <f t="shared" si="12"/>
        <v>-380210.78</v>
      </c>
      <c r="J229" s="76">
        <v>-79460407.469999999</v>
      </c>
      <c r="K229" s="44" t="s">
        <v>1386</v>
      </c>
      <c r="L229" s="14" t="s">
        <v>702</v>
      </c>
      <c r="N229" s="15" t="s">
        <v>3917</v>
      </c>
    </row>
    <row r="230" spans="1:14" ht="15" hidden="1">
      <c r="A230" s="236">
        <f t="shared" si="13"/>
        <v>229</v>
      </c>
      <c r="B230" s="42" t="s">
        <v>1387</v>
      </c>
      <c r="C230" s="45">
        <v>45860</v>
      </c>
      <c r="D230" s="45">
        <v>45860</v>
      </c>
      <c r="E230" s="42" t="s">
        <v>1385</v>
      </c>
      <c r="F230" s="42" t="s">
        <v>4</v>
      </c>
      <c r="G230" s="76">
        <v>165288.4</v>
      </c>
      <c r="H230" s="237">
        <v>0</v>
      </c>
      <c r="I230" s="77">
        <f t="shared" si="12"/>
        <v>-165288.4</v>
      </c>
      <c r="J230" s="76">
        <v>-79625695.870000005</v>
      </c>
      <c r="K230" s="44" t="s">
        <v>1388</v>
      </c>
      <c r="L230" s="14" t="s">
        <v>702</v>
      </c>
      <c r="N230" s="15" t="s">
        <v>3917</v>
      </c>
    </row>
    <row r="231" spans="1:14" ht="15" hidden="1">
      <c r="A231" s="236">
        <f t="shared" si="13"/>
        <v>230</v>
      </c>
      <c r="B231" s="42" t="s">
        <v>1389</v>
      </c>
      <c r="C231" s="45">
        <v>45860</v>
      </c>
      <c r="D231" s="45">
        <v>45860</v>
      </c>
      <c r="E231" s="42" t="s">
        <v>1390</v>
      </c>
      <c r="F231" s="42" t="s">
        <v>4</v>
      </c>
      <c r="G231" s="76">
        <v>380210.78</v>
      </c>
      <c r="H231" s="237">
        <v>0</v>
      </c>
      <c r="I231" s="77">
        <f t="shared" si="12"/>
        <v>-380210.78</v>
      </c>
      <c r="J231" s="76">
        <v>-80005906.650000006</v>
      </c>
      <c r="K231" s="44" t="s">
        <v>1391</v>
      </c>
      <c r="L231" s="14" t="s">
        <v>702</v>
      </c>
      <c r="N231" s="15" t="s">
        <v>3917</v>
      </c>
    </row>
    <row r="232" spans="1:14" ht="15" hidden="1">
      <c r="A232" s="236">
        <f t="shared" si="13"/>
        <v>231</v>
      </c>
      <c r="B232" s="42" t="s">
        <v>1392</v>
      </c>
      <c r="C232" s="45">
        <v>45860</v>
      </c>
      <c r="D232" s="45">
        <v>45860</v>
      </c>
      <c r="E232" s="42" t="s">
        <v>1390</v>
      </c>
      <c r="F232" s="42" t="s">
        <v>4</v>
      </c>
      <c r="G232" s="76">
        <v>380210.78</v>
      </c>
      <c r="H232" s="237">
        <v>0</v>
      </c>
      <c r="I232" s="77">
        <f t="shared" si="12"/>
        <v>-380210.78</v>
      </c>
      <c r="J232" s="76">
        <v>-80386117.430000007</v>
      </c>
      <c r="K232" s="44" t="s">
        <v>1393</v>
      </c>
      <c r="L232" s="14" t="s">
        <v>702</v>
      </c>
      <c r="N232" s="15" t="s">
        <v>3917</v>
      </c>
    </row>
    <row r="233" spans="1:14" ht="15" hidden="1">
      <c r="A233" s="236">
        <f t="shared" si="13"/>
        <v>232</v>
      </c>
      <c r="B233" s="42" t="s">
        <v>1394</v>
      </c>
      <c r="C233" s="45">
        <v>45860</v>
      </c>
      <c r="D233" s="45">
        <v>45860</v>
      </c>
      <c r="E233" s="42" t="s">
        <v>1395</v>
      </c>
      <c r="F233" s="42" t="s">
        <v>4</v>
      </c>
      <c r="G233" s="76">
        <v>272109.88</v>
      </c>
      <c r="H233" s="237">
        <v>0</v>
      </c>
      <c r="I233" s="77">
        <f t="shared" si="12"/>
        <v>-272109.88</v>
      </c>
      <c r="J233" s="76">
        <v>-80658227.310000002</v>
      </c>
      <c r="K233" s="44" t="s">
        <v>1396</v>
      </c>
      <c r="L233" s="14" t="s">
        <v>702</v>
      </c>
      <c r="N233" s="15" t="s">
        <v>3917</v>
      </c>
    </row>
    <row r="234" spans="1:14" ht="15" hidden="1">
      <c r="A234" s="236">
        <f t="shared" si="13"/>
        <v>233</v>
      </c>
      <c r="B234" s="42" t="s">
        <v>1397</v>
      </c>
      <c r="C234" s="45">
        <v>45860</v>
      </c>
      <c r="D234" s="45">
        <v>45860</v>
      </c>
      <c r="E234" s="42" t="s">
        <v>1395</v>
      </c>
      <c r="F234" s="42" t="s">
        <v>4</v>
      </c>
      <c r="G234" s="76">
        <v>228626.59</v>
      </c>
      <c r="H234" s="237">
        <v>0</v>
      </c>
      <c r="I234" s="77">
        <f t="shared" si="12"/>
        <v>-228626.59</v>
      </c>
      <c r="J234" s="76">
        <v>-80886853.900000006</v>
      </c>
      <c r="K234" s="44" t="s">
        <v>1398</v>
      </c>
      <c r="L234" s="14" t="s">
        <v>702</v>
      </c>
      <c r="N234" s="15" t="s">
        <v>3917</v>
      </c>
    </row>
    <row r="235" spans="1:14" ht="15" hidden="1">
      <c r="A235" s="236">
        <f t="shared" si="13"/>
        <v>234</v>
      </c>
      <c r="B235" s="42" t="s">
        <v>1399</v>
      </c>
      <c r="C235" s="45">
        <v>45860</v>
      </c>
      <c r="D235" s="45">
        <v>45860</v>
      </c>
      <c r="E235" s="42" t="s">
        <v>1400</v>
      </c>
      <c r="F235" s="42" t="s">
        <v>4</v>
      </c>
      <c r="G235" s="76">
        <v>1066526</v>
      </c>
      <c r="H235" s="237">
        <v>0</v>
      </c>
      <c r="I235" s="77">
        <f t="shared" si="12"/>
        <v>-1066526</v>
      </c>
      <c r="J235" s="76">
        <v>-81953379.900000006</v>
      </c>
      <c r="K235" s="44" t="s">
        <v>1401</v>
      </c>
      <c r="L235" s="14" t="s">
        <v>702</v>
      </c>
      <c r="N235" s="15" t="s">
        <v>3917</v>
      </c>
    </row>
    <row r="236" spans="1:14" ht="15" hidden="1">
      <c r="A236" s="236">
        <f t="shared" si="13"/>
        <v>235</v>
      </c>
      <c r="B236" s="42" t="s">
        <v>1402</v>
      </c>
      <c r="C236" s="45">
        <v>45860</v>
      </c>
      <c r="D236" s="45">
        <v>45860</v>
      </c>
      <c r="E236" s="42" t="s">
        <v>1403</v>
      </c>
      <c r="F236" s="42" t="s">
        <v>4</v>
      </c>
      <c r="G236" s="76">
        <v>275084.62</v>
      </c>
      <c r="H236" s="237">
        <v>0</v>
      </c>
      <c r="I236" s="77">
        <f t="shared" si="12"/>
        <v>-275084.62</v>
      </c>
      <c r="J236" s="76">
        <v>-82228464.519999996</v>
      </c>
      <c r="K236" s="44" t="s">
        <v>1404</v>
      </c>
      <c r="L236" s="14" t="s">
        <v>702</v>
      </c>
      <c r="N236" s="15" t="s">
        <v>3917</v>
      </c>
    </row>
    <row r="237" spans="1:14" ht="15" hidden="1">
      <c r="A237" s="236">
        <f t="shared" si="13"/>
        <v>236</v>
      </c>
      <c r="B237" s="42" t="s">
        <v>1405</v>
      </c>
      <c r="C237" s="45">
        <v>45860</v>
      </c>
      <c r="D237" s="45">
        <v>45860</v>
      </c>
      <c r="E237" s="42" t="s">
        <v>1403</v>
      </c>
      <c r="F237" s="42" t="s">
        <v>4</v>
      </c>
      <c r="G237" s="76">
        <v>391136.38</v>
      </c>
      <c r="H237" s="237">
        <v>0</v>
      </c>
      <c r="I237" s="77">
        <f t="shared" si="12"/>
        <v>-391136.38</v>
      </c>
      <c r="J237" s="76">
        <v>-82619600.900000006</v>
      </c>
      <c r="K237" s="44" t="s">
        <v>1406</v>
      </c>
      <c r="L237" s="14" t="s">
        <v>702</v>
      </c>
      <c r="N237" s="15" t="s">
        <v>3917</v>
      </c>
    </row>
    <row r="238" spans="1:14" ht="15" hidden="1">
      <c r="A238" s="236">
        <f t="shared" si="13"/>
        <v>237</v>
      </c>
      <c r="B238" s="42" t="s">
        <v>1407</v>
      </c>
      <c r="C238" s="45">
        <v>45860</v>
      </c>
      <c r="D238" s="45">
        <v>45860</v>
      </c>
      <c r="E238" s="42" t="s">
        <v>1403</v>
      </c>
      <c r="F238" s="42" t="s">
        <v>4</v>
      </c>
      <c r="G238" s="76">
        <v>391136.38</v>
      </c>
      <c r="H238" s="237">
        <v>0</v>
      </c>
      <c r="I238" s="77">
        <f t="shared" si="12"/>
        <v>-391136.38</v>
      </c>
      <c r="J238" s="76">
        <v>-83010737.280000001</v>
      </c>
      <c r="K238" s="44" t="s">
        <v>1408</v>
      </c>
      <c r="L238" s="14" t="s">
        <v>702</v>
      </c>
      <c r="N238" s="15" t="s">
        <v>3917</v>
      </c>
    </row>
    <row r="239" spans="1:14" ht="15" hidden="1">
      <c r="A239" s="236">
        <f t="shared" si="13"/>
        <v>238</v>
      </c>
      <c r="B239" s="42" t="s">
        <v>1409</v>
      </c>
      <c r="C239" s="45">
        <v>45860</v>
      </c>
      <c r="D239" s="45">
        <v>45860</v>
      </c>
      <c r="E239" s="42" t="s">
        <v>1410</v>
      </c>
      <c r="F239" s="42" t="s">
        <v>4</v>
      </c>
      <c r="G239" s="76">
        <v>391136.38</v>
      </c>
      <c r="H239" s="237">
        <v>0</v>
      </c>
      <c r="I239" s="77">
        <f t="shared" si="12"/>
        <v>-391136.38</v>
      </c>
      <c r="J239" s="76">
        <v>-83401873.659999996</v>
      </c>
      <c r="K239" s="44" t="s">
        <v>1411</v>
      </c>
      <c r="L239" s="14" t="s">
        <v>702</v>
      </c>
      <c r="N239" s="15" t="s">
        <v>3917</v>
      </c>
    </row>
    <row r="240" spans="1:14" ht="15" hidden="1">
      <c r="A240" s="236">
        <f t="shared" si="13"/>
        <v>239</v>
      </c>
      <c r="C240" s="243">
        <f>C239+1</f>
        <v>45861</v>
      </c>
      <c r="D240" s="243">
        <f>D239+1</f>
        <v>45861</v>
      </c>
      <c r="J240" s="76">
        <v>-83401873.659999996</v>
      </c>
      <c r="L240" s="15" t="s">
        <v>702</v>
      </c>
      <c r="N240" s="15" t="s">
        <v>3917</v>
      </c>
    </row>
    <row r="241" spans="1:14" ht="15" hidden="1">
      <c r="A241" s="236">
        <f t="shared" si="13"/>
        <v>240</v>
      </c>
      <c r="C241" s="243">
        <v>45862</v>
      </c>
      <c r="D241" s="243">
        <f>D240+1</f>
        <v>45862</v>
      </c>
      <c r="H241" s="15">
        <v>50000000</v>
      </c>
      <c r="I241" s="15">
        <v>-33401873.66</v>
      </c>
      <c r="J241" s="248">
        <v>-33401873.66</v>
      </c>
      <c r="K241" s="15" t="s">
        <v>1520</v>
      </c>
      <c r="L241" s="15" t="s">
        <v>3718</v>
      </c>
      <c r="N241" s="15" t="s">
        <v>3917</v>
      </c>
    </row>
    <row r="242" spans="1:14" ht="15" hidden="1">
      <c r="A242" s="236">
        <f t="shared" si="13"/>
        <v>241</v>
      </c>
      <c r="C242" s="243">
        <v>45862</v>
      </c>
      <c r="G242" s="15">
        <v>88342.67</v>
      </c>
      <c r="I242" s="15">
        <v>-33490216.329999998</v>
      </c>
      <c r="J242" s="248">
        <v>-33490216.329999998</v>
      </c>
      <c r="K242" s="15" t="s">
        <v>1518</v>
      </c>
      <c r="L242" s="15" t="s">
        <v>3719</v>
      </c>
      <c r="M242" s="15" t="s">
        <v>1537</v>
      </c>
      <c r="N242" s="15" t="s">
        <v>3917</v>
      </c>
    </row>
    <row r="243" spans="1:14" ht="15" hidden="1">
      <c r="A243" s="236">
        <f t="shared" si="13"/>
        <v>242</v>
      </c>
      <c r="C243" s="243">
        <v>45862</v>
      </c>
      <c r="G243" s="15">
        <v>4348.66</v>
      </c>
      <c r="I243" s="15">
        <v>-33494564.989999998</v>
      </c>
      <c r="J243" s="248">
        <v>-33494564.989999998</v>
      </c>
      <c r="K243" s="15" t="s">
        <v>1521</v>
      </c>
      <c r="L243" s="15" t="s">
        <v>702</v>
      </c>
      <c r="N243" s="15" t="s">
        <v>3917</v>
      </c>
    </row>
    <row r="244" spans="1:14" ht="15" hidden="1">
      <c r="A244" s="236">
        <f t="shared" si="13"/>
        <v>243</v>
      </c>
      <c r="C244" s="243">
        <v>45862</v>
      </c>
      <c r="G244" s="15">
        <v>53942.81</v>
      </c>
      <c r="I244" s="15">
        <v>-33548507.800000001</v>
      </c>
      <c r="J244" s="248">
        <v>-33548507.800000001</v>
      </c>
      <c r="K244" s="15" t="s">
        <v>1522</v>
      </c>
      <c r="L244" s="15" t="s">
        <v>702</v>
      </c>
      <c r="N244" s="15" t="s">
        <v>3917</v>
      </c>
    </row>
    <row r="245" spans="1:14" ht="15" hidden="1">
      <c r="A245" s="236">
        <f t="shared" si="13"/>
        <v>244</v>
      </c>
      <c r="C245" s="243">
        <v>45862</v>
      </c>
      <c r="G245" s="15">
        <v>33465.1</v>
      </c>
      <c r="I245" s="15">
        <v>-33581972.899999999</v>
      </c>
      <c r="J245" s="248">
        <v>-33581972.899999999</v>
      </c>
      <c r="K245" s="15" t="s">
        <v>1523</v>
      </c>
      <c r="L245" s="15" t="s">
        <v>702</v>
      </c>
      <c r="N245" s="15" t="s">
        <v>3917</v>
      </c>
    </row>
    <row r="246" spans="1:14" ht="15" hidden="1">
      <c r="A246" s="236">
        <f t="shared" si="13"/>
        <v>245</v>
      </c>
      <c r="C246" s="243">
        <v>45862</v>
      </c>
      <c r="G246" s="15">
        <v>1180</v>
      </c>
      <c r="I246" s="15">
        <v>-33583152.899999999</v>
      </c>
      <c r="J246" s="248">
        <v>-33583152.899999999</v>
      </c>
      <c r="K246" s="15" t="s">
        <v>1524</v>
      </c>
      <c r="L246" s="15" t="s">
        <v>984</v>
      </c>
      <c r="M246" s="15" t="s">
        <v>879</v>
      </c>
      <c r="N246" s="15" t="s">
        <v>3917</v>
      </c>
    </row>
    <row r="247" spans="1:14" ht="15" hidden="1">
      <c r="A247" s="236">
        <f t="shared" si="13"/>
        <v>246</v>
      </c>
      <c r="C247" s="243">
        <v>45862</v>
      </c>
      <c r="G247" s="15">
        <v>590</v>
      </c>
      <c r="I247" s="15">
        <v>-33583742.899999999</v>
      </c>
      <c r="J247" s="248">
        <v>-33583742.899999999</v>
      </c>
      <c r="K247" s="15" t="s">
        <v>1525</v>
      </c>
      <c r="L247" s="15" t="s">
        <v>542</v>
      </c>
      <c r="N247" s="15" t="s">
        <v>3917</v>
      </c>
    </row>
    <row r="248" spans="1:14" ht="15" hidden="1">
      <c r="A248" s="236">
        <f t="shared" si="13"/>
        <v>247</v>
      </c>
      <c r="C248" s="243">
        <v>45862</v>
      </c>
      <c r="G248" s="15">
        <v>12878930</v>
      </c>
      <c r="I248" s="15">
        <v>-46462672.899999999</v>
      </c>
      <c r="J248" s="248">
        <v>-46462672.899999999</v>
      </c>
      <c r="K248" s="15" t="s">
        <v>1526</v>
      </c>
      <c r="L248" s="15" t="s">
        <v>984</v>
      </c>
      <c r="M248" s="15" t="s">
        <v>879</v>
      </c>
      <c r="N248" s="15" t="s">
        <v>3917</v>
      </c>
    </row>
    <row r="249" spans="1:14" ht="15" hidden="1">
      <c r="A249" s="236">
        <f t="shared" si="13"/>
        <v>248</v>
      </c>
      <c r="C249" s="243">
        <v>45862</v>
      </c>
      <c r="G249" s="15">
        <v>590</v>
      </c>
      <c r="I249" s="15">
        <v>-46463262.899999999</v>
      </c>
      <c r="J249" s="248">
        <v>-46463262.899999999</v>
      </c>
      <c r="K249" s="15" t="s">
        <v>1527</v>
      </c>
      <c r="L249" s="15" t="s">
        <v>542</v>
      </c>
      <c r="N249" s="15" t="s">
        <v>3917</v>
      </c>
    </row>
    <row r="250" spans="1:14" ht="15" hidden="1">
      <c r="A250" s="236">
        <f t="shared" si="13"/>
        <v>249</v>
      </c>
      <c r="C250" s="243">
        <v>45862</v>
      </c>
      <c r="G250" s="15">
        <v>1180</v>
      </c>
      <c r="I250" s="15">
        <v>-46464442.899999999</v>
      </c>
      <c r="J250" s="248">
        <v>-46464442.899999999</v>
      </c>
      <c r="K250" s="15" t="s">
        <v>1528</v>
      </c>
      <c r="L250" s="15" t="s">
        <v>3726</v>
      </c>
      <c r="M250" s="15" t="s">
        <v>790</v>
      </c>
      <c r="N250" s="15" t="s">
        <v>3917</v>
      </c>
    </row>
    <row r="251" spans="1:14" ht="15" hidden="1">
      <c r="A251" s="236">
        <f t="shared" si="13"/>
        <v>250</v>
      </c>
      <c r="C251" s="243">
        <v>45862</v>
      </c>
      <c r="G251" s="15">
        <v>41836821</v>
      </c>
      <c r="I251" s="15">
        <v>-88301263.900000006</v>
      </c>
      <c r="J251" s="248">
        <v>-88301263.900000006</v>
      </c>
      <c r="K251" s="15" t="s">
        <v>1529</v>
      </c>
      <c r="L251" s="15" t="s">
        <v>984</v>
      </c>
      <c r="M251" s="15" t="s">
        <v>790</v>
      </c>
      <c r="N251" s="15" t="s">
        <v>3917</v>
      </c>
    </row>
    <row r="252" spans="1:14" ht="15" hidden="1">
      <c r="A252" s="236">
        <f t="shared" si="13"/>
        <v>251</v>
      </c>
      <c r="C252" s="247">
        <v>45863</v>
      </c>
      <c r="G252" s="15" t="s">
        <v>4</v>
      </c>
      <c r="H252" s="15">
        <v>12904132</v>
      </c>
      <c r="I252" s="15">
        <v>-75397131.900000006</v>
      </c>
      <c r="J252" s="249">
        <v>-75397131.900000006</v>
      </c>
      <c r="K252" s="15" t="s">
        <v>1519</v>
      </c>
      <c r="L252" s="15" t="s">
        <v>3913</v>
      </c>
      <c r="N252" s="15" t="s">
        <v>3916</v>
      </c>
    </row>
    <row r="253" spans="1:14" ht="15" hidden="1">
      <c r="A253" s="236">
        <f t="shared" si="13"/>
        <v>252</v>
      </c>
      <c r="C253" s="247">
        <v>45863</v>
      </c>
      <c r="G253" s="15">
        <v>70239.06</v>
      </c>
      <c r="H253" s="15" t="s">
        <v>4</v>
      </c>
      <c r="I253" s="15">
        <v>-75467370.959999993</v>
      </c>
      <c r="J253" s="249">
        <v>-75467370.959999993</v>
      </c>
      <c r="K253" s="15" t="s">
        <v>1530</v>
      </c>
      <c r="L253" s="15" t="s">
        <v>702</v>
      </c>
      <c r="N253" s="15" t="s">
        <v>3917</v>
      </c>
    </row>
    <row r="254" spans="1:14" ht="15" hidden="1">
      <c r="A254" s="236">
        <f t="shared" si="13"/>
        <v>253</v>
      </c>
      <c r="C254" s="247">
        <v>45863</v>
      </c>
      <c r="G254" s="15">
        <v>2080.11</v>
      </c>
      <c r="H254" s="15" t="s">
        <v>4</v>
      </c>
      <c r="I254" s="15">
        <v>-75469451.069999993</v>
      </c>
      <c r="J254" s="249">
        <v>-75469451.069999993</v>
      </c>
      <c r="K254" s="15" t="s">
        <v>1531</v>
      </c>
      <c r="L254" s="15" t="s">
        <v>702</v>
      </c>
      <c r="N254" s="15" t="s">
        <v>3917</v>
      </c>
    </row>
    <row r="255" spans="1:14" ht="15" hidden="1">
      <c r="A255" s="236">
        <f t="shared" si="13"/>
        <v>254</v>
      </c>
      <c r="C255" s="247">
        <v>45863</v>
      </c>
      <c r="G255" s="15">
        <v>12680.22</v>
      </c>
      <c r="H255" s="15" t="s">
        <v>4</v>
      </c>
      <c r="I255" s="15">
        <v>-75482131.290000007</v>
      </c>
      <c r="J255" s="249">
        <v>-75482131.290000007</v>
      </c>
      <c r="K255" s="15" t="s">
        <v>1532</v>
      </c>
      <c r="L255" s="15" t="s">
        <v>702</v>
      </c>
      <c r="N255" s="15" t="s">
        <v>3917</v>
      </c>
    </row>
    <row r="256" spans="1:14" ht="15" hidden="1">
      <c r="A256" s="236">
        <f t="shared" si="13"/>
        <v>255</v>
      </c>
      <c r="C256" s="247">
        <v>45863</v>
      </c>
      <c r="G256" s="15">
        <v>5094.37</v>
      </c>
      <c r="H256" s="15" t="s">
        <v>4</v>
      </c>
      <c r="I256" s="15">
        <v>-75487225.659999996</v>
      </c>
      <c r="J256" s="249">
        <v>-75487225.659999996</v>
      </c>
      <c r="K256" s="15" t="s">
        <v>1533</v>
      </c>
      <c r="L256" s="15" t="s">
        <v>702</v>
      </c>
      <c r="N256" s="15" t="s">
        <v>3917</v>
      </c>
    </row>
    <row r="257" spans="1:14" ht="15" hidden="1">
      <c r="A257" s="236">
        <f t="shared" si="13"/>
        <v>256</v>
      </c>
      <c r="C257" s="247">
        <v>45863</v>
      </c>
      <c r="G257" s="15" t="s">
        <v>4</v>
      </c>
      <c r="H257" s="15">
        <v>10000000</v>
      </c>
      <c r="I257" s="1021">
        <v>-65487225.659999996</v>
      </c>
      <c r="J257" s="249">
        <v>-65487225.659999996</v>
      </c>
      <c r="K257" s="15" t="s">
        <v>1534</v>
      </c>
      <c r="L257" s="15" t="s">
        <v>3718</v>
      </c>
      <c r="M257" s="15" t="s">
        <v>377</v>
      </c>
      <c r="N257" s="15" t="s">
        <v>3917</v>
      </c>
    </row>
    <row r="258" spans="1:14" ht="15.75">
      <c r="A258" s="236">
        <f t="shared" si="13"/>
        <v>257</v>
      </c>
      <c r="C258" s="247">
        <v>45863</v>
      </c>
      <c r="G258" s="15">
        <v>4000000</v>
      </c>
      <c r="H258" s="15" t="s">
        <v>4</v>
      </c>
      <c r="I258" s="1021">
        <v>-69487225.659999996</v>
      </c>
      <c r="J258" s="249">
        <v>-69487225.659999996</v>
      </c>
      <c r="K258" s="1022" t="s">
        <v>1535</v>
      </c>
      <c r="L258" s="1023" t="s">
        <v>3724</v>
      </c>
      <c r="M258" s="15" t="s">
        <v>1538</v>
      </c>
      <c r="N258" s="15" t="s">
        <v>3917</v>
      </c>
    </row>
    <row r="259" spans="1:14" ht="15">
      <c r="A259" s="236">
        <f t="shared" si="13"/>
        <v>258</v>
      </c>
      <c r="C259" s="983">
        <v>45864</v>
      </c>
      <c r="G259" s="993">
        <v>0</v>
      </c>
      <c r="H259" s="993">
        <v>0</v>
      </c>
      <c r="I259" s="1020">
        <f>H259-G259</f>
        <v>0</v>
      </c>
      <c r="J259" s="994">
        <v>-69487225.659999996</v>
      </c>
      <c r="K259" s="1024"/>
      <c r="L259" s="1005" t="s">
        <v>3724</v>
      </c>
      <c r="N259" s="15" t="s">
        <v>3917</v>
      </c>
    </row>
    <row r="260" spans="1:14" ht="15">
      <c r="A260" s="236">
        <f t="shared" si="13"/>
        <v>259</v>
      </c>
      <c r="C260" s="983">
        <f>C259+1</f>
        <v>45865</v>
      </c>
      <c r="G260" s="993">
        <v>0</v>
      </c>
      <c r="H260" s="993">
        <v>0</v>
      </c>
      <c r="I260" s="1020">
        <f t="shared" ref="I260:I323" si="14">H260-G260</f>
        <v>0</v>
      </c>
      <c r="J260" s="994">
        <v>-69487225.659999996</v>
      </c>
      <c r="K260" s="1024"/>
      <c r="L260" s="1005" t="s">
        <v>3724</v>
      </c>
      <c r="N260" s="15" t="s">
        <v>3917</v>
      </c>
    </row>
    <row r="261" spans="1:14" ht="15" hidden="1">
      <c r="A261" s="236">
        <f t="shared" ref="A261:A324" si="15">A260+1</f>
        <v>260</v>
      </c>
      <c r="C261" s="983">
        <v>45866</v>
      </c>
      <c r="G261" s="994">
        <v>27955.32</v>
      </c>
      <c r="H261" s="994">
        <v>0</v>
      </c>
      <c r="I261" s="1020">
        <f t="shared" si="14"/>
        <v>-27955.32</v>
      </c>
      <c r="J261" s="994">
        <v>-69515180.980000004</v>
      </c>
      <c r="K261" s="1022" t="s">
        <v>2589</v>
      </c>
      <c r="L261" s="1005" t="s">
        <v>702</v>
      </c>
      <c r="N261" s="15" t="s">
        <v>3917</v>
      </c>
    </row>
    <row r="262" spans="1:14" ht="15" hidden="1">
      <c r="A262" s="236">
        <f t="shared" si="15"/>
        <v>261</v>
      </c>
      <c r="C262" s="983">
        <v>45866</v>
      </c>
      <c r="G262" s="994">
        <v>985125</v>
      </c>
      <c r="H262" s="994">
        <v>0</v>
      </c>
      <c r="I262" s="1020">
        <f t="shared" si="14"/>
        <v>-985125</v>
      </c>
      <c r="J262" s="994">
        <v>-70500305.980000004</v>
      </c>
      <c r="K262" s="1022" t="s">
        <v>2590</v>
      </c>
      <c r="L262" s="1005" t="s">
        <v>702</v>
      </c>
      <c r="N262" s="15" t="s">
        <v>3917</v>
      </c>
    </row>
    <row r="263" spans="1:14" ht="15" hidden="1">
      <c r="A263" s="236">
        <f t="shared" si="15"/>
        <v>262</v>
      </c>
      <c r="C263" s="983">
        <v>45866</v>
      </c>
      <c r="G263" s="994">
        <v>389792.23</v>
      </c>
      <c r="H263" s="994">
        <v>0</v>
      </c>
      <c r="I263" s="1020">
        <f t="shared" si="14"/>
        <v>-389792.23</v>
      </c>
      <c r="J263" s="994">
        <v>-70890098.209999993</v>
      </c>
      <c r="K263" s="1022" t="s">
        <v>2591</v>
      </c>
      <c r="L263" s="1005" t="s">
        <v>702</v>
      </c>
      <c r="N263" s="15" t="s">
        <v>3917</v>
      </c>
    </row>
    <row r="264" spans="1:14" ht="15" hidden="1">
      <c r="A264" s="236">
        <f t="shared" si="15"/>
        <v>263</v>
      </c>
      <c r="C264" s="983">
        <v>45866</v>
      </c>
      <c r="G264" s="994">
        <v>389792.23</v>
      </c>
      <c r="H264" s="994">
        <v>0</v>
      </c>
      <c r="I264" s="1020">
        <f t="shared" si="14"/>
        <v>-389792.23</v>
      </c>
      <c r="J264" s="994">
        <v>-71279890.439999998</v>
      </c>
      <c r="K264" s="1022" t="s">
        <v>2592</v>
      </c>
      <c r="L264" s="1005" t="s">
        <v>702</v>
      </c>
      <c r="N264" s="15" t="s">
        <v>3917</v>
      </c>
    </row>
    <row r="265" spans="1:14" ht="15" hidden="1">
      <c r="A265" s="236">
        <f t="shared" si="15"/>
        <v>264</v>
      </c>
      <c r="C265" s="983">
        <v>45866</v>
      </c>
      <c r="G265" s="994">
        <v>3178637</v>
      </c>
      <c r="H265" s="994">
        <v>0</v>
      </c>
      <c r="I265" s="1020">
        <f t="shared" si="14"/>
        <v>-3178637</v>
      </c>
      <c r="J265" s="994">
        <v>-74458527.439999998</v>
      </c>
      <c r="K265" s="1022" t="s">
        <v>2593</v>
      </c>
      <c r="L265" s="1005" t="s">
        <v>702</v>
      </c>
      <c r="N265" s="15" t="s">
        <v>3917</v>
      </c>
    </row>
    <row r="266" spans="1:14" ht="15" hidden="1">
      <c r="A266" s="236">
        <f t="shared" si="15"/>
        <v>265</v>
      </c>
      <c r="C266" s="983">
        <v>45866</v>
      </c>
      <c r="G266" s="994">
        <v>307591.15999999997</v>
      </c>
      <c r="H266" s="994">
        <v>0</v>
      </c>
      <c r="I266" s="1020">
        <f t="shared" si="14"/>
        <v>-307591.15999999997</v>
      </c>
      <c r="J266" s="994">
        <v>-74766118.599999994</v>
      </c>
      <c r="K266" s="1022" t="s">
        <v>2594</v>
      </c>
      <c r="L266" s="1005" t="s">
        <v>702</v>
      </c>
      <c r="N266" s="15" t="s">
        <v>3917</v>
      </c>
    </row>
    <row r="267" spans="1:14" ht="15" hidden="1">
      <c r="A267" s="236">
        <f t="shared" si="15"/>
        <v>266</v>
      </c>
      <c r="C267" s="983">
        <v>45866</v>
      </c>
      <c r="G267" s="994">
        <v>307591.15999999997</v>
      </c>
      <c r="H267" s="994">
        <v>0</v>
      </c>
      <c r="I267" s="1020">
        <f t="shared" si="14"/>
        <v>-307591.15999999997</v>
      </c>
      <c r="J267" s="994">
        <v>-75073709.760000005</v>
      </c>
      <c r="K267" s="1022" t="s">
        <v>2595</v>
      </c>
      <c r="L267" s="1005" t="s">
        <v>702</v>
      </c>
      <c r="N267" s="15" t="s">
        <v>3917</v>
      </c>
    </row>
    <row r="268" spans="1:14" ht="15" hidden="1">
      <c r="A268" s="236">
        <f t="shared" si="15"/>
        <v>267</v>
      </c>
      <c r="C268" s="983">
        <v>45866</v>
      </c>
      <c r="G268" s="994">
        <v>307591.15999999997</v>
      </c>
      <c r="H268" s="994">
        <v>0</v>
      </c>
      <c r="I268" s="1020">
        <f t="shared" si="14"/>
        <v>-307591.15999999997</v>
      </c>
      <c r="J268" s="994">
        <v>-75381300.920000002</v>
      </c>
      <c r="K268" s="1022" t="s">
        <v>2596</v>
      </c>
      <c r="L268" s="1005" t="s">
        <v>702</v>
      </c>
      <c r="N268" s="15" t="s">
        <v>3917</v>
      </c>
    </row>
    <row r="269" spans="1:14" ht="15" hidden="1">
      <c r="A269" s="236">
        <f t="shared" si="15"/>
        <v>268</v>
      </c>
      <c r="C269" s="983">
        <v>45866</v>
      </c>
      <c r="G269" s="994">
        <v>307591.15999999997</v>
      </c>
      <c r="H269" s="994">
        <v>0</v>
      </c>
      <c r="I269" s="1020">
        <f t="shared" si="14"/>
        <v>-307591.15999999997</v>
      </c>
      <c r="J269" s="994">
        <v>-75688892.079999998</v>
      </c>
      <c r="K269" s="1022" t="s">
        <v>2597</v>
      </c>
      <c r="L269" s="1005" t="s">
        <v>702</v>
      </c>
      <c r="N269" s="15" t="s">
        <v>3917</v>
      </c>
    </row>
    <row r="270" spans="1:14" ht="15" hidden="1">
      <c r="A270" s="236">
        <f t="shared" si="15"/>
        <v>269</v>
      </c>
      <c r="C270" s="983">
        <v>45866</v>
      </c>
      <c r="G270" s="994">
        <v>389792.23</v>
      </c>
      <c r="H270" s="994">
        <v>0</v>
      </c>
      <c r="I270" s="1020">
        <f t="shared" si="14"/>
        <v>-389792.23</v>
      </c>
      <c r="J270" s="994">
        <v>-76078684.310000002</v>
      </c>
      <c r="K270" s="1022" t="s">
        <v>2598</v>
      </c>
      <c r="L270" s="1005" t="s">
        <v>702</v>
      </c>
      <c r="N270" s="15" t="s">
        <v>3917</v>
      </c>
    </row>
    <row r="271" spans="1:14" ht="15" hidden="1">
      <c r="A271" s="236">
        <f t="shared" si="15"/>
        <v>270</v>
      </c>
      <c r="C271" s="983">
        <v>45866</v>
      </c>
      <c r="G271" s="994">
        <v>5913.31</v>
      </c>
      <c r="H271" s="994">
        <v>0</v>
      </c>
      <c r="I271" s="1020">
        <f t="shared" si="14"/>
        <v>-5913.31</v>
      </c>
      <c r="J271" s="994">
        <v>-76084597.620000005</v>
      </c>
      <c r="K271" s="1022" t="s">
        <v>2599</v>
      </c>
      <c r="L271" s="1005" t="s">
        <v>702</v>
      </c>
      <c r="N271" s="15" t="s">
        <v>3917</v>
      </c>
    </row>
    <row r="272" spans="1:14" ht="15" hidden="1">
      <c r="A272" s="236">
        <f t="shared" si="15"/>
        <v>271</v>
      </c>
      <c r="C272" s="983">
        <v>45866</v>
      </c>
      <c r="G272" s="994">
        <v>6033.63</v>
      </c>
      <c r="H272" s="994">
        <v>0</v>
      </c>
      <c r="I272" s="1020">
        <f t="shared" si="14"/>
        <v>-6033.63</v>
      </c>
      <c r="J272" s="994">
        <v>-76090631.25</v>
      </c>
      <c r="K272" s="1022" t="s">
        <v>2600</v>
      </c>
      <c r="L272" s="1005" t="s">
        <v>702</v>
      </c>
      <c r="N272" s="15" t="s">
        <v>3917</v>
      </c>
    </row>
    <row r="273" spans="1:14" ht="15" hidden="1">
      <c r="A273" s="236">
        <f t="shared" si="15"/>
        <v>272</v>
      </c>
      <c r="C273" s="983">
        <v>45866</v>
      </c>
      <c r="G273" s="994">
        <v>389792.23</v>
      </c>
      <c r="H273" s="994">
        <v>0</v>
      </c>
      <c r="I273" s="1020">
        <f t="shared" si="14"/>
        <v>-389792.23</v>
      </c>
      <c r="J273" s="994">
        <v>-76480423.480000004</v>
      </c>
      <c r="K273" s="1022" t="s">
        <v>2601</v>
      </c>
      <c r="L273" s="1005" t="s">
        <v>702</v>
      </c>
      <c r="N273" s="15" t="s">
        <v>3917</v>
      </c>
    </row>
    <row r="274" spans="1:14" ht="15" hidden="1">
      <c r="A274" s="236">
        <f t="shared" si="15"/>
        <v>273</v>
      </c>
      <c r="C274" s="983">
        <v>45866</v>
      </c>
      <c r="G274" s="994">
        <v>307591.15999999997</v>
      </c>
      <c r="H274" s="994">
        <v>0</v>
      </c>
      <c r="I274" s="1020">
        <f t="shared" si="14"/>
        <v>-307591.15999999997</v>
      </c>
      <c r="J274" s="994">
        <v>-76788014.640000001</v>
      </c>
      <c r="K274" s="1022" t="s">
        <v>2602</v>
      </c>
      <c r="L274" s="1005" t="s">
        <v>702</v>
      </c>
      <c r="N274" s="15" t="s">
        <v>3917</v>
      </c>
    </row>
    <row r="275" spans="1:14" ht="15" hidden="1">
      <c r="A275" s="236">
        <f t="shared" si="15"/>
        <v>274</v>
      </c>
      <c r="C275" s="983">
        <v>45866</v>
      </c>
      <c r="G275" s="994">
        <v>389792.23</v>
      </c>
      <c r="H275" s="994">
        <v>0</v>
      </c>
      <c r="I275" s="1020">
        <f t="shared" si="14"/>
        <v>-389792.23</v>
      </c>
      <c r="J275" s="994">
        <v>-77177806.870000005</v>
      </c>
      <c r="K275" s="1022" t="s">
        <v>2603</v>
      </c>
      <c r="L275" s="1005" t="s">
        <v>702</v>
      </c>
      <c r="N275" s="15" t="s">
        <v>3917</v>
      </c>
    </row>
    <row r="276" spans="1:14" ht="15" hidden="1">
      <c r="A276" s="236">
        <f t="shared" si="15"/>
        <v>275</v>
      </c>
      <c r="C276" s="983">
        <v>45866</v>
      </c>
      <c r="G276" s="994">
        <v>33127.919999999998</v>
      </c>
      <c r="H276" s="994">
        <v>0</v>
      </c>
      <c r="I276" s="1020">
        <f t="shared" si="14"/>
        <v>-33127.919999999998</v>
      </c>
      <c r="J276" s="994">
        <v>-77210934.790000007</v>
      </c>
      <c r="K276" s="1022" t="s">
        <v>2604</v>
      </c>
      <c r="L276" s="1005" t="s">
        <v>702</v>
      </c>
      <c r="N276" s="15" t="s">
        <v>3917</v>
      </c>
    </row>
    <row r="277" spans="1:14" ht="15" hidden="1">
      <c r="A277" s="236">
        <f t="shared" si="15"/>
        <v>276</v>
      </c>
      <c r="C277" s="983">
        <v>45866</v>
      </c>
      <c r="G277" s="994">
        <v>3380.75</v>
      </c>
      <c r="H277" s="994">
        <v>0</v>
      </c>
      <c r="I277" s="1020">
        <f t="shared" si="14"/>
        <v>-3380.75</v>
      </c>
      <c r="J277" s="994">
        <v>-77214315.540000007</v>
      </c>
      <c r="K277" s="1022" t="s">
        <v>2605</v>
      </c>
      <c r="L277" s="1005" t="s">
        <v>702</v>
      </c>
      <c r="N277" s="15" t="s">
        <v>3917</v>
      </c>
    </row>
    <row r="278" spans="1:14" ht="15" hidden="1">
      <c r="A278" s="236">
        <f t="shared" si="15"/>
        <v>277</v>
      </c>
      <c r="C278" s="983">
        <v>45866</v>
      </c>
      <c r="G278" s="994">
        <v>7532.65</v>
      </c>
      <c r="H278" s="994">
        <v>0</v>
      </c>
      <c r="I278" s="1020">
        <f t="shared" si="14"/>
        <v>-7532.65</v>
      </c>
      <c r="J278" s="994">
        <v>-77221848.189999998</v>
      </c>
      <c r="K278" s="1022" t="s">
        <v>2606</v>
      </c>
      <c r="L278" s="1005" t="s">
        <v>702</v>
      </c>
      <c r="N278" s="15" t="s">
        <v>3917</v>
      </c>
    </row>
    <row r="279" spans="1:14" ht="15" hidden="1">
      <c r="A279" s="236">
        <f t="shared" si="15"/>
        <v>278</v>
      </c>
      <c r="C279" s="983">
        <v>45866</v>
      </c>
      <c r="G279" s="994">
        <v>311.17</v>
      </c>
      <c r="H279" s="994">
        <v>0</v>
      </c>
      <c r="I279" s="1020">
        <f t="shared" si="14"/>
        <v>-311.17</v>
      </c>
      <c r="J279" s="994">
        <v>-77222159.359999999</v>
      </c>
      <c r="K279" s="1022" t="s">
        <v>2607</v>
      </c>
      <c r="L279" s="1005" t="s">
        <v>702</v>
      </c>
      <c r="N279" s="15" t="s">
        <v>3917</v>
      </c>
    </row>
    <row r="280" spans="1:14" ht="15" hidden="1">
      <c r="A280" s="236">
        <f t="shared" si="15"/>
        <v>279</v>
      </c>
      <c r="C280" s="983">
        <v>45866</v>
      </c>
      <c r="G280" s="995">
        <v>590</v>
      </c>
      <c r="H280" s="993">
        <v>0</v>
      </c>
      <c r="I280" s="1020">
        <f t="shared" si="14"/>
        <v>-590</v>
      </c>
      <c r="J280" s="993">
        <v>-77222749.359999999</v>
      </c>
      <c r="K280" s="1024" t="s">
        <v>2608</v>
      </c>
      <c r="L280" s="1005" t="s">
        <v>542</v>
      </c>
      <c r="N280" s="15" t="s">
        <v>3917</v>
      </c>
    </row>
    <row r="281" spans="1:14" ht="15" hidden="1">
      <c r="A281" s="236">
        <f t="shared" si="15"/>
        <v>280</v>
      </c>
      <c r="C281" s="983">
        <v>45866</v>
      </c>
      <c r="G281" s="995">
        <v>1180</v>
      </c>
      <c r="H281" s="993">
        <v>0</v>
      </c>
      <c r="I281" s="1020">
        <f t="shared" si="14"/>
        <v>-1180</v>
      </c>
      <c r="J281" s="993">
        <v>-77223929.359999999</v>
      </c>
      <c r="K281" s="1024" t="s">
        <v>2609</v>
      </c>
      <c r="L281" s="1005" t="s">
        <v>3726</v>
      </c>
      <c r="N281" s="15" t="s">
        <v>3917</v>
      </c>
    </row>
    <row r="282" spans="1:14" ht="15" hidden="1">
      <c r="A282" s="236">
        <f t="shared" si="15"/>
        <v>281</v>
      </c>
      <c r="C282" s="983">
        <v>45866</v>
      </c>
      <c r="G282" s="995">
        <v>3362625</v>
      </c>
      <c r="H282" s="993">
        <v>0</v>
      </c>
      <c r="I282" s="1020">
        <f t="shared" si="14"/>
        <v>-3362625</v>
      </c>
      <c r="J282" s="993">
        <v>-80586554.359999999</v>
      </c>
      <c r="K282" s="1024" t="s">
        <v>2610</v>
      </c>
      <c r="L282" s="1005" t="s">
        <v>984</v>
      </c>
      <c r="N282" s="15" t="s">
        <v>3917</v>
      </c>
    </row>
    <row r="283" spans="1:14" ht="15" hidden="1">
      <c r="A283" s="236">
        <f t="shared" si="15"/>
        <v>282</v>
      </c>
      <c r="C283" s="983">
        <v>45866</v>
      </c>
      <c r="G283" s="995">
        <v>7185551</v>
      </c>
      <c r="H283" s="993">
        <v>0</v>
      </c>
      <c r="I283" s="1020">
        <f t="shared" si="14"/>
        <v>-7185551</v>
      </c>
      <c r="J283" s="993">
        <v>-87772105.359999999</v>
      </c>
      <c r="K283" s="1024" t="s">
        <v>2611</v>
      </c>
      <c r="L283" s="1005" t="s">
        <v>984</v>
      </c>
      <c r="N283" s="15" t="s">
        <v>3917</v>
      </c>
    </row>
    <row r="284" spans="1:14" ht="15" hidden="1">
      <c r="A284" s="236">
        <f t="shared" si="15"/>
        <v>283</v>
      </c>
      <c r="C284" s="983">
        <v>45866</v>
      </c>
      <c r="G284" s="995">
        <v>590</v>
      </c>
      <c r="H284" s="993">
        <v>0</v>
      </c>
      <c r="I284" s="1020">
        <f t="shared" si="14"/>
        <v>-590</v>
      </c>
      <c r="J284" s="993">
        <v>-87772695.359999999</v>
      </c>
      <c r="K284" s="1024" t="s">
        <v>2612</v>
      </c>
      <c r="L284" s="1005" t="s">
        <v>542</v>
      </c>
      <c r="N284" s="15" t="s">
        <v>3917</v>
      </c>
    </row>
    <row r="285" spans="1:14" ht="15" hidden="1">
      <c r="A285" s="236">
        <f t="shared" si="15"/>
        <v>284</v>
      </c>
      <c r="C285" s="983">
        <v>45866</v>
      </c>
      <c r="G285" s="995">
        <v>1180</v>
      </c>
      <c r="H285" s="993">
        <v>0</v>
      </c>
      <c r="I285" s="1020">
        <f t="shared" si="14"/>
        <v>-1180</v>
      </c>
      <c r="J285" s="993">
        <v>-87773875.359999999</v>
      </c>
      <c r="K285" s="1024" t="s">
        <v>2613</v>
      </c>
      <c r="L285" s="1005" t="s">
        <v>984</v>
      </c>
      <c r="N285" s="15" t="s">
        <v>3917</v>
      </c>
    </row>
    <row r="286" spans="1:14" ht="15" hidden="1">
      <c r="A286" s="236">
        <f t="shared" si="15"/>
        <v>285</v>
      </c>
      <c r="C286" s="984">
        <v>45867</v>
      </c>
      <c r="G286" s="994">
        <v>15497.74</v>
      </c>
      <c r="H286" s="994">
        <v>0</v>
      </c>
      <c r="I286" s="1020">
        <f t="shared" si="14"/>
        <v>-15497.74</v>
      </c>
      <c r="J286" s="994">
        <v>-87789373.099999994</v>
      </c>
      <c r="K286" s="1022" t="s">
        <v>2614</v>
      </c>
      <c r="L286" s="1005" t="s">
        <v>702</v>
      </c>
      <c r="N286" s="15" t="s">
        <v>3917</v>
      </c>
    </row>
    <row r="287" spans="1:14" ht="15" hidden="1">
      <c r="A287" s="236">
        <f t="shared" si="15"/>
        <v>286</v>
      </c>
      <c r="C287" s="984">
        <v>45867</v>
      </c>
      <c r="G287" s="994">
        <v>11772.63</v>
      </c>
      <c r="H287" s="994">
        <v>0</v>
      </c>
      <c r="I287" s="1020">
        <f t="shared" si="14"/>
        <v>-11772.63</v>
      </c>
      <c r="J287" s="994">
        <v>-87801145.730000004</v>
      </c>
      <c r="K287" s="1022" t="s">
        <v>2615</v>
      </c>
      <c r="L287" s="1005" t="s">
        <v>702</v>
      </c>
      <c r="N287" s="15" t="s">
        <v>3917</v>
      </c>
    </row>
    <row r="288" spans="1:14" ht="15" hidden="1">
      <c r="A288" s="236">
        <f t="shared" si="15"/>
        <v>287</v>
      </c>
      <c r="C288" s="984">
        <v>45867</v>
      </c>
      <c r="G288" s="994">
        <v>35324.61</v>
      </c>
      <c r="H288" s="994">
        <v>0</v>
      </c>
      <c r="I288" s="1020">
        <f t="shared" si="14"/>
        <v>-35324.61</v>
      </c>
      <c r="J288" s="994">
        <v>-87836470.340000004</v>
      </c>
      <c r="K288" s="1022" t="s">
        <v>2616</v>
      </c>
      <c r="L288" s="1005" t="s">
        <v>702</v>
      </c>
      <c r="N288" s="15" t="s">
        <v>3917</v>
      </c>
    </row>
    <row r="289" spans="1:14" ht="15" hidden="1">
      <c r="A289" s="236">
        <f t="shared" si="15"/>
        <v>288</v>
      </c>
      <c r="C289" s="984">
        <v>45867</v>
      </c>
      <c r="G289" s="994">
        <v>167813.15</v>
      </c>
      <c r="H289" s="994">
        <v>0</v>
      </c>
      <c r="I289" s="1020">
        <f t="shared" si="14"/>
        <v>-167813.15</v>
      </c>
      <c r="J289" s="994">
        <v>-88004283.489999995</v>
      </c>
      <c r="K289" s="1022" t="s">
        <v>2617</v>
      </c>
      <c r="L289" s="1005" t="s">
        <v>702</v>
      </c>
      <c r="N289" s="15" t="s">
        <v>3917</v>
      </c>
    </row>
    <row r="290" spans="1:14" ht="15" hidden="1">
      <c r="A290" s="236">
        <f t="shared" si="15"/>
        <v>289</v>
      </c>
      <c r="C290" s="984">
        <v>45867</v>
      </c>
      <c r="G290" s="994">
        <v>1180</v>
      </c>
      <c r="H290" s="994">
        <v>0</v>
      </c>
      <c r="I290" s="1020">
        <f t="shared" si="14"/>
        <v>-1180</v>
      </c>
      <c r="J290" s="994">
        <v>-88005463.489999995</v>
      </c>
      <c r="K290" s="1022" t="s">
        <v>2618</v>
      </c>
      <c r="L290" s="1005" t="s">
        <v>3726</v>
      </c>
      <c r="N290" s="15" t="s">
        <v>3917</v>
      </c>
    </row>
    <row r="291" spans="1:14" ht="15" hidden="1">
      <c r="A291" s="236">
        <f t="shared" si="15"/>
        <v>290</v>
      </c>
      <c r="C291" s="984">
        <v>45867</v>
      </c>
      <c r="G291" s="994">
        <v>590</v>
      </c>
      <c r="H291" s="994">
        <v>0</v>
      </c>
      <c r="I291" s="1020">
        <f t="shared" si="14"/>
        <v>-590</v>
      </c>
      <c r="J291" s="994">
        <v>-88006053.489999995</v>
      </c>
      <c r="K291" s="1022" t="s">
        <v>2619</v>
      </c>
      <c r="L291" s="1005" t="s">
        <v>542</v>
      </c>
      <c r="N291" s="15" t="s">
        <v>3917</v>
      </c>
    </row>
    <row r="292" spans="1:14" ht="15" hidden="1">
      <c r="A292" s="236">
        <f t="shared" si="15"/>
        <v>291</v>
      </c>
      <c r="C292" s="984">
        <v>45867</v>
      </c>
      <c r="G292" s="994">
        <v>1104303</v>
      </c>
      <c r="H292" s="994">
        <v>0</v>
      </c>
      <c r="I292" s="1020">
        <f t="shared" si="14"/>
        <v>-1104303</v>
      </c>
      <c r="J292" s="994">
        <v>-89110356.489999995</v>
      </c>
      <c r="K292" s="1022" t="s">
        <v>2620</v>
      </c>
      <c r="L292" s="1005" t="s">
        <v>984</v>
      </c>
      <c r="N292" s="15" t="s">
        <v>3917</v>
      </c>
    </row>
    <row r="293" spans="1:14" ht="15" hidden="1">
      <c r="A293" s="236">
        <f t="shared" si="15"/>
        <v>292</v>
      </c>
      <c r="C293" s="985">
        <v>45868</v>
      </c>
      <c r="G293" s="995">
        <v>20543.57</v>
      </c>
      <c r="H293" s="993">
        <v>0</v>
      </c>
      <c r="I293" s="1020">
        <f t="shared" si="14"/>
        <v>-20543.57</v>
      </c>
      <c r="J293" s="993">
        <v>-89130900.060000002</v>
      </c>
      <c r="K293" s="1005" t="s">
        <v>2621</v>
      </c>
      <c r="L293" s="1005" t="s">
        <v>702</v>
      </c>
      <c r="N293" s="15" t="s">
        <v>3917</v>
      </c>
    </row>
    <row r="294" spans="1:14" ht="15" hidden="1">
      <c r="A294" s="236">
        <f t="shared" si="15"/>
        <v>293</v>
      </c>
      <c r="C294" s="985">
        <v>45868</v>
      </c>
      <c r="G294" s="995">
        <v>12551.74</v>
      </c>
      <c r="H294" s="993">
        <v>0</v>
      </c>
      <c r="I294" s="1020">
        <f t="shared" si="14"/>
        <v>-12551.74</v>
      </c>
      <c r="J294" s="993">
        <v>-89143451.799999997</v>
      </c>
      <c r="K294" s="1005" t="s">
        <v>2622</v>
      </c>
      <c r="L294" s="1005" t="s">
        <v>702</v>
      </c>
      <c r="N294" s="15" t="s">
        <v>3917</v>
      </c>
    </row>
    <row r="295" spans="1:14" ht="15" hidden="1">
      <c r="A295" s="236">
        <f t="shared" si="15"/>
        <v>294</v>
      </c>
      <c r="C295" s="985">
        <v>45868</v>
      </c>
      <c r="G295" s="995">
        <v>2291.94</v>
      </c>
      <c r="H295" s="993">
        <v>0</v>
      </c>
      <c r="I295" s="1020">
        <f t="shared" si="14"/>
        <v>-2291.94</v>
      </c>
      <c r="J295" s="993">
        <v>-89145743.739999995</v>
      </c>
      <c r="K295" s="1005" t="s">
        <v>2623</v>
      </c>
      <c r="L295" s="1005" t="s">
        <v>702</v>
      </c>
      <c r="N295" s="15" t="s">
        <v>3917</v>
      </c>
    </row>
    <row r="296" spans="1:14" ht="15" hidden="1">
      <c r="A296" s="236">
        <f t="shared" si="15"/>
        <v>295</v>
      </c>
      <c r="C296" s="985">
        <v>45868</v>
      </c>
      <c r="G296" s="995">
        <v>22342.19</v>
      </c>
      <c r="H296" s="993">
        <v>0</v>
      </c>
      <c r="I296" s="1020">
        <f t="shared" si="14"/>
        <v>-22342.19</v>
      </c>
      <c r="J296" s="993">
        <v>-89168085.930000007</v>
      </c>
      <c r="K296" s="1005" t="s">
        <v>2624</v>
      </c>
      <c r="L296" s="1005" t="s">
        <v>702</v>
      </c>
      <c r="N296" s="15" t="s">
        <v>3917</v>
      </c>
    </row>
    <row r="297" spans="1:14" ht="15" hidden="1">
      <c r="A297" s="236">
        <f t="shared" si="15"/>
        <v>296</v>
      </c>
      <c r="C297" s="985">
        <v>45868</v>
      </c>
      <c r="G297" s="995">
        <v>16801.41</v>
      </c>
      <c r="H297" s="993">
        <v>0</v>
      </c>
      <c r="I297" s="1020">
        <f t="shared" si="14"/>
        <v>-16801.41</v>
      </c>
      <c r="J297" s="993">
        <v>-89184887.340000004</v>
      </c>
      <c r="K297" s="1005" t="s">
        <v>2625</v>
      </c>
      <c r="L297" s="1005" t="s">
        <v>702</v>
      </c>
      <c r="N297" s="15" t="s">
        <v>3917</v>
      </c>
    </row>
    <row r="298" spans="1:14" ht="15" hidden="1">
      <c r="A298" s="236">
        <f t="shared" si="15"/>
        <v>297</v>
      </c>
      <c r="C298" s="985">
        <v>45868</v>
      </c>
      <c r="G298" s="995">
        <v>4213.16</v>
      </c>
      <c r="H298" s="993">
        <v>0</v>
      </c>
      <c r="I298" s="1020">
        <f t="shared" si="14"/>
        <v>-4213.16</v>
      </c>
      <c r="J298" s="993">
        <v>-89189100.5</v>
      </c>
      <c r="K298" s="1005" t="s">
        <v>2626</v>
      </c>
      <c r="L298" s="1005" t="s">
        <v>702</v>
      </c>
      <c r="N298" s="15" t="s">
        <v>3917</v>
      </c>
    </row>
    <row r="299" spans="1:14" ht="15" hidden="1">
      <c r="A299" s="236">
        <f t="shared" si="15"/>
        <v>298</v>
      </c>
      <c r="C299" s="985">
        <v>45868</v>
      </c>
      <c r="G299" s="995">
        <v>9866.5</v>
      </c>
      <c r="H299" s="993">
        <v>0</v>
      </c>
      <c r="I299" s="1020">
        <f t="shared" si="14"/>
        <v>-9866.5</v>
      </c>
      <c r="J299" s="993">
        <v>-89198967</v>
      </c>
      <c r="K299" s="1005" t="s">
        <v>2627</v>
      </c>
      <c r="L299" s="1005" t="s">
        <v>702</v>
      </c>
      <c r="N299" s="15" t="s">
        <v>3917</v>
      </c>
    </row>
    <row r="300" spans="1:14" ht="15" hidden="1">
      <c r="A300" s="236">
        <f t="shared" si="15"/>
        <v>299</v>
      </c>
      <c r="C300" s="985">
        <v>45868</v>
      </c>
      <c r="G300" s="995">
        <v>9135.98</v>
      </c>
      <c r="H300" s="993">
        <v>0</v>
      </c>
      <c r="I300" s="1020">
        <f t="shared" si="14"/>
        <v>-9135.98</v>
      </c>
      <c r="J300" s="993">
        <v>-89208102.980000004</v>
      </c>
      <c r="K300" s="1005" t="s">
        <v>2628</v>
      </c>
      <c r="L300" s="1005" t="s">
        <v>702</v>
      </c>
      <c r="N300" s="15" t="s">
        <v>3917</v>
      </c>
    </row>
    <row r="301" spans="1:14" ht="15" hidden="1">
      <c r="A301" s="236">
        <f t="shared" si="15"/>
        <v>300</v>
      </c>
      <c r="C301" s="985">
        <v>45868</v>
      </c>
      <c r="G301" s="995">
        <v>0</v>
      </c>
      <c r="H301" s="993">
        <v>5582890</v>
      </c>
      <c r="I301" s="1020">
        <f t="shared" si="14"/>
        <v>5582890</v>
      </c>
      <c r="J301" s="993">
        <v>-83625212.980000004</v>
      </c>
      <c r="K301" s="1005" t="s">
        <v>1519</v>
      </c>
      <c r="L301" s="1005" t="s">
        <v>3913</v>
      </c>
      <c r="N301" s="15" t="s">
        <v>3916</v>
      </c>
    </row>
    <row r="302" spans="1:14" ht="15" hidden="1">
      <c r="A302" s="236">
        <f t="shared" si="15"/>
        <v>301</v>
      </c>
      <c r="C302" s="985">
        <v>45868</v>
      </c>
      <c r="G302" s="995">
        <v>590</v>
      </c>
      <c r="H302" s="993">
        <v>0</v>
      </c>
      <c r="I302" s="1020">
        <f t="shared" si="14"/>
        <v>-590</v>
      </c>
      <c r="J302" s="993">
        <v>-83625802.980000004</v>
      </c>
      <c r="K302" s="1005" t="s">
        <v>2629</v>
      </c>
      <c r="L302" s="1005" t="s">
        <v>542</v>
      </c>
      <c r="N302" s="15" t="s">
        <v>3917</v>
      </c>
    </row>
    <row r="303" spans="1:14" ht="15" hidden="1">
      <c r="A303" s="236">
        <f t="shared" si="15"/>
        <v>302</v>
      </c>
      <c r="C303" s="985">
        <v>45868</v>
      </c>
      <c r="G303" s="995">
        <v>1180</v>
      </c>
      <c r="H303" s="993">
        <v>0</v>
      </c>
      <c r="I303" s="1020">
        <f t="shared" si="14"/>
        <v>-1180</v>
      </c>
      <c r="J303" s="993">
        <v>-83626982.980000004</v>
      </c>
      <c r="K303" s="1005" t="s">
        <v>2630</v>
      </c>
      <c r="L303" s="1005" t="s">
        <v>3726</v>
      </c>
      <c r="N303" s="15" t="s">
        <v>3917</v>
      </c>
    </row>
    <row r="304" spans="1:14" ht="15" hidden="1">
      <c r="A304" s="236">
        <f t="shared" si="15"/>
        <v>303</v>
      </c>
      <c r="C304" s="985">
        <v>45868</v>
      </c>
      <c r="G304" s="995">
        <v>5569937</v>
      </c>
      <c r="H304" s="993">
        <v>0</v>
      </c>
      <c r="I304" s="1020">
        <f t="shared" si="14"/>
        <v>-5569937</v>
      </c>
      <c r="J304" s="993">
        <v>-89196919.980000004</v>
      </c>
      <c r="K304" s="1005" t="s">
        <v>2631</v>
      </c>
      <c r="L304" s="1005" t="s">
        <v>984</v>
      </c>
      <c r="N304" s="15" t="s">
        <v>3917</v>
      </c>
    </row>
    <row r="305" spans="1:14" ht="15" hidden="1">
      <c r="A305" s="236">
        <f t="shared" si="15"/>
        <v>304</v>
      </c>
      <c r="C305" s="984">
        <v>45869</v>
      </c>
      <c r="G305" s="994">
        <v>17805.259999999998</v>
      </c>
      <c r="H305" s="994">
        <v>0</v>
      </c>
      <c r="I305" s="1020">
        <f t="shared" si="14"/>
        <v>-17805.259999999998</v>
      </c>
      <c r="J305" s="994">
        <v>-89214725.239999995</v>
      </c>
      <c r="K305" s="1022" t="s">
        <v>2632</v>
      </c>
      <c r="L305" s="1005" t="s">
        <v>702</v>
      </c>
      <c r="N305" s="15" t="s">
        <v>3917</v>
      </c>
    </row>
    <row r="306" spans="1:14" ht="15" hidden="1">
      <c r="A306" s="236">
        <f t="shared" si="15"/>
        <v>305</v>
      </c>
      <c r="C306" s="984">
        <v>45869</v>
      </c>
      <c r="G306" s="994">
        <v>5559.03</v>
      </c>
      <c r="H306" s="994">
        <v>0</v>
      </c>
      <c r="I306" s="1020">
        <f t="shared" si="14"/>
        <v>-5559.03</v>
      </c>
      <c r="J306" s="994">
        <v>-89220284.269999996</v>
      </c>
      <c r="K306" s="1022" t="s">
        <v>2633</v>
      </c>
      <c r="L306" s="1005" t="s">
        <v>702</v>
      </c>
      <c r="N306" s="15" t="s">
        <v>3917</v>
      </c>
    </row>
    <row r="307" spans="1:14" ht="15" hidden="1">
      <c r="A307" s="236">
        <f t="shared" si="15"/>
        <v>306</v>
      </c>
      <c r="C307" s="984">
        <v>45869</v>
      </c>
      <c r="G307" s="994">
        <v>71798.34</v>
      </c>
      <c r="H307" s="994">
        <v>0</v>
      </c>
      <c r="I307" s="1020">
        <f t="shared" si="14"/>
        <v>-71798.34</v>
      </c>
      <c r="J307" s="994">
        <v>-89292082.609999999</v>
      </c>
      <c r="K307" s="1022" t="s">
        <v>2634</v>
      </c>
      <c r="L307" s="1005" t="s">
        <v>702</v>
      </c>
      <c r="N307" s="15" t="s">
        <v>3917</v>
      </c>
    </row>
    <row r="308" spans="1:14" ht="15" hidden="1">
      <c r="A308" s="236">
        <f t="shared" si="15"/>
        <v>307</v>
      </c>
      <c r="C308" s="984">
        <v>45869</v>
      </c>
      <c r="G308" s="994">
        <v>86809.71</v>
      </c>
      <c r="H308" s="994">
        <v>0</v>
      </c>
      <c r="I308" s="1020">
        <f t="shared" si="14"/>
        <v>-86809.71</v>
      </c>
      <c r="J308" s="994">
        <v>-89378892.319999993</v>
      </c>
      <c r="K308" s="1022" t="s">
        <v>2635</v>
      </c>
      <c r="L308" s="1005" t="s">
        <v>702</v>
      </c>
      <c r="N308" s="15" t="s">
        <v>3917</v>
      </c>
    </row>
    <row r="309" spans="1:14" ht="15" hidden="1">
      <c r="A309" s="236">
        <f t="shared" si="15"/>
        <v>308</v>
      </c>
      <c r="C309" s="984">
        <v>45869</v>
      </c>
      <c r="G309" s="994">
        <v>59205.68</v>
      </c>
      <c r="H309" s="994">
        <v>0</v>
      </c>
      <c r="I309" s="1020">
        <f t="shared" si="14"/>
        <v>-59205.68</v>
      </c>
      <c r="J309" s="994">
        <v>-89438098</v>
      </c>
      <c r="K309" s="1022" t="s">
        <v>2636</v>
      </c>
      <c r="L309" s="1005" t="s">
        <v>702</v>
      </c>
      <c r="N309" s="15" t="s">
        <v>3917</v>
      </c>
    </row>
    <row r="310" spans="1:14" ht="15" hidden="1">
      <c r="A310" s="236">
        <f t="shared" si="15"/>
        <v>309</v>
      </c>
      <c r="C310" s="984">
        <v>45869</v>
      </c>
      <c r="G310" s="994">
        <v>590</v>
      </c>
      <c r="H310" s="994">
        <v>0</v>
      </c>
      <c r="I310" s="1020">
        <f t="shared" si="14"/>
        <v>-590</v>
      </c>
      <c r="J310" s="994">
        <v>-89438688</v>
      </c>
      <c r="K310" s="1022" t="s">
        <v>2637</v>
      </c>
      <c r="L310" s="1005" t="s">
        <v>542</v>
      </c>
      <c r="N310" s="15" t="s">
        <v>3917</v>
      </c>
    </row>
    <row r="311" spans="1:14" ht="15" hidden="1">
      <c r="A311" s="236">
        <f t="shared" si="15"/>
        <v>310</v>
      </c>
      <c r="C311" s="984">
        <v>45869</v>
      </c>
      <c r="G311" s="994">
        <v>2360</v>
      </c>
      <c r="H311" s="994">
        <v>0</v>
      </c>
      <c r="I311" s="1020">
        <f t="shared" si="14"/>
        <v>-2360</v>
      </c>
      <c r="J311" s="994">
        <v>-89441048</v>
      </c>
      <c r="K311" s="1022" t="s">
        <v>2638</v>
      </c>
      <c r="L311" s="1005" t="s">
        <v>3726</v>
      </c>
      <c r="N311" s="15" t="s">
        <v>3917</v>
      </c>
    </row>
    <row r="312" spans="1:14" ht="15" hidden="1">
      <c r="A312" s="236">
        <f t="shared" si="15"/>
        <v>311</v>
      </c>
      <c r="C312" s="984">
        <v>45869</v>
      </c>
      <c r="G312" s="994">
        <v>0</v>
      </c>
      <c r="H312" s="994">
        <v>20000000</v>
      </c>
      <c r="I312" s="1020">
        <f t="shared" si="14"/>
        <v>20000000</v>
      </c>
      <c r="J312" s="994">
        <v>-69441048</v>
      </c>
      <c r="K312" s="1022" t="s">
        <v>2639</v>
      </c>
      <c r="L312" s="1005" t="s">
        <v>3718</v>
      </c>
      <c r="N312" s="15" t="s">
        <v>3917</v>
      </c>
    </row>
    <row r="313" spans="1:14" ht="15" hidden="1">
      <c r="A313" s="236">
        <f t="shared" si="15"/>
        <v>312</v>
      </c>
      <c r="C313" s="984">
        <v>45869</v>
      </c>
      <c r="G313" s="994">
        <v>0</v>
      </c>
      <c r="H313" s="994">
        <v>40000000</v>
      </c>
      <c r="I313" s="1020">
        <f t="shared" si="14"/>
        <v>40000000</v>
      </c>
      <c r="J313" s="994">
        <v>-29441048</v>
      </c>
      <c r="K313" s="1022" t="s">
        <v>2640</v>
      </c>
      <c r="L313" s="1005" t="s">
        <v>3718</v>
      </c>
      <c r="N313" s="15" t="s">
        <v>3917</v>
      </c>
    </row>
    <row r="314" spans="1:14" ht="15" hidden="1">
      <c r="A314" s="236">
        <f t="shared" si="15"/>
        <v>313</v>
      </c>
      <c r="C314" s="985">
        <v>45870</v>
      </c>
      <c r="G314" s="993">
        <v>1227.5899999999999</v>
      </c>
      <c r="H314" s="993">
        <v>0</v>
      </c>
      <c r="I314" s="1020">
        <f t="shared" si="14"/>
        <v>-1227.5899999999999</v>
      </c>
      <c r="J314" s="996">
        <v>-29442275.59</v>
      </c>
      <c r="K314" s="1025" t="s">
        <v>2641</v>
      </c>
      <c r="L314" s="1005" t="s">
        <v>3726</v>
      </c>
      <c r="N314" s="15" t="s">
        <v>3917</v>
      </c>
    </row>
    <row r="315" spans="1:14" ht="15" hidden="1">
      <c r="A315" s="236">
        <f t="shared" si="15"/>
        <v>314</v>
      </c>
      <c r="C315" s="985">
        <v>45870</v>
      </c>
      <c r="G315" s="993">
        <v>31177</v>
      </c>
      <c r="H315" s="993">
        <v>0</v>
      </c>
      <c r="I315" s="1020">
        <f t="shared" si="14"/>
        <v>-31177</v>
      </c>
      <c r="J315" s="996">
        <v>-29473452.59</v>
      </c>
      <c r="K315" s="1025" t="s">
        <v>2642</v>
      </c>
      <c r="L315" s="1005" t="s">
        <v>702</v>
      </c>
      <c r="N315" s="15" t="s">
        <v>3917</v>
      </c>
    </row>
    <row r="316" spans="1:14" ht="15" hidden="1">
      <c r="A316" s="236">
        <f t="shared" si="15"/>
        <v>315</v>
      </c>
      <c r="C316" s="985">
        <v>45870</v>
      </c>
      <c r="G316" s="993">
        <v>984344.64</v>
      </c>
      <c r="H316" s="993">
        <v>0</v>
      </c>
      <c r="I316" s="1020">
        <f t="shared" si="14"/>
        <v>-984344.64</v>
      </c>
      <c r="J316" s="996">
        <v>-30457797.23</v>
      </c>
      <c r="K316" s="1025" t="s">
        <v>2643</v>
      </c>
      <c r="L316" s="1005" t="s">
        <v>702</v>
      </c>
      <c r="N316" s="15" t="s">
        <v>3917</v>
      </c>
    </row>
    <row r="317" spans="1:14" ht="15" hidden="1">
      <c r="A317" s="236">
        <f t="shared" si="15"/>
        <v>316</v>
      </c>
      <c r="C317" s="985">
        <v>45870</v>
      </c>
      <c r="G317" s="993">
        <v>9744064.4800000004</v>
      </c>
      <c r="H317" s="993">
        <v>0</v>
      </c>
      <c r="I317" s="1020">
        <f t="shared" si="14"/>
        <v>-9744064.4800000004</v>
      </c>
      <c r="J317" s="996">
        <v>-40201861.710000001</v>
      </c>
      <c r="K317" s="1025" t="s">
        <v>2644</v>
      </c>
      <c r="L317" s="1005" t="s">
        <v>702</v>
      </c>
      <c r="N317" s="15" t="s">
        <v>3917</v>
      </c>
    </row>
    <row r="318" spans="1:14" ht="15" hidden="1">
      <c r="A318" s="236">
        <f t="shared" si="15"/>
        <v>317</v>
      </c>
      <c r="C318" s="985">
        <v>45870</v>
      </c>
      <c r="G318" s="993">
        <v>3809866.35</v>
      </c>
      <c r="H318" s="993">
        <v>0</v>
      </c>
      <c r="I318" s="1020">
        <f t="shared" si="14"/>
        <v>-3809866.35</v>
      </c>
      <c r="J318" s="996">
        <v>-44011728.060000002</v>
      </c>
      <c r="K318" s="1025" t="s">
        <v>2645</v>
      </c>
      <c r="L318" s="1005" t="s">
        <v>702</v>
      </c>
      <c r="N318" s="15" t="s">
        <v>3917</v>
      </c>
    </row>
    <row r="319" spans="1:14" ht="15" hidden="1">
      <c r="A319" s="236">
        <f t="shared" si="15"/>
        <v>318</v>
      </c>
      <c r="C319" s="985">
        <v>45870</v>
      </c>
      <c r="G319" s="993">
        <v>232203.07</v>
      </c>
      <c r="H319" s="993">
        <v>0</v>
      </c>
      <c r="I319" s="1020">
        <f t="shared" si="14"/>
        <v>-232203.07</v>
      </c>
      <c r="J319" s="996">
        <v>-44243931.130000003</v>
      </c>
      <c r="K319" s="1025" t="s">
        <v>2646</v>
      </c>
      <c r="L319" s="1005" t="s">
        <v>702</v>
      </c>
      <c r="N319" s="15" t="s">
        <v>3917</v>
      </c>
    </row>
    <row r="320" spans="1:14" ht="15" hidden="1">
      <c r="A320" s="236">
        <f t="shared" si="15"/>
        <v>319</v>
      </c>
      <c r="C320" s="985">
        <v>45870</v>
      </c>
      <c r="G320" s="993">
        <v>0</v>
      </c>
      <c r="H320" s="993">
        <v>80000000</v>
      </c>
      <c r="I320" s="1020">
        <f t="shared" si="14"/>
        <v>80000000</v>
      </c>
      <c r="J320" s="996">
        <v>35756068.869999997</v>
      </c>
      <c r="K320" s="1025" t="s">
        <v>2647</v>
      </c>
      <c r="L320" s="1005" t="s">
        <v>3718</v>
      </c>
      <c r="N320" s="15" t="s">
        <v>3917</v>
      </c>
    </row>
    <row r="321" spans="1:14" ht="15" hidden="1">
      <c r="A321" s="236">
        <f t="shared" si="15"/>
        <v>320</v>
      </c>
      <c r="C321" s="985">
        <v>45870</v>
      </c>
      <c r="G321" s="993">
        <v>0</v>
      </c>
      <c r="H321" s="993">
        <v>1000000</v>
      </c>
      <c r="I321" s="1020">
        <f t="shared" si="14"/>
        <v>1000000</v>
      </c>
      <c r="J321" s="996">
        <v>36756068.869999997</v>
      </c>
      <c r="K321" s="1025" t="s">
        <v>2648</v>
      </c>
      <c r="L321" s="1005" t="s">
        <v>3718</v>
      </c>
      <c r="N321" s="15" t="s">
        <v>3917</v>
      </c>
    </row>
    <row r="322" spans="1:14" ht="15" hidden="1">
      <c r="A322" s="236">
        <f t="shared" si="15"/>
        <v>321</v>
      </c>
      <c r="C322" s="984">
        <v>45871</v>
      </c>
      <c r="G322" s="994">
        <v>313525</v>
      </c>
      <c r="H322" s="994">
        <v>0</v>
      </c>
      <c r="I322" s="1020">
        <f t="shared" si="14"/>
        <v>-313525</v>
      </c>
      <c r="J322" s="994">
        <v>36442543.869999997</v>
      </c>
      <c r="K322" s="1022" t="s">
        <v>2649</v>
      </c>
      <c r="L322" s="1005" t="s">
        <v>3717</v>
      </c>
      <c r="N322" s="15" t="s">
        <v>3918</v>
      </c>
    </row>
    <row r="323" spans="1:14" ht="15" hidden="1">
      <c r="A323" s="236">
        <f t="shared" si="15"/>
        <v>322</v>
      </c>
      <c r="C323" s="984">
        <v>45871</v>
      </c>
      <c r="G323" s="994">
        <v>1220400</v>
      </c>
      <c r="H323" s="994">
        <v>0</v>
      </c>
      <c r="I323" s="1020">
        <f t="shared" si="14"/>
        <v>-1220400</v>
      </c>
      <c r="J323" s="994">
        <v>35222143.869999997</v>
      </c>
      <c r="K323" s="1022" t="s">
        <v>2650</v>
      </c>
      <c r="L323" s="1005" t="s">
        <v>702</v>
      </c>
      <c r="N323" s="15" t="s">
        <v>3917</v>
      </c>
    </row>
    <row r="324" spans="1:14" ht="15" hidden="1">
      <c r="A324" s="236">
        <f t="shared" si="15"/>
        <v>323</v>
      </c>
      <c r="C324" s="985">
        <f>C323+1</f>
        <v>45872</v>
      </c>
      <c r="G324" s="995">
        <v>0</v>
      </c>
      <c r="H324" s="993">
        <v>0</v>
      </c>
      <c r="I324" s="1020">
        <f t="shared" ref="I324:I387" si="16">H324-G324</f>
        <v>0</v>
      </c>
      <c r="J324" s="994">
        <v>35222143.869999997</v>
      </c>
      <c r="K324" s="1024">
        <v>0</v>
      </c>
      <c r="L324" s="1005" t="s">
        <v>702</v>
      </c>
      <c r="N324" s="15" t="s">
        <v>3917</v>
      </c>
    </row>
    <row r="325" spans="1:14" ht="15" hidden="1">
      <c r="A325" s="236">
        <f t="shared" ref="A325:A388" si="17">A324+1</f>
        <v>324</v>
      </c>
      <c r="C325" s="984">
        <v>45873</v>
      </c>
      <c r="G325" s="994">
        <v>2388.41</v>
      </c>
      <c r="H325" s="994">
        <v>0</v>
      </c>
      <c r="I325" s="1020">
        <f t="shared" si="16"/>
        <v>-2388.41</v>
      </c>
      <c r="J325" s="994">
        <v>35219755.460000001</v>
      </c>
      <c r="K325" s="1022" t="s">
        <v>2651</v>
      </c>
      <c r="L325" s="1005" t="s">
        <v>702</v>
      </c>
      <c r="N325" s="15" t="s">
        <v>3917</v>
      </c>
    </row>
    <row r="326" spans="1:14" ht="15" hidden="1">
      <c r="A326" s="236">
        <f t="shared" si="17"/>
        <v>325</v>
      </c>
      <c r="C326" s="984">
        <v>45873</v>
      </c>
      <c r="G326" s="994">
        <v>2453.9499999999998</v>
      </c>
      <c r="H326" s="994">
        <v>0</v>
      </c>
      <c r="I326" s="1020">
        <f t="shared" si="16"/>
        <v>-2453.9499999999998</v>
      </c>
      <c r="J326" s="994">
        <v>35217301.509999998</v>
      </c>
      <c r="K326" s="1022" t="s">
        <v>2652</v>
      </c>
      <c r="L326" s="1005" t="s">
        <v>702</v>
      </c>
      <c r="N326" s="15" t="s">
        <v>3917</v>
      </c>
    </row>
    <row r="327" spans="1:14" ht="15" hidden="1">
      <c r="A327" s="236">
        <f t="shared" si="17"/>
        <v>326</v>
      </c>
      <c r="C327" s="984">
        <v>45873</v>
      </c>
      <c r="G327" s="994">
        <v>29165.65</v>
      </c>
      <c r="H327" s="994">
        <v>0</v>
      </c>
      <c r="I327" s="1020">
        <f t="shared" si="16"/>
        <v>-29165.65</v>
      </c>
      <c r="J327" s="994">
        <v>35188135.859999999</v>
      </c>
      <c r="K327" s="1022" t="s">
        <v>2653</v>
      </c>
      <c r="L327" s="1005" t="s">
        <v>702</v>
      </c>
      <c r="N327" s="15" t="s">
        <v>3917</v>
      </c>
    </row>
    <row r="328" spans="1:14" ht="15" hidden="1">
      <c r="A328" s="236">
        <f t="shared" si="17"/>
        <v>327</v>
      </c>
      <c r="C328" s="984">
        <v>45873</v>
      </c>
      <c r="G328" s="994">
        <v>1148.17</v>
      </c>
      <c r="H328" s="994">
        <v>0</v>
      </c>
      <c r="I328" s="1020">
        <f t="shared" si="16"/>
        <v>-1148.17</v>
      </c>
      <c r="J328" s="994">
        <v>35186987.689999998</v>
      </c>
      <c r="K328" s="1022" t="s">
        <v>2654</v>
      </c>
      <c r="L328" s="1005" t="s">
        <v>702</v>
      </c>
      <c r="N328" s="15" t="s">
        <v>3917</v>
      </c>
    </row>
    <row r="329" spans="1:14" ht="15" hidden="1">
      <c r="A329" s="236">
        <f t="shared" si="17"/>
        <v>328</v>
      </c>
      <c r="C329" s="984">
        <v>45873</v>
      </c>
      <c r="G329" s="994">
        <v>2915.82</v>
      </c>
      <c r="H329" s="994">
        <v>0</v>
      </c>
      <c r="I329" s="1020">
        <f t="shared" si="16"/>
        <v>-2915.82</v>
      </c>
      <c r="J329" s="994">
        <v>35184071.869999997</v>
      </c>
      <c r="K329" s="1022" t="s">
        <v>2655</v>
      </c>
      <c r="L329" s="1005" t="s">
        <v>702</v>
      </c>
      <c r="N329" s="15" t="s">
        <v>3917</v>
      </c>
    </row>
    <row r="330" spans="1:14" ht="15" hidden="1">
      <c r="A330" s="236">
        <f t="shared" si="17"/>
        <v>329</v>
      </c>
      <c r="C330" s="984">
        <v>45873</v>
      </c>
      <c r="G330" s="994">
        <v>1680.25</v>
      </c>
      <c r="H330" s="994">
        <v>0</v>
      </c>
      <c r="I330" s="1020">
        <f t="shared" si="16"/>
        <v>-1680.25</v>
      </c>
      <c r="J330" s="994">
        <v>35182391.619999997</v>
      </c>
      <c r="K330" s="1022" t="s">
        <v>2656</v>
      </c>
      <c r="L330" s="1005" t="s">
        <v>702</v>
      </c>
      <c r="N330" s="15" t="s">
        <v>3917</v>
      </c>
    </row>
    <row r="331" spans="1:14" ht="15" hidden="1">
      <c r="A331" s="236">
        <f t="shared" si="17"/>
        <v>330</v>
      </c>
      <c r="C331" s="984">
        <v>45873</v>
      </c>
      <c r="G331" s="994">
        <v>84919.73</v>
      </c>
      <c r="H331" s="994">
        <v>0</v>
      </c>
      <c r="I331" s="1020">
        <f t="shared" si="16"/>
        <v>-84919.73</v>
      </c>
      <c r="J331" s="994">
        <v>35097471.890000001</v>
      </c>
      <c r="K331" s="1022" t="s">
        <v>2657</v>
      </c>
      <c r="L331" s="1005" t="s">
        <v>702</v>
      </c>
      <c r="N331" s="15" t="s">
        <v>3917</v>
      </c>
    </row>
    <row r="332" spans="1:14" ht="15" hidden="1">
      <c r="A332" s="236">
        <f t="shared" si="17"/>
        <v>331</v>
      </c>
      <c r="C332" s="984">
        <v>45873</v>
      </c>
      <c r="G332" s="994">
        <v>143240.01</v>
      </c>
      <c r="H332" s="994">
        <v>0</v>
      </c>
      <c r="I332" s="1020">
        <f t="shared" si="16"/>
        <v>-143240.01</v>
      </c>
      <c r="J332" s="994">
        <v>34954231.880000003</v>
      </c>
      <c r="K332" s="1022" t="s">
        <v>2658</v>
      </c>
      <c r="L332" s="1005" t="s">
        <v>702</v>
      </c>
      <c r="N332" s="15" t="s">
        <v>3917</v>
      </c>
    </row>
    <row r="333" spans="1:14" ht="15" hidden="1">
      <c r="A333" s="236">
        <f t="shared" si="17"/>
        <v>332</v>
      </c>
      <c r="C333" s="984">
        <v>45873</v>
      </c>
      <c r="G333" s="994">
        <v>2123360.44</v>
      </c>
      <c r="H333" s="994">
        <v>0</v>
      </c>
      <c r="I333" s="1020">
        <f t="shared" si="16"/>
        <v>-2123360.44</v>
      </c>
      <c r="J333" s="994">
        <v>32830871.440000001</v>
      </c>
      <c r="K333" s="1022" t="s">
        <v>2659</v>
      </c>
      <c r="L333" s="1005" t="s">
        <v>702</v>
      </c>
      <c r="N333" s="15" t="s">
        <v>3917</v>
      </c>
    </row>
    <row r="334" spans="1:14" ht="15" hidden="1">
      <c r="A334" s="236">
        <f t="shared" si="17"/>
        <v>333</v>
      </c>
      <c r="C334" s="984">
        <v>45873</v>
      </c>
      <c r="G334" s="994">
        <v>1915170.24</v>
      </c>
      <c r="H334" s="994">
        <v>0</v>
      </c>
      <c r="I334" s="1020">
        <f t="shared" si="16"/>
        <v>-1915170.24</v>
      </c>
      <c r="J334" s="994">
        <v>30915701.199999999</v>
      </c>
      <c r="K334" s="1022" t="s">
        <v>2660</v>
      </c>
      <c r="L334" s="1005" t="s">
        <v>702</v>
      </c>
      <c r="N334" s="15" t="s">
        <v>3917</v>
      </c>
    </row>
    <row r="335" spans="1:14" ht="15" hidden="1">
      <c r="A335" s="236">
        <f t="shared" si="17"/>
        <v>334</v>
      </c>
      <c r="C335" s="984">
        <v>45873</v>
      </c>
      <c r="G335" s="997">
        <v>5106.74</v>
      </c>
      <c r="H335" s="994">
        <v>0</v>
      </c>
      <c r="I335" s="1020">
        <f t="shared" si="16"/>
        <v>-5106.74</v>
      </c>
      <c r="J335" s="994">
        <v>30910594.460000001</v>
      </c>
      <c r="K335" s="1022" t="s">
        <v>2661</v>
      </c>
      <c r="L335" s="1005" t="s">
        <v>702</v>
      </c>
      <c r="N335" s="15" t="s">
        <v>3917</v>
      </c>
    </row>
    <row r="336" spans="1:14" ht="15" hidden="1">
      <c r="A336" s="236">
        <f t="shared" si="17"/>
        <v>335</v>
      </c>
      <c r="C336" s="984">
        <v>45873</v>
      </c>
      <c r="G336" s="997">
        <v>1837.98</v>
      </c>
      <c r="H336" s="994">
        <v>0</v>
      </c>
      <c r="I336" s="1020">
        <f t="shared" si="16"/>
        <v>-1837.98</v>
      </c>
      <c r="J336" s="994">
        <v>30908756.48</v>
      </c>
      <c r="K336" s="1022" t="s">
        <v>2662</v>
      </c>
      <c r="L336" s="1005" t="s">
        <v>702</v>
      </c>
      <c r="N336" s="15" t="s">
        <v>3917</v>
      </c>
    </row>
    <row r="337" spans="1:14" ht="15" hidden="1">
      <c r="A337" s="236">
        <f t="shared" si="17"/>
        <v>336</v>
      </c>
      <c r="C337" s="984">
        <v>45873</v>
      </c>
      <c r="G337" s="997">
        <v>33540.82</v>
      </c>
      <c r="H337" s="994">
        <v>0</v>
      </c>
      <c r="I337" s="1020">
        <f t="shared" si="16"/>
        <v>-33540.82</v>
      </c>
      <c r="J337" s="994">
        <v>30875215.66</v>
      </c>
      <c r="K337" s="1022" t="s">
        <v>2663</v>
      </c>
      <c r="L337" s="1005" t="s">
        <v>702</v>
      </c>
      <c r="N337" s="15" t="s">
        <v>3917</v>
      </c>
    </row>
    <row r="338" spans="1:14" ht="15" hidden="1">
      <c r="A338" s="236">
        <f t="shared" si="17"/>
        <v>337</v>
      </c>
      <c r="C338" s="984">
        <v>45873</v>
      </c>
      <c r="G338" s="997">
        <v>7431.22</v>
      </c>
      <c r="H338" s="994">
        <v>0</v>
      </c>
      <c r="I338" s="1020">
        <f t="shared" si="16"/>
        <v>-7431.22</v>
      </c>
      <c r="J338" s="994">
        <v>30867784.440000001</v>
      </c>
      <c r="K338" s="1022" t="s">
        <v>2664</v>
      </c>
      <c r="L338" s="1005" t="s">
        <v>702</v>
      </c>
      <c r="N338" s="15" t="s">
        <v>3917</v>
      </c>
    </row>
    <row r="339" spans="1:14" ht="15" hidden="1">
      <c r="A339" s="236">
        <f t="shared" si="17"/>
        <v>338</v>
      </c>
      <c r="C339" s="984">
        <v>45873</v>
      </c>
      <c r="G339" s="997">
        <v>1154.82</v>
      </c>
      <c r="H339" s="994">
        <v>0</v>
      </c>
      <c r="I339" s="1020">
        <f t="shared" si="16"/>
        <v>-1154.82</v>
      </c>
      <c r="J339" s="994">
        <v>30866629.620000001</v>
      </c>
      <c r="K339" s="1022" t="s">
        <v>2665</v>
      </c>
      <c r="L339" s="1005" t="s">
        <v>702</v>
      </c>
      <c r="N339" s="15" t="s">
        <v>3917</v>
      </c>
    </row>
    <row r="340" spans="1:14" ht="15" hidden="1">
      <c r="A340" s="236">
        <f t="shared" si="17"/>
        <v>339</v>
      </c>
      <c r="C340" s="984">
        <v>45873</v>
      </c>
      <c r="G340" s="997">
        <v>1540.4</v>
      </c>
      <c r="H340" s="994">
        <v>0</v>
      </c>
      <c r="I340" s="1020">
        <f t="shared" si="16"/>
        <v>-1540.4</v>
      </c>
      <c r="J340" s="994">
        <v>30865089.219999999</v>
      </c>
      <c r="K340" s="1022" t="s">
        <v>2666</v>
      </c>
      <c r="L340" s="1005" t="s">
        <v>702</v>
      </c>
      <c r="N340" s="15" t="s">
        <v>3917</v>
      </c>
    </row>
    <row r="341" spans="1:14" ht="15" hidden="1">
      <c r="A341" s="236">
        <f t="shared" si="17"/>
        <v>340</v>
      </c>
      <c r="C341" s="984">
        <v>45873</v>
      </c>
      <c r="G341" s="997">
        <v>10883.9</v>
      </c>
      <c r="H341" s="994">
        <v>0</v>
      </c>
      <c r="I341" s="1020">
        <f t="shared" si="16"/>
        <v>-10883.9</v>
      </c>
      <c r="J341" s="994">
        <v>30854205.32</v>
      </c>
      <c r="K341" s="1022" t="s">
        <v>2667</v>
      </c>
      <c r="L341" s="1005" t="s">
        <v>702</v>
      </c>
      <c r="N341" s="15" t="s">
        <v>3917</v>
      </c>
    </row>
    <row r="342" spans="1:14" ht="15" hidden="1">
      <c r="A342" s="236">
        <f t="shared" si="17"/>
        <v>341</v>
      </c>
      <c r="C342" s="984">
        <v>45873</v>
      </c>
      <c r="G342" s="997">
        <v>1385.38</v>
      </c>
      <c r="H342" s="994">
        <v>0</v>
      </c>
      <c r="I342" s="1020">
        <f t="shared" si="16"/>
        <v>-1385.38</v>
      </c>
      <c r="J342" s="994">
        <v>30852819.940000001</v>
      </c>
      <c r="K342" s="1022" t="s">
        <v>2668</v>
      </c>
      <c r="L342" s="1005" t="s">
        <v>702</v>
      </c>
      <c r="N342" s="15" t="s">
        <v>3917</v>
      </c>
    </row>
    <row r="343" spans="1:14" ht="15" hidden="1">
      <c r="A343" s="236">
        <f t="shared" si="17"/>
        <v>342</v>
      </c>
      <c r="C343" s="984">
        <v>45873</v>
      </c>
      <c r="G343" s="997">
        <v>1555.97</v>
      </c>
      <c r="H343" s="994">
        <v>0</v>
      </c>
      <c r="I343" s="1020">
        <f t="shared" si="16"/>
        <v>-1555.97</v>
      </c>
      <c r="J343" s="994">
        <v>30851263.969999999</v>
      </c>
      <c r="K343" s="1022" t="s">
        <v>2669</v>
      </c>
      <c r="L343" s="1005" t="s">
        <v>702</v>
      </c>
      <c r="N343" s="15" t="s">
        <v>3917</v>
      </c>
    </row>
    <row r="344" spans="1:14" ht="15" hidden="1">
      <c r="A344" s="236">
        <f t="shared" si="17"/>
        <v>343</v>
      </c>
      <c r="C344" s="984">
        <v>45873</v>
      </c>
      <c r="G344" s="997">
        <v>11422.21</v>
      </c>
      <c r="H344" s="994">
        <v>0</v>
      </c>
      <c r="I344" s="1020">
        <f t="shared" si="16"/>
        <v>-11422.21</v>
      </c>
      <c r="J344" s="994">
        <v>30839841.760000002</v>
      </c>
      <c r="K344" s="1022" t="s">
        <v>2670</v>
      </c>
      <c r="L344" s="1005" t="s">
        <v>702</v>
      </c>
      <c r="N344" s="15" t="s">
        <v>3917</v>
      </c>
    </row>
    <row r="345" spans="1:14" ht="15" hidden="1">
      <c r="A345" s="236">
        <f t="shared" si="17"/>
        <v>344</v>
      </c>
      <c r="C345" s="984">
        <v>45873</v>
      </c>
      <c r="G345" s="997">
        <v>18276.14</v>
      </c>
      <c r="H345" s="994">
        <v>0</v>
      </c>
      <c r="I345" s="1020">
        <f t="shared" si="16"/>
        <v>-18276.14</v>
      </c>
      <c r="J345" s="994">
        <v>30821565.620000001</v>
      </c>
      <c r="K345" s="1022" t="s">
        <v>2671</v>
      </c>
      <c r="L345" s="1005" t="s">
        <v>702</v>
      </c>
      <c r="N345" s="15" t="s">
        <v>3917</v>
      </c>
    </row>
    <row r="346" spans="1:14" ht="15" hidden="1">
      <c r="A346" s="236">
        <f t="shared" si="17"/>
        <v>345</v>
      </c>
      <c r="C346" s="984">
        <v>45873</v>
      </c>
      <c r="G346" s="997">
        <v>45486.74</v>
      </c>
      <c r="H346" s="994">
        <v>0</v>
      </c>
      <c r="I346" s="1020">
        <f t="shared" si="16"/>
        <v>-45486.74</v>
      </c>
      <c r="J346" s="994">
        <v>30776078.879999999</v>
      </c>
      <c r="K346" s="1022" t="s">
        <v>2672</v>
      </c>
      <c r="L346" s="1005" t="s">
        <v>702</v>
      </c>
      <c r="N346" s="15" t="s">
        <v>3917</v>
      </c>
    </row>
    <row r="347" spans="1:14" ht="15" hidden="1">
      <c r="A347" s="236">
        <f t="shared" si="17"/>
        <v>346</v>
      </c>
      <c r="C347" s="984">
        <v>45873</v>
      </c>
      <c r="G347" s="997">
        <v>4214.05</v>
      </c>
      <c r="H347" s="994">
        <v>0</v>
      </c>
      <c r="I347" s="1020">
        <f t="shared" si="16"/>
        <v>-4214.05</v>
      </c>
      <c r="J347" s="994">
        <v>30771864.829999998</v>
      </c>
      <c r="K347" s="1022" t="s">
        <v>2673</v>
      </c>
      <c r="L347" s="1005" t="s">
        <v>702</v>
      </c>
      <c r="N347" s="15" t="s">
        <v>3917</v>
      </c>
    </row>
    <row r="348" spans="1:14" ht="15" hidden="1">
      <c r="A348" s="236">
        <f t="shared" si="17"/>
        <v>347</v>
      </c>
      <c r="C348" s="984">
        <v>45873</v>
      </c>
      <c r="G348" s="997">
        <v>2310.64</v>
      </c>
      <c r="H348" s="994">
        <v>0</v>
      </c>
      <c r="I348" s="1020">
        <f t="shared" si="16"/>
        <v>-2310.64</v>
      </c>
      <c r="J348" s="994">
        <v>30769554.190000001</v>
      </c>
      <c r="K348" s="1022" t="s">
        <v>2674</v>
      </c>
      <c r="L348" s="1005" t="s">
        <v>702</v>
      </c>
      <c r="N348" s="15" t="s">
        <v>3917</v>
      </c>
    </row>
    <row r="349" spans="1:14" ht="15" hidden="1">
      <c r="A349" s="236">
        <f t="shared" si="17"/>
        <v>348</v>
      </c>
      <c r="C349" s="984">
        <v>45873</v>
      </c>
      <c r="G349" s="994">
        <v>0</v>
      </c>
      <c r="H349" s="997">
        <v>4214.05</v>
      </c>
      <c r="I349" s="1020">
        <f t="shared" si="16"/>
        <v>4214.05</v>
      </c>
      <c r="J349" s="994">
        <v>30773768.239999998</v>
      </c>
      <c r="K349" s="1022" t="s">
        <v>2675</v>
      </c>
      <c r="L349" s="1005" t="s">
        <v>702</v>
      </c>
      <c r="N349" s="15" t="s">
        <v>3917</v>
      </c>
    </row>
    <row r="350" spans="1:14" ht="15" hidden="1">
      <c r="A350" s="236">
        <f t="shared" si="17"/>
        <v>349</v>
      </c>
      <c r="C350" s="984">
        <v>45873</v>
      </c>
      <c r="G350" s="994">
        <v>0</v>
      </c>
      <c r="H350" s="997">
        <v>7431.22</v>
      </c>
      <c r="I350" s="1020">
        <f t="shared" si="16"/>
        <v>7431.22</v>
      </c>
      <c r="J350" s="994">
        <v>30781199.460000001</v>
      </c>
      <c r="K350" s="1022" t="s">
        <v>2676</v>
      </c>
      <c r="L350" s="1005" t="s">
        <v>702</v>
      </c>
      <c r="N350" s="15" t="s">
        <v>3917</v>
      </c>
    </row>
    <row r="351" spans="1:14" ht="15" hidden="1">
      <c r="A351" s="236">
        <f t="shared" si="17"/>
        <v>350</v>
      </c>
      <c r="C351" s="984">
        <v>45873</v>
      </c>
      <c r="G351" s="994">
        <v>0</v>
      </c>
      <c r="H351" s="997">
        <v>33540.82</v>
      </c>
      <c r="I351" s="1020">
        <f t="shared" si="16"/>
        <v>33540.82</v>
      </c>
      <c r="J351" s="994">
        <v>30814740.280000001</v>
      </c>
      <c r="K351" s="1022" t="s">
        <v>2677</v>
      </c>
      <c r="L351" s="1005" t="s">
        <v>702</v>
      </c>
      <c r="N351" s="15" t="s">
        <v>3917</v>
      </c>
    </row>
    <row r="352" spans="1:14" ht="15" hidden="1">
      <c r="A352" s="236">
        <f t="shared" si="17"/>
        <v>351</v>
      </c>
      <c r="C352" s="984">
        <v>45873</v>
      </c>
      <c r="G352" s="994">
        <v>0</v>
      </c>
      <c r="H352" s="997">
        <v>2310.64</v>
      </c>
      <c r="I352" s="1020">
        <f t="shared" si="16"/>
        <v>2310.64</v>
      </c>
      <c r="J352" s="994">
        <v>30817050.920000002</v>
      </c>
      <c r="K352" s="1022" t="s">
        <v>2678</v>
      </c>
      <c r="L352" s="1005" t="s">
        <v>702</v>
      </c>
      <c r="N352" s="15" t="s">
        <v>3917</v>
      </c>
    </row>
    <row r="353" spans="1:14" ht="15" hidden="1">
      <c r="A353" s="236">
        <f t="shared" si="17"/>
        <v>352</v>
      </c>
      <c r="C353" s="984">
        <v>45873</v>
      </c>
      <c r="G353" s="994">
        <v>0</v>
      </c>
      <c r="H353" s="997">
        <v>1385.38</v>
      </c>
      <c r="I353" s="1020">
        <f t="shared" si="16"/>
        <v>1385.38</v>
      </c>
      <c r="J353" s="994">
        <v>30818436.300000001</v>
      </c>
      <c r="K353" s="1022" t="s">
        <v>2679</v>
      </c>
      <c r="L353" s="1005" t="s">
        <v>702</v>
      </c>
      <c r="N353" s="15" t="s">
        <v>3917</v>
      </c>
    </row>
    <row r="354" spans="1:14" ht="15" hidden="1">
      <c r="A354" s="236">
        <f t="shared" si="17"/>
        <v>353</v>
      </c>
      <c r="C354" s="984">
        <v>45873</v>
      </c>
      <c r="G354" s="994">
        <v>0</v>
      </c>
      <c r="H354" s="997">
        <v>18276.14</v>
      </c>
      <c r="I354" s="1020">
        <f t="shared" si="16"/>
        <v>18276.14</v>
      </c>
      <c r="J354" s="994">
        <v>30836712.440000001</v>
      </c>
      <c r="K354" s="1022" t="s">
        <v>2680</v>
      </c>
      <c r="L354" s="1005" t="s">
        <v>702</v>
      </c>
      <c r="N354" s="15" t="s">
        <v>3917</v>
      </c>
    </row>
    <row r="355" spans="1:14" ht="15" hidden="1">
      <c r="A355" s="236">
        <f t="shared" si="17"/>
        <v>354</v>
      </c>
      <c r="C355" s="984">
        <v>45873</v>
      </c>
      <c r="G355" s="994">
        <v>0</v>
      </c>
      <c r="H355" s="997">
        <v>1540.4</v>
      </c>
      <c r="I355" s="1020">
        <f t="shared" si="16"/>
        <v>1540.4</v>
      </c>
      <c r="J355" s="994">
        <v>30838252.84</v>
      </c>
      <c r="K355" s="1022" t="s">
        <v>2681</v>
      </c>
      <c r="L355" s="1005" t="s">
        <v>702</v>
      </c>
      <c r="N355" s="15" t="s">
        <v>3917</v>
      </c>
    </row>
    <row r="356" spans="1:14" ht="15" hidden="1">
      <c r="A356" s="236">
        <f t="shared" si="17"/>
        <v>355</v>
      </c>
      <c r="C356" s="984">
        <v>45873</v>
      </c>
      <c r="G356" s="994">
        <v>0</v>
      </c>
      <c r="H356" s="997">
        <v>45486.74</v>
      </c>
      <c r="I356" s="1020">
        <f t="shared" si="16"/>
        <v>45486.74</v>
      </c>
      <c r="J356" s="994">
        <v>30883739.579999998</v>
      </c>
      <c r="K356" s="1022" t="s">
        <v>2682</v>
      </c>
      <c r="L356" s="1005" t="s">
        <v>702</v>
      </c>
      <c r="N356" s="15" t="s">
        <v>3917</v>
      </c>
    </row>
    <row r="357" spans="1:14" ht="15" hidden="1">
      <c r="A357" s="236">
        <f t="shared" si="17"/>
        <v>356</v>
      </c>
      <c r="C357" s="984">
        <v>45873</v>
      </c>
      <c r="G357" s="994">
        <v>0</v>
      </c>
      <c r="H357" s="997">
        <v>1837.98</v>
      </c>
      <c r="I357" s="1020">
        <f t="shared" si="16"/>
        <v>1837.98</v>
      </c>
      <c r="J357" s="994">
        <v>30885577.559999999</v>
      </c>
      <c r="K357" s="1022" t="s">
        <v>2683</v>
      </c>
      <c r="L357" s="1005" t="s">
        <v>702</v>
      </c>
      <c r="N357" s="15" t="s">
        <v>3917</v>
      </c>
    </row>
    <row r="358" spans="1:14" ht="15" hidden="1">
      <c r="A358" s="236">
        <f t="shared" si="17"/>
        <v>357</v>
      </c>
      <c r="C358" s="984">
        <v>45873</v>
      </c>
      <c r="G358" s="994">
        <v>0</v>
      </c>
      <c r="H358" s="997">
        <v>1555.97</v>
      </c>
      <c r="I358" s="1020">
        <f t="shared" si="16"/>
        <v>1555.97</v>
      </c>
      <c r="J358" s="994">
        <v>30887133.530000001</v>
      </c>
      <c r="K358" s="1022" t="s">
        <v>2684</v>
      </c>
      <c r="L358" s="1005" t="s">
        <v>702</v>
      </c>
      <c r="N358" s="15" t="s">
        <v>3917</v>
      </c>
    </row>
    <row r="359" spans="1:14" ht="15" hidden="1">
      <c r="A359" s="236">
        <f t="shared" si="17"/>
        <v>358</v>
      </c>
      <c r="C359" s="984">
        <v>45873</v>
      </c>
      <c r="G359" s="994">
        <v>0</v>
      </c>
      <c r="H359" s="997">
        <v>10883.9</v>
      </c>
      <c r="I359" s="1020">
        <f t="shared" si="16"/>
        <v>10883.9</v>
      </c>
      <c r="J359" s="994">
        <v>30898017.43</v>
      </c>
      <c r="K359" s="1022" t="s">
        <v>2685</v>
      </c>
      <c r="L359" s="1005" t="s">
        <v>702</v>
      </c>
      <c r="N359" s="15" t="s">
        <v>3917</v>
      </c>
    </row>
    <row r="360" spans="1:14" ht="15" hidden="1">
      <c r="A360" s="236">
        <f t="shared" si="17"/>
        <v>359</v>
      </c>
      <c r="C360" s="984">
        <v>45873</v>
      </c>
      <c r="G360" s="994">
        <v>0</v>
      </c>
      <c r="H360" s="997">
        <v>5106.74</v>
      </c>
      <c r="I360" s="1020">
        <f t="shared" si="16"/>
        <v>5106.74</v>
      </c>
      <c r="J360" s="994">
        <v>30903124.170000002</v>
      </c>
      <c r="K360" s="1022" t="s">
        <v>2686</v>
      </c>
      <c r="L360" s="1005" t="s">
        <v>702</v>
      </c>
      <c r="N360" s="15" t="s">
        <v>3917</v>
      </c>
    </row>
    <row r="361" spans="1:14" ht="15" hidden="1">
      <c r="A361" s="236">
        <f t="shared" si="17"/>
        <v>360</v>
      </c>
      <c r="C361" s="984">
        <v>45873</v>
      </c>
      <c r="G361" s="994">
        <v>0</v>
      </c>
      <c r="H361" s="997">
        <v>1154.82</v>
      </c>
      <c r="I361" s="1020">
        <f t="shared" si="16"/>
        <v>1154.82</v>
      </c>
      <c r="J361" s="994">
        <v>30904278.989999998</v>
      </c>
      <c r="K361" s="1022" t="s">
        <v>2687</v>
      </c>
      <c r="L361" s="1005" t="s">
        <v>702</v>
      </c>
      <c r="N361" s="15" t="s">
        <v>3917</v>
      </c>
    </row>
    <row r="362" spans="1:14" ht="15" hidden="1">
      <c r="A362" s="236">
        <f t="shared" si="17"/>
        <v>361</v>
      </c>
      <c r="C362" s="984">
        <v>45873</v>
      </c>
      <c r="G362" s="994">
        <v>0</v>
      </c>
      <c r="H362" s="997">
        <v>11422.21</v>
      </c>
      <c r="I362" s="1020">
        <f t="shared" si="16"/>
        <v>11422.21</v>
      </c>
      <c r="J362" s="994">
        <v>30915701.199999999</v>
      </c>
      <c r="K362" s="1022" t="s">
        <v>2688</v>
      </c>
      <c r="L362" s="1005" t="s">
        <v>702</v>
      </c>
      <c r="N362" s="15" t="s">
        <v>3917</v>
      </c>
    </row>
    <row r="363" spans="1:14" ht="15" hidden="1">
      <c r="A363" s="236">
        <f t="shared" si="17"/>
        <v>362</v>
      </c>
      <c r="C363" s="986">
        <v>45874</v>
      </c>
      <c r="G363" s="998">
        <v>10742.55</v>
      </c>
      <c r="H363" s="998"/>
      <c r="I363" s="1020">
        <f t="shared" si="16"/>
        <v>-10742.55</v>
      </c>
      <c r="J363" s="998">
        <v>30904958.649999999</v>
      </c>
      <c r="K363" s="1026" t="s">
        <v>2689</v>
      </c>
      <c r="L363" s="1005" t="s">
        <v>702</v>
      </c>
      <c r="N363" s="15" t="s">
        <v>3917</v>
      </c>
    </row>
    <row r="364" spans="1:14" ht="15" hidden="1">
      <c r="A364" s="236">
        <f t="shared" si="17"/>
        <v>363</v>
      </c>
      <c r="C364" s="986">
        <v>45874</v>
      </c>
      <c r="G364" s="998">
        <v>11231.84</v>
      </c>
      <c r="H364" s="998"/>
      <c r="I364" s="1020">
        <f t="shared" si="16"/>
        <v>-11231.84</v>
      </c>
      <c r="J364" s="998">
        <v>30893726.809999999</v>
      </c>
      <c r="K364" s="1026" t="s">
        <v>2690</v>
      </c>
      <c r="L364" s="1005" t="s">
        <v>702</v>
      </c>
      <c r="N364" s="15" t="s">
        <v>3917</v>
      </c>
    </row>
    <row r="365" spans="1:14" ht="15" hidden="1">
      <c r="A365" s="236">
        <f t="shared" si="17"/>
        <v>364</v>
      </c>
      <c r="C365" s="986">
        <v>45874</v>
      </c>
      <c r="G365" s="998">
        <v>18032.47</v>
      </c>
      <c r="H365" s="998"/>
      <c r="I365" s="1020">
        <f t="shared" si="16"/>
        <v>-18032.47</v>
      </c>
      <c r="J365" s="998">
        <v>30875694.34</v>
      </c>
      <c r="K365" s="1026" t="s">
        <v>2691</v>
      </c>
      <c r="L365" s="1005" t="s">
        <v>702</v>
      </c>
      <c r="N365" s="15" t="s">
        <v>3917</v>
      </c>
    </row>
    <row r="366" spans="1:14" ht="15" hidden="1">
      <c r="A366" s="236">
        <f t="shared" si="17"/>
        <v>365</v>
      </c>
      <c r="C366" s="986">
        <v>45874</v>
      </c>
      <c r="G366" s="998">
        <v>44963.91</v>
      </c>
      <c r="H366" s="998"/>
      <c r="I366" s="1020">
        <f t="shared" si="16"/>
        <v>-44963.91</v>
      </c>
      <c r="J366" s="998">
        <v>30830730.43</v>
      </c>
      <c r="K366" s="1026" t="s">
        <v>2692</v>
      </c>
      <c r="L366" s="1005" t="s">
        <v>702</v>
      </c>
      <c r="N366" s="15" t="s">
        <v>3917</v>
      </c>
    </row>
    <row r="367" spans="1:14" ht="15" hidden="1">
      <c r="A367" s="236">
        <f t="shared" si="17"/>
        <v>366</v>
      </c>
      <c r="C367" s="986">
        <v>45874</v>
      </c>
      <c r="G367" s="998">
        <v>33074.980000000003</v>
      </c>
      <c r="H367" s="998"/>
      <c r="I367" s="1020">
        <f t="shared" si="16"/>
        <v>-33074.980000000003</v>
      </c>
      <c r="J367" s="998">
        <v>30797655.449999999</v>
      </c>
      <c r="K367" s="1026" t="s">
        <v>2693</v>
      </c>
      <c r="L367" s="1005" t="s">
        <v>702</v>
      </c>
      <c r="N367" s="15" t="s">
        <v>3917</v>
      </c>
    </row>
    <row r="368" spans="1:14" ht="15" hidden="1">
      <c r="A368" s="236">
        <f t="shared" si="17"/>
        <v>367</v>
      </c>
      <c r="C368" s="986">
        <v>45874</v>
      </c>
      <c r="G368" s="998">
        <v>7332.14</v>
      </c>
      <c r="H368" s="998"/>
      <c r="I368" s="1020">
        <f t="shared" si="16"/>
        <v>-7332.14</v>
      </c>
      <c r="J368" s="998">
        <v>30790323.309999999</v>
      </c>
      <c r="K368" s="1026" t="s">
        <v>2694</v>
      </c>
      <c r="L368" s="1005" t="s">
        <v>702</v>
      </c>
      <c r="N368" s="15" t="s">
        <v>3917</v>
      </c>
    </row>
    <row r="369" spans="1:14" ht="15" hidden="1">
      <c r="A369" s="236">
        <f t="shared" si="17"/>
        <v>368</v>
      </c>
      <c r="C369" s="986">
        <v>45874</v>
      </c>
      <c r="G369" s="998">
        <v>1139.21</v>
      </c>
      <c r="H369" s="998"/>
      <c r="I369" s="1020">
        <f t="shared" si="16"/>
        <v>-1139.21</v>
      </c>
      <c r="J369" s="998">
        <v>30789184.100000001</v>
      </c>
      <c r="K369" s="1026" t="s">
        <v>2695</v>
      </c>
      <c r="L369" s="1005" t="s">
        <v>702</v>
      </c>
      <c r="N369" s="15" t="s">
        <v>3917</v>
      </c>
    </row>
    <row r="370" spans="1:14" ht="15" hidden="1">
      <c r="A370" s="236">
        <f t="shared" si="17"/>
        <v>369</v>
      </c>
      <c r="C370" s="986">
        <v>45874</v>
      </c>
      <c r="G370" s="998">
        <v>1522.48</v>
      </c>
      <c r="H370" s="998"/>
      <c r="I370" s="1020">
        <f t="shared" si="16"/>
        <v>-1522.48</v>
      </c>
      <c r="J370" s="998">
        <v>30787661.620000001</v>
      </c>
      <c r="K370" s="1026" t="s">
        <v>2696</v>
      </c>
      <c r="L370" s="1005" t="s">
        <v>702</v>
      </c>
      <c r="N370" s="15" t="s">
        <v>3917</v>
      </c>
    </row>
    <row r="371" spans="1:14" ht="15" hidden="1">
      <c r="A371" s="236">
        <f t="shared" si="17"/>
        <v>370</v>
      </c>
      <c r="C371" s="986">
        <v>45874</v>
      </c>
      <c r="G371" s="998">
        <v>5040.43</v>
      </c>
      <c r="H371" s="998"/>
      <c r="I371" s="1020">
        <f t="shared" si="16"/>
        <v>-5040.43</v>
      </c>
      <c r="J371" s="998">
        <v>30782621.190000001</v>
      </c>
      <c r="K371" s="1026" t="s">
        <v>2697</v>
      </c>
      <c r="L371" s="1005" t="s">
        <v>702</v>
      </c>
      <c r="N371" s="15" t="s">
        <v>3917</v>
      </c>
    </row>
    <row r="372" spans="1:14" ht="15" hidden="1">
      <c r="A372" s="236">
        <f t="shared" si="17"/>
        <v>371</v>
      </c>
      <c r="C372" s="986">
        <v>45874</v>
      </c>
      <c r="G372" s="998">
        <v>1812.45</v>
      </c>
      <c r="H372" s="998"/>
      <c r="I372" s="1020">
        <f t="shared" si="16"/>
        <v>-1812.45</v>
      </c>
      <c r="J372" s="998">
        <v>30780808.739999998</v>
      </c>
      <c r="K372" s="1026" t="s">
        <v>2698</v>
      </c>
      <c r="L372" s="1005" t="s">
        <v>702</v>
      </c>
      <c r="N372" s="15" t="s">
        <v>3917</v>
      </c>
    </row>
    <row r="373" spans="1:14" ht="15" hidden="1">
      <c r="A373" s="236">
        <f t="shared" si="17"/>
        <v>372</v>
      </c>
      <c r="C373" s="986">
        <v>45874</v>
      </c>
      <c r="G373" s="998">
        <v>1369.28</v>
      </c>
      <c r="H373" s="998"/>
      <c r="I373" s="1020">
        <f t="shared" si="16"/>
        <v>-1369.28</v>
      </c>
      <c r="J373" s="998">
        <v>30779439.460000001</v>
      </c>
      <c r="K373" s="1026" t="s">
        <v>2699</v>
      </c>
      <c r="L373" s="1005" t="s">
        <v>702</v>
      </c>
      <c r="N373" s="15" t="s">
        <v>3917</v>
      </c>
    </row>
    <row r="374" spans="1:14" ht="15" hidden="1">
      <c r="A374" s="236">
        <f t="shared" si="17"/>
        <v>373</v>
      </c>
      <c r="C374" s="986">
        <v>45874</v>
      </c>
      <c r="G374" s="998">
        <v>1537.87</v>
      </c>
      <c r="H374" s="998"/>
      <c r="I374" s="1020">
        <f t="shared" si="16"/>
        <v>-1537.87</v>
      </c>
      <c r="J374" s="998">
        <v>30777901.59</v>
      </c>
      <c r="K374" s="1026" t="s">
        <v>2700</v>
      </c>
      <c r="L374" s="1005" t="s">
        <v>702</v>
      </c>
      <c r="N374" s="15" t="s">
        <v>3917</v>
      </c>
    </row>
    <row r="375" spans="1:14" ht="15" hidden="1">
      <c r="A375" s="236">
        <f t="shared" si="17"/>
        <v>374</v>
      </c>
      <c r="C375" s="986">
        <v>45874</v>
      </c>
      <c r="G375" s="998">
        <v>2282.11</v>
      </c>
      <c r="H375" s="998"/>
      <c r="I375" s="1020">
        <f t="shared" si="16"/>
        <v>-2282.11</v>
      </c>
      <c r="J375" s="998">
        <v>30775619.48</v>
      </c>
      <c r="K375" s="1026" t="s">
        <v>2701</v>
      </c>
      <c r="L375" s="1005" t="s">
        <v>702</v>
      </c>
      <c r="N375" s="15" t="s">
        <v>3917</v>
      </c>
    </row>
    <row r="376" spans="1:14" ht="15" hidden="1">
      <c r="A376" s="236">
        <f t="shared" si="17"/>
        <v>375</v>
      </c>
      <c r="C376" s="986">
        <v>45874</v>
      </c>
      <c r="G376" s="998">
        <v>4159.34</v>
      </c>
      <c r="H376" s="998"/>
      <c r="I376" s="1020">
        <f t="shared" si="16"/>
        <v>-4159.34</v>
      </c>
      <c r="J376" s="998">
        <v>30771460.140000001</v>
      </c>
      <c r="K376" s="1026" t="s">
        <v>2702</v>
      </c>
      <c r="L376" s="1005" t="s">
        <v>702</v>
      </c>
      <c r="N376" s="15" t="s">
        <v>3917</v>
      </c>
    </row>
    <row r="377" spans="1:14" ht="15" hidden="1">
      <c r="A377" s="236">
        <f t="shared" si="17"/>
        <v>376</v>
      </c>
      <c r="C377" s="986">
        <v>45874</v>
      </c>
      <c r="G377" s="998">
        <v>1316810.8400000001</v>
      </c>
      <c r="H377" s="998"/>
      <c r="I377" s="1020">
        <f t="shared" si="16"/>
        <v>-1316810.8400000001</v>
      </c>
      <c r="J377" s="998">
        <v>29454649.300000001</v>
      </c>
      <c r="K377" s="1026" t="s">
        <v>2703</v>
      </c>
      <c r="L377" s="1005" t="s">
        <v>702</v>
      </c>
      <c r="N377" s="15" t="s">
        <v>3917</v>
      </c>
    </row>
    <row r="378" spans="1:14" ht="15" hidden="1">
      <c r="A378" s="236">
        <f t="shared" si="17"/>
        <v>377</v>
      </c>
      <c r="C378" s="986">
        <v>45874</v>
      </c>
      <c r="G378" s="998">
        <v>159405</v>
      </c>
      <c r="H378" s="998"/>
      <c r="I378" s="1020">
        <f t="shared" si="16"/>
        <v>-159405</v>
      </c>
      <c r="J378" s="998">
        <v>29295244.300000001</v>
      </c>
      <c r="K378" s="1026" t="s">
        <v>2704</v>
      </c>
      <c r="L378" s="1005" t="s">
        <v>702</v>
      </c>
      <c r="N378" s="15" t="s">
        <v>3917</v>
      </c>
    </row>
    <row r="379" spans="1:14" ht="15" hidden="1">
      <c r="A379" s="236">
        <f t="shared" si="17"/>
        <v>378</v>
      </c>
      <c r="C379" s="986">
        <v>45874</v>
      </c>
      <c r="G379" s="998">
        <v>93193</v>
      </c>
      <c r="H379" s="998"/>
      <c r="I379" s="1020">
        <f t="shared" si="16"/>
        <v>-93193</v>
      </c>
      <c r="J379" s="998">
        <v>29202051.300000001</v>
      </c>
      <c r="K379" s="1026" t="s">
        <v>2705</v>
      </c>
      <c r="L379" s="1005" t="s">
        <v>702</v>
      </c>
      <c r="N379" s="15" t="s">
        <v>3917</v>
      </c>
    </row>
    <row r="380" spans="1:14" ht="15" hidden="1">
      <c r="A380" s="236">
        <f t="shared" si="17"/>
        <v>379</v>
      </c>
      <c r="C380" s="986">
        <v>45874</v>
      </c>
      <c r="G380" s="998">
        <v>3982.5</v>
      </c>
      <c r="H380" s="998"/>
      <c r="I380" s="1020">
        <f t="shared" si="16"/>
        <v>-3982.5</v>
      </c>
      <c r="J380" s="998">
        <v>29198068.800000001</v>
      </c>
      <c r="K380" s="1026" t="s">
        <v>2706</v>
      </c>
      <c r="L380" s="1005" t="s">
        <v>3726</v>
      </c>
      <c r="N380" s="15" t="s">
        <v>3917</v>
      </c>
    </row>
    <row r="381" spans="1:14" ht="15" hidden="1">
      <c r="A381" s="236">
        <f t="shared" si="17"/>
        <v>380</v>
      </c>
      <c r="C381" s="986">
        <v>45874</v>
      </c>
      <c r="G381" s="998">
        <v>1180</v>
      </c>
      <c r="H381" s="998"/>
      <c r="I381" s="1020">
        <f t="shared" si="16"/>
        <v>-1180</v>
      </c>
      <c r="J381" s="998">
        <v>29196888.800000001</v>
      </c>
      <c r="K381" s="1026" t="s">
        <v>2707</v>
      </c>
      <c r="L381" s="1005" t="s">
        <v>542</v>
      </c>
      <c r="N381" s="15" t="s">
        <v>3917</v>
      </c>
    </row>
    <row r="382" spans="1:14" ht="15" hidden="1">
      <c r="A382" s="236">
        <f t="shared" si="17"/>
        <v>381</v>
      </c>
      <c r="C382" s="986">
        <v>45874</v>
      </c>
      <c r="G382" s="998"/>
      <c r="H382" s="998">
        <v>262114.45</v>
      </c>
      <c r="I382" s="1020">
        <f t="shared" si="16"/>
        <v>262114.45</v>
      </c>
      <c r="J382" s="998">
        <v>29459003.25</v>
      </c>
      <c r="K382" s="1026" t="s">
        <v>2708</v>
      </c>
      <c r="L382" s="1005" t="s">
        <v>3721</v>
      </c>
      <c r="N382" s="15" t="s">
        <v>3917</v>
      </c>
    </row>
    <row r="383" spans="1:14" ht="15" hidden="1">
      <c r="A383" s="236">
        <f t="shared" si="17"/>
        <v>382</v>
      </c>
      <c r="C383" s="986">
        <v>45875</v>
      </c>
      <c r="G383" s="999"/>
      <c r="H383" s="1000">
        <v>874654</v>
      </c>
      <c r="I383" s="1020">
        <f t="shared" si="16"/>
        <v>874654</v>
      </c>
      <c r="J383" s="1000">
        <v>30333657.25</v>
      </c>
      <c r="K383" s="1026" t="s">
        <v>1519</v>
      </c>
      <c r="L383" s="1005" t="s">
        <v>3913</v>
      </c>
      <c r="N383" s="15" t="s">
        <v>3916</v>
      </c>
    </row>
    <row r="384" spans="1:14" ht="15" hidden="1">
      <c r="A384" s="236">
        <f t="shared" si="17"/>
        <v>383</v>
      </c>
      <c r="C384" s="986">
        <v>45875</v>
      </c>
      <c r="G384" s="999">
        <v>590</v>
      </c>
      <c r="H384" s="999"/>
      <c r="I384" s="1020">
        <f t="shared" si="16"/>
        <v>-590</v>
      </c>
      <c r="J384" s="1000">
        <v>30333067.25</v>
      </c>
      <c r="K384" s="1026" t="s">
        <v>2709</v>
      </c>
      <c r="L384" s="1005" t="s">
        <v>542</v>
      </c>
      <c r="N384" s="15" t="s">
        <v>3917</v>
      </c>
    </row>
    <row r="385" spans="1:14" ht="15" hidden="1">
      <c r="A385" s="236">
        <f t="shared" si="17"/>
        <v>384</v>
      </c>
      <c r="C385" s="986">
        <v>45875</v>
      </c>
      <c r="G385" s="1000">
        <v>1180</v>
      </c>
      <c r="H385" s="999"/>
      <c r="I385" s="1020">
        <f t="shared" si="16"/>
        <v>-1180</v>
      </c>
      <c r="J385" s="1000">
        <v>30331887.25</v>
      </c>
      <c r="K385" s="1026" t="s">
        <v>2710</v>
      </c>
      <c r="L385" s="1005" t="s">
        <v>3726</v>
      </c>
      <c r="N385" s="15" t="s">
        <v>3917</v>
      </c>
    </row>
    <row r="386" spans="1:14" ht="15" hidden="1">
      <c r="A386" s="236">
        <f t="shared" si="17"/>
        <v>385</v>
      </c>
      <c r="C386" s="986">
        <v>45875</v>
      </c>
      <c r="G386" s="1000">
        <v>871752</v>
      </c>
      <c r="H386" s="999"/>
      <c r="I386" s="1020">
        <f t="shared" si="16"/>
        <v>-871752</v>
      </c>
      <c r="J386" s="1000">
        <v>29460135.25</v>
      </c>
      <c r="K386" s="1026" t="s">
        <v>2711</v>
      </c>
      <c r="L386" s="1005" t="s">
        <v>984</v>
      </c>
      <c r="N386" s="15" t="s">
        <v>3917</v>
      </c>
    </row>
    <row r="387" spans="1:14" ht="15" hidden="1">
      <c r="A387" s="236">
        <f t="shared" si="17"/>
        <v>386</v>
      </c>
      <c r="C387" s="986">
        <v>45875</v>
      </c>
      <c r="G387" s="1000">
        <v>5544.25</v>
      </c>
      <c r="H387" s="999"/>
      <c r="I387" s="1020">
        <f t="shared" si="16"/>
        <v>-5544.25</v>
      </c>
      <c r="J387" s="1000">
        <v>29454591</v>
      </c>
      <c r="K387" s="1026" t="s">
        <v>2712</v>
      </c>
      <c r="L387" s="1005" t="s">
        <v>702</v>
      </c>
      <c r="N387" s="15" t="s">
        <v>3917</v>
      </c>
    </row>
    <row r="388" spans="1:14" ht="15" hidden="1">
      <c r="A388" s="236">
        <f t="shared" si="17"/>
        <v>387</v>
      </c>
      <c r="C388" s="986">
        <v>45875</v>
      </c>
      <c r="G388" s="1000">
        <v>7911.12</v>
      </c>
      <c r="H388" s="999"/>
      <c r="I388" s="1020">
        <f t="shared" ref="I388:I451" si="18">H388-G388</f>
        <v>-7911.12</v>
      </c>
      <c r="J388" s="1000">
        <v>29446679.879999999</v>
      </c>
      <c r="K388" s="1026" t="s">
        <v>2713</v>
      </c>
      <c r="L388" s="1005" t="s">
        <v>702</v>
      </c>
      <c r="N388" s="15" t="s">
        <v>3917</v>
      </c>
    </row>
    <row r="389" spans="1:14" ht="15" hidden="1">
      <c r="A389" s="236">
        <f t="shared" ref="A389:A452" si="19">A388+1</f>
        <v>388</v>
      </c>
      <c r="C389" s="986">
        <v>45875</v>
      </c>
      <c r="G389" s="1000">
        <v>5319.05</v>
      </c>
      <c r="H389" s="999"/>
      <c r="I389" s="1020">
        <f t="shared" si="18"/>
        <v>-5319.05</v>
      </c>
      <c r="J389" s="1000">
        <v>29441360.829999998</v>
      </c>
      <c r="K389" s="1026" t="s">
        <v>2714</v>
      </c>
      <c r="L389" s="1005" t="s">
        <v>702</v>
      </c>
      <c r="N389" s="15" t="s">
        <v>3917</v>
      </c>
    </row>
    <row r="390" spans="1:14" ht="15" hidden="1">
      <c r="A390" s="236">
        <f t="shared" si="19"/>
        <v>389</v>
      </c>
      <c r="C390" s="986">
        <v>45875</v>
      </c>
      <c r="G390" s="1000">
        <v>11356.28</v>
      </c>
      <c r="H390" s="999"/>
      <c r="I390" s="1020">
        <f t="shared" si="18"/>
        <v>-11356.28</v>
      </c>
      <c r="J390" s="1000">
        <v>29430004.550000001</v>
      </c>
      <c r="K390" s="1026" t="s">
        <v>2715</v>
      </c>
      <c r="L390" s="1005" t="s">
        <v>702</v>
      </c>
      <c r="N390" s="15" t="s">
        <v>3917</v>
      </c>
    </row>
    <row r="391" spans="1:14" ht="15" hidden="1">
      <c r="A391" s="236">
        <f t="shared" si="19"/>
        <v>390</v>
      </c>
      <c r="C391" s="986">
        <v>45875</v>
      </c>
      <c r="G391" s="1000">
        <v>5363.46</v>
      </c>
      <c r="H391" s="999"/>
      <c r="I391" s="1020">
        <f t="shared" si="18"/>
        <v>-5363.46</v>
      </c>
      <c r="J391" s="1000">
        <v>29424641.09</v>
      </c>
      <c r="K391" s="1026" t="s">
        <v>2716</v>
      </c>
      <c r="L391" s="1005" t="s">
        <v>702</v>
      </c>
      <c r="N391" s="15" t="s">
        <v>3917</v>
      </c>
    </row>
    <row r="392" spans="1:14" ht="15" hidden="1">
      <c r="A392" s="236">
        <f t="shared" si="19"/>
        <v>391</v>
      </c>
      <c r="C392" s="986">
        <v>45875</v>
      </c>
      <c r="G392" s="1000">
        <v>81334.19</v>
      </c>
      <c r="H392" s="999"/>
      <c r="I392" s="1020">
        <f t="shared" si="18"/>
        <v>-81334.19</v>
      </c>
      <c r="J392" s="1000">
        <v>29343306.899999999</v>
      </c>
      <c r="K392" s="1026" t="s">
        <v>2717</v>
      </c>
      <c r="L392" s="1005" t="s">
        <v>702</v>
      </c>
      <c r="N392" s="15" t="s">
        <v>3917</v>
      </c>
    </row>
    <row r="393" spans="1:14" ht="15" hidden="1">
      <c r="A393" s="236">
        <f t="shared" si="19"/>
        <v>392</v>
      </c>
      <c r="C393" s="986">
        <v>45875</v>
      </c>
      <c r="G393" s="1000">
        <v>74759.78</v>
      </c>
      <c r="H393" s="999"/>
      <c r="I393" s="1020">
        <f t="shared" si="18"/>
        <v>-74759.78</v>
      </c>
      <c r="J393" s="1000">
        <v>29268547.120000001</v>
      </c>
      <c r="K393" s="1026" t="s">
        <v>2718</v>
      </c>
      <c r="L393" s="1005" t="s">
        <v>702</v>
      </c>
      <c r="N393" s="15" t="s">
        <v>3917</v>
      </c>
    </row>
    <row r="394" spans="1:14" ht="15" hidden="1">
      <c r="A394" s="236">
        <f t="shared" si="19"/>
        <v>393</v>
      </c>
      <c r="C394" s="986">
        <v>45875</v>
      </c>
      <c r="G394" s="1000">
        <v>6848.19</v>
      </c>
      <c r="H394" s="999"/>
      <c r="I394" s="1020">
        <f t="shared" si="18"/>
        <v>-6848.19</v>
      </c>
      <c r="J394" s="1000">
        <v>29261698.93</v>
      </c>
      <c r="K394" s="1026" t="s">
        <v>2719</v>
      </c>
      <c r="L394" s="1005" t="s">
        <v>702</v>
      </c>
      <c r="N394" s="15" t="s">
        <v>3917</v>
      </c>
    </row>
    <row r="395" spans="1:14" ht="15" hidden="1">
      <c r="A395" s="236">
        <f t="shared" si="19"/>
        <v>394</v>
      </c>
      <c r="C395" s="986">
        <v>45875</v>
      </c>
      <c r="G395" s="1000">
        <v>4387.8500000000004</v>
      </c>
      <c r="H395" s="999"/>
      <c r="I395" s="1020">
        <f t="shared" si="18"/>
        <v>-4387.8500000000004</v>
      </c>
      <c r="J395" s="1000">
        <v>29257311.079999998</v>
      </c>
      <c r="K395" s="1026" t="s">
        <v>2720</v>
      </c>
      <c r="L395" s="1005" t="s">
        <v>702</v>
      </c>
      <c r="N395" s="15" t="s">
        <v>3917</v>
      </c>
    </row>
    <row r="396" spans="1:14" ht="15" hidden="1">
      <c r="A396" s="236">
        <f t="shared" si="19"/>
        <v>395</v>
      </c>
      <c r="C396" s="986">
        <v>45875</v>
      </c>
      <c r="G396" s="1000">
        <v>21966.57</v>
      </c>
      <c r="H396" s="999"/>
      <c r="I396" s="1020">
        <f t="shared" si="18"/>
        <v>-21966.57</v>
      </c>
      <c r="J396" s="1000">
        <v>29235344.510000002</v>
      </c>
      <c r="K396" s="1026" t="s">
        <v>2721</v>
      </c>
      <c r="L396" s="1005" t="s">
        <v>702</v>
      </c>
      <c r="N396" s="15" t="s">
        <v>3917</v>
      </c>
    </row>
    <row r="397" spans="1:14" ht="15" hidden="1">
      <c r="A397" s="236">
        <f t="shared" si="19"/>
        <v>396</v>
      </c>
      <c r="C397" s="986">
        <v>45875</v>
      </c>
      <c r="G397" s="1000">
        <v>2320.9899999999998</v>
      </c>
      <c r="H397" s="999"/>
      <c r="I397" s="1020">
        <f t="shared" si="18"/>
        <v>-2320.9899999999998</v>
      </c>
      <c r="J397" s="1000">
        <v>29233023.52</v>
      </c>
      <c r="K397" s="1026" t="s">
        <v>2722</v>
      </c>
      <c r="L397" s="1005" t="s">
        <v>702</v>
      </c>
      <c r="N397" s="15" t="s">
        <v>3917</v>
      </c>
    </row>
    <row r="398" spans="1:14" ht="15" hidden="1">
      <c r="A398" s="236">
        <f t="shared" si="19"/>
        <v>397</v>
      </c>
      <c r="C398" s="986">
        <v>45875</v>
      </c>
      <c r="G398" s="1000">
        <v>1479.52</v>
      </c>
      <c r="H398" s="999"/>
      <c r="I398" s="1020">
        <f t="shared" si="18"/>
        <v>-1479.52</v>
      </c>
      <c r="J398" s="1000">
        <v>29231544</v>
      </c>
      <c r="K398" s="1026" t="s">
        <v>2723</v>
      </c>
      <c r="L398" s="1005" t="s">
        <v>702</v>
      </c>
      <c r="N398" s="15" t="s">
        <v>3917</v>
      </c>
    </row>
    <row r="399" spans="1:14" ht="15" hidden="1">
      <c r="A399" s="236">
        <f t="shared" si="19"/>
        <v>398</v>
      </c>
      <c r="C399" s="986">
        <v>45875</v>
      </c>
      <c r="G399" s="1000">
        <v>2968.95</v>
      </c>
      <c r="H399" s="999"/>
      <c r="I399" s="1020">
        <f t="shared" si="18"/>
        <v>-2968.95</v>
      </c>
      <c r="J399" s="1000">
        <v>29228575.050000001</v>
      </c>
      <c r="K399" s="1026" t="s">
        <v>2724</v>
      </c>
      <c r="L399" s="1005" t="s">
        <v>702</v>
      </c>
      <c r="N399" s="15" t="s">
        <v>3917</v>
      </c>
    </row>
    <row r="400" spans="1:14" ht="15" hidden="1">
      <c r="A400" s="236">
        <f t="shared" si="19"/>
        <v>399</v>
      </c>
      <c r="C400" s="986">
        <v>45875</v>
      </c>
      <c r="G400" s="1000">
        <v>50000</v>
      </c>
      <c r="H400" s="999"/>
      <c r="I400" s="1020">
        <f t="shared" si="18"/>
        <v>-50000</v>
      </c>
      <c r="J400" s="1000">
        <v>29178575.050000001</v>
      </c>
      <c r="K400" s="1026" t="s">
        <v>2725</v>
      </c>
      <c r="L400" s="1005" t="s">
        <v>542</v>
      </c>
      <c r="N400" s="15" t="s">
        <v>3917</v>
      </c>
    </row>
    <row r="401" spans="1:14" ht="15" hidden="1">
      <c r="A401" s="236">
        <f t="shared" si="19"/>
        <v>400</v>
      </c>
      <c r="C401" s="986">
        <v>45875</v>
      </c>
      <c r="G401" s="999">
        <v>0</v>
      </c>
      <c r="H401" s="1000">
        <v>47180.6</v>
      </c>
      <c r="I401" s="1020">
        <f t="shared" si="18"/>
        <v>47180.6</v>
      </c>
      <c r="J401" s="1000">
        <v>29225755.649999999</v>
      </c>
      <c r="K401" s="1026" t="s">
        <v>2726</v>
      </c>
      <c r="L401" s="1005" t="s">
        <v>3721</v>
      </c>
      <c r="N401" s="15" t="s">
        <v>3917</v>
      </c>
    </row>
    <row r="402" spans="1:14" ht="15" hidden="1">
      <c r="A402" s="236">
        <f t="shared" si="19"/>
        <v>401</v>
      </c>
      <c r="C402" s="984">
        <v>45876</v>
      </c>
      <c r="G402" s="994">
        <v>9504000</v>
      </c>
      <c r="H402" s="994">
        <v>0</v>
      </c>
      <c r="I402" s="1020">
        <f t="shared" si="18"/>
        <v>-9504000</v>
      </c>
      <c r="J402" s="994">
        <v>19721755.649999999</v>
      </c>
      <c r="K402" s="1022" t="s">
        <v>2727</v>
      </c>
      <c r="L402" s="1005" t="s">
        <v>702</v>
      </c>
      <c r="N402" s="15" t="s">
        <v>3917</v>
      </c>
    </row>
    <row r="403" spans="1:14" ht="15" hidden="1">
      <c r="A403" s="236">
        <f t="shared" si="19"/>
        <v>402</v>
      </c>
      <c r="C403" s="984">
        <v>45876</v>
      </c>
      <c r="G403" s="994">
        <v>9504000</v>
      </c>
      <c r="H403" s="994">
        <v>0</v>
      </c>
      <c r="I403" s="1020">
        <f t="shared" si="18"/>
        <v>-9504000</v>
      </c>
      <c r="J403" s="994">
        <v>10217755.65</v>
      </c>
      <c r="K403" s="1022" t="s">
        <v>2728</v>
      </c>
      <c r="L403" s="1005" t="s">
        <v>702</v>
      </c>
      <c r="N403" s="15" t="s">
        <v>3917</v>
      </c>
    </row>
    <row r="404" spans="1:14" ht="15" hidden="1">
      <c r="A404" s="236">
        <f t="shared" si="19"/>
        <v>403</v>
      </c>
      <c r="C404" s="984">
        <v>45876</v>
      </c>
      <c r="G404" s="994">
        <v>9504000</v>
      </c>
      <c r="H404" s="994">
        <v>0</v>
      </c>
      <c r="I404" s="1020">
        <f t="shared" si="18"/>
        <v>-9504000</v>
      </c>
      <c r="J404" s="994">
        <v>713755.65</v>
      </c>
      <c r="K404" s="1022" t="s">
        <v>2729</v>
      </c>
      <c r="L404" s="1005" t="s">
        <v>702</v>
      </c>
      <c r="N404" s="15" t="s">
        <v>3917</v>
      </c>
    </row>
    <row r="405" spans="1:14" ht="15" hidden="1">
      <c r="A405" s="236">
        <f t="shared" si="19"/>
        <v>404</v>
      </c>
      <c r="C405" s="984">
        <v>45876</v>
      </c>
      <c r="G405" s="994">
        <v>5878980</v>
      </c>
      <c r="H405" s="994">
        <v>0</v>
      </c>
      <c r="I405" s="1020">
        <f t="shared" si="18"/>
        <v>-5878980</v>
      </c>
      <c r="J405" s="994">
        <v>-5165224.3499999996</v>
      </c>
      <c r="K405" s="1022" t="s">
        <v>2730</v>
      </c>
      <c r="L405" s="1005" t="s">
        <v>702</v>
      </c>
      <c r="N405" s="15" t="s">
        <v>3917</v>
      </c>
    </row>
    <row r="406" spans="1:14" ht="15" hidden="1">
      <c r="A406" s="236">
        <f t="shared" si="19"/>
        <v>405</v>
      </c>
      <c r="C406" s="984">
        <v>45876</v>
      </c>
      <c r="G406" s="994">
        <v>0</v>
      </c>
      <c r="H406" s="994">
        <v>10381921</v>
      </c>
      <c r="I406" s="1020">
        <f t="shared" si="18"/>
        <v>10381921</v>
      </c>
      <c r="J406" s="994">
        <v>5216696.6500000004</v>
      </c>
      <c r="K406" s="1022" t="s">
        <v>2731</v>
      </c>
      <c r="L406" s="1196" t="s">
        <v>3723</v>
      </c>
      <c r="N406" s="15" t="s">
        <v>3917</v>
      </c>
    </row>
    <row r="407" spans="1:14" ht="15" hidden="1">
      <c r="A407" s="236">
        <f t="shared" si="19"/>
        <v>406</v>
      </c>
      <c r="C407" s="986">
        <v>45877</v>
      </c>
      <c r="G407" s="994">
        <v>395408.47</v>
      </c>
      <c r="H407" s="994">
        <v>0</v>
      </c>
      <c r="I407" s="1020">
        <f t="shared" si="18"/>
        <v>-395408.47</v>
      </c>
      <c r="J407" s="994">
        <v>4821288.18</v>
      </c>
      <c r="K407" s="1026" t="s">
        <v>2732</v>
      </c>
      <c r="L407" s="1005" t="s">
        <v>702</v>
      </c>
      <c r="N407" s="15" t="s">
        <v>3917</v>
      </c>
    </row>
    <row r="408" spans="1:14" ht="15" hidden="1">
      <c r="A408" s="236">
        <f t="shared" si="19"/>
        <v>407</v>
      </c>
      <c r="C408" s="986">
        <v>45877</v>
      </c>
      <c r="G408" s="994">
        <v>472244.39</v>
      </c>
      <c r="H408" s="994">
        <v>0</v>
      </c>
      <c r="I408" s="1020">
        <f t="shared" si="18"/>
        <v>-472244.39</v>
      </c>
      <c r="J408" s="994">
        <v>4349043.79</v>
      </c>
      <c r="K408" s="1026" t="s">
        <v>2733</v>
      </c>
      <c r="L408" s="1005" t="s">
        <v>702</v>
      </c>
      <c r="N408" s="15" t="s">
        <v>3917</v>
      </c>
    </row>
    <row r="409" spans="1:14" ht="15" hidden="1">
      <c r="A409" s="236">
        <f t="shared" si="19"/>
        <v>408</v>
      </c>
      <c r="C409" s="986">
        <v>45877</v>
      </c>
      <c r="G409" s="994">
        <v>472244.39</v>
      </c>
      <c r="H409" s="994">
        <v>0</v>
      </c>
      <c r="I409" s="1020">
        <f t="shared" si="18"/>
        <v>-472244.39</v>
      </c>
      <c r="J409" s="994">
        <v>3876799.4</v>
      </c>
      <c r="K409" s="1026" t="s">
        <v>2734</v>
      </c>
      <c r="L409" s="1005" t="s">
        <v>702</v>
      </c>
      <c r="N409" s="15" t="s">
        <v>3917</v>
      </c>
    </row>
    <row r="410" spans="1:14" ht="15" hidden="1">
      <c r="A410" s="236">
        <f t="shared" si="19"/>
        <v>409</v>
      </c>
      <c r="C410" s="986">
        <v>45877</v>
      </c>
      <c r="G410" s="994">
        <v>472244.39</v>
      </c>
      <c r="H410" s="994">
        <v>0</v>
      </c>
      <c r="I410" s="1020">
        <f t="shared" si="18"/>
        <v>-472244.39</v>
      </c>
      <c r="J410" s="994">
        <v>3404555.01</v>
      </c>
      <c r="K410" s="1026" t="s">
        <v>2735</v>
      </c>
      <c r="L410" s="1005" t="s">
        <v>702</v>
      </c>
      <c r="N410" s="15" t="s">
        <v>3917</v>
      </c>
    </row>
    <row r="411" spans="1:14" ht="15" hidden="1">
      <c r="A411" s="236">
        <f t="shared" si="19"/>
        <v>410</v>
      </c>
      <c r="C411" s="986">
        <v>45877</v>
      </c>
      <c r="G411" s="994">
        <v>472244.39</v>
      </c>
      <c r="H411" s="994">
        <v>0</v>
      </c>
      <c r="I411" s="1020">
        <f t="shared" si="18"/>
        <v>-472244.39</v>
      </c>
      <c r="J411" s="994">
        <v>2932310.62</v>
      </c>
      <c r="K411" s="1026" t="s">
        <v>2736</v>
      </c>
      <c r="L411" s="1005" t="s">
        <v>702</v>
      </c>
      <c r="N411" s="15" t="s">
        <v>3917</v>
      </c>
    </row>
    <row r="412" spans="1:14" ht="15" hidden="1">
      <c r="A412" s="236">
        <f t="shared" si="19"/>
        <v>411</v>
      </c>
      <c r="C412" s="986">
        <v>45877</v>
      </c>
      <c r="G412" s="994">
        <v>472244.39</v>
      </c>
      <c r="H412" s="994">
        <v>0</v>
      </c>
      <c r="I412" s="1020">
        <f t="shared" si="18"/>
        <v>-472244.39</v>
      </c>
      <c r="J412" s="994">
        <v>2460066.23</v>
      </c>
      <c r="K412" s="1026" t="s">
        <v>2737</v>
      </c>
      <c r="L412" s="1005" t="s">
        <v>702</v>
      </c>
      <c r="N412" s="15" t="s">
        <v>3917</v>
      </c>
    </row>
    <row r="413" spans="1:14" ht="15" hidden="1">
      <c r="A413" s="236">
        <f t="shared" si="19"/>
        <v>412</v>
      </c>
      <c r="C413" s="986">
        <v>45877</v>
      </c>
      <c r="G413" s="994">
        <v>472244.39</v>
      </c>
      <c r="H413" s="994">
        <v>0</v>
      </c>
      <c r="I413" s="1020">
        <f t="shared" si="18"/>
        <v>-472244.39</v>
      </c>
      <c r="J413" s="994">
        <v>1987821.84</v>
      </c>
      <c r="K413" s="1026" t="s">
        <v>2738</v>
      </c>
      <c r="L413" s="1005" t="s">
        <v>702</v>
      </c>
      <c r="N413" s="15" t="s">
        <v>3917</v>
      </c>
    </row>
    <row r="414" spans="1:14" ht="15" hidden="1">
      <c r="A414" s="236">
        <f t="shared" si="19"/>
        <v>413</v>
      </c>
      <c r="C414" s="986">
        <v>45877</v>
      </c>
      <c r="G414" s="994">
        <v>469606.14</v>
      </c>
      <c r="H414" s="994">
        <v>0</v>
      </c>
      <c r="I414" s="1020">
        <f t="shared" si="18"/>
        <v>-469606.14</v>
      </c>
      <c r="J414" s="994">
        <v>1518215.7</v>
      </c>
      <c r="K414" s="1026" t="s">
        <v>2739</v>
      </c>
      <c r="L414" s="1005" t="s">
        <v>702</v>
      </c>
      <c r="N414" s="15" t="s">
        <v>3917</v>
      </c>
    </row>
    <row r="415" spans="1:14" ht="15" hidden="1">
      <c r="A415" s="236">
        <f t="shared" si="19"/>
        <v>414</v>
      </c>
      <c r="C415" s="986">
        <v>45877</v>
      </c>
      <c r="G415" s="994">
        <v>469606.14</v>
      </c>
      <c r="H415" s="994">
        <v>0</v>
      </c>
      <c r="I415" s="1020">
        <f t="shared" si="18"/>
        <v>-469606.14</v>
      </c>
      <c r="J415" s="994">
        <v>1048609.56</v>
      </c>
      <c r="K415" s="1026" t="s">
        <v>2740</v>
      </c>
      <c r="L415" s="1005" t="s">
        <v>702</v>
      </c>
      <c r="N415" s="15" t="s">
        <v>3917</v>
      </c>
    </row>
    <row r="416" spans="1:14" ht="15" hidden="1">
      <c r="A416" s="236">
        <f t="shared" si="19"/>
        <v>415</v>
      </c>
      <c r="C416" s="986">
        <v>45877</v>
      </c>
      <c r="G416" s="994">
        <v>472244.39</v>
      </c>
      <c r="H416" s="994">
        <v>0</v>
      </c>
      <c r="I416" s="1020">
        <f t="shared" si="18"/>
        <v>-472244.39</v>
      </c>
      <c r="J416" s="994">
        <v>576365.17000000004</v>
      </c>
      <c r="K416" s="1026" t="s">
        <v>2741</v>
      </c>
      <c r="L416" s="1005" t="s">
        <v>702</v>
      </c>
      <c r="N416" s="15" t="s">
        <v>3917</v>
      </c>
    </row>
    <row r="417" spans="1:14" ht="15" hidden="1">
      <c r="A417" s="236">
        <f t="shared" si="19"/>
        <v>416</v>
      </c>
      <c r="C417" s="986">
        <v>45877</v>
      </c>
      <c r="G417" s="994">
        <v>472244.39</v>
      </c>
      <c r="H417" s="994">
        <v>0</v>
      </c>
      <c r="I417" s="1020">
        <f t="shared" si="18"/>
        <v>-472244.39</v>
      </c>
      <c r="J417" s="994">
        <v>104120.78</v>
      </c>
      <c r="K417" s="1026" t="s">
        <v>2742</v>
      </c>
      <c r="L417" s="1005" t="s">
        <v>702</v>
      </c>
      <c r="N417" s="15" t="s">
        <v>3917</v>
      </c>
    </row>
    <row r="418" spans="1:14" ht="15" hidden="1">
      <c r="A418" s="236">
        <f t="shared" si="19"/>
        <v>417</v>
      </c>
      <c r="C418" s="986">
        <v>45877</v>
      </c>
      <c r="G418" s="994">
        <v>472244.39</v>
      </c>
      <c r="H418" s="994">
        <v>0</v>
      </c>
      <c r="I418" s="1020">
        <f t="shared" si="18"/>
        <v>-472244.39</v>
      </c>
      <c r="J418" s="994">
        <v>-368123.61</v>
      </c>
      <c r="K418" s="1026" t="s">
        <v>2743</v>
      </c>
      <c r="L418" s="1005" t="s">
        <v>702</v>
      </c>
      <c r="N418" s="15" t="s">
        <v>3917</v>
      </c>
    </row>
    <row r="419" spans="1:14" ht="15" hidden="1">
      <c r="A419" s="236">
        <f t="shared" si="19"/>
        <v>418</v>
      </c>
      <c r="C419" s="986">
        <v>45877</v>
      </c>
      <c r="G419" s="994">
        <v>472244.39</v>
      </c>
      <c r="H419" s="994">
        <v>0</v>
      </c>
      <c r="I419" s="1020">
        <f t="shared" si="18"/>
        <v>-472244.39</v>
      </c>
      <c r="J419" s="994">
        <v>-840368</v>
      </c>
      <c r="K419" s="1026" t="s">
        <v>2744</v>
      </c>
      <c r="L419" s="1005" t="s">
        <v>702</v>
      </c>
      <c r="N419" s="15" t="s">
        <v>3917</v>
      </c>
    </row>
    <row r="420" spans="1:14" ht="15" hidden="1">
      <c r="A420" s="236">
        <f t="shared" si="19"/>
        <v>419</v>
      </c>
      <c r="C420" s="986">
        <v>45877</v>
      </c>
      <c r="G420" s="994">
        <v>469606.14</v>
      </c>
      <c r="H420" s="994">
        <v>0</v>
      </c>
      <c r="I420" s="1020">
        <f t="shared" si="18"/>
        <v>-469606.14</v>
      </c>
      <c r="J420" s="994">
        <v>-1309974.1399999999</v>
      </c>
      <c r="K420" s="1026" t="s">
        <v>2745</v>
      </c>
      <c r="L420" s="1005" t="s">
        <v>702</v>
      </c>
      <c r="N420" s="15" t="s">
        <v>3917</v>
      </c>
    </row>
    <row r="421" spans="1:14" ht="15" hidden="1">
      <c r="A421" s="236">
        <f t="shared" si="19"/>
        <v>420</v>
      </c>
      <c r="C421" s="986">
        <v>45877</v>
      </c>
      <c r="G421" s="994">
        <v>469606.14</v>
      </c>
      <c r="H421" s="994">
        <v>0</v>
      </c>
      <c r="I421" s="1020">
        <f t="shared" si="18"/>
        <v>-469606.14</v>
      </c>
      <c r="J421" s="994">
        <v>-1779580.28</v>
      </c>
      <c r="K421" s="1026" t="s">
        <v>2746</v>
      </c>
      <c r="L421" s="1005" t="s">
        <v>702</v>
      </c>
      <c r="N421" s="15" t="s">
        <v>3917</v>
      </c>
    </row>
    <row r="422" spans="1:14" ht="15" hidden="1">
      <c r="A422" s="236">
        <f t="shared" si="19"/>
        <v>421</v>
      </c>
      <c r="C422" s="986">
        <v>45877</v>
      </c>
      <c r="G422" s="994">
        <v>393211.16</v>
      </c>
      <c r="H422" s="994">
        <v>0</v>
      </c>
      <c r="I422" s="1020">
        <f t="shared" si="18"/>
        <v>-393211.16</v>
      </c>
      <c r="J422" s="994">
        <v>-2172791.44</v>
      </c>
      <c r="K422" s="1026" t="s">
        <v>2747</v>
      </c>
      <c r="L422" s="1005" t="s">
        <v>702</v>
      </c>
      <c r="N422" s="15" t="s">
        <v>3917</v>
      </c>
    </row>
    <row r="423" spans="1:14" ht="15" hidden="1">
      <c r="A423" s="236">
        <f t="shared" si="19"/>
        <v>422</v>
      </c>
      <c r="C423" s="986">
        <v>45877</v>
      </c>
      <c r="G423" s="994">
        <v>469606.14</v>
      </c>
      <c r="H423" s="994">
        <v>0</v>
      </c>
      <c r="I423" s="1020">
        <f t="shared" si="18"/>
        <v>-469606.14</v>
      </c>
      <c r="J423" s="994">
        <v>-2642397.58</v>
      </c>
      <c r="K423" s="1026" t="s">
        <v>2748</v>
      </c>
      <c r="L423" s="1005" t="s">
        <v>702</v>
      </c>
      <c r="N423" s="15" t="s">
        <v>3917</v>
      </c>
    </row>
    <row r="424" spans="1:14" ht="15.75" hidden="1">
      <c r="A424" s="236">
        <f t="shared" si="19"/>
        <v>423</v>
      </c>
      <c r="C424" s="986">
        <v>45877</v>
      </c>
      <c r="G424" s="994">
        <v>20530179</v>
      </c>
      <c r="H424" s="994">
        <v>0</v>
      </c>
      <c r="I424" s="1020">
        <f t="shared" si="18"/>
        <v>-20530179</v>
      </c>
      <c r="J424" s="994">
        <v>-23172576.579999998</v>
      </c>
      <c r="K424" s="1026" t="s">
        <v>2749</v>
      </c>
      <c r="L424" s="1027" t="s">
        <v>3913</v>
      </c>
      <c r="N424" s="15" t="s">
        <v>3916</v>
      </c>
    </row>
    <row r="425" spans="1:14" ht="15" hidden="1">
      <c r="A425" s="236">
        <f t="shared" si="19"/>
        <v>424</v>
      </c>
      <c r="C425" s="986">
        <v>45877</v>
      </c>
      <c r="G425" s="994">
        <v>0</v>
      </c>
      <c r="H425" s="994">
        <v>150000000</v>
      </c>
      <c r="I425" s="1020">
        <f t="shared" si="18"/>
        <v>150000000</v>
      </c>
      <c r="J425" s="994">
        <v>126827423.42</v>
      </c>
      <c r="K425" s="1026" t="s">
        <v>2750</v>
      </c>
      <c r="L425" s="1196" t="s">
        <v>3723</v>
      </c>
      <c r="N425" s="15" t="s">
        <v>3917</v>
      </c>
    </row>
    <row r="426" spans="1:14" ht="15" hidden="1">
      <c r="A426" s="236">
        <f t="shared" si="19"/>
        <v>425</v>
      </c>
      <c r="C426" s="986">
        <v>45877</v>
      </c>
      <c r="G426" s="1001">
        <v>6589623</v>
      </c>
      <c r="H426" s="994">
        <v>0</v>
      </c>
      <c r="I426" s="1020">
        <f t="shared" si="18"/>
        <v>-6589623</v>
      </c>
      <c r="J426" s="994">
        <v>120237800.42</v>
      </c>
      <c r="K426" s="1026" t="s">
        <v>2751</v>
      </c>
      <c r="L426" s="1005" t="s">
        <v>3719</v>
      </c>
      <c r="N426" s="15" t="s">
        <v>3917</v>
      </c>
    </row>
    <row r="427" spans="1:14" ht="15" hidden="1">
      <c r="A427" s="236">
        <f t="shared" si="19"/>
        <v>426</v>
      </c>
      <c r="C427" s="986">
        <v>45877</v>
      </c>
      <c r="G427" s="1001">
        <v>14742</v>
      </c>
      <c r="H427" s="994">
        <v>0</v>
      </c>
      <c r="I427" s="1020">
        <f t="shared" si="18"/>
        <v>-14742</v>
      </c>
      <c r="J427" s="994">
        <v>120223058.42</v>
      </c>
      <c r="K427" s="1026" t="s">
        <v>2752</v>
      </c>
      <c r="L427" s="1005" t="s">
        <v>3719</v>
      </c>
      <c r="N427" s="15" t="s">
        <v>3917</v>
      </c>
    </row>
    <row r="428" spans="1:14" ht="15" hidden="1">
      <c r="A428" s="236">
        <f t="shared" si="19"/>
        <v>427</v>
      </c>
      <c r="C428" s="986">
        <v>45877</v>
      </c>
      <c r="G428" s="1001">
        <v>142000</v>
      </c>
      <c r="H428" s="994">
        <v>0</v>
      </c>
      <c r="I428" s="1020">
        <f t="shared" si="18"/>
        <v>-142000</v>
      </c>
      <c r="J428" s="994">
        <v>120081058.42</v>
      </c>
      <c r="K428" s="1026" t="s">
        <v>2753</v>
      </c>
      <c r="L428" s="1005" t="s">
        <v>3719</v>
      </c>
      <c r="N428" s="15" t="s">
        <v>3917</v>
      </c>
    </row>
    <row r="429" spans="1:14" ht="15" hidden="1">
      <c r="A429" s="236">
        <f t="shared" si="19"/>
        <v>428</v>
      </c>
      <c r="C429" s="986">
        <v>45877</v>
      </c>
      <c r="G429" s="1001">
        <v>20000</v>
      </c>
      <c r="H429" s="994">
        <v>0</v>
      </c>
      <c r="I429" s="1020">
        <f t="shared" si="18"/>
        <v>-20000</v>
      </c>
      <c r="J429" s="994">
        <v>120061058.42</v>
      </c>
      <c r="K429" s="1026" t="s">
        <v>2754</v>
      </c>
      <c r="L429" s="1005" t="s">
        <v>542</v>
      </c>
      <c r="N429" s="15" t="s">
        <v>3917</v>
      </c>
    </row>
    <row r="430" spans="1:14" ht="15" hidden="1">
      <c r="A430" s="236">
        <f t="shared" si="19"/>
        <v>429</v>
      </c>
      <c r="C430" s="986">
        <v>45877</v>
      </c>
      <c r="G430" s="1001">
        <v>121350</v>
      </c>
      <c r="H430" s="994">
        <v>0</v>
      </c>
      <c r="I430" s="1020">
        <f t="shared" si="18"/>
        <v>-121350</v>
      </c>
      <c r="J430" s="994">
        <v>119939708.42</v>
      </c>
      <c r="K430" s="1026" t="s">
        <v>2755</v>
      </c>
      <c r="L430" s="1005" t="s">
        <v>3719</v>
      </c>
      <c r="N430" s="15" t="s">
        <v>3917</v>
      </c>
    </row>
    <row r="431" spans="1:14" ht="15" hidden="1">
      <c r="A431" s="236">
        <f t="shared" si="19"/>
        <v>430</v>
      </c>
      <c r="C431" s="986">
        <v>45877</v>
      </c>
      <c r="G431" s="1001">
        <v>10000000</v>
      </c>
      <c r="H431" s="994">
        <v>0</v>
      </c>
      <c r="I431" s="1020">
        <f t="shared" si="18"/>
        <v>-10000000</v>
      </c>
      <c r="J431" s="994">
        <v>109939708.42</v>
      </c>
      <c r="K431" s="1026" t="s">
        <v>2756</v>
      </c>
      <c r="L431" s="1005" t="s">
        <v>3719</v>
      </c>
      <c r="N431" s="15" t="s">
        <v>3917</v>
      </c>
    </row>
    <row r="432" spans="1:14" ht="15" hidden="1">
      <c r="A432" s="236">
        <f t="shared" si="19"/>
        <v>431</v>
      </c>
      <c r="C432" s="986">
        <v>45877</v>
      </c>
      <c r="G432" s="1001">
        <v>5000</v>
      </c>
      <c r="H432" s="994">
        <v>0</v>
      </c>
      <c r="I432" s="1020">
        <f t="shared" si="18"/>
        <v>-5000</v>
      </c>
      <c r="J432" s="994">
        <v>109934708.42</v>
      </c>
      <c r="K432" s="1026" t="s">
        <v>2757</v>
      </c>
      <c r="L432" s="1005" t="s">
        <v>3719</v>
      </c>
      <c r="N432" s="15" t="s">
        <v>3917</v>
      </c>
    </row>
    <row r="433" spans="1:14" ht="15" hidden="1">
      <c r="A433" s="236">
        <f t="shared" si="19"/>
        <v>432</v>
      </c>
      <c r="C433" s="986">
        <v>45877</v>
      </c>
      <c r="G433" s="1002">
        <v>2200000</v>
      </c>
      <c r="H433" s="994">
        <v>0</v>
      </c>
      <c r="I433" s="1020">
        <f t="shared" si="18"/>
        <v>-2200000</v>
      </c>
      <c r="J433" s="994">
        <v>107734708.42</v>
      </c>
      <c r="K433" s="1026" t="s">
        <v>2758</v>
      </c>
      <c r="L433" s="1005" t="s">
        <v>3722</v>
      </c>
      <c r="N433" s="15" t="s">
        <v>3917</v>
      </c>
    </row>
    <row r="434" spans="1:14" ht="15" hidden="1">
      <c r="A434" s="236">
        <f t="shared" si="19"/>
        <v>433</v>
      </c>
      <c r="C434" s="986">
        <v>45877</v>
      </c>
      <c r="G434" s="994">
        <v>262444.11</v>
      </c>
      <c r="H434" s="994">
        <v>0</v>
      </c>
      <c r="I434" s="1020">
        <f t="shared" si="18"/>
        <v>-262444.11</v>
      </c>
      <c r="J434" s="994">
        <v>107472264.31</v>
      </c>
      <c r="K434" s="1026" t="s">
        <v>2759</v>
      </c>
      <c r="L434" s="1005" t="s">
        <v>3726</v>
      </c>
      <c r="N434" s="15" t="s">
        <v>3917</v>
      </c>
    </row>
    <row r="435" spans="1:14" ht="15" hidden="1">
      <c r="A435" s="236">
        <f t="shared" si="19"/>
        <v>434</v>
      </c>
      <c r="C435" s="986">
        <f>C434+1</f>
        <v>45878</v>
      </c>
      <c r="G435" s="994">
        <v>0</v>
      </c>
      <c r="H435" s="994">
        <v>0</v>
      </c>
      <c r="I435" s="1020">
        <f t="shared" si="18"/>
        <v>0</v>
      </c>
      <c r="J435" s="994">
        <v>107472264.31</v>
      </c>
      <c r="K435" s="1026">
        <v>0</v>
      </c>
      <c r="L435" s="1005" t="s">
        <v>3726</v>
      </c>
      <c r="N435" s="15" t="s">
        <v>3917</v>
      </c>
    </row>
    <row r="436" spans="1:14" ht="15.75" hidden="1">
      <c r="A436" s="236">
        <f t="shared" si="19"/>
        <v>435</v>
      </c>
      <c r="C436" s="986">
        <v>45879</v>
      </c>
      <c r="G436" s="994">
        <v>39581</v>
      </c>
      <c r="H436" s="994">
        <v>0</v>
      </c>
      <c r="I436" s="1020">
        <f t="shared" si="18"/>
        <v>-39581</v>
      </c>
      <c r="J436" s="994">
        <v>107432683.31</v>
      </c>
      <c r="K436" s="1026" t="s">
        <v>826</v>
      </c>
      <c r="L436" s="1027" t="s">
        <v>3717</v>
      </c>
      <c r="N436" s="15" t="s">
        <v>3918</v>
      </c>
    </row>
    <row r="437" spans="1:14" ht="15" hidden="1">
      <c r="A437" s="236">
        <f t="shared" si="19"/>
        <v>436</v>
      </c>
      <c r="C437" s="984">
        <v>45880</v>
      </c>
      <c r="G437" s="994">
        <v>102384.39</v>
      </c>
      <c r="H437" s="994">
        <v>0</v>
      </c>
      <c r="I437" s="1020">
        <f t="shared" si="18"/>
        <v>-102384.39</v>
      </c>
      <c r="J437" s="994">
        <v>107330298.92</v>
      </c>
      <c r="K437" s="1022" t="s">
        <v>2760</v>
      </c>
      <c r="L437" s="1005" t="s">
        <v>702</v>
      </c>
      <c r="N437" s="15" t="s">
        <v>3917</v>
      </c>
    </row>
    <row r="438" spans="1:14" ht="15" hidden="1">
      <c r="A438" s="236">
        <f t="shared" si="19"/>
        <v>437</v>
      </c>
      <c r="C438" s="984">
        <v>45880</v>
      </c>
      <c r="G438" s="994">
        <v>809.44</v>
      </c>
      <c r="H438" s="994">
        <v>0</v>
      </c>
      <c r="I438" s="1020">
        <f t="shared" si="18"/>
        <v>-809.44</v>
      </c>
      <c r="J438" s="994">
        <v>107329489.48</v>
      </c>
      <c r="K438" s="1022" t="s">
        <v>2761</v>
      </c>
      <c r="L438" s="1005" t="s">
        <v>702</v>
      </c>
      <c r="N438" s="15" t="s">
        <v>3917</v>
      </c>
    </row>
    <row r="439" spans="1:14" ht="15" hidden="1">
      <c r="A439" s="236">
        <f t="shared" si="19"/>
        <v>438</v>
      </c>
      <c r="C439" s="984">
        <v>45880</v>
      </c>
      <c r="G439" s="994">
        <v>37070.720000000001</v>
      </c>
      <c r="H439" s="994">
        <v>0</v>
      </c>
      <c r="I439" s="1020">
        <f t="shared" si="18"/>
        <v>-37070.720000000001</v>
      </c>
      <c r="J439" s="994">
        <v>107292418.76000001</v>
      </c>
      <c r="K439" s="1022" t="s">
        <v>2762</v>
      </c>
      <c r="L439" s="1005" t="s">
        <v>702</v>
      </c>
      <c r="N439" s="15" t="s">
        <v>3917</v>
      </c>
    </row>
    <row r="440" spans="1:14" ht="15" hidden="1">
      <c r="A440" s="236">
        <f t="shared" si="19"/>
        <v>439</v>
      </c>
      <c r="C440" s="984">
        <v>45880</v>
      </c>
      <c r="G440" s="994">
        <v>427106.39</v>
      </c>
      <c r="H440" s="994">
        <v>0</v>
      </c>
      <c r="I440" s="1020">
        <f t="shared" si="18"/>
        <v>-427106.39</v>
      </c>
      <c r="J440" s="994">
        <v>106865312.37</v>
      </c>
      <c r="K440" s="1022" t="s">
        <v>2763</v>
      </c>
      <c r="L440" s="1005" t="s">
        <v>702</v>
      </c>
      <c r="N440" s="15" t="s">
        <v>3917</v>
      </c>
    </row>
    <row r="441" spans="1:14" ht="15" hidden="1">
      <c r="A441" s="236">
        <f t="shared" si="19"/>
        <v>440</v>
      </c>
      <c r="C441" s="984">
        <v>45880</v>
      </c>
      <c r="G441" s="994">
        <v>268904</v>
      </c>
      <c r="H441" s="994">
        <v>0</v>
      </c>
      <c r="I441" s="1020">
        <f t="shared" si="18"/>
        <v>-268904</v>
      </c>
      <c r="J441" s="994">
        <v>106596408.37</v>
      </c>
      <c r="K441" s="1022" t="s">
        <v>2764</v>
      </c>
      <c r="L441" s="1005" t="s">
        <v>702</v>
      </c>
      <c r="N441" s="15" t="s">
        <v>3917</v>
      </c>
    </row>
    <row r="442" spans="1:14" ht="15" hidden="1">
      <c r="A442" s="236">
        <f t="shared" si="19"/>
        <v>441</v>
      </c>
      <c r="C442" s="984">
        <v>45880</v>
      </c>
      <c r="G442" s="994">
        <v>9552.73</v>
      </c>
      <c r="H442" s="994">
        <v>0</v>
      </c>
      <c r="I442" s="1020">
        <f t="shared" si="18"/>
        <v>-9552.73</v>
      </c>
      <c r="J442" s="994">
        <v>106586855.64</v>
      </c>
      <c r="K442" s="1022" t="s">
        <v>2765</v>
      </c>
      <c r="L442" s="1005" t="s">
        <v>702</v>
      </c>
      <c r="N442" s="15" t="s">
        <v>3917</v>
      </c>
    </row>
    <row r="443" spans="1:14" ht="15" hidden="1">
      <c r="A443" s="236">
        <f t="shared" si="19"/>
        <v>442</v>
      </c>
      <c r="C443" s="984">
        <v>45880</v>
      </c>
      <c r="G443" s="994">
        <v>1680.62</v>
      </c>
      <c r="H443" s="994">
        <v>0</v>
      </c>
      <c r="I443" s="1020">
        <f t="shared" si="18"/>
        <v>-1680.62</v>
      </c>
      <c r="J443" s="994">
        <v>106585175.02</v>
      </c>
      <c r="K443" s="1022" t="s">
        <v>2766</v>
      </c>
      <c r="L443" s="1005" t="s">
        <v>702</v>
      </c>
      <c r="N443" s="15" t="s">
        <v>3917</v>
      </c>
    </row>
    <row r="444" spans="1:14" ht="15" hidden="1">
      <c r="A444" s="236">
        <f t="shared" si="19"/>
        <v>443</v>
      </c>
      <c r="C444" s="984">
        <v>45880</v>
      </c>
      <c r="G444" s="994">
        <v>303.04000000000002</v>
      </c>
      <c r="H444" s="994">
        <v>0</v>
      </c>
      <c r="I444" s="1020">
        <f t="shared" si="18"/>
        <v>-303.04000000000002</v>
      </c>
      <c r="J444" s="994">
        <v>106584871.98</v>
      </c>
      <c r="K444" s="1022" t="s">
        <v>2767</v>
      </c>
      <c r="L444" s="1005" t="s">
        <v>702</v>
      </c>
      <c r="N444" s="15" t="s">
        <v>3917</v>
      </c>
    </row>
    <row r="445" spans="1:14" ht="15" hidden="1">
      <c r="A445" s="236">
        <f t="shared" si="19"/>
        <v>444</v>
      </c>
      <c r="C445" s="984">
        <v>45880</v>
      </c>
      <c r="G445" s="994">
        <v>1002000</v>
      </c>
      <c r="H445" s="994">
        <v>0</v>
      </c>
      <c r="I445" s="1020">
        <f t="shared" si="18"/>
        <v>-1002000</v>
      </c>
      <c r="J445" s="994">
        <v>105582871.98</v>
      </c>
      <c r="K445" s="1022" t="s">
        <v>2768</v>
      </c>
      <c r="L445" s="1005" t="s">
        <v>702</v>
      </c>
      <c r="N445" s="15" t="s">
        <v>3917</v>
      </c>
    </row>
    <row r="446" spans="1:14" ht="15" hidden="1">
      <c r="A446" s="236">
        <f t="shared" si="19"/>
        <v>445</v>
      </c>
      <c r="C446" s="984">
        <v>45880</v>
      </c>
      <c r="G446" s="994">
        <v>47810</v>
      </c>
      <c r="H446" s="994">
        <v>0</v>
      </c>
      <c r="I446" s="1020">
        <f t="shared" si="18"/>
        <v>-47810</v>
      </c>
      <c r="J446" s="994">
        <v>105535061.98</v>
      </c>
      <c r="K446" s="1022" t="s">
        <v>2769</v>
      </c>
      <c r="L446" s="1005" t="s">
        <v>702</v>
      </c>
      <c r="N446" s="15" t="s">
        <v>3917</v>
      </c>
    </row>
    <row r="447" spans="1:14" ht="15" hidden="1">
      <c r="A447" s="236">
        <f t="shared" si="19"/>
        <v>446</v>
      </c>
      <c r="C447" s="984">
        <v>45880</v>
      </c>
      <c r="G447" s="994">
        <v>30480.1</v>
      </c>
      <c r="H447" s="994">
        <v>0</v>
      </c>
      <c r="I447" s="1020">
        <f t="shared" si="18"/>
        <v>-30480.1</v>
      </c>
      <c r="J447" s="994">
        <v>105504581.88</v>
      </c>
      <c r="K447" s="1022" t="s">
        <v>2770</v>
      </c>
      <c r="L447" s="1005" t="s">
        <v>702</v>
      </c>
      <c r="N447" s="15" t="s">
        <v>3917</v>
      </c>
    </row>
    <row r="448" spans="1:14" ht="15" hidden="1">
      <c r="A448" s="236">
        <f t="shared" si="19"/>
        <v>447</v>
      </c>
      <c r="C448" s="984">
        <v>45880</v>
      </c>
      <c r="G448" s="994">
        <v>6945909.2199999997</v>
      </c>
      <c r="H448" s="994">
        <v>0</v>
      </c>
      <c r="I448" s="1020">
        <f t="shared" si="18"/>
        <v>-6945909.2199999997</v>
      </c>
      <c r="J448" s="994">
        <v>98558672.659999996</v>
      </c>
      <c r="K448" s="1022" t="s">
        <v>2771</v>
      </c>
      <c r="L448" s="1005" t="s">
        <v>702</v>
      </c>
      <c r="N448" s="15" t="s">
        <v>3917</v>
      </c>
    </row>
    <row r="449" spans="1:14" ht="15" hidden="1">
      <c r="A449" s="236">
        <f t="shared" si="19"/>
        <v>448</v>
      </c>
      <c r="C449" s="984">
        <v>45880</v>
      </c>
      <c r="G449" s="994">
        <v>138176</v>
      </c>
      <c r="H449" s="994">
        <v>0</v>
      </c>
      <c r="I449" s="1020">
        <f t="shared" si="18"/>
        <v>-138176</v>
      </c>
      <c r="J449" s="994">
        <v>98420496.659999996</v>
      </c>
      <c r="K449" s="1022" t="s">
        <v>2772</v>
      </c>
      <c r="L449" s="1005" t="s">
        <v>702</v>
      </c>
      <c r="N449" s="15" t="s">
        <v>3917</v>
      </c>
    </row>
    <row r="450" spans="1:14" ht="15" hidden="1">
      <c r="A450" s="236">
        <f t="shared" si="19"/>
        <v>449</v>
      </c>
      <c r="C450" s="984">
        <v>45880</v>
      </c>
      <c r="G450" s="994">
        <v>147574.9</v>
      </c>
      <c r="H450" s="994">
        <v>0</v>
      </c>
      <c r="I450" s="1020">
        <f t="shared" si="18"/>
        <v>-147574.9</v>
      </c>
      <c r="J450" s="994">
        <v>98272921.760000005</v>
      </c>
      <c r="K450" s="1022" t="s">
        <v>2773</v>
      </c>
      <c r="L450" s="1005" t="s">
        <v>702</v>
      </c>
      <c r="N450" s="15" t="s">
        <v>3917</v>
      </c>
    </row>
    <row r="451" spans="1:14" ht="15" hidden="1">
      <c r="A451" s="236">
        <f t="shared" si="19"/>
        <v>450</v>
      </c>
      <c r="C451" s="984">
        <v>45880</v>
      </c>
      <c r="G451" s="994">
        <v>539453</v>
      </c>
      <c r="H451" s="994">
        <v>0</v>
      </c>
      <c r="I451" s="1020">
        <f t="shared" si="18"/>
        <v>-539453</v>
      </c>
      <c r="J451" s="994">
        <v>97733468.760000005</v>
      </c>
      <c r="K451" s="1022" t="s">
        <v>2774</v>
      </c>
      <c r="L451" s="1005" t="s">
        <v>702</v>
      </c>
      <c r="N451" s="15" t="s">
        <v>3917</v>
      </c>
    </row>
    <row r="452" spans="1:14" ht="15" hidden="1">
      <c r="A452" s="236">
        <f t="shared" si="19"/>
        <v>451</v>
      </c>
      <c r="C452" s="984">
        <v>45880</v>
      </c>
      <c r="G452" s="994">
        <v>193548</v>
      </c>
      <c r="H452" s="994">
        <v>0</v>
      </c>
      <c r="I452" s="1020">
        <f t="shared" ref="I452:I515" si="20">H452-G452</f>
        <v>-193548</v>
      </c>
      <c r="J452" s="994">
        <v>97539920.760000005</v>
      </c>
      <c r="K452" s="1022" t="s">
        <v>2775</v>
      </c>
      <c r="L452" s="1005" t="s">
        <v>702</v>
      </c>
      <c r="N452" s="15" t="s">
        <v>3917</v>
      </c>
    </row>
    <row r="453" spans="1:14" ht="15" hidden="1">
      <c r="A453" s="236">
        <f t="shared" ref="A453:A516" si="21">A452+1</f>
        <v>452</v>
      </c>
      <c r="C453" s="984">
        <v>45880</v>
      </c>
      <c r="G453" s="994">
        <v>6351252.7699999996</v>
      </c>
      <c r="H453" s="994">
        <v>0</v>
      </c>
      <c r="I453" s="1020">
        <f t="shared" si="20"/>
        <v>-6351252.7699999996</v>
      </c>
      <c r="J453" s="994">
        <v>91188667.989999995</v>
      </c>
      <c r="K453" s="1022" t="s">
        <v>2776</v>
      </c>
      <c r="L453" s="1005" t="s">
        <v>702</v>
      </c>
      <c r="N453" s="15" t="s">
        <v>3917</v>
      </c>
    </row>
    <row r="454" spans="1:14" ht="15" hidden="1">
      <c r="A454" s="236">
        <f t="shared" si="21"/>
        <v>453</v>
      </c>
      <c r="C454" s="984">
        <v>45880</v>
      </c>
      <c r="G454" s="994">
        <v>6907839</v>
      </c>
      <c r="H454" s="994">
        <v>0</v>
      </c>
      <c r="I454" s="1020">
        <f t="shared" si="20"/>
        <v>-6907839</v>
      </c>
      <c r="J454" s="994">
        <v>84280828.989999995</v>
      </c>
      <c r="K454" s="1022" t="s">
        <v>2777</v>
      </c>
      <c r="L454" s="1005" t="s">
        <v>702</v>
      </c>
      <c r="N454" s="15" t="s">
        <v>3917</v>
      </c>
    </row>
    <row r="455" spans="1:14" ht="15" hidden="1">
      <c r="A455" s="236">
        <f t="shared" si="21"/>
        <v>454</v>
      </c>
      <c r="C455" s="984">
        <v>45880</v>
      </c>
      <c r="G455" s="994">
        <v>6907839</v>
      </c>
      <c r="H455" s="994">
        <v>0</v>
      </c>
      <c r="I455" s="1020">
        <f t="shared" si="20"/>
        <v>-6907839</v>
      </c>
      <c r="J455" s="994">
        <v>77372989.989999995</v>
      </c>
      <c r="K455" s="1022" t="s">
        <v>2778</v>
      </c>
      <c r="L455" s="1005" t="s">
        <v>702</v>
      </c>
      <c r="N455" s="15" t="s">
        <v>3917</v>
      </c>
    </row>
    <row r="456" spans="1:14" ht="15" hidden="1">
      <c r="A456" s="236">
        <f t="shared" si="21"/>
        <v>455</v>
      </c>
      <c r="C456" s="984">
        <v>45880</v>
      </c>
      <c r="G456" s="994">
        <v>317500</v>
      </c>
      <c r="H456" s="994">
        <v>0</v>
      </c>
      <c r="I456" s="1020">
        <f t="shared" si="20"/>
        <v>-317500</v>
      </c>
      <c r="J456" s="994">
        <v>77055489.989999995</v>
      </c>
      <c r="K456" s="1022" t="s">
        <v>2779</v>
      </c>
      <c r="L456" s="1005" t="s">
        <v>702</v>
      </c>
      <c r="N456" s="15" t="s">
        <v>3917</v>
      </c>
    </row>
    <row r="457" spans="1:14" ht="15" hidden="1">
      <c r="A457" s="236">
        <f t="shared" si="21"/>
        <v>456</v>
      </c>
      <c r="C457" s="984">
        <v>45880</v>
      </c>
      <c r="G457" s="994">
        <v>4034356</v>
      </c>
      <c r="H457" s="994">
        <v>0</v>
      </c>
      <c r="I457" s="1020">
        <f t="shared" si="20"/>
        <v>-4034356</v>
      </c>
      <c r="J457" s="994">
        <v>73021133.989999995</v>
      </c>
      <c r="K457" s="1022" t="s">
        <v>2780</v>
      </c>
      <c r="L457" s="1005" t="s">
        <v>702</v>
      </c>
      <c r="N457" s="15" t="s">
        <v>3917</v>
      </c>
    </row>
    <row r="458" spans="1:14" ht="15" hidden="1">
      <c r="A458" s="236">
        <f t="shared" si="21"/>
        <v>457</v>
      </c>
      <c r="C458" s="984">
        <v>45880</v>
      </c>
      <c r="G458" s="994">
        <v>1180</v>
      </c>
      <c r="H458" s="994">
        <v>0</v>
      </c>
      <c r="I458" s="1020">
        <f t="shared" si="20"/>
        <v>-1180</v>
      </c>
      <c r="J458" s="994">
        <v>73019953.989999995</v>
      </c>
      <c r="K458" s="1022" t="s">
        <v>2781</v>
      </c>
      <c r="L458" s="1005" t="s">
        <v>3726</v>
      </c>
      <c r="N458" s="15" t="s">
        <v>3917</v>
      </c>
    </row>
    <row r="459" spans="1:14" ht="15" hidden="1">
      <c r="A459" s="236">
        <f t="shared" si="21"/>
        <v>458</v>
      </c>
      <c r="C459" s="984">
        <v>45880</v>
      </c>
      <c r="G459" s="994">
        <v>590</v>
      </c>
      <c r="H459" s="994">
        <v>0</v>
      </c>
      <c r="I459" s="1020">
        <f t="shared" si="20"/>
        <v>-590</v>
      </c>
      <c r="J459" s="994">
        <v>73019363.989999995</v>
      </c>
      <c r="K459" s="1022" t="s">
        <v>2782</v>
      </c>
      <c r="L459" s="1005" t="s">
        <v>542</v>
      </c>
      <c r="N459" s="15" t="s">
        <v>3917</v>
      </c>
    </row>
    <row r="460" spans="1:14" ht="15" hidden="1">
      <c r="A460" s="236">
        <f t="shared" si="21"/>
        <v>459</v>
      </c>
      <c r="C460" s="984">
        <v>45880</v>
      </c>
      <c r="G460" s="994">
        <v>14116482</v>
      </c>
      <c r="H460" s="994">
        <v>0</v>
      </c>
      <c r="I460" s="1020">
        <f t="shared" si="20"/>
        <v>-14116482</v>
      </c>
      <c r="J460" s="994">
        <v>58902881.990000002</v>
      </c>
      <c r="K460" s="1022" t="s">
        <v>2783</v>
      </c>
      <c r="L460" s="1005" t="s">
        <v>984</v>
      </c>
      <c r="N460" s="15" t="s">
        <v>3917</v>
      </c>
    </row>
    <row r="461" spans="1:14" ht="15" hidden="1">
      <c r="A461" s="236">
        <f t="shared" si="21"/>
        <v>460</v>
      </c>
      <c r="C461" s="984">
        <v>45880</v>
      </c>
      <c r="G461" s="994">
        <v>0</v>
      </c>
      <c r="H461" s="994">
        <v>37500000</v>
      </c>
      <c r="I461" s="1020">
        <f t="shared" si="20"/>
        <v>37500000</v>
      </c>
      <c r="J461" s="994">
        <v>96402881.989999995</v>
      </c>
      <c r="K461" s="1022" t="s">
        <v>2784</v>
      </c>
      <c r="L461" s="1196" t="s">
        <v>3723</v>
      </c>
      <c r="N461" s="15" t="s">
        <v>3917</v>
      </c>
    </row>
    <row r="462" spans="1:14" ht="15" hidden="1">
      <c r="A462" s="236">
        <f t="shared" si="21"/>
        <v>461</v>
      </c>
      <c r="C462" s="984">
        <v>45880</v>
      </c>
      <c r="G462" s="994">
        <v>150000000</v>
      </c>
      <c r="H462" s="994">
        <v>0</v>
      </c>
      <c r="I462" s="1020">
        <f t="shared" si="20"/>
        <v>-150000000</v>
      </c>
      <c r="J462" s="994">
        <v>-53597118.009999998</v>
      </c>
      <c r="K462" s="1022" t="s">
        <v>2785</v>
      </c>
      <c r="L462" s="1005" t="s">
        <v>3718</v>
      </c>
      <c r="N462" s="15" t="s">
        <v>3917</v>
      </c>
    </row>
    <row r="463" spans="1:14" ht="15" hidden="1">
      <c r="A463" s="236">
        <f t="shared" si="21"/>
        <v>462</v>
      </c>
      <c r="C463" s="984">
        <v>45880</v>
      </c>
      <c r="G463" s="994">
        <v>35000000</v>
      </c>
      <c r="H463" s="994">
        <v>0</v>
      </c>
      <c r="I463" s="1020">
        <f t="shared" si="20"/>
        <v>-35000000</v>
      </c>
      <c r="J463" s="994">
        <v>-88597118.010000005</v>
      </c>
      <c r="K463" s="1022" t="s">
        <v>2786</v>
      </c>
      <c r="L463" s="1005" t="s">
        <v>3718</v>
      </c>
      <c r="N463" s="15" t="s">
        <v>3917</v>
      </c>
    </row>
    <row r="464" spans="1:14" ht="15" hidden="1">
      <c r="A464" s="236">
        <f t="shared" si="21"/>
        <v>463</v>
      </c>
      <c r="C464" s="984">
        <v>45881</v>
      </c>
      <c r="G464" s="1003">
        <v>0</v>
      </c>
      <c r="H464" s="1004">
        <v>9900000</v>
      </c>
      <c r="I464" s="1020">
        <f t="shared" si="20"/>
        <v>9900000</v>
      </c>
      <c r="J464" s="1004">
        <v>-78697118.010000005</v>
      </c>
      <c r="K464" s="1022" t="s">
        <v>2787</v>
      </c>
      <c r="L464" s="1196" t="s">
        <v>3723</v>
      </c>
      <c r="N464" s="15" t="s">
        <v>3917</v>
      </c>
    </row>
    <row r="465" spans="1:14" ht="15" hidden="1">
      <c r="A465" s="236">
        <f t="shared" si="21"/>
        <v>464</v>
      </c>
      <c r="C465" s="984">
        <v>45881</v>
      </c>
      <c r="G465" s="1003">
        <v>0</v>
      </c>
      <c r="H465" s="1004">
        <v>9900000</v>
      </c>
      <c r="I465" s="1020">
        <f t="shared" si="20"/>
        <v>9900000</v>
      </c>
      <c r="J465" s="1004">
        <v>-68797118.010000005</v>
      </c>
      <c r="K465" s="1022" t="s">
        <v>2788</v>
      </c>
      <c r="L465" s="1196" t="s">
        <v>3723</v>
      </c>
      <c r="N465" s="15" t="s">
        <v>3917</v>
      </c>
    </row>
    <row r="466" spans="1:14" ht="15" hidden="1">
      <c r="A466" s="236">
        <f t="shared" si="21"/>
        <v>465</v>
      </c>
      <c r="C466" s="984">
        <v>45881</v>
      </c>
      <c r="G466" s="1003">
        <v>0</v>
      </c>
      <c r="H466" s="1004">
        <v>5000000</v>
      </c>
      <c r="I466" s="1020">
        <f t="shared" si="20"/>
        <v>5000000</v>
      </c>
      <c r="J466" s="1004">
        <v>-63797118.009999998</v>
      </c>
      <c r="K466" s="1022" t="s">
        <v>2789</v>
      </c>
      <c r="L466" s="1196" t="s">
        <v>3723</v>
      </c>
      <c r="N466" s="15" t="s">
        <v>3917</v>
      </c>
    </row>
    <row r="467" spans="1:14" ht="15" hidden="1">
      <c r="A467" s="236">
        <f t="shared" si="21"/>
        <v>466</v>
      </c>
      <c r="C467" s="984">
        <v>45881</v>
      </c>
      <c r="G467" s="1003">
        <v>0</v>
      </c>
      <c r="H467" s="1004">
        <v>500000</v>
      </c>
      <c r="I467" s="1020">
        <f t="shared" si="20"/>
        <v>500000</v>
      </c>
      <c r="J467" s="1004">
        <v>-63297118.009999998</v>
      </c>
      <c r="K467" s="1022" t="s">
        <v>2790</v>
      </c>
      <c r="L467" s="1196" t="s">
        <v>3723</v>
      </c>
      <c r="N467" s="15" t="s">
        <v>3917</v>
      </c>
    </row>
    <row r="468" spans="1:14" ht="15" hidden="1">
      <c r="A468" s="236">
        <f t="shared" si="21"/>
        <v>467</v>
      </c>
      <c r="C468" s="984">
        <v>45881</v>
      </c>
      <c r="G468" s="1003">
        <v>0</v>
      </c>
      <c r="H468" s="1004">
        <v>500000</v>
      </c>
      <c r="I468" s="1020">
        <f t="shared" si="20"/>
        <v>500000</v>
      </c>
      <c r="J468" s="1004">
        <v>-62797118.009999998</v>
      </c>
      <c r="K468" s="1022" t="s">
        <v>2791</v>
      </c>
      <c r="L468" s="1196" t="s">
        <v>3723</v>
      </c>
      <c r="N468" s="15" t="s">
        <v>3917</v>
      </c>
    </row>
    <row r="469" spans="1:14" ht="15" hidden="1">
      <c r="A469" s="236">
        <f t="shared" si="21"/>
        <v>468</v>
      </c>
      <c r="C469" s="984">
        <v>45881</v>
      </c>
      <c r="G469" s="1004">
        <v>32925.69</v>
      </c>
      <c r="H469" s="1003"/>
      <c r="I469" s="1020">
        <f t="shared" si="20"/>
        <v>-32925.69</v>
      </c>
      <c r="J469" s="1004">
        <v>-62830043.700000003</v>
      </c>
      <c r="K469" s="1022" t="s">
        <v>2792</v>
      </c>
      <c r="L469" s="1005" t="s">
        <v>702</v>
      </c>
      <c r="N469" s="15" t="s">
        <v>3917</v>
      </c>
    </row>
    <row r="470" spans="1:14" ht="15" hidden="1">
      <c r="A470" s="236">
        <f t="shared" si="21"/>
        <v>469</v>
      </c>
      <c r="C470" s="984">
        <v>45881</v>
      </c>
      <c r="G470" s="1004">
        <v>23636.44</v>
      </c>
      <c r="H470" s="1003"/>
      <c r="I470" s="1020">
        <f t="shared" si="20"/>
        <v>-23636.44</v>
      </c>
      <c r="J470" s="1004">
        <v>-62853680.140000001</v>
      </c>
      <c r="K470" s="1022" t="s">
        <v>2793</v>
      </c>
      <c r="L470" s="1005" t="s">
        <v>702</v>
      </c>
      <c r="N470" s="15" t="s">
        <v>3917</v>
      </c>
    </row>
    <row r="471" spans="1:14" ht="15" hidden="1">
      <c r="A471" s="236">
        <f t="shared" si="21"/>
        <v>470</v>
      </c>
      <c r="C471" s="984">
        <v>45881</v>
      </c>
      <c r="G471" s="1004">
        <v>68639.69</v>
      </c>
      <c r="H471" s="1003"/>
      <c r="I471" s="1020">
        <f t="shared" si="20"/>
        <v>-68639.69</v>
      </c>
      <c r="J471" s="1004">
        <v>-62922319.829999998</v>
      </c>
      <c r="K471" s="1022" t="s">
        <v>2794</v>
      </c>
      <c r="L471" s="1005" t="s">
        <v>702</v>
      </c>
      <c r="N471" s="15" t="s">
        <v>3917</v>
      </c>
    </row>
    <row r="472" spans="1:14" ht="15" hidden="1">
      <c r="A472" s="236">
        <f t="shared" si="21"/>
        <v>471</v>
      </c>
      <c r="C472" s="984">
        <v>45881</v>
      </c>
      <c r="G472" s="1004">
        <v>289844.84999999998</v>
      </c>
      <c r="H472" s="1003"/>
      <c r="I472" s="1020">
        <f t="shared" si="20"/>
        <v>-289844.84999999998</v>
      </c>
      <c r="J472" s="1004">
        <v>-63212164.68</v>
      </c>
      <c r="K472" s="1022" t="s">
        <v>2795</v>
      </c>
      <c r="L472" s="1005" t="s">
        <v>702</v>
      </c>
      <c r="N472" s="15" t="s">
        <v>3917</v>
      </c>
    </row>
    <row r="473" spans="1:14" ht="15" hidden="1">
      <c r="A473" s="236">
        <f t="shared" si="21"/>
        <v>472</v>
      </c>
      <c r="C473" s="984">
        <v>45881</v>
      </c>
      <c r="G473" s="1004">
        <v>286266.53999999998</v>
      </c>
      <c r="H473" s="1003"/>
      <c r="I473" s="1020">
        <f t="shared" si="20"/>
        <v>-286266.53999999998</v>
      </c>
      <c r="J473" s="1004">
        <v>-63498431.219999999</v>
      </c>
      <c r="K473" s="1022" t="s">
        <v>2796</v>
      </c>
      <c r="L473" s="1005" t="s">
        <v>702</v>
      </c>
      <c r="N473" s="15" t="s">
        <v>3917</v>
      </c>
    </row>
    <row r="474" spans="1:14" ht="15" hidden="1">
      <c r="A474" s="236">
        <f t="shared" si="21"/>
        <v>473</v>
      </c>
      <c r="C474" s="984">
        <v>45881</v>
      </c>
      <c r="G474" s="1004">
        <v>708192</v>
      </c>
      <c r="H474" s="1003"/>
      <c r="I474" s="1020">
        <f t="shared" si="20"/>
        <v>-708192</v>
      </c>
      <c r="J474" s="1004">
        <v>-64206623.219999999</v>
      </c>
      <c r="K474" s="1022" t="s">
        <v>2797</v>
      </c>
      <c r="L474" s="1005" t="s">
        <v>702</v>
      </c>
      <c r="N474" s="15" t="s">
        <v>3917</v>
      </c>
    </row>
    <row r="475" spans="1:14" ht="15" hidden="1">
      <c r="A475" s="236">
        <f t="shared" si="21"/>
        <v>474</v>
      </c>
      <c r="C475" s="984">
        <v>45881</v>
      </c>
      <c r="G475" s="1004">
        <v>417444.84</v>
      </c>
      <c r="H475" s="1003"/>
      <c r="I475" s="1020">
        <f t="shared" si="20"/>
        <v>-417444.84</v>
      </c>
      <c r="J475" s="1004">
        <v>-64624068.060000002</v>
      </c>
      <c r="K475" s="1022" t="s">
        <v>2798</v>
      </c>
      <c r="L475" s="1005" t="s">
        <v>702</v>
      </c>
      <c r="N475" s="15" t="s">
        <v>3917</v>
      </c>
    </row>
    <row r="476" spans="1:14" ht="15" hidden="1">
      <c r="A476" s="236">
        <f t="shared" si="21"/>
        <v>475</v>
      </c>
      <c r="C476" s="984">
        <v>45881</v>
      </c>
      <c r="G476" s="1004">
        <v>397652.26</v>
      </c>
      <c r="H476" s="1003"/>
      <c r="I476" s="1020">
        <f t="shared" si="20"/>
        <v>-397652.26</v>
      </c>
      <c r="J476" s="1004">
        <v>-65021720.32</v>
      </c>
      <c r="K476" s="1022" t="s">
        <v>2799</v>
      </c>
      <c r="L476" s="1005" t="s">
        <v>702</v>
      </c>
      <c r="N476" s="15" t="s">
        <v>3917</v>
      </c>
    </row>
    <row r="477" spans="1:14" ht="15" hidden="1">
      <c r="A477" s="236">
        <f t="shared" si="21"/>
        <v>476</v>
      </c>
      <c r="C477" s="984">
        <v>45881</v>
      </c>
      <c r="G477" s="1004">
        <v>486781.92</v>
      </c>
      <c r="H477" s="1003"/>
      <c r="I477" s="1020">
        <f t="shared" si="20"/>
        <v>-486781.92</v>
      </c>
      <c r="J477" s="1004">
        <v>-65508502.240000002</v>
      </c>
      <c r="K477" s="1022" t="s">
        <v>2800</v>
      </c>
      <c r="L477" s="1005" t="s">
        <v>702</v>
      </c>
      <c r="N477" s="15" t="s">
        <v>3917</v>
      </c>
    </row>
    <row r="478" spans="1:14" ht="15" hidden="1">
      <c r="A478" s="236">
        <f t="shared" si="21"/>
        <v>477</v>
      </c>
      <c r="C478" s="984">
        <v>45881</v>
      </c>
      <c r="G478" s="1004">
        <v>256263.8</v>
      </c>
      <c r="H478" s="1003"/>
      <c r="I478" s="1020">
        <f t="shared" si="20"/>
        <v>-256263.8</v>
      </c>
      <c r="J478" s="1004">
        <v>-65764766.039999999</v>
      </c>
      <c r="K478" s="1022" t="s">
        <v>2801</v>
      </c>
      <c r="L478" s="1005" t="s">
        <v>702</v>
      </c>
      <c r="N478" s="15" t="s">
        <v>3917</v>
      </c>
    </row>
    <row r="479" spans="1:14" ht="15" hidden="1">
      <c r="A479" s="236">
        <f t="shared" si="21"/>
        <v>478</v>
      </c>
      <c r="C479" s="984">
        <v>45881</v>
      </c>
      <c r="G479" s="1004">
        <v>254815.98</v>
      </c>
      <c r="H479" s="1003"/>
      <c r="I479" s="1020">
        <f t="shared" si="20"/>
        <v>-254815.98</v>
      </c>
      <c r="J479" s="1004">
        <v>-66019582.020000003</v>
      </c>
      <c r="K479" s="1022" t="s">
        <v>2802</v>
      </c>
      <c r="L479" s="1005" t="s">
        <v>702</v>
      </c>
      <c r="N479" s="15" t="s">
        <v>3917</v>
      </c>
    </row>
    <row r="480" spans="1:14" ht="15" hidden="1">
      <c r="A480" s="236">
        <f t="shared" si="21"/>
        <v>479</v>
      </c>
      <c r="C480" s="984">
        <v>45881</v>
      </c>
      <c r="G480" s="1004">
        <v>277619.15999999997</v>
      </c>
      <c r="H480" s="1003"/>
      <c r="I480" s="1020">
        <f t="shared" si="20"/>
        <v>-277619.15999999997</v>
      </c>
      <c r="J480" s="1004">
        <v>-66297201.18</v>
      </c>
      <c r="K480" s="1022" t="s">
        <v>2803</v>
      </c>
      <c r="L480" s="1005" t="s">
        <v>702</v>
      </c>
      <c r="N480" s="15" t="s">
        <v>3917</v>
      </c>
    </row>
    <row r="481" spans="1:14" ht="15" hidden="1">
      <c r="A481" s="236">
        <f t="shared" si="21"/>
        <v>480</v>
      </c>
      <c r="C481" s="984">
        <v>45881</v>
      </c>
      <c r="G481" s="1004">
        <v>349375.19</v>
      </c>
      <c r="H481" s="1003"/>
      <c r="I481" s="1020">
        <f t="shared" si="20"/>
        <v>-349375.19</v>
      </c>
      <c r="J481" s="1004">
        <v>-66646576.369999997</v>
      </c>
      <c r="K481" s="1022" t="s">
        <v>2804</v>
      </c>
      <c r="L481" s="1005" t="s">
        <v>702</v>
      </c>
      <c r="N481" s="15" t="s">
        <v>3917</v>
      </c>
    </row>
    <row r="482" spans="1:14" ht="15" hidden="1">
      <c r="A482" s="236">
        <f t="shared" si="21"/>
        <v>481</v>
      </c>
      <c r="C482" s="984">
        <v>45881</v>
      </c>
      <c r="G482" s="1004">
        <v>145573.04</v>
      </c>
      <c r="H482" s="1003"/>
      <c r="I482" s="1020">
        <f t="shared" si="20"/>
        <v>-145573.04</v>
      </c>
      <c r="J482" s="1004">
        <v>-66792149.409999996</v>
      </c>
      <c r="K482" s="1022" t="s">
        <v>2805</v>
      </c>
      <c r="L482" s="1005" t="s">
        <v>702</v>
      </c>
      <c r="N482" s="15" t="s">
        <v>3917</v>
      </c>
    </row>
    <row r="483" spans="1:14" ht="15" hidden="1">
      <c r="A483" s="236">
        <f t="shared" si="21"/>
        <v>482</v>
      </c>
      <c r="C483" s="984">
        <v>45881</v>
      </c>
      <c r="G483" s="1004">
        <v>230363.9</v>
      </c>
      <c r="H483" s="1003"/>
      <c r="I483" s="1020">
        <f t="shared" si="20"/>
        <v>-230363.9</v>
      </c>
      <c r="J483" s="1004">
        <v>-67022513.310000002</v>
      </c>
      <c r="K483" s="1022" t="s">
        <v>2806</v>
      </c>
      <c r="L483" s="1005" t="s">
        <v>702</v>
      </c>
      <c r="N483" s="15" t="s">
        <v>3917</v>
      </c>
    </row>
    <row r="484" spans="1:14" ht="15" hidden="1">
      <c r="A484" s="236">
        <f t="shared" si="21"/>
        <v>483</v>
      </c>
      <c r="C484" s="984">
        <v>45881</v>
      </c>
      <c r="G484" s="1004">
        <v>32000000</v>
      </c>
      <c r="H484" s="1003"/>
      <c r="I484" s="1020">
        <f t="shared" si="20"/>
        <v>-32000000</v>
      </c>
      <c r="J484" s="1004">
        <v>-99022513.310000002</v>
      </c>
      <c r="K484" s="1022" t="s">
        <v>2807</v>
      </c>
      <c r="L484" s="1005" t="s">
        <v>3718</v>
      </c>
      <c r="N484" s="15" t="s">
        <v>3917</v>
      </c>
    </row>
    <row r="485" spans="1:14" ht="15" hidden="1">
      <c r="A485" s="236">
        <f t="shared" si="21"/>
        <v>484</v>
      </c>
      <c r="C485" s="984">
        <v>45881</v>
      </c>
      <c r="G485" s="1003">
        <v>0</v>
      </c>
      <c r="H485" s="1004">
        <v>1800000</v>
      </c>
      <c r="I485" s="1020">
        <f t="shared" si="20"/>
        <v>1800000</v>
      </c>
      <c r="J485" s="1004">
        <v>-97222513.310000002</v>
      </c>
      <c r="K485" s="1022" t="s">
        <v>2808</v>
      </c>
      <c r="L485" s="1196" t="s">
        <v>3723</v>
      </c>
      <c r="N485" s="15" t="s">
        <v>3917</v>
      </c>
    </row>
    <row r="486" spans="1:14" ht="15" hidden="1">
      <c r="A486" s="236">
        <f t="shared" si="21"/>
        <v>485</v>
      </c>
      <c r="C486" s="985">
        <v>45882</v>
      </c>
      <c r="G486" s="993">
        <v>2000</v>
      </c>
      <c r="H486" s="1005"/>
      <c r="I486" s="1020">
        <f t="shared" si="20"/>
        <v>-2000</v>
      </c>
      <c r="J486" s="1006">
        <v>-97224513.310000002</v>
      </c>
      <c r="K486" s="1005" t="s">
        <v>2809</v>
      </c>
      <c r="L486" s="1005" t="s">
        <v>542</v>
      </c>
      <c r="N486" s="15" t="s">
        <v>3917</v>
      </c>
    </row>
    <row r="487" spans="1:14" ht="15" hidden="1">
      <c r="A487" s="236">
        <f t="shared" si="21"/>
        <v>486</v>
      </c>
      <c r="C487" s="985">
        <v>45882</v>
      </c>
      <c r="G487" s="993">
        <v>5661</v>
      </c>
      <c r="H487" s="1005"/>
      <c r="I487" s="1020">
        <f t="shared" si="20"/>
        <v>-5661</v>
      </c>
      <c r="J487" s="1006">
        <v>-97230174.310000002</v>
      </c>
      <c r="K487" s="1005" t="s">
        <v>2810</v>
      </c>
      <c r="L487" s="1005" t="s">
        <v>542</v>
      </c>
      <c r="N487" s="15" t="s">
        <v>3917</v>
      </c>
    </row>
    <row r="488" spans="1:14" ht="15" hidden="1">
      <c r="A488" s="236">
        <f t="shared" si="21"/>
        <v>487</v>
      </c>
      <c r="C488" s="985">
        <v>45882</v>
      </c>
      <c r="G488" s="993">
        <v>16000</v>
      </c>
      <c r="H488" s="1005"/>
      <c r="I488" s="1020">
        <f t="shared" si="20"/>
        <v>-16000</v>
      </c>
      <c r="J488" s="1006">
        <v>-97246174.310000002</v>
      </c>
      <c r="K488" s="1005" t="s">
        <v>2811</v>
      </c>
      <c r="L488" s="1005" t="s">
        <v>542</v>
      </c>
      <c r="N488" s="15" t="s">
        <v>3917</v>
      </c>
    </row>
    <row r="489" spans="1:14" ht="15" hidden="1">
      <c r="A489" s="236">
        <f t="shared" si="21"/>
        <v>488</v>
      </c>
      <c r="C489" s="985">
        <v>45882</v>
      </c>
      <c r="G489" s="993">
        <v>6660</v>
      </c>
      <c r="H489" s="1005"/>
      <c r="I489" s="1020">
        <f t="shared" si="20"/>
        <v>-6660</v>
      </c>
      <c r="J489" s="1006">
        <v>-97252834.310000002</v>
      </c>
      <c r="K489" s="1005" t="s">
        <v>2812</v>
      </c>
      <c r="L489" s="1005" t="s">
        <v>542</v>
      </c>
      <c r="N489" s="15" t="s">
        <v>3917</v>
      </c>
    </row>
    <row r="490" spans="1:14" ht="15" hidden="1">
      <c r="A490" s="236">
        <f t="shared" si="21"/>
        <v>489</v>
      </c>
      <c r="C490" s="985">
        <v>45882</v>
      </c>
      <c r="G490" s="993">
        <v>6993</v>
      </c>
      <c r="H490" s="1005"/>
      <c r="I490" s="1020">
        <f t="shared" si="20"/>
        <v>-6993</v>
      </c>
      <c r="J490" s="1006">
        <v>-97259827.310000002</v>
      </c>
      <c r="K490" s="1005" t="s">
        <v>2813</v>
      </c>
      <c r="L490" s="1005" t="s">
        <v>542</v>
      </c>
      <c r="N490" s="15" t="s">
        <v>3917</v>
      </c>
    </row>
    <row r="491" spans="1:14" ht="15" hidden="1">
      <c r="A491" s="236">
        <f t="shared" si="21"/>
        <v>490</v>
      </c>
      <c r="C491" s="985">
        <v>45882</v>
      </c>
      <c r="G491" s="993">
        <v>7992</v>
      </c>
      <c r="H491" s="1005"/>
      <c r="I491" s="1020">
        <f t="shared" si="20"/>
        <v>-7992</v>
      </c>
      <c r="J491" s="1006">
        <v>-97267819.310000002</v>
      </c>
      <c r="K491" s="1005" t="s">
        <v>2814</v>
      </c>
      <c r="L491" s="1005" t="s">
        <v>542</v>
      </c>
      <c r="N491" s="15" t="s">
        <v>3917</v>
      </c>
    </row>
    <row r="492" spans="1:14" ht="15" hidden="1">
      <c r="A492" s="236">
        <f t="shared" si="21"/>
        <v>491</v>
      </c>
      <c r="C492" s="985">
        <v>45882</v>
      </c>
      <c r="G492" s="993">
        <v>8325</v>
      </c>
      <c r="H492" s="1005"/>
      <c r="I492" s="1020">
        <f t="shared" si="20"/>
        <v>-8325</v>
      </c>
      <c r="J492" s="1006">
        <v>-97276144.310000002</v>
      </c>
      <c r="K492" s="1005" t="s">
        <v>2815</v>
      </c>
      <c r="L492" s="1005" t="s">
        <v>542</v>
      </c>
      <c r="N492" s="15" t="s">
        <v>3917</v>
      </c>
    </row>
    <row r="493" spans="1:14" ht="15">
      <c r="A493" s="236">
        <f t="shared" si="21"/>
        <v>492</v>
      </c>
      <c r="C493" s="985">
        <v>45882</v>
      </c>
      <c r="G493" s="993">
        <v>48827</v>
      </c>
      <c r="H493" s="1005"/>
      <c r="I493" s="1020">
        <f t="shared" si="20"/>
        <v>-48827</v>
      </c>
      <c r="J493" s="1006">
        <v>-97324971.310000002</v>
      </c>
      <c r="K493" s="1005" t="s">
        <v>2816</v>
      </c>
      <c r="L493" s="1005" t="s">
        <v>3724</v>
      </c>
      <c r="N493" s="15" t="s">
        <v>3917</v>
      </c>
    </row>
    <row r="494" spans="1:14" ht="15" hidden="1">
      <c r="A494" s="236">
        <f t="shared" si="21"/>
        <v>493</v>
      </c>
      <c r="C494" s="985">
        <v>45882</v>
      </c>
      <c r="G494" s="993">
        <v>9000</v>
      </c>
      <c r="H494" s="1005"/>
      <c r="I494" s="1020">
        <f t="shared" si="20"/>
        <v>-9000</v>
      </c>
      <c r="J494" s="1006">
        <v>-97333971.310000002</v>
      </c>
      <c r="K494" s="1005" t="s">
        <v>2817</v>
      </c>
      <c r="L494" s="1005" t="s">
        <v>542</v>
      </c>
      <c r="N494" s="15" t="s">
        <v>3917</v>
      </c>
    </row>
    <row r="495" spans="1:14" ht="15" hidden="1">
      <c r="A495" s="236">
        <f t="shared" si="21"/>
        <v>494</v>
      </c>
      <c r="C495" s="985">
        <v>45882</v>
      </c>
      <c r="G495" s="993">
        <v>182655</v>
      </c>
      <c r="H495" s="1005"/>
      <c r="I495" s="1020">
        <f t="shared" si="20"/>
        <v>-182655</v>
      </c>
      <c r="J495" s="1006">
        <v>-97516626.310000002</v>
      </c>
      <c r="K495" s="1005" t="s">
        <v>2818</v>
      </c>
      <c r="L495" s="1005" t="s">
        <v>3719</v>
      </c>
      <c r="N495" s="15" t="s">
        <v>3917</v>
      </c>
    </row>
    <row r="496" spans="1:14" ht="15" hidden="1">
      <c r="A496" s="236">
        <f t="shared" si="21"/>
        <v>495</v>
      </c>
      <c r="C496" s="985">
        <v>45882</v>
      </c>
      <c r="G496" s="993">
        <v>7600</v>
      </c>
      <c r="H496" s="1005"/>
      <c r="I496" s="1020">
        <f t="shared" si="20"/>
        <v>-7600</v>
      </c>
      <c r="J496" s="1006">
        <v>-97524226.310000002</v>
      </c>
      <c r="K496" s="1005" t="s">
        <v>2819</v>
      </c>
      <c r="L496" s="1005" t="s">
        <v>542</v>
      </c>
      <c r="N496" s="15" t="s">
        <v>3917</v>
      </c>
    </row>
    <row r="497" spans="1:14" ht="15" hidden="1">
      <c r="A497" s="236">
        <f t="shared" si="21"/>
        <v>496</v>
      </c>
      <c r="C497" s="985">
        <v>45882</v>
      </c>
      <c r="G497" s="993">
        <v>6993</v>
      </c>
      <c r="H497" s="1005"/>
      <c r="I497" s="1020">
        <f t="shared" si="20"/>
        <v>-6993</v>
      </c>
      <c r="J497" s="1006">
        <v>-97531219.310000002</v>
      </c>
      <c r="K497" s="1005" t="s">
        <v>2820</v>
      </c>
      <c r="L497" s="1005" t="s">
        <v>542</v>
      </c>
      <c r="N497" s="15" t="s">
        <v>3917</v>
      </c>
    </row>
    <row r="498" spans="1:14" ht="15" hidden="1">
      <c r="A498" s="236">
        <f t="shared" si="21"/>
        <v>497</v>
      </c>
      <c r="C498" s="985">
        <v>45882</v>
      </c>
      <c r="G498" s="993">
        <v>7659</v>
      </c>
      <c r="H498" s="1005"/>
      <c r="I498" s="1020">
        <f t="shared" si="20"/>
        <v>-7659</v>
      </c>
      <c r="J498" s="1006">
        <v>-97538878.310000002</v>
      </c>
      <c r="K498" s="1005" t="s">
        <v>2821</v>
      </c>
      <c r="L498" s="1005" t="s">
        <v>542</v>
      </c>
      <c r="N498" s="15" t="s">
        <v>3917</v>
      </c>
    </row>
    <row r="499" spans="1:14" ht="15" hidden="1">
      <c r="A499" s="236">
        <f t="shared" si="21"/>
        <v>498</v>
      </c>
      <c r="C499" s="985">
        <v>45882</v>
      </c>
      <c r="G499" s="993">
        <v>6660</v>
      </c>
      <c r="H499" s="1005"/>
      <c r="I499" s="1020">
        <f t="shared" si="20"/>
        <v>-6660</v>
      </c>
      <c r="J499" s="1006">
        <v>-97545538.310000002</v>
      </c>
      <c r="K499" s="1005" t="s">
        <v>2822</v>
      </c>
      <c r="L499" s="1005" t="s">
        <v>542</v>
      </c>
      <c r="N499" s="15" t="s">
        <v>3917</v>
      </c>
    </row>
    <row r="500" spans="1:14" ht="15" hidden="1">
      <c r="A500" s="236">
        <f t="shared" si="21"/>
        <v>499</v>
      </c>
      <c r="C500" s="985">
        <v>45882</v>
      </c>
      <c r="G500" s="993">
        <v>7659</v>
      </c>
      <c r="H500" s="1005"/>
      <c r="I500" s="1020">
        <f t="shared" si="20"/>
        <v>-7659</v>
      </c>
      <c r="J500" s="1006">
        <v>-97553197.310000002</v>
      </c>
      <c r="K500" s="1005" t="s">
        <v>2823</v>
      </c>
      <c r="L500" s="1005" t="s">
        <v>542</v>
      </c>
      <c r="N500" s="15" t="s">
        <v>3917</v>
      </c>
    </row>
    <row r="501" spans="1:14" ht="15" hidden="1">
      <c r="A501" s="236">
        <f t="shared" si="21"/>
        <v>500</v>
      </c>
      <c r="C501" s="985">
        <v>45882</v>
      </c>
      <c r="G501" s="993">
        <v>6993</v>
      </c>
      <c r="H501" s="1005"/>
      <c r="I501" s="1020">
        <f t="shared" si="20"/>
        <v>-6993</v>
      </c>
      <c r="J501" s="1006">
        <v>-97560190.310000002</v>
      </c>
      <c r="K501" s="1005" t="s">
        <v>2824</v>
      </c>
      <c r="L501" s="1005" t="s">
        <v>542</v>
      </c>
      <c r="N501" s="15" t="s">
        <v>3917</v>
      </c>
    </row>
    <row r="502" spans="1:14" ht="15" hidden="1">
      <c r="A502" s="236">
        <f t="shared" si="21"/>
        <v>501</v>
      </c>
      <c r="C502" s="985">
        <v>45882</v>
      </c>
      <c r="G502" s="993">
        <v>6993</v>
      </c>
      <c r="H502" s="1005"/>
      <c r="I502" s="1020">
        <f t="shared" si="20"/>
        <v>-6993</v>
      </c>
      <c r="J502" s="1006">
        <v>-97567183.310000002</v>
      </c>
      <c r="K502" s="1005" t="s">
        <v>2825</v>
      </c>
      <c r="L502" s="1005" t="s">
        <v>542</v>
      </c>
      <c r="N502" s="15" t="s">
        <v>3917</v>
      </c>
    </row>
    <row r="503" spans="1:14" ht="15" hidden="1">
      <c r="A503" s="236">
        <f t="shared" si="21"/>
        <v>502</v>
      </c>
      <c r="C503" s="985">
        <v>45882</v>
      </c>
      <c r="G503" s="993">
        <v>6993</v>
      </c>
      <c r="H503" s="1005"/>
      <c r="I503" s="1020">
        <f t="shared" si="20"/>
        <v>-6993</v>
      </c>
      <c r="J503" s="1006">
        <v>-97574176.310000002</v>
      </c>
      <c r="K503" s="1005" t="s">
        <v>2826</v>
      </c>
      <c r="L503" s="1005" t="s">
        <v>542</v>
      </c>
      <c r="N503" s="15" t="s">
        <v>3917</v>
      </c>
    </row>
    <row r="504" spans="1:14" ht="15" hidden="1">
      <c r="A504" s="236">
        <f t="shared" si="21"/>
        <v>503</v>
      </c>
      <c r="C504" s="985">
        <v>45882</v>
      </c>
      <c r="G504" s="993">
        <v>6993</v>
      </c>
      <c r="H504" s="1005"/>
      <c r="I504" s="1020">
        <f t="shared" si="20"/>
        <v>-6993</v>
      </c>
      <c r="J504" s="1006">
        <v>-97581169.310000002</v>
      </c>
      <c r="K504" s="1005" t="s">
        <v>2827</v>
      </c>
      <c r="L504" s="1005" t="s">
        <v>542</v>
      </c>
      <c r="N504" s="15" t="s">
        <v>3917</v>
      </c>
    </row>
    <row r="505" spans="1:14" ht="15" hidden="1">
      <c r="A505" s="236">
        <f t="shared" si="21"/>
        <v>504</v>
      </c>
      <c r="C505" s="985">
        <v>45882</v>
      </c>
      <c r="G505" s="993">
        <v>7992</v>
      </c>
      <c r="H505" s="1005"/>
      <c r="I505" s="1020">
        <f t="shared" si="20"/>
        <v>-7992</v>
      </c>
      <c r="J505" s="1006">
        <v>-97589161.310000002</v>
      </c>
      <c r="K505" s="1005" t="s">
        <v>2828</v>
      </c>
      <c r="L505" s="1005" t="s">
        <v>542</v>
      </c>
      <c r="N505" s="15" t="s">
        <v>3917</v>
      </c>
    </row>
    <row r="506" spans="1:14" ht="15" hidden="1">
      <c r="A506" s="236">
        <f t="shared" si="21"/>
        <v>505</v>
      </c>
      <c r="C506" s="985">
        <v>45882</v>
      </c>
      <c r="G506" s="993">
        <v>7659</v>
      </c>
      <c r="H506" s="1005"/>
      <c r="I506" s="1020">
        <f t="shared" si="20"/>
        <v>-7659</v>
      </c>
      <c r="J506" s="1006">
        <v>-97596820.310000002</v>
      </c>
      <c r="K506" s="1005" t="s">
        <v>2829</v>
      </c>
      <c r="L506" s="1005" t="s">
        <v>542</v>
      </c>
      <c r="N506" s="15" t="s">
        <v>3917</v>
      </c>
    </row>
    <row r="507" spans="1:14" ht="15" hidden="1">
      <c r="A507" s="236">
        <f t="shared" si="21"/>
        <v>506</v>
      </c>
      <c r="C507" s="985">
        <v>45882</v>
      </c>
      <c r="G507" s="993">
        <v>7326</v>
      </c>
      <c r="H507" s="1005"/>
      <c r="I507" s="1020">
        <f t="shared" si="20"/>
        <v>-7326</v>
      </c>
      <c r="J507" s="1006">
        <v>-97604146.310000002</v>
      </c>
      <c r="K507" s="1005" t="s">
        <v>2830</v>
      </c>
      <c r="L507" s="1005" t="s">
        <v>542</v>
      </c>
      <c r="N507" s="15" t="s">
        <v>3917</v>
      </c>
    </row>
    <row r="508" spans="1:14" ht="15" hidden="1">
      <c r="A508" s="236">
        <f t="shared" si="21"/>
        <v>507</v>
      </c>
      <c r="C508" s="985">
        <v>45882</v>
      </c>
      <c r="G508" s="993">
        <v>6660</v>
      </c>
      <c r="H508" s="1005"/>
      <c r="I508" s="1020">
        <f t="shared" si="20"/>
        <v>-6660</v>
      </c>
      <c r="J508" s="1006">
        <v>-97610806.310000002</v>
      </c>
      <c r="K508" s="1005" t="s">
        <v>2831</v>
      </c>
      <c r="L508" s="1005" t="s">
        <v>542</v>
      </c>
      <c r="N508" s="15" t="s">
        <v>3917</v>
      </c>
    </row>
    <row r="509" spans="1:14" ht="15" hidden="1">
      <c r="A509" s="236">
        <f t="shared" si="21"/>
        <v>508</v>
      </c>
      <c r="C509" s="985">
        <v>45882</v>
      </c>
      <c r="G509" s="993">
        <v>7992</v>
      </c>
      <c r="H509" s="1005"/>
      <c r="I509" s="1020">
        <f t="shared" si="20"/>
        <v>-7992</v>
      </c>
      <c r="J509" s="1006">
        <v>-97618798.310000002</v>
      </c>
      <c r="K509" s="1005" t="s">
        <v>2832</v>
      </c>
      <c r="L509" s="1005" t="s">
        <v>542</v>
      </c>
      <c r="N509" s="15" t="s">
        <v>3917</v>
      </c>
    </row>
    <row r="510" spans="1:14" ht="15" hidden="1">
      <c r="A510" s="236">
        <f t="shared" si="21"/>
        <v>509</v>
      </c>
      <c r="C510" s="985">
        <v>45882</v>
      </c>
      <c r="G510" s="993">
        <v>4662</v>
      </c>
      <c r="H510" s="1005"/>
      <c r="I510" s="1020">
        <f t="shared" si="20"/>
        <v>-4662</v>
      </c>
      <c r="J510" s="1006">
        <v>-97623460.310000002</v>
      </c>
      <c r="K510" s="1005" t="s">
        <v>2833</v>
      </c>
      <c r="L510" s="1005" t="s">
        <v>542</v>
      </c>
      <c r="N510" s="15" t="s">
        <v>3917</v>
      </c>
    </row>
    <row r="511" spans="1:14" ht="15" hidden="1">
      <c r="A511" s="236">
        <f t="shared" si="21"/>
        <v>510</v>
      </c>
      <c r="C511" s="985">
        <v>45882</v>
      </c>
      <c r="G511" s="993">
        <v>7326</v>
      </c>
      <c r="H511" s="1005"/>
      <c r="I511" s="1020">
        <f t="shared" si="20"/>
        <v>-7326</v>
      </c>
      <c r="J511" s="1006">
        <v>-97630786.310000002</v>
      </c>
      <c r="K511" s="1005" t="s">
        <v>2834</v>
      </c>
      <c r="L511" s="1005" t="s">
        <v>542</v>
      </c>
      <c r="N511" s="15" t="s">
        <v>3917</v>
      </c>
    </row>
    <row r="512" spans="1:14" ht="15" hidden="1">
      <c r="A512" s="236">
        <f t="shared" si="21"/>
        <v>511</v>
      </c>
      <c r="C512" s="985">
        <v>45882</v>
      </c>
      <c r="G512" s="993">
        <v>6327</v>
      </c>
      <c r="H512" s="1005"/>
      <c r="I512" s="1020">
        <f t="shared" si="20"/>
        <v>-6327</v>
      </c>
      <c r="J512" s="1006">
        <v>-97637113.310000002</v>
      </c>
      <c r="K512" s="1005" t="s">
        <v>2835</v>
      </c>
      <c r="L512" s="1005" t="s">
        <v>542</v>
      </c>
      <c r="N512" s="15" t="s">
        <v>3917</v>
      </c>
    </row>
    <row r="513" spans="1:14" ht="15" hidden="1">
      <c r="A513" s="236">
        <f t="shared" si="21"/>
        <v>512</v>
      </c>
      <c r="C513" s="985">
        <v>45882</v>
      </c>
      <c r="G513" s="993">
        <v>6993</v>
      </c>
      <c r="H513" s="1005"/>
      <c r="I513" s="1020">
        <f t="shared" si="20"/>
        <v>-6993</v>
      </c>
      <c r="J513" s="1006">
        <v>-97644106.310000002</v>
      </c>
      <c r="K513" s="1005" t="s">
        <v>2836</v>
      </c>
      <c r="L513" s="1005" t="s">
        <v>542</v>
      </c>
      <c r="N513" s="15" t="s">
        <v>3917</v>
      </c>
    </row>
    <row r="514" spans="1:14" ht="15">
      <c r="A514" s="236">
        <f t="shared" si="21"/>
        <v>513</v>
      </c>
      <c r="C514" s="985">
        <v>45882</v>
      </c>
      <c r="G514" s="993">
        <v>29720</v>
      </c>
      <c r="H514" s="1005"/>
      <c r="I514" s="1020">
        <f t="shared" si="20"/>
        <v>-29720</v>
      </c>
      <c r="J514" s="1006">
        <v>-97673826.310000002</v>
      </c>
      <c r="K514" s="1005" t="s">
        <v>2837</v>
      </c>
      <c r="L514" s="1005" t="s">
        <v>3724</v>
      </c>
      <c r="N514" s="15" t="s">
        <v>3917</v>
      </c>
    </row>
    <row r="515" spans="1:14" ht="15">
      <c r="A515" s="236">
        <f t="shared" si="21"/>
        <v>514</v>
      </c>
      <c r="C515" s="985">
        <v>45882</v>
      </c>
      <c r="G515" s="993">
        <v>52876</v>
      </c>
      <c r="H515" s="1005"/>
      <c r="I515" s="1020">
        <f t="shared" si="20"/>
        <v>-52876</v>
      </c>
      <c r="J515" s="1006">
        <v>-97726702.310000002</v>
      </c>
      <c r="K515" s="1005" t="s">
        <v>2838</v>
      </c>
      <c r="L515" s="1005" t="s">
        <v>3724</v>
      </c>
      <c r="N515" s="15" t="s">
        <v>3917</v>
      </c>
    </row>
    <row r="516" spans="1:14" ht="15" hidden="1">
      <c r="A516" s="236">
        <f t="shared" si="21"/>
        <v>515</v>
      </c>
      <c r="C516" s="985">
        <v>45882</v>
      </c>
      <c r="G516" s="993">
        <v>147609</v>
      </c>
      <c r="H516" s="1005"/>
      <c r="I516" s="1020">
        <f t="shared" ref="I516:I579" si="22">H516-G516</f>
        <v>-147609</v>
      </c>
      <c r="J516" s="1006">
        <v>-97874311.310000002</v>
      </c>
      <c r="K516" s="1005" t="s">
        <v>2839</v>
      </c>
      <c r="L516" s="1005" t="s">
        <v>3719</v>
      </c>
      <c r="N516" s="15" t="s">
        <v>3917</v>
      </c>
    </row>
    <row r="517" spans="1:14" ht="15" hidden="1">
      <c r="A517" s="236">
        <f t="shared" ref="A517:A580" si="23">A516+1</f>
        <v>516</v>
      </c>
      <c r="C517" s="985">
        <v>45882</v>
      </c>
      <c r="G517" s="993">
        <v>50000</v>
      </c>
      <c r="H517" s="1005"/>
      <c r="I517" s="1020">
        <f t="shared" si="22"/>
        <v>-50000</v>
      </c>
      <c r="J517" s="1006">
        <v>-97924311.310000002</v>
      </c>
      <c r="K517" s="1005" t="s">
        <v>2840</v>
      </c>
      <c r="L517" s="1005" t="s">
        <v>3719</v>
      </c>
      <c r="N517" s="15" t="s">
        <v>3917</v>
      </c>
    </row>
    <row r="518" spans="1:14" ht="15" hidden="1">
      <c r="A518" s="236">
        <f t="shared" si="23"/>
        <v>517</v>
      </c>
      <c r="C518" s="985">
        <v>45882</v>
      </c>
      <c r="G518" s="993">
        <v>9000</v>
      </c>
      <c r="H518" s="1005"/>
      <c r="I518" s="1020">
        <f t="shared" si="22"/>
        <v>-9000</v>
      </c>
      <c r="J518" s="1006">
        <v>-97933311.310000002</v>
      </c>
      <c r="K518" s="1005" t="s">
        <v>2841</v>
      </c>
      <c r="L518" s="1005" t="s">
        <v>542</v>
      </c>
      <c r="N518" s="15" t="s">
        <v>3917</v>
      </c>
    </row>
    <row r="519" spans="1:14" ht="15" hidden="1">
      <c r="A519" s="236">
        <f t="shared" si="23"/>
        <v>518</v>
      </c>
      <c r="C519" s="985">
        <v>45882</v>
      </c>
      <c r="G519" s="1007">
        <v>7000</v>
      </c>
      <c r="H519" s="1005"/>
      <c r="I519" s="1020">
        <f t="shared" si="22"/>
        <v>-7000</v>
      </c>
      <c r="J519" s="1006">
        <v>-97940311.310000002</v>
      </c>
      <c r="K519" s="1005" t="s">
        <v>2842</v>
      </c>
      <c r="L519" s="1005" t="s">
        <v>542</v>
      </c>
      <c r="N519" s="15" t="s">
        <v>3917</v>
      </c>
    </row>
    <row r="520" spans="1:14" ht="15" hidden="1">
      <c r="A520" s="236">
        <f t="shared" si="23"/>
        <v>519</v>
      </c>
      <c r="C520" s="985">
        <v>45882</v>
      </c>
      <c r="G520" s="1007">
        <v>141624.6</v>
      </c>
      <c r="H520" s="1005"/>
      <c r="I520" s="1020">
        <f t="shared" si="22"/>
        <v>-141624.6</v>
      </c>
      <c r="J520" s="1006">
        <v>-98081935.909999996</v>
      </c>
      <c r="K520" s="1005" t="s">
        <v>2843</v>
      </c>
      <c r="L520" s="1005" t="s">
        <v>702</v>
      </c>
      <c r="N520" s="15" t="s">
        <v>3917</v>
      </c>
    </row>
    <row r="521" spans="1:14" ht="15" hidden="1">
      <c r="A521" s="236">
        <f t="shared" si="23"/>
        <v>520</v>
      </c>
      <c r="C521" s="985">
        <v>45882</v>
      </c>
      <c r="G521" s="1007">
        <v>1180</v>
      </c>
      <c r="H521" s="1005"/>
      <c r="I521" s="1020">
        <f t="shared" si="22"/>
        <v>-1180</v>
      </c>
      <c r="J521" s="1006">
        <v>-98083115.909999996</v>
      </c>
      <c r="K521" s="1005" t="s">
        <v>2844</v>
      </c>
      <c r="L521" s="1005" t="s">
        <v>3719</v>
      </c>
      <c r="N521" s="15" t="s">
        <v>3917</v>
      </c>
    </row>
    <row r="522" spans="1:14" ht="15" hidden="1">
      <c r="A522" s="236">
        <f t="shared" si="23"/>
        <v>521</v>
      </c>
      <c r="C522" s="985">
        <v>45882</v>
      </c>
      <c r="G522" s="1008">
        <v>0</v>
      </c>
      <c r="H522" s="1009">
        <v>1549589.84</v>
      </c>
      <c r="I522" s="1020">
        <f t="shared" si="22"/>
        <v>1549589.84</v>
      </c>
      <c r="J522" s="1006">
        <v>-96533526.069999993</v>
      </c>
      <c r="K522" s="1005" t="s">
        <v>2845</v>
      </c>
      <c r="L522" s="1005" t="s">
        <v>3721</v>
      </c>
      <c r="N522" s="15" t="s">
        <v>3917</v>
      </c>
    </row>
    <row r="523" spans="1:14" ht="15" hidden="1">
      <c r="A523" s="236">
        <f t="shared" si="23"/>
        <v>522</v>
      </c>
      <c r="C523" s="985">
        <v>45882</v>
      </c>
      <c r="G523" s="1008"/>
      <c r="H523" s="1009">
        <v>10000000</v>
      </c>
      <c r="I523" s="1020">
        <f t="shared" si="22"/>
        <v>10000000</v>
      </c>
      <c r="J523" s="1006">
        <v>-86533526.069999993</v>
      </c>
      <c r="K523" s="1005" t="s">
        <v>2846</v>
      </c>
      <c r="L523" s="1005" t="s">
        <v>3718</v>
      </c>
      <c r="N523" s="15" t="s">
        <v>3917</v>
      </c>
    </row>
    <row r="524" spans="1:14" ht="15" hidden="1">
      <c r="A524" s="236">
        <f t="shared" si="23"/>
        <v>523</v>
      </c>
      <c r="C524" s="986">
        <v>45883</v>
      </c>
      <c r="G524" s="998">
        <v>52617.91</v>
      </c>
      <c r="H524" s="998"/>
      <c r="I524" s="1020">
        <f t="shared" si="22"/>
        <v>-52617.91</v>
      </c>
      <c r="J524" s="998">
        <v>-86586143.980000004</v>
      </c>
      <c r="K524" s="1026" t="s">
        <v>2847</v>
      </c>
      <c r="L524" s="1005" t="s">
        <v>702</v>
      </c>
      <c r="N524" s="15" t="s">
        <v>3917</v>
      </c>
    </row>
    <row r="525" spans="1:14" ht="15" hidden="1">
      <c r="A525" s="236">
        <f t="shared" si="23"/>
        <v>524</v>
      </c>
      <c r="C525" s="986">
        <v>45883</v>
      </c>
      <c r="G525" s="998">
        <v>35061.79</v>
      </c>
      <c r="H525" s="998"/>
      <c r="I525" s="1020">
        <f t="shared" si="22"/>
        <v>-35061.79</v>
      </c>
      <c r="J525" s="998">
        <v>-86621205.769999996</v>
      </c>
      <c r="K525" s="1026" t="s">
        <v>2848</v>
      </c>
      <c r="L525" s="1005" t="s">
        <v>702</v>
      </c>
      <c r="N525" s="15" t="s">
        <v>3917</v>
      </c>
    </row>
    <row r="526" spans="1:14" ht="15" hidden="1">
      <c r="A526" s="236">
        <f t="shared" si="23"/>
        <v>525</v>
      </c>
      <c r="C526" s="986">
        <v>45883</v>
      </c>
      <c r="G526" s="998">
        <v>4934.09</v>
      </c>
      <c r="H526" s="998"/>
      <c r="I526" s="1020">
        <f t="shared" si="22"/>
        <v>-4934.09</v>
      </c>
      <c r="J526" s="998">
        <v>-86626139.859999999</v>
      </c>
      <c r="K526" s="1026" t="s">
        <v>2849</v>
      </c>
      <c r="L526" s="1005" t="s">
        <v>702</v>
      </c>
      <c r="N526" s="15" t="s">
        <v>3917</v>
      </c>
    </row>
    <row r="527" spans="1:14" ht="15" hidden="1">
      <c r="A527" s="236">
        <f t="shared" si="23"/>
        <v>526</v>
      </c>
      <c r="C527" s="986">
        <v>45883</v>
      </c>
      <c r="G527" s="998">
        <v>2843.21</v>
      </c>
      <c r="H527" s="998"/>
      <c r="I527" s="1020">
        <f t="shared" si="22"/>
        <v>-2843.21</v>
      </c>
      <c r="J527" s="998">
        <v>-86628983.069999993</v>
      </c>
      <c r="K527" s="1026" t="s">
        <v>2850</v>
      </c>
      <c r="L527" s="1005" t="s">
        <v>702</v>
      </c>
      <c r="N527" s="15" t="s">
        <v>3917</v>
      </c>
    </row>
    <row r="528" spans="1:14" ht="15" hidden="1">
      <c r="A528" s="236">
        <f t="shared" si="23"/>
        <v>527</v>
      </c>
      <c r="C528" s="986">
        <v>45883</v>
      </c>
      <c r="G528" s="998">
        <v>10525.37</v>
      </c>
      <c r="H528" s="998"/>
      <c r="I528" s="1020">
        <f t="shared" si="22"/>
        <v>-10525.37</v>
      </c>
      <c r="J528" s="998">
        <v>-86639508.439999998</v>
      </c>
      <c r="K528" s="1026" t="s">
        <v>2851</v>
      </c>
      <c r="L528" s="1005" t="s">
        <v>702</v>
      </c>
      <c r="N528" s="15" t="s">
        <v>3917</v>
      </c>
    </row>
    <row r="529" spans="1:14" ht="15" hidden="1">
      <c r="A529" s="236">
        <f t="shared" si="23"/>
        <v>528</v>
      </c>
      <c r="C529" s="986">
        <v>45883</v>
      </c>
      <c r="G529" s="998">
        <v>6440.99</v>
      </c>
      <c r="H529" s="998"/>
      <c r="I529" s="1020">
        <f t="shared" si="22"/>
        <v>-6440.99</v>
      </c>
      <c r="J529" s="998">
        <v>-86645949.430000007</v>
      </c>
      <c r="K529" s="1026" t="s">
        <v>2852</v>
      </c>
      <c r="L529" s="1005" t="s">
        <v>702</v>
      </c>
      <c r="N529" s="15" t="s">
        <v>3917</v>
      </c>
    </row>
    <row r="530" spans="1:14" ht="15" hidden="1">
      <c r="A530" s="236">
        <f t="shared" si="23"/>
        <v>529</v>
      </c>
      <c r="C530" s="986">
        <v>45883</v>
      </c>
      <c r="G530" s="998">
        <v>5390.23</v>
      </c>
      <c r="H530" s="998"/>
      <c r="I530" s="1020">
        <f t="shared" si="22"/>
        <v>-5390.23</v>
      </c>
      <c r="J530" s="998">
        <v>-86651339.659999996</v>
      </c>
      <c r="K530" s="1026" t="s">
        <v>2853</v>
      </c>
      <c r="L530" s="1005" t="s">
        <v>702</v>
      </c>
      <c r="N530" s="15" t="s">
        <v>3917</v>
      </c>
    </row>
    <row r="531" spans="1:14" ht="15" hidden="1">
      <c r="A531" s="236">
        <f t="shared" si="23"/>
        <v>530</v>
      </c>
      <c r="C531" s="986">
        <v>45883</v>
      </c>
      <c r="G531" s="998">
        <v>12259.21</v>
      </c>
      <c r="H531" s="998"/>
      <c r="I531" s="1020">
        <f t="shared" si="22"/>
        <v>-12259.21</v>
      </c>
      <c r="J531" s="998">
        <v>-86663598.870000005</v>
      </c>
      <c r="K531" s="1026" t="s">
        <v>2854</v>
      </c>
      <c r="L531" s="1005" t="s">
        <v>702</v>
      </c>
      <c r="N531" s="15" t="s">
        <v>3917</v>
      </c>
    </row>
    <row r="532" spans="1:14" ht="15" hidden="1">
      <c r="A532" s="236">
        <f t="shared" si="23"/>
        <v>531</v>
      </c>
      <c r="C532" s="986">
        <v>45883</v>
      </c>
      <c r="G532" s="998">
        <v>6504.52</v>
      </c>
      <c r="H532" s="998"/>
      <c r="I532" s="1020">
        <f t="shared" si="22"/>
        <v>-6504.52</v>
      </c>
      <c r="J532" s="998">
        <v>-86670103.390000001</v>
      </c>
      <c r="K532" s="1026" t="s">
        <v>2855</v>
      </c>
      <c r="L532" s="1005" t="s">
        <v>702</v>
      </c>
      <c r="N532" s="15" t="s">
        <v>3917</v>
      </c>
    </row>
    <row r="533" spans="1:14" ht="15" hidden="1">
      <c r="A533" s="236">
        <f t="shared" si="23"/>
        <v>532</v>
      </c>
      <c r="C533" s="986">
        <v>45883</v>
      </c>
      <c r="G533" s="998">
        <v>13236.75</v>
      </c>
      <c r="H533" s="998"/>
      <c r="I533" s="1020">
        <f t="shared" si="22"/>
        <v>-13236.75</v>
      </c>
      <c r="J533" s="998">
        <v>-86683340.140000001</v>
      </c>
      <c r="K533" s="1026" t="s">
        <v>2856</v>
      </c>
      <c r="L533" s="1005" t="s">
        <v>702</v>
      </c>
      <c r="N533" s="15" t="s">
        <v>3917</v>
      </c>
    </row>
    <row r="534" spans="1:14" ht="15" hidden="1">
      <c r="A534" s="236">
        <f t="shared" si="23"/>
        <v>533</v>
      </c>
      <c r="C534" s="986">
        <v>45883</v>
      </c>
      <c r="G534" s="998">
        <v>8012.9</v>
      </c>
      <c r="H534" s="998"/>
      <c r="I534" s="1020">
        <f t="shared" si="22"/>
        <v>-8012.9</v>
      </c>
      <c r="J534" s="998">
        <v>-86691353.040000007</v>
      </c>
      <c r="K534" s="1026" t="s">
        <v>2857</v>
      </c>
      <c r="L534" s="1005" t="s">
        <v>702</v>
      </c>
      <c r="N534" s="15" t="s">
        <v>3917</v>
      </c>
    </row>
    <row r="535" spans="1:14" ht="15" hidden="1">
      <c r="A535" s="236">
        <f t="shared" si="23"/>
        <v>534</v>
      </c>
      <c r="C535" s="986">
        <v>45883</v>
      </c>
      <c r="G535" s="998">
        <v>40116.160000000003</v>
      </c>
      <c r="H535" s="998"/>
      <c r="I535" s="1020">
        <f t="shared" si="22"/>
        <v>-40116.160000000003</v>
      </c>
      <c r="J535" s="998">
        <v>-86731469.200000003</v>
      </c>
      <c r="K535" s="1026" t="s">
        <v>2858</v>
      </c>
      <c r="L535" s="1005" t="s">
        <v>702</v>
      </c>
      <c r="N535" s="15" t="s">
        <v>3917</v>
      </c>
    </row>
    <row r="536" spans="1:14" ht="15" hidden="1">
      <c r="A536" s="236">
        <f t="shared" si="23"/>
        <v>535</v>
      </c>
      <c r="C536" s="986">
        <v>45883</v>
      </c>
      <c r="G536" s="998">
        <v>134413.89000000001</v>
      </c>
      <c r="H536" s="998"/>
      <c r="I536" s="1020">
        <f t="shared" si="22"/>
        <v>-134413.89000000001</v>
      </c>
      <c r="J536" s="998">
        <v>-86865883.090000004</v>
      </c>
      <c r="K536" s="1026" t="s">
        <v>2859</v>
      </c>
      <c r="L536" s="1005" t="s">
        <v>702</v>
      </c>
      <c r="N536" s="15" t="s">
        <v>3917</v>
      </c>
    </row>
    <row r="537" spans="1:14" ht="15" hidden="1">
      <c r="A537" s="236">
        <f t="shared" si="23"/>
        <v>536</v>
      </c>
      <c r="C537" s="986">
        <v>45883</v>
      </c>
      <c r="G537" s="998">
        <v>48291.39</v>
      </c>
      <c r="H537" s="998"/>
      <c r="I537" s="1020">
        <f t="shared" si="22"/>
        <v>-48291.39</v>
      </c>
      <c r="J537" s="998">
        <v>-86914174.480000004</v>
      </c>
      <c r="K537" s="1026" t="s">
        <v>2860</v>
      </c>
      <c r="L537" s="1005" t="s">
        <v>702</v>
      </c>
      <c r="N537" s="15" t="s">
        <v>3917</v>
      </c>
    </row>
    <row r="538" spans="1:14" ht="15" hidden="1">
      <c r="A538" s="236">
        <f t="shared" si="23"/>
        <v>537</v>
      </c>
      <c r="C538" s="986">
        <v>45883</v>
      </c>
      <c r="G538" s="998">
        <v>12562.68</v>
      </c>
      <c r="H538" s="998"/>
      <c r="I538" s="1020">
        <f t="shared" si="22"/>
        <v>-12562.68</v>
      </c>
      <c r="J538" s="998">
        <v>-86926737.159999996</v>
      </c>
      <c r="K538" s="1026" t="s">
        <v>2861</v>
      </c>
      <c r="L538" s="1005" t="s">
        <v>702</v>
      </c>
      <c r="N538" s="15" t="s">
        <v>3917</v>
      </c>
    </row>
    <row r="539" spans="1:14" ht="15" hidden="1">
      <c r="A539" s="236">
        <f t="shared" si="23"/>
        <v>538</v>
      </c>
      <c r="C539" s="986">
        <v>45883</v>
      </c>
      <c r="G539" s="998">
        <v>14192.2</v>
      </c>
      <c r="H539" s="998"/>
      <c r="I539" s="1020">
        <f t="shared" si="22"/>
        <v>-14192.2</v>
      </c>
      <c r="J539" s="998">
        <v>-86940929.359999999</v>
      </c>
      <c r="K539" s="1026" t="s">
        <v>2862</v>
      </c>
      <c r="L539" s="1005" t="s">
        <v>702</v>
      </c>
      <c r="N539" s="15" t="s">
        <v>3917</v>
      </c>
    </row>
    <row r="540" spans="1:14" ht="15" hidden="1">
      <c r="A540" s="236">
        <f t="shared" si="23"/>
        <v>539</v>
      </c>
      <c r="C540" s="986">
        <v>45883</v>
      </c>
      <c r="G540" s="998">
        <v>3207.3</v>
      </c>
      <c r="H540" s="998"/>
      <c r="I540" s="1020">
        <f t="shared" si="22"/>
        <v>-3207.3</v>
      </c>
      <c r="J540" s="998">
        <v>-86944136.659999996</v>
      </c>
      <c r="K540" s="1026" t="s">
        <v>2863</v>
      </c>
      <c r="L540" s="1005" t="s">
        <v>702</v>
      </c>
      <c r="N540" s="15" t="s">
        <v>3917</v>
      </c>
    </row>
    <row r="541" spans="1:14" ht="15" hidden="1">
      <c r="A541" s="236">
        <f t="shared" si="23"/>
        <v>540</v>
      </c>
      <c r="C541" s="986">
        <v>45883</v>
      </c>
      <c r="G541" s="998">
        <v>40595.78</v>
      </c>
      <c r="H541" s="998"/>
      <c r="I541" s="1020">
        <f t="shared" si="22"/>
        <v>-40595.78</v>
      </c>
      <c r="J541" s="998">
        <v>-86984732.439999998</v>
      </c>
      <c r="K541" s="1026" t="s">
        <v>2864</v>
      </c>
      <c r="L541" s="1005" t="s">
        <v>702</v>
      </c>
      <c r="N541" s="15" t="s">
        <v>3917</v>
      </c>
    </row>
    <row r="542" spans="1:14" ht="15" hidden="1">
      <c r="A542" s="236">
        <f t="shared" si="23"/>
        <v>541</v>
      </c>
      <c r="C542" s="986">
        <v>45883</v>
      </c>
      <c r="G542" s="998">
        <v>8459.33</v>
      </c>
      <c r="H542" s="998"/>
      <c r="I542" s="1020">
        <f t="shared" si="22"/>
        <v>-8459.33</v>
      </c>
      <c r="J542" s="998">
        <v>-86993191.769999996</v>
      </c>
      <c r="K542" s="1026" t="s">
        <v>2865</v>
      </c>
      <c r="L542" s="1005" t="s">
        <v>702</v>
      </c>
      <c r="N542" s="15" t="s">
        <v>3917</v>
      </c>
    </row>
    <row r="543" spans="1:14" ht="15" hidden="1">
      <c r="A543" s="236">
        <f t="shared" si="23"/>
        <v>542</v>
      </c>
      <c r="C543" s="986">
        <v>45883</v>
      </c>
      <c r="G543" s="998">
        <v>64189.89</v>
      </c>
      <c r="H543" s="998"/>
      <c r="I543" s="1020">
        <f t="shared" si="22"/>
        <v>-64189.89</v>
      </c>
      <c r="J543" s="998">
        <v>-87057381.659999996</v>
      </c>
      <c r="K543" s="1026" t="s">
        <v>2866</v>
      </c>
      <c r="L543" s="1005" t="s">
        <v>702</v>
      </c>
      <c r="N543" s="15" t="s">
        <v>3917</v>
      </c>
    </row>
    <row r="544" spans="1:14" ht="15" hidden="1">
      <c r="A544" s="236">
        <f t="shared" si="23"/>
        <v>543</v>
      </c>
      <c r="C544" s="986">
        <v>45883</v>
      </c>
      <c r="G544" s="998">
        <v>0</v>
      </c>
      <c r="H544" s="998">
        <v>500000</v>
      </c>
      <c r="I544" s="1020">
        <f t="shared" si="22"/>
        <v>500000</v>
      </c>
      <c r="J544" s="998">
        <v>-86557381.659999996</v>
      </c>
      <c r="K544" s="1026" t="s">
        <v>2867</v>
      </c>
      <c r="L544" s="1196" t="s">
        <v>3723</v>
      </c>
      <c r="N544" s="15" t="s">
        <v>3917</v>
      </c>
    </row>
    <row r="545" spans="1:14" ht="15" hidden="1">
      <c r="A545" s="236">
        <f t="shared" si="23"/>
        <v>544</v>
      </c>
      <c r="C545" s="986">
        <v>45883</v>
      </c>
      <c r="G545" s="998">
        <v>0</v>
      </c>
      <c r="H545" s="998">
        <v>2100000</v>
      </c>
      <c r="I545" s="1020">
        <f t="shared" si="22"/>
        <v>2100000</v>
      </c>
      <c r="J545" s="998">
        <v>-84457381.659999996</v>
      </c>
      <c r="K545" s="1026" t="s">
        <v>2868</v>
      </c>
      <c r="L545" s="1196" t="s">
        <v>3723</v>
      </c>
      <c r="N545" s="15" t="s">
        <v>3917</v>
      </c>
    </row>
    <row r="546" spans="1:14" ht="15" hidden="1">
      <c r="A546" s="236">
        <f t="shared" si="23"/>
        <v>545</v>
      </c>
      <c r="C546" s="986">
        <v>45883</v>
      </c>
      <c r="G546" s="998">
        <v>0</v>
      </c>
      <c r="H546" s="998">
        <v>200000</v>
      </c>
      <c r="I546" s="1020">
        <f t="shared" si="22"/>
        <v>200000</v>
      </c>
      <c r="J546" s="998">
        <v>-84257381.659999996</v>
      </c>
      <c r="K546" s="1026" t="s">
        <v>2869</v>
      </c>
      <c r="L546" s="1196" t="s">
        <v>3723</v>
      </c>
      <c r="N546" s="15" t="s">
        <v>3917</v>
      </c>
    </row>
    <row r="547" spans="1:14" ht="15" hidden="1">
      <c r="A547" s="236">
        <f t="shared" si="23"/>
        <v>546</v>
      </c>
      <c r="C547" s="986">
        <v>45883</v>
      </c>
      <c r="G547" s="998">
        <v>0</v>
      </c>
      <c r="H547" s="998">
        <v>101628.49</v>
      </c>
      <c r="I547" s="1020">
        <f t="shared" si="22"/>
        <v>101628.49</v>
      </c>
      <c r="J547" s="998">
        <v>-84155753.170000002</v>
      </c>
      <c r="K547" s="1026" t="s">
        <v>2870</v>
      </c>
      <c r="L547" s="1005" t="s">
        <v>3721</v>
      </c>
      <c r="N547" s="15" t="s">
        <v>3917</v>
      </c>
    </row>
    <row r="548" spans="1:14" ht="15" hidden="1">
      <c r="A548" s="236">
        <f t="shared" si="23"/>
        <v>547</v>
      </c>
      <c r="C548" s="986">
        <v>45883</v>
      </c>
      <c r="G548" s="998">
        <v>0</v>
      </c>
      <c r="H548" s="998">
        <v>177297.68</v>
      </c>
      <c r="I548" s="1020">
        <f t="shared" si="22"/>
        <v>177297.68</v>
      </c>
      <c r="J548" s="998">
        <v>-83978455.489999995</v>
      </c>
      <c r="K548" s="1026" t="s">
        <v>2870</v>
      </c>
      <c r="L548" s="1005" t="s">
        <v>3721</v>
      </c>
      <c r="N548" s="15" t="s">
        <v>3917</v>
      </c>
    </row>
    <row r="549" spans="1:14" ht="15" hidden="1">
      <c r="A549" s="236">
        <f t="shared" si="23"/>
        <v>548</v>
      </c>
      <c r="C549" s="986">
        <v>45883</v>
      </c>
      <c r="G549" s="998">
        <v>0</v>
      </c>
      <c r="H549" s="1002">
        <v>1786766</v>
      </c>
      <c r="I549" s="1020">
        <f t="shared" si="22"/>
        <v>1786766</v>
      </c>
      <c r="J549" s="998">
        <v>-82191689.489999995</v>
      </c>
      <c r="K549" s="1026" t="s">
        <v>2871</v>
      </c>
      <c r="L549" s="1196" t="s">
        <v>3723</v>
      </c>
      <c r="N549" s="15" t="s">
        <v>3917</v>
      </c>
    </row>
    <row r="550" spans="1:14" ht="15" hidden="1">
      <c r="A550" s="236">
        <f t="shared" si="23"/>
        <v>549</v>
      </c>
      <c r="C550" s="986">
        <v>45883</v>
      </c>
      <c r="G550" s="998">
        <v>0</v>
      </c>
      <c r="H550" s="998">
        <v>16000000</v>
      </c>
      <c r="I550" s="1020">
        <f t="shared" si="22"/>
        <v>16000000</v>
      </c>
      <c r="J550" s="998">
        <v>-66191689.490000002</v>
      </c>
      <c r="K550" s="1026" t="s">
        <v>2872</v>
      </c>
      <c r="L550" s="1196" t="s">
        <v>3723</v>
      </c>
      <c r="N550" s="15" t="s">
        <v>3917</v>
      </c>
    </row>
    <row r="551" spans="1:14" ht="15" hidden="1">
      <c r="A551" s="236">
        <f t="shared" si="23"/>
        <v>550</v>
      </c>
      <c r="C551" s="986">
        <v>45883</v>
      </c>
      <c r="G551" s="998"/>
      <c r="H551" s="998">
        <v>20000000</v>
      </c>
      <c r="I551" s="1020">
        <f t="shared" si="22"/>
        <v>20000000</v>
      </c>
      <c r="J551" s="998">
        <v>-46191689.490000002</v>
      </c>
      <c r="K551" s="1026" t="s">
        <v>2873</v>
      </c>
      <c r="L551" s="1005" t="s">
        <v>3718</v>
      </c>
      <c r="N551" s="15" t="s">
        <v>3917</v>
      </c>
    </row>
    <row r="552" spans="1:14" ht="15" hidden="1">
      <c r="A552" s="236">
        <f t="shared" si="23"/>
        <v>551</v>
      </c>
      <c r="C552" s="986">
        <f>C551+1</f>
        <v>45884</v>
      </c>
      <c r="G552" s="998">
        <v>0</v>
      </c>
      <c r="H552" s="998"/>
      <c r="I552" s="1020">
        <f t="shared" si="22"/>
        <v>0</v>
      </c>
      <c r="J552" s="998">
        <v>-46191689.490000002</v>
      </c>
      <c r="K552" s="1026">
        <v>0</v>
      </c>
      <c r="L552" s="1005" t="s">
        <v>3718</v>
      </c>
      <c r="N552" s="15" t="s">
        <v>3917</v>
      </c>
    </row>
    <row r="553" spans="1:14" ht="15" hidden="1">
      <c r="A553" s="236">
        <f t="shared" si="23"/>
        <v>552</v>
      </c>
      <c r="C553" s="986">
        <v>45885</v>
      </c>
      <c r="G553" s="998">
        <v>474796.71</v>
      </c>
      <c r="H553" s="998"/>
      <c r="I553" s="1020">
        <f t="shared" si="22"/>
        <v>-474796.71</v>
      </c>
      <c r="J553" s="998">
        <v>-46666486.200000003</v>
      </c>
      <c r="K553" s="1026" t="s">
        <v>2874</v>
      </c>
      <c r="L553" s="1005" t="s">
        <v>702</v>
      </c>
      <c r="N553" s="15" t="s">
        <v>3917</v>
      </c>
    </row>
    <row r="554" spans="1:14" ht="15" hidden="1">
      <c r="A554" s="236">
        <f t="shared" si="23"/>
        <v>553</v>
      </c>
      <c r="C554" s="986">
        <v>45885</v>
      </c>
      <c r="G554" s="998">
        <v>474796.71</v>
      </c>
      <c r="H554" s="998"/>
      <c r="I554" s="1020">
        <f t="shared" si="22"/>
        <v>-474796.71</v>
      </c>
      <c r="J554" s="998">
        <v>-47141282.909999996</v>
      </c>
      <c r="K554" s="1026" t="s">
        <v>2875</v>
      </c>
      <c r="L554" s="1005" t="s">
        <v>702</v>
      </c>
      <c r="N554" s="15" t="s">
        <v>3917</v>
      </c>
    </row>
    <row r="555" spans="1:14" ht="15" hidden="1">
      <c r="A555" s="236">
        <f t="shared" si="23"/>
        <v>554</v>
      </c>
      <c r="C555" s="986">
        <v>45885</v>
      </c>
      <c r="G555" s="998">
        <v>368551.63</v>
      </c>
      <c r="H555" s="998"/>
      <c r="I555" s="1020">
        <f t="shared" si="22"/>
        <v>-368551.63</v>
      </c>
      <c r="J555" s="998">
        <v>-47509834.539999999</v>
      </c>
      <c r="K555" s="1026" t="s">
        <v>2876</v>
      </c>
      <c r="L555" s="1005" t="s">
        <v>702</v>
      </c>
      <c r="N555" s="15" t="s">
        <v>3917</v>
      </c>
    </row>
    <row r="556" spans="1:14" ht="15" hidden="1">
      <c r="A556" s="236">
        <f t="shared" si="23"/>
        <v>555</v>
      </c>
      <c r="C556" s="986">
        <v>45885</v>
      </c>
      <c r="G556" s="998">
        <v>368551.63</v>
      </c>
      <c r="H556" s="998"/>
      <c r="I556" s="1020">
        <f t="shared" si="22"/>
        <v>-368551.63</v>
      </c>
      <c r="J556" s="998">
        <v>-47878386.170000002</v>
      </c>
      <c r="K556" s="1026" t="s">
        <v>2877</v>
      </c>
      <c r="L556" s="1005" t="s">
        <v>702</v>
      </c>
      <c r="N556" s="15" t="s">
        <v>3917</v>
      </c>
    </row>
    <row r="557" spans="1:14" ht="15" hidden="1">
      <c r="A557" s="236">
        <f t="shared" si="23"/>
        <v>556</v>
      </c>
      <c r="C557" s="986">
        <v>45885</v>
      </c>
      <c r="G557" s="998">
        <v>368551.63</v>
      </c>
      <c r="H557" s="998"/>
      <c r="I557" s="1020">
        <f t="shared" si="22"/>
        <v>-368551.63</v>
      </c>
      <c r="J557" s="998">
        <v>-48246937.799999997</v>
      </c>
      <c r="K557" s="1026" t="s">
        <v>2878</v>
      </c>
      <c r="L557" s="1005" t="s">
        <v>702</v>
      </c>
      <c r="N557" s="15" t="s">
        <v>3917</v>
      </c>
    </row>
    <row r="558" spans="1:14" ht="15" hidden="1">
      <c r="A558" s="236">
        <f t="shared" si="23"/>
        <v>557</v>
      </c>
      <c r="C558" s="986">
        <v>45885</v>
      </c>
      <c r="G558" s="998">
        <v>9733824</v>
      </c>
      <c r="H558" s="998"/>
      <c r="I558" s="1020">
        <f t="shared" si="22"/>
        <v>-9733824</v>
      </c>
      <c r="J558" s="998">
        <v>-57980761.799999997</v>
      </c>
      <c r="K558" s="1026" t="s">
        <v>2879</v>
      </c>
      <c r="L558" s="1005" t="s">
        <v>702</v>
      </c>
      <c r="N558" s="15" t="s">
        <v>3917</v>
      </c>
    </row>
    <row r="559" spans="1:14" ht="15" hidden="1">
      <c r="A559" s="236">
        <f t="shared" si="23"/>
        <v>558</v>
      </c>
      <c r="C559" s="986">
        <v>45885</v>
      </c>
      <c r="G559" s="998">
        <v>1508412</v>
      </c>
      <c r="H559" s="998"/>
      <c r="I559" s="1020">
        <f t="shared" si="22"/>
        <v>-1508412</v>
      </c>
      <c r="J559" s="998">
        <v>-59489173.799999997</v>
      </c>
      <c r="K559" s="1026" t="s">
        <v>2880</v>
      </c>
      <c r="L559" s="1005" t="s">
        <v>702</v>
      </c>
      <c r="N559" s="15" t="s">
        <v>3917</v>
      </c>
    </row>
    <row r="560" spans="1:14" ht="15" hidden="1">
      <c r="A560" s="236">
        <f t="shared" si="23"/>
        <v>559</v>
      </c>
      <c r="C560" s="986">
        <v>45885</v>
      </c>
      <c r="G560" s="998">
        <v>55950</v>
      </c>
      <c r="H560" s="998"/>
      <c r="I560" s="1020">
        <f t="shared" si="22"/>
        <v>-55950</v>
      </c>
      <c r="J560" s="998">
        <v>-59545123.799999997</v>
      </c>
      <c r="K560" s="1026" t="s">
        <v>2881</v>
      </c>
      <c r="L560" s="1005" t="s">
        <v>702</v>
      </c>
      <c r="N560" s="15" t="s">
        <v>3917</v>
      </c>
    </row>
    <row r="561" spans="1:14" ht="15" hidden="1">
      <c r="A561" s="236">
        <f t="shared" si="23"/>
        <v>560</v>
      </c>
      <c r="C561" s="986">
        <v>45885</v>
      </c>
      <c r="G561" s="998">
        <v>7721100</v>
      </c>
      <c r="H561" s="998"/>
      <c r="I561" s="1020">
        <f t="shared" si="22"/>
        <v>-7721100</v>
      </c>
      <c r="J561" s="998">
        <v>-67266223.799999997</v>
      </c>
      <c r="K561" s="1026" t="s">
        <v>2882</v>
      </c>
      <c r="L561" s="1005" t="s">
        <v>702</v>
      </c>
      <c r="N561" s="15" t="s">
        <v>3917</v>
      </c>
    </row>
    <row r="562" spans="1:14" ht="15" hidden="1">
      <c r="A562" s="236">
        <f t="shared" si="23"/>
        <v>561</v>
      </c>
      <c r="C562" s="986">
        <v>45885</v>
      </c>
      <c r="G562" s="998">
        <v>2094768</v>
      </c>
      <c r="H562" s="998"/>
      <c r="I562" s="1020">
        <f t="shared" si="22"/>
        <v>-2094768</v>
      </c>
      <c r="J562" s="998">
        <v>-69360991.799999997</v>
      </c>
      <c r="K562" s="1026" t="s">
        <v>2883</v>
      </c>
      <c r="L562" s="1005" t="s">
        <v>702</v>
      </c>
      <c r="N562" s="15" t="s">
        <v>3917</v>
      </c>
    </row>
    <row r="563" spans="1:14" ht="15" hidden="1">
      <c r="A563" s="236">
        <f t="shared" si="23"/>
        <v>562</v>
      </c>
      <c r="C563" s="986">
        <v>45885</v>
      </c>
      <c r="G563" s="998">
        <v>7721100</v>
      </c>
      <c r="H563" s="998"/>
      <c r="I563" s="1020">
        <f t="shared" si="22"/>
        <v>-7721100</v>
      </c>
      <c r="J563" s="998">
        <v>-77082091.799999997</v>
      </c>
      <c r="K563" s="1026" t="s">
        <v>2884</v>
      </c>
      <c r="L563" s="1005" t="s">
        <v>702</v>
      </c>
      <c r="N563" s="15" t="s">
        <v>3917</v>
      </c>
    </row>
    <row r="564" spans="1:14" ht="15" hidden="1">
      <c r="A564" s="236">
        <f t="shared" si="23"/>
        <v>563</v>
      </c>
      <c r="C564" s="986">
        <v>45885</v>
      </c>
      <c r="G564" s="998">
        <v>474796.71</v>
      </c>
      <c r="H564" s="998"/>
      <c r="I564" s="1020">
        <f t="shared" si="22"/>
        <v>-474796.71</v>
      </c>
      <c r="J564" s="998">
        <v>-77556888.510000005</v>
      </c>
      <c r="K564" s="1026" t="s">
        <v>2885</v>
      </c>
      <c r="L564" s="1005" t="s">
        <v>702</v>
      </c>
      <c r="N564" s="15" t="s">
        <v>3917</v>
      </c>
    </row>
    <row r="565" spans="1:14" ht="15" hidden="1">
      <c r="A565" s="236">
        <f t="shared" si="23"/>
        <v>564</v>
      </c>
      <c r="C565" s="986">
        <v>45885</v>
      </c>
      <c r="G565" s="998">
        <v>27996.1</v>
      </c>
      <c r="H565" s="998"/>
      <c r="I565" s="1020">
        <f t="shared" si="22"/>
        <v>-27996.1</v>
      </c>
      <c r="J565" s="998">
        <v>-77584884.609999999</v>
      </c>
      <c r="K565" s="1026" t="s">
        <v>2886</v>
      </c>
      <c r="L565" s="1005" t="s">
        <v>702</v>
      </c>
      <c r="N565" s="15" t="s">
        <v>3917</v>
      </c>
    </row>
    <row r="566" spans="1:14" ht="15" hidden="1">
      <c r="A566" s="236">
        <f t="shared" si="23"/>
        <v>565</v>
      </c>
      <c r="C566" s="986">
        <v>45885</v>
      </c>
      <c r="G566" s="998">
        <v>1033956</v>
      </c>
      <c r="H566" s="998"/>
      <c r="I566" s="1020">
        <f t="shared" si="22"/>
        <v>-1033956</v>
      </c>
      <c r="J566" s="998">
        <v>-78618840.609999999</v>
      </c>
      <c r="K566" s="1026" t="s">
        <v>2887</v>
      </c>
      <c r="L566" s="1005" t="s">
        <v>702</v>
      </c>
      <c r="N566" s="15" t="s">
        <v>3917</v>
      </c>
    </row>
    <row r="567" spans="1:14" ht="15" hidden="1">
      <c r="A567" s="236">
        <f t="shared" si="23"/>
        <v>566</v>
      </c>
      <c r="C567" s="986">
        <v>45885</v>
      </c>
      <c r="G567" s="998">
        <v>1348998</v>
      </c>
      <c r="H567" s="998"/>
      <c r="I567" s="1020">
        <f t="shared" si="22"/>
        <v>-1348998</v>
      </c>
      <c r="J567" s="998">
        <v>-79967838.609999999</v>
      </c>
      <c r="K567" s="1026" t="s">
        <v>2888</v>
      </c>
      <c r="L567" s="1005" t="s">
        <v>702</v>
      </c>
      <c r="N567" s="15" t="s">
        <v>3917</v>
      </c>
    </row>
    <row r="568" spans="1:14" ht="15" hidden="1">
      <c r="A568" s="236">
        <f t="shared" si="23"/>
        <v>567</v>
      </c>
      <c r="C568" s="986">
        <v>45885</v>
      </c>
      <c r="G568" s="998"/>
      <c r="H568" s="1002">
        <v>350000000</v>
      </c>
      <c r="I568" s="1020">
        <f t="shared" si="22"/>
        <v>350000000</v>
      </c>
      <c r="J568" s="998">
        <v>270032161.38999999</v>
      </c>
      <c r="K568" s="1026" t="s">
        <v>2889</v>
      </c>
      <c r="L568" s="1197" t="s">
        <v>3723</v>
      </c>
      <c r="N568" s="15" t="s">
        <v>3917</v>
      </c>
    </row>
    <row r="569" spans="1:14" ht="15" hidden="1">
      <c r="A569" s="236">
        <f t="shared" si="23"/>
        <v>568</v>
      </c>
      <c r="C569" s="986">
        <v>45885</v>
      </c>
      <c r="G569" s="998"/>
      <c r="H569" s="1002">
        <v>967639</v>
      </c>
      <c r="I569" s="1020">
        <f t="shared" si="22"/>
        <v>967639</v>
      </c>
      <c r="J569" s="998">
        <v>270999800.38999999</v>
      </c>
      <c r="K569" s="1026" t="s">
        <v>1519</v>
      </c>
      <c r="L569" s="1005" t="s">
        <v>3913</v>
      </c>
      <c r="N569" s="15" t="s">
        <v>3916</v>
      </c>
    </row>
    <row r="570" spans="1:14" ht="15" hidden="1">
      <c r="A570" s="236">
        <f t="shared" si="23"/>
        <v>569</v>
      </c>
      <c r="C570" s="986">
        <v>45885</v>
      </c>
      <c r="G570" s="998">
        <v>590</v>
      </c>
      <c r="H570" s="998"/>
      <c r="I570" s="1020">
        <f t="shared" si="22"/>
        <v>-590</v>
      </c>
      <c r="J570" s="998">
        <v>270999210.38999999</v>
      </c>
      <c r="K570" s="1026" t="s">
        <v>2890</v>
      </c>
      <c r="L570" s="1005" t="s">
        <v>542</v>
      </c>
      <c r="N570" s="15" t="s">
        <v>3917</v>
      </c>
    </row>
    <row r="571" spans="1:14" ht="15" hidden="1">
      <c r="A571" s="236">
        <f t="shared" si="23"/>
        <v>570</v>
      </c>
      <c r="C571" s="986">
        <v>45885</v>
      </c>
      <c r="G571" s="998">
        <v>2727.88</v>
      </c>
      <c r="H571" s="998"/>
      <c r="I571" s="1020">
        <f t="shared" si="22"/>
        <v>-2727.88</v>
      </c>
      <c r="J571" s="998">
        <v>270996482.50999999</v>
      </c>
      <c r="K571" s="1026" t="s">
        <v>2891</v>
      </c>
      <c r="L571" s="1005" t="s">
        <v>984</v>
      </c>
      <c r="N571" s="15" t="s">
        <v>3917</v>
      </c>
    </row>
    <row r="572" spans="1:14" ht="15" hidden="1">
      <c r="A572" s="236">
        <f t="shared" si="23"/>
        <v>571</v>
      </c>
      <c r="C572" s="986">
        <v>45885</v>
      </c>
      <c r="G572" s="998">
        <v>962644</v>
      </c>
      <c r="H572" s="998"/>
      <c r="I572" s="1020">
        <f t="shared" si="22"/>
        <v>-962644</v>
      </c>
      <c r="J572" s="998">
        <v>270033838.50999999</v>
      </c>
      <c r="K572" s="1026" t="s">
        <v>2892</v>
      </c>
      <c r="L572" s="1005" t="s">
        <v>984</v>
      </c>
      <c r="N572" s="15" t="s">
        <v>3917</v>
      </c>
    </row>
    <row r="573" spans="1:14" ht="15" hidden="1">
      <c r="A573" s="236">
        <f t="shared" si="23"/>
        <v>572</v>
      </c>
      <c r="C573" s="986">
        <f>C572+1</f>
        <v>45886</v>
      </c>
      <c r="G573" s="998"/>
      <c r="H573" s="998"/>
      <c r="I573" s="1020">
        <f t="shared" si="22"/>
        <v>0</v>
      </c>
      <c r="J573" s="998">
        <v>270033838.50999999</v>
      </c>
      <c r="K573" s="1026">
        <v>0</v>
      </c>
      <c r="L573" s="1005" t="s">
        <v>984</v>
      </c>
      <c r="N573" s="15" t="s">
        <v>3917</v>
      </c>
    </row>
    <row r="574" spans="1:14" ht="15" hidden="1">
      <c r="A574" s="236">
        <f t="shared" si="23"/>
        <v>573</v>
      </c>
      <c r="C574" s="984">
        <v>45887</v>
      </c>
      <c r="G574" s="1004">
        <v>2558.73</v>
      </c>
      <c r="H574" s="1003"/>
      <c r="I574" s="1020">
        <f t="shared" si="22"/>
        <v>-2558.73</v>
      </c>
      <c r="J574" s="1004">
        <v>270031279.77999997</v>
      </c>
      <c r="K574" s="1022" t="s">
        <v>2893</v>
      </c>
      <c r="L574" s="1005" t="s">
        <v>702</v>
      </c>
      <c r="N574" s="15" t="s">
        <v>3917</v>
      </c>
    </row>
    <row r="575" spans="1:14" ht="15" hidden="1">
      <c r="A575" s="236">
        <f t="shared" si="23"/>
        <v>574</v>
      </c>
      <c r="C575" s="984">
        <v>45887</v>
      </c>
      <c r="G575" s="1004">
        <v>630147</v>
      </c>
      <c r="H575" s="1003"/>
      <c r="I575" s="1020">
        <f t="shared" si="22"/>
        <v>-630147</v>
      </c>
      <c r="J575" s="1004">
        <v>269401132.77999997</v>
      </c>
      <c r="K575" s="1022" t="s">
        <v>2894</v>
      </c>
      <c r="L575" s="1005" t="s">
        <v>702</v>
      </c>
      <c r="N575" s="15" t="s">
        <v>3917</v>
      </c>
    </row>
    <row r="576" spans="1:14" ht="15" hidden="1">
      <c r="A576" s="236">
        <f t="shared" si="23"/>
        <v>575</v>
      </c>
      <c r="C576" s="984">
        <v>45887</v>
      </c>
      <c r="G576" s="1004">
        <v>1180</v>
      </c>
      <c r="H576" s="1003"/>
      <c r="I576" s="1020">
        <f t="shared" si="22"/>
        <v>-1180</v>
      </c>
      <c r="J576" s="1004">
        <v>269399952.77999997</v>
      </c>
      <c r="K576" s="1022" t="s">
        <v>2895</v>
      </c>
      <c r="L576" s="1005" t="s">
        <v>984</v>
      </c>
      <c r="N576" s="15" t="s">
        <v>3917</v>
      </c>
    </row>
    <row r="577" spans="1:14" ht="15" hidden="1">
      <c r="A577" s="236">
        <f t="shared" si="23"/>
        <v>576</v>
      </c>
      <c r="C577" s="984">
        <v>45887</v>
      </c>
      <c r="G577" s="1003">
        <v>590</v>
      </c>
      <c r="H577" s="1003"/>
      <c r="I577" s="1020">
        <f t="shared" si="22"/>
        <v>-590</v>
      </c>
      <c r="J577" s="1004">
        <v>269399362.77999997</v>
      </c>
      <c r="K577" s="1022" t="s">
        <v>2896</v>
      </c>
      <c r="L577" s="1005" t="s">
        <v>542</v>
      </c>
      <c r="N577" s="15" t="s">
        <v>3917</v>
      </c>
    </row>
    <row r="578" spans="1:14" ht="15" hidden="1">
      <c r="A578" s="236">
        <f t="shared" si="23"/>
        <v>577</v>
      </c>
      <c r="C578" s="984">
        <v>45887</v>
      </c>
      <c r="G578" s="1004">
        <v>10296575</v>
      </c>
      <c r="H578" s="1003"/>
      <c r="I578" s="1020">
        <f t="shared" si="22"/>
        <v>-10296575</v>
      </c>
      <c r="J578" s="1004">
        <v>259102787.78</v>
      </c>
      <c r="K578" s="1022" t="s">
        <v>2897</v>
      </c>
      <c r="L578" s="1005" t="s">
        <v>984</v>
      </c>
      <c r="N578" s="15" t="s">
        <v>3917</v>
      </c>
    </row>
    <row r="579" spans="1:14" ht="15" hidden="1">
      <c r="A579" s="236">
        <f t="shared" si="23"/>
        <v>578</v>
      </c>
      <c r="C579" s="984">
        <v>45887</v>
      </c>
      <c r="G579" s="1003">
        <v>100</v>
      </c>
      <c r="H579" s="1003"/>
      <c r="I579" s="1020">
        <f t="shared" si="22"/>
        <v>-100</v>
      </c>
      <c r="J579" s="1004">
        <v>259102687.78</v>
      </c>
      <c r="K579" s="1022" t="s">
        <v>2898</v>
      </c>
      <c r="L579" s="1005" t="s">
        <v>542</v>
      </c>
      <c r="N579" s="15" t="s">
        <v>3917</v>
      </c>
    </row>
    <row r="580" spans="1:14" ht="15" hidden="1">
      <c r="A580" s="236">
        <f t="shared" si="23"/>
        <v>579</v>
      </c>
      <c r="C580" s="984">
        <v>45887</v>
      </c>
      <c r="G580" s="1004">
        <v>1024821.91</v>
      </c>
      <c r="H580" s="1003"/>
      <c r="I580" s="1020">
        <f t="shared" ref="I580:I643" si="24">H580-G580</f>
        <v>-1024821.91</v>
      </c>
      <c r="J580" s="1004">
        <v>258077865.87</v>
      </c>
      <c r="K580" s="1022" t="s">
        <v>2899</v>
      </c>
      <c r="L580" s="1005" t="s">
        <v>3726</v>
      </c>
      <c r="N580" s="15" t="s">
        <v>3917</v>
      </c>
    </row>
    <row r="581" spans="1:14" ht="15" hidden="1">
      <c r="A581" s="236">
        <f t="shared" ref="A581:A644" si="25">A580+1</f>
        <v>580</v>
      </c>
      <c r="C581" s="984">
        <v>45887</v>
      </c>
      <c r="G581" s="1003">
        <v>100</v>
      </c>
      <c r="H581" s="1003"/>
      <c r="I581" s="1020">
        <f t="shared" si="24"/>
        <v>-100</v>
      </c>
      <c r="J581" s="1004">
        <v>258077765.87</v>
      </c>
      <c r="K581" s="1022" t="s">
        <v>2900</v>
      </c>
      <c r="L581" s="1005" t="s">
        <v>542</v>
      </c>
      <c r="N581" s="15" t="s">
        <v>3917</v>
      </c>
    </row>
    <row r="582" spans="1:14" ht="15" hidden="1">
      <c r="A582" s="236">
        <f t="shared" si="25"/>
        <v>581</v>
      </c>
      <c r="C582" s="984">
        <v>45887</v>
      </c>
      <c r="G582" s="1004">
        <v>100000</v>
      </c>
      <c r="H582" s="1003"/>
      <c r="I582" s="1020">
        <f t="shared" si="24"/>
        <v>-100000</v>
      </c>
      <c r="J582" s="1004">
        <v>257977765.87</v>
      </c>
      <c r="K582" s="1022" t="s">
        <v>2901</v>
      </c>
      <c r="L582" s="1005" t="s">
        <v>3722</v>
      </c>
      <c r="N582" s="15" t="s">
        <v>3917</v>
      </c>
    </row>
    <row r="583" spans="1:14" ht="15" hidden="1">
      <c r="A583" s="236">
        <f t="shared" si="25"/>
        <v>582</v>
      </c>
      <c r="C583" s="984">
        <v>45887</v>
      </c>
      <c r="G583" s="1004">
        <v>500000</v>
      </c>
      <c r="H583" s="1003"/>
      <c r="I583" s="1020">
        <f t="shared" si="24"/>
        <v>-500000</v>
      </c>
      <c r="J583" s="1004">
        <v>257477765.87</v>
      </c>
      <c r="K583" s="1022" t="s">
        <v>2902</v>
      </c>
      <c r="L583" s="1005" t="s">
        <v>3722</v>
      </c>
      <c r="N583" s="15" t="s">
        <v>3917</v>
      </c>
    </row>
    <row r="584" spans="1:14" ht="15" hidden="1">
      <c r="A584" s="236">
        <f t="shared" si="25"/>
        <v>583</v>
      </c>
      <c r="C584" s="984">
        <v>45887</v>
      </c>
      <c r="G584" s="1004">
        <v>3700000</v>
      </c>
      <c r="H584" s="1003"/>
      <c r="I584" s="1020">
        <f t="shared" si="24"/>
        <v>-3700000</v>
      </c>
      <c r="J584" s="1004">
        <v>253777765.87</v>
      </c>
      <c r="K584" s="1022" t="s">
        <v>2903</v>
      </c>
      <c r="L584" s="1005" t="s">
        <v>3722</v>
      </c>
      <c r="N584" s="15" t="s">
        <v>3917</v>
      </c>
    </row>
    <row r="585" spans="1:14" ht="15" hidden="1">
      <c r="A585" s="236">
        <f t="shared" si="25"/>
        <v>584</v>
      </c>
      <c r="C585" s="984">
        <v>45887</v>
      </c>
      <c r="G585" s="1004">
        <v>2500000</v>
      </c>
      <c r="H585" s="1003"/>
      <c r="I585" s="1020">
        <f t="shared" si="24"/>
        <v>-2500000</v>
      </c>
      <c r="J585" s="1004">
        <v>251277765.87</v>
      </c>
      <c r="K585" s="1022" t="s">
        <v>2904</v>
      </c>
      <c r="L585" s="1005" t="s">
        <v>3722</v>
      </c>
      <c r="N585" s="15" t="s">
        <v>3917</v>
      </c>
    </row>
    <row r="586" spans="1:14" ht="15" hidden="1">
      <c r="A586" s="236">
        <f t="shared" si="25"/>
        <v>585</v>
      </c>
      <c r="C586" s="984">
        <v>45887</v>
      </c>
      <c r="G586" s="1004">
        <v>500000</v>
      </c>
      <c r="H586" s="1003"/>
      <c r="I586" s="1020">
        <f t="shared" si="24"/>
        <v>-500000</v>
      </c>
      <c r="J586" s="1004">
        <v>250777765.87</v>
      </c>
      <c r="K586" s="1022" t="s">
        <v>2905</v>
      </c>
      <c r="L586" s="1005" t="s">
        <v>3722</v>
      </c>
      <c r="N586" s="15" t="s">
        <v>3917</v>
      </c>
    </row>
    <row r="587" spans="1:14" ht="15" hidden="1">
      <c r="A587" s="236">
        <f t="shared" si="25"/>
        <v>586</v>
      </c>
      <c r="C587" s="986">
        <v>45888</v>
      </c>
      <c r="G587" s="1000">
        <v>100000</v>
      </c>
      <c r="H587" s="999"/>
      <c r="I587" s="1020">
        <f t="shared" si="24"/>
        <v>-100000</v>
      </c>
      <c r="J587" s="1000">
        <v>250677765.87</v>
      </c>
      <c r="K587" s="1026" t="s">
        <v>2906</v>
      </c>
      <c r="L587" s="1005" t="s">
        <v>3722</v>
      </c>
      <c r="N587" s="15" t="s">
        <v>3917</v>
      </c>
    </row>
    <row r="588" spans="1:14" ht="15" hidden="1">
      <c r="A588" s="236">
        <f t="shared" si="25"/>
        <v>587</v>
      </c>
      <c r="C588" s="986">
        <v>45888</v>
      </c>
      <c r="G588" s="1000">
        <v>800000</v>
      </c>
      <c r="H588" s="999"/>
      <c r="I588" s="1020">
        <f t="shared" si="24"/>
        <v>-800000</v>
      </c>
      <c r="J588" s="1000">
        <v>249877765.87</v>
      </c>
      <c r="K588" s="1026" t="s">
        <v>2907</v>
      </c>
      <c r="L588" s="1005" t="s">
        <v>3722</v>
      </c>
      <c r="N588" s="15" t="s">
        <v>3917</v>
      </c>
    </row>
    <row r="589" spans="1:14" ht="15" hidden="1">
      <c r="A589" s="236">
        <f t="shared" si="25"/>
        <v>588</v>
      </c>
      <c r="C589" s="986">
        <v>45888</v>
      </c>
      <c r="G589" s="1000">
        <v>1354640</v>
      </c>
      <c r="H589" s="999"/>
      <c r="I589" s="1020">
        <f t="shared" si="24"/>
        <v>-1354640</v>
      </c>
      <c r="J589" s="1000">
        <v>248523125.87</v>
      </c>
      <c r="K589" s="1026" t="s">
        <v>2908</v>
      </c>
      <c r="L589" s="1005" t="s">
        <v>3722</v>
      </c>
      <c r="N589" s="15" t="s">
        <v>3917</v>
      </c>
    </row>
    <row r="590" spans="1:14" ht="15" hidden="1">
      <c r="A590" s="236">
        <f t="shared" si="25"/>
        <v>589</v>
      </c>
      <c r="C590" s="986">
        <v>45888</v>
      </c>
      <c r="G590" s="1000">
        <v>3000000</v>
      </c>
      <c r="H590" s="999"/>
      <c r="I590" s="1020">
        <f t="shared" si="24"/>
        <v>-3000000</v>
      </c>
      <c r="J590" s="1000">
        <v>245523125.87</v>
      </c>
      <c r="K590" s="1026" t="s">
        <v>2909</v>
      </c>
      <c r="L590" s="1005" t="s">
        <v>3722</v>
      </c>
      <c r="N590" s="15" t="s">
        <v>3917</v>
      </c>
    </row>
    <row r="591" spans="1:14" ht="15" hidden="1">
      <c r="A591" s="236">
        <f t="shared" si="25"/>
        <v>590</v>
      </c>
      <c r="C591" s="986">
        <v>45888</v>
      </c>
      <c r="G591" s="1000">
        <v>925000</v>
      </c>
      <c r="H591" s="999"/>
      <c r="I591" s="1020">
        <f t="shared" si="24"/>
        <v>-925000</v>
      </c>
      <c r="J591" s="1000">
        <v>244598125.87</v>
      </c>
      <c r="K591" s="1026" t="s">
        <v>2910</v>
      </c>
      <c r="L591" s="1005" t="s">
        <v>3722</v>
      </c>
      <c r="N591" s="15" t="s">
        <v>3917</v>
      </c>
    </row>
    <row r="592" spans="1:14" ht="15" hidden="1">
      <c r="A592" s="236">
        <f t="shared" si="25"/>
        <v>591</v>
      </c>
      <c r="C592" s="986">
        <v>45888</v>
      </c>
      <c r="G592" s="1000">
        <v>1000000</v>
      </c>
      <c r="H592" s="999"/>
      <c r="I592" s="1020">
        <f t="shared" si="24"/>
        <v>-1000000</v>
      </c>
      <c r="J592" s="1000">
        <v>243598125.87</v>
      </c>
      <c r="K592" s="1026" t="s">
        <v>2911</v>
      </c>
      <c r="L592" s="1005" t="s">
        <v>3722</v>
      </c>
      <c r="N592" s="15" t="s">
        <v>3917</v>
      </c>
    </row>
    <row r="593" spans="1:14" ht="15" hidden="1">
      <c r="A593" s="236">
        <f t="shared" si="25"/>
        <v>592</v>
      </c>
      <c r="C593" s="986">
        <v>45888</v>
      </c>
      <c r="G593" s="1000">
        <v>3746250</v>
      </c>
      <c r="H593" s="999"/>
      <c r="I593" s="1020">
        <f t="shared" si="24"/>
        <v>-3746250</v>
      </c>
      <c r="J593" s="1000">
        <v>239851875.87</v>
      </c>
      <c r="K593" s="1026" t="s">
        <v>2912</v>
      </c>
      <c r="L593" s="1005" t="s">
        <v>3719</v>
      </c>
      <c r="N593" s="15" t="s">
        <v>3917</v>
      </c>
    </row>
    <row r="594" spans="1:14" ht="15" hidden="1">
      <c r="A594" s="236">
        <f t="shared" si="25"/>
        <v>593</v>
      </c>
      <c r="C594" s="986">
        <v>45888</v>
      </c>
      <c r="G594" s="1000">
        <v>13346640</v>
      </c>
      <c r="H594" s="999"/>
      <c r="I594" s="1020">
        <f t="shared" si="24"/>
        <v>-13346640</v>
      </c>
      <c r="J594" s="1000">
        <v>226505235.87</v>
      </c>
      <c r="K594" s="1026" t="s">
        <v>2913</v>
      </c>
      <c r="L594" s="1005" t="s">
        <v>3719</v>
      </c>
      <c r="N594" s="15" t="s">
        <v>3917</v>
      </c>
    </row>
    <row r="595" spans="1:14" ht="15" hidden="1">
      <c r="A595" s="236">
        <f t="shared" si="25"/>
        <v>594</v>
      </c>
      <c r="C595" s="986">
        <v>45888</v>
      </c>
      <c r="G595" s="1000">
        <v>3700000</v>
      </c>
      <c r="H595" s="999"/>
      <c r="I595" s="1020">
        <f t="shared" si="24"/>
        <v>-3700000</v>
      </c>
      <c r="J595" s="1000">
        <v>222805235.87</v>
      </c>
      <c r="K595" s="1026" t="s">
        <v>2914</v>
      </c>
      <c r="L595" s="1005" t="s">
        <v>3722</v>
      </c>
      <c r="N595" s="15" t="s">
        <v>3917</v>
      </c>
    </row>
    <row r="596" spans="1:14" ht="15" hidden="1">
      <c r="A596" s="236">
        <f t="shared" si="25"/>
        <v>595</v>
      </c>
      <c r="C596" s="986">
        <v>45888</v>
      </c>
      <c r="G596" s="1000">
        <v>4200000</v>
      </c>
      <c r="H596" s="999"/>
      <c r="I596" s="1020">
        <f t="shared" si="24"/>
        <v>-4200000</v>
      </c>
      <c r="J596" s="1000">
        <v>218605235.87</v>
      </c>
      <c r="K596" s="1026" t="s">
        <v>2915</v>
      </c>
      <c r="L596" s="1005" t="s">
        <v>3722</v>
      </c>
      <c r="N596" s="15" t="s">
        <v>3917</v>
      </c>
    </row>
    <row r="597" spans="1:14" ht="15" hidden="1">
      <c r="A597" s="236">
        <f t="shared" si="25"/>
        <v>596</v>
      </c>
      <c r="C597" s="986">
        <v>45888</v>
      </c>
      <c r="G597" s="1000">
        <v>1690000</v>
      </c>
      <c r="H597" s="999"/>
      <c r="I597" s="1020">
        <f t="shared" si="24"/>
        <v>-1690000</v>
      </c>
      <c r="J597" s="1000">
        <v>216915235.87</v>
      </c>
      <c r="K597" s="1026" t="s">
        <v>2916</v>
      </c>
      <c r="L597" s="1005" t="s">
        <v>3722</v>
      </c>
      <c r="N597" s="15" t="s">
        <v>3917</v>
      </c>
    </row>
    <row r="598" spans="1:14" ht="15" hidden="1">
      <c r="A598" s="236">
        <f t="shared" si="25"/>
        <v>597</v>
      </c>
      <c r="C598" s="986">
        <v>45888</v>
      </c>
      <c r="G598" s="1000">
        <v>310000</v>
      </c>
      <c r="H598" s="999"/>
      <c r="I598" s="1020">
        <f t="shared" si="24"/>
        <v>-310000</v>
      </c>
      <c r="J598" s="1000">
        <v>216605235.87</v>
      </c>
      <c r="K598" s="1026" t="s">
        <v>2917</v>
      </c>
      <c r="L598" s="1005" t="s">
        <v>3722</v>
      </c>
      <c r="N598" s="15" t="s">
        <v>3917</v>
      </c>
    </row>
    <row r="599" spans="1:14" ht="15" hidden="1">
      <c r="A599" s="236">
        <f t="shared" si="25"/>
        <v>598</v>
      </c>
      <c r="C599" s="986">
        <v>45888</v>
      </c>
      <c r="G599" s="1000">
        <v>28910</v>
      </c>
      <c r="H599" s="999"/>
      <c r="I599" s="1020">
        <f t="shared" si="24"/>
        <v>-28910</v>
      </c>
      <c r="J599" s="1000">
        <v>216576325.87</v>
      </c>
      <c r="K599" s="1026" t="s">
        <v>2918</v>
      </c>
      <c r="L599" s="1005" t="s">
        <v>3719</v>
      </c>
      <c r="N599" s="15" t="s">
        <v>3917</v>
      </c>
    </row>
    <row r="600" spans="1:14" ht="15" hidden="1">
      <c r="A600" s="236">
        <f t="shared" si="25"/>
        <v>599</v>
      </c>
      <c r="C600" s="986">
        <v>45888</v>
      </c>
      <c r="G600" s="1000">
        <v>100000</v>
      </c>
      <c r="H600" s="999"/>
      <c r="I600" s="1020">
        <f t="shared" si="24"/>
        <v>-100000</v>
      </c>
      <c r="J600" s="1000">
        <v>216476325.87</v>
      </c>
      <c r="K600" s="1026" t="s">
        <v>2919</v>
      </c>
      <c r="L600" s="1005" t="s">
        <v>3722</v>
      </c>
      <c r="N600" s="15" t="s">
        <v>3917</v>
      </c>
    </row>
    <row r="601" spans="1:14" ht="15" hidden="1">
      <c r="A601" s="236">
        <f t="shared" si="25"/>
        <v>600</v>
      </c>
      <c r="C601" s="986">
        <v>45888</v>
      </c>
      <c r="G601" s="1000">
        <v>300000</v>
      </c>
      <c r="H601" s="999"/>
      <c r="I601" s="1020">
        <f t="shared" si="24"/>
        <v>-300000</v>
      </c>
      <c r="J601" s="1000">
        <v>216176325.87</v>
      </c>
      <c r="K601" s="1026" t="s">
        <v>2920</v>
      </c>
      <c r="L601" s="1005" t="s">
        <v>3722</v>
      </c>
      <c r="N601" s="15" t="s">
        <v>3917</v>
      </c>
    </row>
    <row r="602" spans="1:14" ht="15" hidden="1">
      <c r="A602" s="236">
        <f t="shared" si="25"/>
        <v>601</v>
      </c>
      <c r="C602" s="986">
        <v>45888</v>
      </c>
      <c r="G602" s="1000">
        <v>700000</v>
      </c>
      <c r="H602" s="999"/>
      <c r="I602" s="1020">
        <f t="shared" si="24"/>
        <v>-700000</v>
      </c>
      <c r="J602" s="1000">
        <v>215476325.87</v>
      </c>
      <c r="K602" s="1026" t="s">
        <v>2921</v>
      </c>
      <c r="L602" s="1005" t="s">
        <v>3722</v>
      </c>
      <c r="N602" s="15" t="s">
        <v>3917</v>
      </c>
    </row>
    <row r="603" spans="1:14" ht="15" hidden="1">
      <c r="A603" s="236">
        <f t="shared" si="25"/>
        <v>602</v>
      </c>
      <c r="C603" s="986">
        <v>45888</v>
      </c>
      <c r="G603" s="1000">
        <v>306800</v>
      </c>
      <c r="H603" s="999"/>
      <c r="I603" s="1020">
        <f t="shared" si="24"/>
        <v>-306800</v>
      </c>
      <c r="J603" s="1000">
        <v>215169525.87</v>
      </c>
      <c r="K603" s="1026" t="s">
        <v>2922</v>
      </c>
      <c r="L603" s="1005" t="s">
        <v>3719</v>
      </c>
      <c r="N603" s="15" t="s">
        <v>3917</v>
      </c>
    </row>
    <row r="604" spans="1:14" ht="15" hidden="1">
      <c r="A604" s="236">
        <f t="shared" si="25"/>
        <v>603</v>
      </c>
      <c r="C604" s="986">
        <v>45888</v>
      </c>
      <c r="G604" s="1000">
        <v>170000</v>
      </c>
      <c r="H604" s="999"/>
      <c r="I604" s="1020">
        <f t="shared" si="24"/>
        <v>-170000</v>
      </c>
      <c r="J604" s="1000">
        <v>214999525.87</v>
      </c>
      <c r="K604" s="1026" t="s">
        <v>2923</v>
      </c>
      <c r="L604" s="1005" t="s">
        <v>542</v>
      </c>
      <c r="N604" s="15" t="s">
        <v>3917</v>
      </c>
    </row>
    <row r="605" spans="1:14" ht="15" hidden="1">
      <c r="A605" s="236">
        <f t="shared" si="25"/>
        <v>604</v>
      </c>
      <c r="C605" s="986">
        <v>45888</v>
      </c>
      <c r="G605" s="1000">
        <v>660000</v>
      </c>
      <c r="H605" s="999"/>
      <c r="I605" s="1020">
        <f t="shared" si="24"/>
        <v>-660000</v>
      </c>
      <c r="J605" s="1000">
        <v>214339525.87</v>
      </c>
      <c r="K605" s="1026" t="s">
        <v>2924</v>
      </c>
      <c r="L605" s="1005" t="s">
        <v>3722</v>
      </c>
      <c r="N605" s="15" t="s">
        <v>3917</v>
      </c>
    </row>
    <row r="606" spans="1:14" ht="15" hidden="1">
      <c r="A606" s="236">
        <f t="shared" si="25"/>
        <v>605</v>
      </c>
      <c r="C606" s="986">
        <v>45888</v>
      </c>
      <c r="G606" s="1000">
        <v>4200000</v>
      </c>
      <c r="H606" s="999"/>
      <c r="I606" s="1020">
        <f t="shared" si="24"/>
        <v>-4200000</v>
      </c>
      <c r="J606" s="1000">
        <v>210139525.87</v>
      </c>
      <c r="K606" s="1026" t="s">
        <v>2925</v>
      </c>
      <c r="L606" s="1005" t="s">
        <v>3722</v>
      </c>
      <c r="N606" s="15" t="s">
        <v>3917</v>
      </c>
    </row>
    <row r="607" spans="1:14" ht="15" hidden="1">
      <c r="A607" s="236">
        <f t="shared" si="25"/>
        <v>606</v>
      </c>
      <c r="C607" s="986">
        <v>45888</v>
      </c>
      <c r="G607" s="1000">
        <v>500000</v>
      </c>
      <c r="H607" s="999"/>
      <c r="I607" s="1020">
        <f t="shared" si="24"/>
        <v>-500000</v>
      </c>
      <c r="J607" s="1000">
        <v>209639525.87</v>
      </c>
      <c r="K607" s="1026" t="s">
        <v>2926</v>
      </c>
      <c r="L607" s="1005" t="s">
        <v>3722</v>
      </c>
      <c r="N607" s="15" t="s">
        <v>3917</v>
      </c>
    </row>
    <row r="608" spans="1:14" ht="15" hidden="1">
      <c r="A608" s="236">
        <f t="shared" si="25"/>
        <v>607</v>
      </c>
      <c r="C608" s="986">
        <v>45888</v>
      </c>
      <c r="G608" s="1000">
        <v>1100000</v>
      </c>
      <c r="H608" s="999"/>
      <c r="I608" s="1020">
        <f t="shared" si="24"/>
        <v>-1100000</v>
      </c>
      <c r="J608" s="1000">
        <v>208539525.87</v>
      </c>
      <c r="K608" s="1026" t="s">
        <v>2927</v>
      </c>
      <c r="L608" s="1005" t="s">
        <v>3722</v>
      </c>
      <c r="N608" s="15" t="s">
        <v>3917</v>
      </c>
    </row>
    <row r="609" spans="1:14" ht="15" hidden="1">
      <c r="A609" s="236">
        <f t="shared" si="25"/>
        <v>608</v>
      </c>
      <c r="C609" s="986">
        <v>45888</v>
      </c>
      <c r="G609" s="1000">
        <v>100000</v>
      </c>
      <c r="H609" s="999"/>
      <c r="I609" s="1020">
        <f t="shared" si="24"/>
        <v>-100000</v>
      </c>
      <c r="J609" s="1000">
        <v>208439525.87</v>
      </c>
      <c r="K609" s="1026" t="s">
        <v>2928</v>
      </c>
      <c r="L609" s="1005" t="s">
        <v>3722</v>
      </c>
      <c r="N609" s="15" t="s">
        <v>3917</v>
      </c>
    </row>
    <row r="610" spans="1:14" ht="15" hidden="1">
      <c r="A610" s="236">
        <f t="shared" si="25"/>
        <v>609</v>
      </c>
      <c r="C610" s="986">
        <v>45888</v>
      </c>
      <c r="G610" s="1000">
        <v>100000</v>
      </c>
      <c r="H610" s="999"/>
      <c r="I610" s="1020">
        <f t="shared" si="24"/>
        <v>-100000</v>
      </c>
      <c r="J610" s="1000">
        <v>208339525.87</v>
      </c>
      <c r="K610" s="1026" t="s">
        <v>2929</v>
      </c>
      <c r="L610" s="1005" t="s">
        <v>3722</v>
      </c>
      <c r="N610" s="15" t="s">
        <v>3917</v>
      </c>
    </row>
    <row r="611" spans="1:14" ht="15" hidden="1">
      <c r="A611" s="236">
        <f t="shared" si="25"/>
        <v>610</v>
      </c>
      <c r="C611" s="986">
        <v>45888</v>
      </c>
      <c r="G611" s="1000">
        <v>225000</v>
      </c>
      <c r="H611" s="999"/>
      <c r="I611" s="1020">
        <f t="shared" si="24"/>
        <v>-225000</v>
      </c>
      <c r="J611" s="1000">
        <v>208114525.87</v>
      </c>
      <c r="K611" s="1026" t="s">
        <v>2930</v>
      </c>
      <c r="L611" s="1005" t="s">
        <v>3722</v>
      </c>
      <c r="N611" s="15" t="s">
        <v>3917</v>
      </c>
    </row>
    <row r="612" spans="1:14" ht="15" hidden="1">
      <c r="A612" s="236">
        <f t="shared" si="25"/>
        <v>611</v>
      </c>
      <c r="C612" s="986">
        <v>45888</v>
      </c>
      <c r="G612" s="1000">
        <v>2700000</v>
      </c>
      <c r="H612" s="999"/>
      <c r="I612" s="1020">
        <f t="shared" si="24"/>
        <v>-2700000</v>
      </c>
      <c r="J612" s="1000">
        <v>205414525.87</v>
      </c>
      <c r="K612" s="1026" t="s">
        <v>2931</v>
      </c>
      <c r="L612" s="1005" t="s">
        <v>3722</v>
      </c>
      <c r="N612" s="15" t="s">
        <v>3917</v>
      </c>
    </row>
    <row r="613" spans="1:14" ht="15" hidden="1">
      <c r="A613" s="236">
        <f t="shared" si="25"/>
        <v>612</v>
      </c>
      <c r="C613" s="986">
        <v>45888</v>
      </c>
      <c r="G613" s="1000">
        <v>134520</v>
      </c>
      <c r="H613" s="999"/>
      <c r="I613" s="1020">
        <f t="shared" si="24"/>
        <v>-134520</v>
      </c>
      <c r="J613" s="1000">
        <v>205280005.87</v>
      </c>
      <c r="K613" s="1026" t="s">
        <v>2932</v>
      </c>
      <c r="L613" s="1005" t="s">
        <v>3719</v>
      </c>
      <c r="N613" s="15" t="s">
        <v>3917</v>
      </c>
    </row>
    <row r="614" spans="1:14" ht="15" hidden="1">
      <c r="A614" s="236">
        <f t="shared" si="25"/>
        <v>613</v>
      </c>
      <c r="C614" s="986">
        <v>45888</v>
      </c>
      <c r="G614" s="1000">
        <v>650000</v>
      </c>
      <c r="H614" s="999"/>
      <c r="I614" s="1020">
        <f t="shared" si="24"/>
        <v>-650000</v>
      </c>
      <c r="J614" s="1000">
        <v>204630005.87</v>
      </c>
      <c r="K614" s="1026" t="s">
        <v>2933</v>
      </c>
      <c r="L614" s="1005" t="s">
        <v>3722</v>
      </c>
      <c r="N614" s="15" t="s">
        <v>3917</v>
      </c>
    </row>
    <row r="615" spans="1:14" ht="15" hidden="1">
      <c r="A615" s="236">
        <f t="shared" si="25"/>
        <v>614</v>
      </c>
      <c r="C615" s="986">
        <v>45888</v>
      </c>
      <c r="G615" s="1000">
        <v>2200000</v>
      </c>
      <c r="H615" s="999"/>
      <c r="I615" s="1020">
        <f t="shared" si="24"/>
        <v>-2200000</v>
      </c>
      <c r="J615" s="1000">
        <v>202430005.87</v>
      </c>
      <c r="K615" s="1026" t="s">
        <v>2934</v>
      </c>
      <c r="L615" s="1005" t="s">
        <v>3722</v>
      </c>
      <c r="N615" s="15" t="s">
        <v>3917</v>
      </c>
    </row>
    <row r="616" spans="1:14" ht="15" hidden="1">
      <c r="A616" s="236">
        <f t="shared" si="25"/>
        <v>615</v>
      </c>
      <c r="C616" s="986">
        <v>45888</v>
      </c>
      <c r="G616" s="1000">
        <v>1300000</v>
      </c>
      <c r="H616" s="999"/>
      <c r="I616" s="1020">
        <f t="shared" si="24"/>
        <v>-1300000</v>
      </c>
      <c r="J616" s="1000">
        <v>201130005.87</v>
      </c>
      <c r="K616" s="1026" t="s">
        <v>2935</v>
      </c>
      <c r="L616" s="1005" t="s">
        <v>3722</v>
      </c>
      <c r="N616" s="15" t="s">
        <v>3917</v>
      </c>
    </row>
    <row r="617" spans="1:14" ht="15" hidden="1">
      <c r="A617" s="236">
        <f t="shared" si="25"/>
        <v>616</v>
      </c>
      <c r="C617" s="986">
        <v>45888</v>
      </c>
      <c r="G617" s="1000">
        <v>1400000</v>
      </c>
      <c r="H617" s="999"/>
      <c r="I617" s="1020">
        <f t="shared" si="24"/>
        <v>-1400000</v>
      </c>
      <c r="J617" s="1000">
        <v>199730005.87</v>
      </c>
      <c r="K617" s="1026" t="s">
        <v>2936</v>
      </c>
      <c r="L617" s="1005" t="s">
        <v>3722</v>
      </c>
      <c r="N617" s="15" t="s">
        <v>3917</v>
      </c>
    </row>
    <row r="618" spans="1:14" ht="15" hidden="1">
      <c r="A618" s="236">
        <f t="shared" si="25"/>
        <v>617</v>
      </c>
      <c r="C618" s="986">
        <v>45888</v>
      </c>
      <c r="G618" s="1000">
        <v>15000000</v>
      </c>
      <c r="H618" s="999"/>
      <c r="I618" s="1020">
        <f t="shared" si="24"/>
        <v>-15000000</v>
      </c>
      <c r="J618" s="1000">
        <v>184730005.87</v>
      </c>
      <c r="K618" s="1026" t="s">
        <v>2937</v>
      </c>
      <c r="L618" s="1005" t="s">
        <v>3722</v>
      </c>
      <c r="N618" s="15" t="s">
        <v>3917</v>
      </c>
    </row>
    <row r="619" spans="1:14" ht="15" hidden="1">
      <c r="A619" s="236">
        <f t="shared" si="25"/>
        <v>618</v>
      </c>
      <c r="C619" s="986">
        <v>45888</v>
      </c>
      <c r="G619" s="1000">
        <v>400000</v>
      </c>
      <c r="H619" s="999"/>
      <c r="I619" s="1020">
        <f t="shared" si="24"/>
        <v>-400000</v>
      </c>
      <c r="J619" s="1000">
        <v>184330005.87</v>
      </c>
      <c r="K619" s="1026" t="s">
        <v>2938</v>
      </c>
      <c r="L619" s="1005" t="s">
        <v>3722</v>
      </c>
      <c r="N619" s="15" t="s">
        <v>3917</v>
      </c>
    </row>
    <row r="620" spans="1:14" ht="15" hidden="1">
      <c r="A620" s="236">
        <f t="shared" si="25"/>
        <v>619</v>
      </c>
      <c r="C620" s="986">
        <v>45888</v>
      </c>
      <c r="G620" s="1000">
        <v>1750000</v>
      </c>
      <c r="H620" s="999"/>
      <c r="I620" s="1020">
        <f t="shared" si="24"/>
        <v>-1750000</v>
      </c>
      <c r="J620" s="1000">
        <v>182580005.87</v>
      </c>
      <c r="K620" s="1026" t="s">
        <v>2939</v>
      </c>
      <c r="L620" s="1005" t="s">
        <v>3722</v>
      </c>
      <c r="N620" s="15" t="s">
        <v>3917</v>
      </c>
    </row>
    <row r="621" spans="1:14" ht="15" hidden="1">
      <c r="A621" s="236">
        <f t="shared" si="25"/>
        <v>620</v>
      </c>
      <c r="C621" s="986">
        <v>45888</v>
      </c>
      <c r="G621" s="1000">
        <v>3800000</v>
      </c>
      <c r="H621" s="999"/>
      <c r="I621" s="1020">
        <f t="shared" si="24"/>
        <v>-3800000</v>
      </c>
      <c r="J621" s="1000">
        <v>178780005.87</v>
      </c>
      <c r="K621" s="1026" t="s">
        <v>2940</v>
      </c>
      <c r="L621" s="1005" t="s">
        <v>3722</v>
      </c>
      <c r="N621" s="15" t="s">
        <v>3917</v>
      </c>
    </row>
    <row r="622" spans="1:14" ht="15" hidden="1">
      <c r="A622" s="236">
        <f t="shared" si="25"/>
        <v>621</v>
      </c>
      <c r="C622" s="986">
        <v>45888</v>
      </c>
      <c r="G622" s="1000">
        <v>400000</v>
      </c>
      <c r="H622" s="999"/>
      <c r="I622" s="1020">
        <f t="shared" si="24"/>
        <v>-400000</v>
      </c>
      <c r="J622" s="1000">
        <v>178380005.87</v>
      </c>
      <c r="K622" s="1026" t="s">
        <v>2941</v>
      </c>
      <c r="L622" s="1005" t="s">
        <v>3722</v>
      </c>
      <c r="N622" s="15" t="s">
        <v>3917</v>
      </c>
    </row>
    <row r="623" spans="1:14" ht="15" hidden="1">
      <c r="A623" s="236">
        <f t="shared" si="25"/>
        <v>622</v>
      </c>
      <c r="C623" s="986">
        <v>45888</v>
      </c>
      <c r="G623" s="1000">
        <v>400000</v>
      </c>
      <c r="H623" s="999"/>
      <c r="I623" s="1020">
        <f t="shared" si="24"/>
        <v>-400000</v>
      </c>
      <c r="J623" s="1000">
        <v>177980005.87</v>
      </c>
      <c r="K623" s="1026" t="s">
        <v>2942</v>
      </c>
      <c r="L623" s="1005" t="s">
        <v>3722</v>
      </c>
      <c r="N623" s="15" t="s">
        <v>3917</v>
      </c>
    </row>
    <row r="624" spans="1:14" ht="15" hidden="1">
      <c r="A624" s="236">
        <f t="shared" si="25"/>
        <v>623</v>
      </c>
      <c r="C624" s="986">
        <v>45888</v>
      </c>
      <c r="G624" s="1000">
        <v>850000</v>
      </c>
      <c r="H624" s="999"/>
      <c r="I624" s="1020">
        <f t="shared" si="24"/>
        <v>-850000</v>
      </c>
      <c r="J624" s="1000">
        <v>177130005.87</v>
      </c>
      <c r="K624" s="1026" t="s">
        <v>2943</v>
      </c>
      <c r="L624" s="1005" t="s">
        <v>3722</v>
      </c>
      <c r="N624" s="15" t="s">
        <v>3917</v>
      </c>
    </row>
    <row r="625" spans="1:14" ht="15" hidden="1">
      <c r="A625" s="236">
        <f t="shared" si="25"/>
        <v>624</v>
      </c>
      <c r="C625" s="986">
        <v>45888</v>
      </c>
      <c r="G625" s="1000">
        <v>2700000</v>
      </c>
      <c r="H625" s="999"/>
      <c r="I625" s="1020">
        <f t="shared" si="24"/>
        <v>-2700000</v>
      </c>
      <c r="J625" s="1000">
        <v>174430005.87</v>
      </c>
      <c r="K625" s="1026" t="s">
        <v>2944</v>
      </c>
      <c r="L625" s="1005" t="s">
        <v>3722</v>
      </c>
      <c r="N625" s="15" t="s">
        <v>3917</v>
      </c>
    </row>
    <row r="626" spans="1:14" ht="15" hidden="1">
      <c r="A626" s="236">
        <f t="shared" si="25"/>
        <v>625</v>
      </c>
      <c r="C626" s="986">
        <v>45888</v>
      </c>
      <c r="G626" s="1000">
        <v>1800000</v>
      </c>
      <c r="H626" s="999"/>
      <c r="I626" s="1020">
        <f t="shared" si="24"/>
        <v>-1800000</v>
      </c>
      <c r="J626" s="1000">
        <v>172630005.87</v>
      </c>
      <c r="K626" s="1026" t="s">
        <v>2945</v>
      </c>
      <c r="L626" s="1005" t="s">
        <v>3722</v>
      </c>
      <c r="N626" s="15" t="s">
        <v>3917</v>
      </c>
    </row>
    <row r="627" spans="1:14" ht="15" hidden="1">
      <c r="A627" s="236">
        <f t="shared" si="25"/>
        <v>626</v>
      </c>
      <c r="C627" s="986">
        <v>45888</v>
      </c>
      <c r="G627" s="1000">
        <v>452058</v>
      </c>
      <c r="H627" s="999"/>
      <c r="I627" s="1020">
        <f t="shared" si="24"/>
        <v>-452058</v>
      </c>
      <c r="J627" s="1000">
        <v>172177947.87</v>
      </c>
      <c r="K627" s="1026" t="s">
        <v>2946</v>
      </c>
      <c r="L627" s="1028" t="s">
        <v>3719</v>
      </c>
      <c r="N627" s="15" t="s">
        <v>3917</v>
      </c>
    </row>
    <row r="628" spans="1:14" ht="15" hidden="1">
      <c r="A628" s="236">
        <f t="shared" si="25"/>
        <v>627</v>
      </c>
      <c r="C628" s="986">
        <v>45888</v>
      </c>
      <c r="G628" s="1000">
        <v>8000000</v>
      </c>
      <c r="H628" s="999"/>
      <c r="I628" s="1020">
        <f t="shared" si="24"/>
        <v>-8000000</v>
      </c>
      <c r="J628" s="1000">
        <v>164177947.87</v>
      </c>
      <c r="K628" s="1026" t="s">
        <v>2947</v>
      </c>
      <c r="L628" s="1005" t="s">
        <v>3722</v>
      </c>
      <c r="N628" s="15" t="s">
        <v>3917</v>
      </c>
    </row>
    <row r="629" spans="1:14" ht="15" hidden="1">
      <c r="A629" s="236">
        <f t="shared" si="25"/>
        <v>628</v>
      </c>
      <c r="C629" s="986">
        <v>45888</v>
      </c>
      <c r="G629" s="1000">
        <v>9733824</v>
      </c>
      <c r="H629" s="999"/>
      <c r="I629" s="1020">
        <f t="shared" si="24"/>
        <v>-9733824</v>
      </c>
      <c r="J629" s="1000">
        <v>154444123.87</v>
      </c>
      <c r="K629" s="1026" t="s">
        <v>2948</v>
      </c>
      <c r="L629" s="1005" t="s">
        <v>702</v>
      </c>
      <c r="N629" s="15" t="s">
        <v>3917</v>
      </c>
    </row>
    <row r="630" spans="1:14" ht="15" hidden="1">
      <c r="A630" s="236">
        <f t="shared" si="25"/>
        <v>629</v>
      </c>
      <c r="C630" s="986">
        <v>45888</v>
      </c>
      <c r="G630" s="1000">
        <v>180666.66</v>
      </c>
      <c r="H630" s="999"/>
      <c r="I630" s="1020">
        <f t="shared" si="24"/>
        <v>-180666.66</v>
      </c>
      <c r="J630" s="1000">
        <v>154263457.21000001</v>
      </c>
      <c r="K630" s="1026" t="s">
        <v>2949</v>
      </c>
      <c r="L630" s="1005" t="s">
        <v>702</v>
      </c>
      <c r="N630" s="15" t="s">
        <v>3917</v>
      </c>
    </row>
    <row r="631" spans="1:14" ht="15" hidden="1">
      <c r="A631" s="236">
        <f t="shared" si="25"/>
        <v>630</v>
      </c>
      <c r="C631" s="986">
        <v>45888</v>
      </c>
      <c r="G631" s="1000">
        <v>7025.36</v>
      </c>
      <c r="H631" s="999"/>
      <c r="I631" s="1020">
        <f t="shared" si="24"/>
        <v>-7025.36</v>
      </c>
      <c r="J631" s="1000">
        <v>154256431.84999999</v>
      </c>
      <c r="K631" s="1026" t="s">
        <v>2950</v>
      </c>
      <c r="L631" s="1005" t="s">
        <v>3717</v>
      </c>
      <c r="N631" s="15" t="s">
        <v>3918</v>
      </c>
    </row>
    <row r="632" spans="1:14" ht="15" hidden="1">
      <c r="A632" s="236">
        <f t="shared" si="25"/>
        <v>631</v>
      </c>
      <c r="C632" s="986">
        <v>45888</v>
      </c>
      <c r="G632" s="1000">
        <v>52470</v>
      </c>
      <c r="H632" s="999"/>
      <c r="I632" s="1020">
        <f t="shared" si="24"/>
        <v>-52470</v>
      </c>
      <c r="J632" s="1000">
        <v>154203961.84999999</v>
      </c>
      <c r="K632" s="1026" t="s">
        <v>2951</v>
      </c>
      <c r="L632" s="1005" t="s">
        <v>702</v>
      </c>
      <c r="N632" s="15" t="s">
        <v>3917</v>
      </c>
    </row>
    <row r="633" spans="1:14" ht="15" hidden="1">
      <c r="A633" s="236">
        <f t="shared" si="25"/>
        <v>632</v>
      </c>
      <c r="C633" s="986">
        <v>45888</v>
      </c>
      <c r="G633" s="1000">
        <v>40202.379999999997</v>
      </c>
      <c r="H633" s="999"/>
      <c r="I633" s="1020">
        <f t="shared" si="24"/>
        <v>-40202.379999999997</v>
      </c>
      <c r="J633" s="1000">
        <v>154163759.47</v>
      </c>
      <c r="K633" s="1026" t="s">
        <v>2952</v>
      </c>
      <c r="L633" s="1005" t="s">
        <v>3717</v>
      </c>
      <c r="N633" s="15" t="s">
        <v>3918</v>
      </c>
    </row>
    <row r="634" spans="1:14" ht="15" hidden="1">
      <c r="A634" s="236">
        <f t="shared" si="25"/>
        <v>633</v>
      </c>
      <c r="C634" s="986">
        <v>45888</v>
      </c>
      <c r="G634" s="1000">
        <v>15459.03</v>
      </c>
      <c r="H634" s="999"/>
      <c r="I634" s="1020">
        <f t="shared" si="24"/>
        <v>-15459.03</v>
      </c>
      <c r="J634" s="1000">
        <v>154148300.44</v>
      </c>
      <c r="K634" s="1026" t="s">
        <v>2953</v>
      </c>
      <c r="L634" s="1005" t="s">
        <v>3717</v>
      </c>
      <c r="N634" s="15" t="s">
        <v>3918</v>
      </c>
    </row>
    <row r="635" spans="1:14" ht="15" hidden="1">
      <c r="A635" s="236">
        <f t="shared" si="25"/>
        <v>634</v>
      </c>
      <c r="C635" s="986">
        <v>45888</v>
      </c>
      <c r="G635" s="1000">
        <v>264054.90999999997</v>
      </c>
      <c r="H635" s="999"/>
      <c r="I635" s="1020">
        <f t="shared" si="24"/>
        <v>-264054.90999999997</v>
      </c>
      <c r="J635" s="1000">
        <v>153884245.53</v>
      </c>
      <c r="K635" s="1026" t="s">
        <v>2954</v>
      </c>
      <c r="L635" s="1005" t="s">
        <v>3717</v>
      </c>
      <c r="N635" s="15" t="s">
        <v>3918</v>
      </c>
    </row>
    <row r="636" spans="1:14" ht="15" hidden="1">
      <c r="A636" s="236">
        <f t="shared" si="25"/>
        <v>635</v>
      </c>
      <c r="C636" s="986">
        <v>45888</v>
      </c>
      <c r="G636" s="1000">
        <v>20357.419999999998</v>
      </c>
      <c r="H636" s="999"/>
      <c r="I636" s="1020">
        <f t="shared" si="24"/>
        <v>-20357.419999999998</v>
      </c>
      <c r="J636" s="1000">
        <v>153863888.11000001</v>
      </c>
      <c r="K636" s="1026" t="s">
        <v>2955</v>
      </c>
      <c r="L636" s="1005" t="s">
        <v>3717</v>
      </c>
      <c r="N636" s="15" t="s">
        <v>3918</v>
      </c>
    </row>
    <row r="637" spans="1:14" ht="15" hidden="1">
      <c r="A637" s="236">
        <f t="shared" si="25"/>
        <v>636</v>
      </c>
      <c r="C637" s="986">
        <v>45889</v>
      </c>
      <c r="G637" s="1000">
        <v>385527.87</v>
      </c>
      <c r="H637" s="999"/>
      <c r="I637" s="1020">
        <f t="shared" si="24"/>
        <v>-385527.87</v>
      </c>
      <c r="J637" s="1000">
        <v>153478360.24000001</v>
      </c>
      <c r="K637" s="1026" t="s">
        <v>2956</v>
      </c>
      <c r="L637" s="1005" t="s">
        <v>702</v>
      </c>
      <c r="N637" s="15" t="s">
        <v>3917</v>
      </c>
    </row>
    <row r="638" spans="1:14" ht="15" hidden="1">
      <c r="A638" s="236">
        <f t="shared" si="25"/>
        <v>637</v>
      </c>
      <c r="C638" s="986">
        <v>45889</v>
      </c>
      <c r="G638" s="1000">
        <v>1109070</v>
      </c>
      <c r="H638" s="999"/>
      <c r="I638" s="1020">
        <f t="shared" si="24"/>
        <v>-1109070</v>
      </c>
      <c r="J638" s="1000">
        <v>152369290.24000001</v>
      </c>
      <c r="K638" s="1026" t="s">
        <v>2957</v>
      </c>
      <c r="L638" s="1005" t="s">
        <v>702</v>
      </c>
      <c r="N638" s="15" t="s">
        <v>3917</v>
      </c>
    </row>
    <row r="639" spans="1:14" ht="15" hidden="1">
      <c r="A639" s="236">
        <f t="shared" si="25"/>
        <v>638</v>
      </c>
      <c r="C639" s="986">
        <v>45889</v>
      </c>
      <c r="G639" s="1000">
        <v>385527.87</v>
      </c>
      <c r="H639" s="999"/>
      <c r="I639" s="1020">
        <f t="shared" si="24"/>
        <v>-385527.87</v>
      </c>
      <c r="J639" s="1000">
        <v>151983762.37</v>
      </c>
      <c r="K639" s="1026" t="s">
        <v>2958</v>
      </c>
      <c r="L639" s="1005" t="s">
        <v>702</v>
      </c>
      <c r="N639" s="15" t="s">
        <v>3917</v>
      </c>
    </row>
    <row r="640" spans="1:14" ht="15" hidden="1">
      <c r="A640" s="236">
        <f t="shared" si="25"/>
        <v>639</v>
      </c>
      <c r="C640" s="986">
        <v>45889</v>
      </c>
      <c r="G640" s="1000">
        <v>233778.68</v>
      </c>
      <c r="H640" s="999"/>
      <c r="I640" s="1020">
        <f t="shared" si="24"/>
        <v>-233778.68</v>
      </c>
      <c r="J640" s="1000">
        <v>151749983.69</v>
      </c>
      <c r="K640" s="1026" t="s">
        <v>2959</v>
      </c>
      <c r="L640" s="1005" t="s">
        <v>702</v>
      </c>
      <c r="N640" s="15" t="s">
        <v>3917</v>
      </c>
    </row>
    <row r="641" spans="1:14" ht="15" hidden="1">
      <c r="A641" s="236">
        <f t="shared" si="25"/>
        <v>640</v>
      </c>
      <c r="C641" s="986">
        <v>45889</v>
      </c>
      <c r="G641" s="1000">
        <v>53523.19</v>
      </c>
      <c r="H641" s="999"/>
      <c r="I641" s="1020">
        <f t="shared" si="24"/>
        <v>-53523.19</v>
      </c>
      <c r="J641" s="1000">
        <v>151696460.5</v>
      </c>
      <c r="K641" s="1026" t="s">
        <v>2960</v>
      </c>
      <c r="L641" s="1005" t="s">
        <v>702</v>
      </c>
      <c r="N641" s="15" t="s">
        <v>3917</v>
      </c>
    </row>
    <row r="642" spans="1:14" ht="15" hidden="1">
      <c r="A642" s="236">
        <f t="shared" si="25"/>
        <v>641</v>
      </c>
      <c r="C642" s="986">
        <v>45889</v>
      </c>
      <c r="G642" s="1000">
        <v>385527.87</v>
      </c>
      <c r="H642" s="999"/>
      <c r="I642" s="1020">
        <f t="shared" si="24"/>
        <v>-385527.87</v>
      </c>
      <c r="J642" s="1000">
        <v>151310932.63</v>
      </c>
      <c r="K642" s="1026" t="s">
        <v>2961</v>
      </c>
      <c r="L642" s="1005" t="s">
        <v>702</v>
      </c>
      <c r="N642" s="15" t="s">
        <v>3917</v>
      </c>
    </row>
    <row r="643" spans="1:14" ht="15" hidden="1">
      <c r="A643" s="236">
        <f t="shared" si="25"/>
        <v>642</v>
      </c>
      <c r="C643" s="987">
        <v>45889</v>
      </c>
      <c r="G643" s="999">
        <v>590</v>
      </c>
      <c r="H643" s="999"/>
      <c r="I643" s="1020">
        <f t="shared" si="24"/>
        <v>-590</v>
      </c>
      <c r="J643" s="1000">
        <v>151310342.63</v>
      </c>
      <c r="K643" s="1026" t="s">
        <v>2962</v>
      </c>
      <c r="L643" s="1005" t="s">
        <v>542</v>
      </c>
      <c r="N643" s="15" t="s">
        <v>3917</v>
      </c>
    </row>
    <row r="644" spans="1:14" ht="15" hidden="1">
      <c r="A644" s="236">
        <f t="shared" si="25"/>
        <v>643</v>
      </c>
      <c r="C644" s="986">
        <v>45889</v>
      </c>
      <c r="G644" s="1000">
        <v>1180</v>
      </c>
      <c r="H644" s="999"/>
      <c r="I644" s="1020">
        <f t="shared" ref="I644:I707" si="26">H644-G644</f>
        <v>-1180</v>
      </c>
      <c r="J644" s="1000">
        <v>151309162.63</v>
      </c>
      <c r="K644" s="1026" t="s">
        <v>2963</v>
      </c>
      <c r="L644" s="1005" t="s">
        <v>3726</v>
      </c>
      <c r="N644" s="15" t="s">
        <v>3917</v>
      </c>
    </row>
    <row r="645" spans="1:14" ht="15" hidden="1">
      <c r="A645" s="236">
        <f t="shared" ref="A645:A708" si="27">A644+1</f>
        <v>644</v>
      </c>
      <c r="C645" s="986">
        <v>45889</v>
      </c>
      <c r="G645" s="1010">
        <v>3090489</v>
      </c>
      <c r="H645" s="999"/>
      <c r="I645" s="1020">
        <f t="shared" si="26"/>
        <v>-3090489</v>
      </c>
      <c r="J645" s="1000">
        <v>148218673.63</v>
      </c>
      <c r="K645" s="1026" t="s">
        <v>2964</v>
      </c>
      <c r="L645" s="1005" t="s">
        <v>984</v>
      </c>
      <c r="N645" s="15" t="s">
        <v>3917</v>
      </c>
    </row>
    <row r="646" spans="1:14" ht="15" hidden="1">
      <c r="A646" s="236">
        <f t="shared" si="27"/>
        <v>645</v>
      </c>
      <c r="C646" s="986">
        <v>45889</v>
      </c>
      <c r="G646" s="1011">
        <v>24800000</v>
      </c>
      <c r="H646" s="999"/>
      <c r="I646" s="1020">
        <f t="shared" si="26"/>
        <v>-24800000</v>
      </c>
      <c r="J646" s="1000">
        <v>123418673.63</v>
      </c>
      <c r="K646" s="1026" t="s">
        <v>2965</v>
      </c>
      <c r="L646" s="1005" t="s">
        <v>3719</v>
      </c>
      <c r="N646" s="15" t="s">
        <v>3917</v>
      </c>
    </row>
    <row r="647" spans="1:14" ht="15" hidden="1">
      <c r="A647" s="236">
        <f t="shared" si="27"/>
        <v>646</v>
      </c>
      <c r="C647" s="986">
        <v>45889</v>
      </c>
      <c r="G647" s="1000">
        <v>7000000</v>
      </c>
      <c r="H647" s="999"/>
      <c r="I647" s="1020">
        <f t="shared" si="26"/>
        <v>-7000000</v>
      </c>
      <c r="J647" s="1000">
        <v>116418673.63</v>
      </c>
      <c r="K647" s="1026" t="s">
        <v>2966</v>
      </c>
      <c r="L647" s="1005" t="s">
        <v>3722</v>
      </c>
      <c r="N647" s="15" t="s">
        <v>3917</v>
      </c>
    </row>
    <row r="648" spans="1:14" ht="15" hidden="1">
      <c r="A648" s="236">
        <f t="shared" si="27"/>
        <v>647</v>
      </c>
      <c r="C648" s="986">
        <v>45889</v>
      </c>
      <c r="G648" s="1000">
        <v>5000000</v>
      </c>
      <c r="H648" s="999"/>
      <c r="I648" s="1020">
        <f t="shared" si="26"/>
        <v>-5000000</v>
      </c>
      <c r="J648" s="1000">
        <v>111418673.63</v>
      </c>
      <c r="K648" s="1026" t="s">
        <v>2967</v>
      </c>
      <c r="L648" s="1005" t="s">
        <v>3722</v>
      </c>
      <c r="N648" s="15" t="s">
        <v>3917</v>
      </c>
    </row>
    <row r="649" spans="1:14" ht="15" hidden="1">
      <c r="A649" s="236">
        <f t="shared" si="27"/>
        <v>648</v>
      </c>
      <c r="C649" s="986">
        <v>45889</v>
      </c>
      <c r="G649" s="1000">
        <v>7500000</v>
      </c>
      <c r="H649" s="999"/>
      <c r="I649" s="1020">
        <f t="shared" si="26"/>
        <v>-7500000</v>
      </c>
      <c r="J649" s="1000">
        <v>103918673.63</v>
      </c>
      <c r="K649" s="1026" t="s">
        <v>2968</v>
      </c>
      <c r="L649" s="1005" t="s">
        <v>3722</v>
      </c>
      <c r="N649" s="15" t="s">
        <v>3917</v>
      </c>
    </row>
    <row r="650" spans="1:14" ht="15" hidden="1">
      <c r="A650" s="236">
        <f t="shared" si="27"/>
        <v>649</v>
      </c>
      <c r="C650" s="986">
        <v>45889</v>
      </c>
      <c r="G650" s="1000">
        <v>800000</v>
      </c>
      <c r="H650" s="999"/>
      <c r="I650" s="1020">
        <f t="shared" si="26"/>
        <v>-800000</v>
      </c>
      <c r="J650" s="1000">
        <v>103118673.63</v>
      </c>
      <c r="K650" s="1026" t="s">
        <v>2969</v>
      </c>
      <c r="L650" s="1005" t="s">
        <v>3722</v>
      </c>
      <c r="N650" s="15" t="s">
        <v>3917</v>
      </c>
    </row>
    <row r="651" spans="1:14" ht="15" hidden="1">
      <c r="A651" s="236">
        <f t="shared" si="27"/>
        <v>650</v>
      </c>
      <c r="C651" s="986">
        <v>45889</v>
      </c>
      <c r="G651" s="1000">
        <v>6800000</v>
      </c>
      <c r="H651" s="999"/>
      <c r="I651" s="1020">
        <f t="shared" si="26"/>
        <v>-6800000</v>
      </c>
      <c r="J651" s="1000">
        <v>96318673.629999995</v>
      </c>
      <c r="K651" s="1026" t="s">
        <v>2970</v>
      </c>
      <c r="L651" s="1005" t="s">
        <v>3722</v>
      </c>
      <c r="N651" s="15" t="s">
        <v>3917</v>
      </c>
    </row>
    <row r="652" spans="1:14" ht="15" hidden="1">
      <c r="A652" s="236">
        <f t="shared" si="27"/>
        <v>651</v>
      </c>
      <c r="C652" s="986">
        <v>45889</v>
      </c>
      <c r="G652" s="1000">
        <v>700000</v>
      </c>
      <c r="H652" s="999"/>
      <c r="I652" s="1020">
        <f t="shared" si="26"/>
        <v>-700000</v>
      </c>
      <c r="J652" s="1000">
        <v>95618673.629999995</v>
      </c>
      <c r="K652" s="1026" t="s">
        <v>2971</v>
      </c>
      <c r="L652" s="1005" t="s">
        <v>3722</v>
      </c>
      <c r="N652" s="15" t="s">
        <v>3917</v>
      </c>
    </row>
    <row r="653" spans="1:14" ht="15" hidden="1">
      <c r="A653" s="236">
        <f t="shared" si="27"/>
        <v>652</v>
      </c>
      <c r="C653" s="986">
        <v>45889</v>
      </c>
      <c r="G653" s="1000">
        <v>10000000</v>
      </c>
      <c r="H653" s="999"/>
      <c r="I653" s="1020">
        <f t="shared" si="26"/>
        <v>-10000000</v>
      </c>
      <c r="J653" s="1000">
        <v>85618673.629999995</v>
      </c>
      <c r="K653" s="1026" t="s">
        <v>2972</v>
      </c>
      <c r="L653" s="1005" t="s">
        <v>3722</v>
      </c>
      <c r="N653" s="15" t="s">
        <v>3917</v>
      </c>
    </row>
    <row r="654" spans="1:14" ht="15" hidden="1">
      <c r="A654" s="236">
        <f t="shared" si="27"/>
        <v>653</v>
      </c>
      <c r="C654" s="986">
        <v>45889</v>
      </c>
      <c r="G654" s="999"/>
      <c r="H654" s="1000">
        <v>700000</v>
      </c>
      <c r="I654" s="1020">
        <f t="shared" si="26"/>
        <v>700000</v>
      </c>
      <c r="J654" s="1000">
        <v>86318673.629999995</v>
      </c>
      <c r="K654" s="1026" t="s">
        <v>2973</v>
      </c>
      <c r="L654" s="1198" t="s">
        <v>3723</v>
      </c>
      <c r="N654" s="15" t="s">
        <v>3917</v>
      </c>
    </row>
    <row r="655" spans="1:14" ht="15" hidden="1">
      <c r="A655" s="236">
        <f t="shared" si="27"/>
        <v>654</v>
      </c>
      <c r="C655" s="986">
        <v>45889</v>
      </c>
      <c r="G655" s="999"/>
      <c r="H655" s="1012">
        <v>22702737</v>
      </c>
      <c r="I655" s="1020">
        <f t="shared" si="26"/>
        <v>22702737</v>
      </c>
      <c r="J655" s="1000">
        <v>109021410.63</v>
      </c>
      <c r="K655" s="1026" t="s">
        <v>2974</v>
      </c>
      <c r="L655" s="1196" t="s">
        <v>3723</v>
      </c>
      <c r="N655" s="15" t="s">
        <v>3917</v>
      </c>
    </row>
    <row r="656" spans="1:14" ht="15" hidden="1">
      <c r="A656" s="236">
        <f t="shared" si="27"/>
        <v>655</v>
      </c>
      <c r="C656" s="986">
        <v>45889</v>
      </c>
      <c r="G656" s="999"/>
      <c r="H656" s="1012">
        <v>13412891</v>
      </c>
      <c r="I656" s="1020">
        <f t="shared" si="26"/>
        <v>13412891</v>
      </c>
      <c r="J656" s="1000">
        <v>122434301.63</v>
      </c>
      <c r="K656" s="1026" t="s">
        <v>2975</v>
      </c>
      <c r="L656" s="1196" t="s">
        <v>3723</v>
      </c>
      <c r="N656" s="15" t="s">
        <v>3917</v>
      </c>
    </row>
    <row r="657" spans="1:14" ht="15" hidden="1">
      <c r="A657" s="236">
        <f t="shared" si="27"/>
        <v>656</v>
      </c>
      <c r="C657" s="984">
        <v>45890</v>
      </c>
      <c r="G657" s="1013">
        <v>403036.97</v>
      </c>
      <c r="H657" s="1013"/>
      <c r="I657" s="1020">
        <f t="shared" si="26"/>
        <v>-403036.97</v>
      </c>
      <c r="J657" s="1013">
        <v>122031264.66</v>
      </c>
      <c r="K657" s="1022" t="s">
        <v>2976</v>
      </c>
      <c r="L657" s="1005" t="s">
        <v>702</v>
      </c>
      <c r="N657" s="15" t="s">
        <v>3917</v>
      </c>
    </row>
    <row r="658" spans="1:14" ht="15" hidden="1">
      <c r="A658" s="236">
        <f t="shared" si="27"/>
        <v>657</v>
      </c>
      <c r="C658" s="984">
        <v>45890</v>
      </c>
      <c r="G658" s="1013">
        <v>399268.2</v>
      </c>
      <c r="H658" s="1013"/>
      <c r="I658" s="1020">
        <f t="shared" si="26"/>
        <v>-399268.2</v>
      </c>
      <c r="J658" s="1013">
        <v>121631996.45999999</v>
      </c>
      <c r="K658" s="1022" t="s">
        <v>2977</v>
      </c>
      <c r="L658" s="1005" t="s">
        <v>702</v>
      </c>
      <c r="N658" s="15" t="s">
        <v>3917</v>
      </c>
    </row>
    <row r="659" spans="1:14" ht="15" hidden="1">
      <c r="A659" s="236">
        <f t="shared" si="27"/>
        <v>658</v>
      </c>
      <c r="C659" s="984">
        <v>45890</v>
      </c>
      <c r="G659" s="1013">
        <v>399268.2</v>
      </c>
      <c r="H659" s="1013"/>
      <c r="I659" s="1020">
        <f t="shared" si="26"/>
        <v>-399268.2</v>
      </c>
      <c r="J659" s="1013">
        <v>121232728.26000001</v>
      </c>
      <c r="K659" s="1022" t="s">
        <v>2978</v>
      </c>
      <c r="L659" s="1005" t="s">
        <v>702</v>
      </c>
      <c r="N659" s="15" t="s">
        <v>3917</v>
      </c>
    </row>
    <row r="660" spans="1:14" ht="15" hidden="1">
      <c r="A660" s="236">
        <f t="shared" si="27"/>
        <v>659</v>
      </c>
      <c r="C660" s="984">
        <v>45890</v>
      </c>
      <c r="G660" s="1013">
        <v>399268.2</v>
      </c>
      <c r="H660" s="1013"/>
      <c r="I660" s="1020">
        <f t="shared" si="26"/>
        <v>-399268.2</v>
      </c>
      <c r="J660" s="1013">
        <v>120833460.06</v>
      </c>
      <c r="K660" s="1022" t="s">
        <v>2979</v>
      </c>
      <c r="L660" s="1005" t="s">
        <v>702</v>
      </c>
      <c r="N660" s="15" t="s">
        <v>3917</v>
      </c>
    </row>
    <row r="661" spans="1:14" ht="15" hidden="1">
      <c r="A661" s="236">
        <f t="shared" si="27"/>
        <v>660</v>
      </c>
      <c r="C661" s="984">
        <v>45890</v>
      </c>
      <c r="G661" s="1013">
        <v>370708.47999999998</v>
      </c>
      <c r="H661" s="1013"/>
      <c r="I661" s="1020">
        <f t="shared" si="26"/>
        <v>-370708.47999999998</v>
      </c>
      <c r="J661" s="1013">
        <v>120462751.58</v>
      </c>
      <c r="K661" s="1022" t="s">
        <v>2980</v>
      </c>
      <c r="L661" s="1005" t="s">
        <v>702</v>
      </c>
      <c r="N661" s="15" t="s">
        <v>3917</v>
      </c>
    </row>
    <row r="662" spans="1:14" ht="15" hidden="1">
      <c r="A662" s="236">
        <f t="shared" si="27"/>
        <v>661</v>
      </c>
      <c r="C662" s="984">
        <v>45890</v>
      </c>
      <c r="G662" s="1013">
        <v>370708.47999999998</v>
      </c>
      <c r="H662" s="1013"/>
      <c r="I662" s="1020">
        <f t="shared" si="26"/>
        <v>-370708.47999999998</v>
      </c>
      <c r="J662" s="1013">
        <v>120092043.09999999</v>
      </c>
      <c r="K662" s="1022" t="s">
        <v>2981</v>
      </c>
      <c r="L662" s="1005" t="s">
        <v>702</v>
      </c>
      <c r="N662" s="15" t="s">
        <v>3917</v>
      </c>
    </row>
    <row r="663" spans="1:14" ht="15" hidden="1">
      <c r="A663" s="236">
        <f t="shared" si="27"/>
        <v>662</v>
      </c>
      <c r="C663" s="984">
        <v>45890</v>
      </c>
      <c r="G663" s="1013">
        <v>370708.47999999998</v>
      </c>
      <c r="H663" s="1013"/>
      <c r="I663" s="1020">
        <f t="shared" si="26"/>
        <v>-370708.47999999998</v>
      </c>
      <c r="J663" s="1013">
        <v>119721334.62</v>
      </c>
      <c r="K663" s="1022" t="s">
        <v>2982</v>
      </c>
      <c r="L663" s="1005" t="s">
        <v>702</v>
      </c>
      <c r="N663" s="15" t="s">
        <v>3917</v>
      </c>
    </row>
    <row r="664" spans="1:14" ht="15" hidden="1">
      <c r="A664" s="236">
        <f t="shared" si="27"/>
        <v>663</v>
      </c>
      <c r="C664" s="984">
        <v>45890</v>
      </c>
      <c r="G664" s="1013">
        <v>399268.2</v>
      </c>
      <c r="H664" s="1013"/>
      <c r="I664" s="1020">
        <f t="shared" si="26"/>
        <v>-399268.2</v>
      </c>
      <c r="J664" s="1013">
        <v>119322066.42</v>
      </c>
      <c r="K664" s="1022" t="s">
        <v>2983</v>
      </c>
      <c r="L664" s="1005" t="s">
        <v>702</v>
      </c>
      <c r="N664" s="15" t="s">
        <v>3917</v>
      </c>
    </row>
    <row r="665" spans="1:14" ht="15" hidden="1">
      <c r="A665" s="236">
        <f t="shared" si="27"/>
        <v>664</v>
      </c>
      <c r="C665" s="984">
        <v>45890</v>
      </c>
      <c r="G665" s="1013">
        <v>370708.47999999998</v>
      </c>
      <c r="H665" s="1013"/>
      <c r="I665" s="1020">
        <f t="shared" si="26"/>
        <v>-370708.47999999998</v>
      </c>
      <c r="J665" s="1013">
        <v>118951357.94</v>
      </c>
      <c r="K665" s="1022" t="s">
        <v>2984</v>
      </c>
      <c r="L665" s="1005" t="s">
        <v>702</v>
      </c>
      <c r="N665" s="15" t="s">
        <v>3917</v>
      </c>
    </row>
    <row r="666" spans="1:14" ht="15" hidden="1">
      <c r="A666" s="236">
        <f t="shared" si="27"/>
        <v>665</v>
      </c>
      <c r="C666" s="984">
        <v>45890</v>
      </c>
      <c r="G666" s="1013">
        <v>370708.47999999998</v>
      </c>
      <c r="H666" s="1013"/>
      <c r="I666" s="1020">
        <f t="shared" si="26"/>
        <v>-370708.47999999998</v>
      </c>
      <c r="J666" s="1013">
        <v>118580649.45999999</v>
      </c>
      <c r="K666" s="1022" t="s">
        <v>2985</v>
      </c>
      <c r="L666" s="1005" t="s">
        <v>702</v>
      </c>
      <c r="N666" s="15" t="s">
        <v>3917</v>
      </c>
    </row>
    <row r="667" spans="1:14" ht="15" hidden="1">
      <c r="A667" s="236">
        <f t="shared" si="27"/>
        <v>666</v>
      </c>
      <c r="C667" s="984">
        <v>45890</v>
      </c>
      <c r="G667" s="1013">
        <v>363670.09</v>
      </c>
      <c r="H667" s="1013"/>
      <c r="I667" s="1020">
        <f t="shared" si="26"/>
        <v>-363670.09</v>
      </c>
      <c r="J667" s="1013">
        <v>118216979.37</v>
      </c>
      <c r="K667" s="1022" t="s">
        <v>2986</v>
      </c>
      <c r="L667" s="1005" t="s">
        <v>702</v>
      </c>
      <c r="N667" s="15" t="s">
        <v>3917</v>
      </c>
    </row>
    <row r="668" spans="1:14" ht="15" hidden="1">
      <c r="A668" s="236">
        <f t="shared" si="27"/>
        <v>667</v>
      </c>
      <c r="C668" s="984">
        <v>45890</v>
      </c>
      <c r="G668" s="1013">
        <v>363670.09</v>
      </c>
      <c r="H668" s="1013"/>
      <c r="I668" s="1020">
        <f t="shared" si="26"/>
        <v>-363670.09</v>
      </c>
      <c r="J668" s="1013">
        <v>117853309.28</v>
      </c>
      <c r="K668" s="1022" t="s">
        <v>2987</v>
      </c>
      <c r="L668" s="1005" t="s">
        <v>702</v>
      </c>
      <c r="N668" s="15" t="s">
        <v>3917</v>
      </c>
    </row>
    <row r="669" spans="1:14" ht="15" hidden="1">
      <c r="A669" s="236">
        <f t="shared" si="27"/>
        <v>668</v>
      </c>
      <c r="C669" s="984">
        <v>45890</v>
      </c>
      <c r="G669" s="1013">
        <v>363670.09</v>
      </c>
      <c r="H669" s="1013"/>
      <c r="I669" s="1020">
        <f t="shared" si="26"/>
        <v>-363670.09</v>
      </c>
      <c r="J669" s="1013">
        <v>117489639.19</v>
      </c>
      <c r="K669" s="1022" t="s">
        <v>2988</v>
      </c>
      <c r="L669" s="1005" t="s">
        <v>702</v>
      </c>
      <c r="N669" s="15" t="s">
        <v>3917</v>
      </c>
    </row>
    <row r="670" spans="1:14" ht="15" hidden="1">
      <c r="A670" s="236">
        <f t="shared" si="27"/>
        <v>669</v>
      </c>
      <c r="C670" s="984">
        <v>45890</v>
      </c>
      <c r="G670" s="1013">
        <v>244252.76</v>
      </c>
      <c r="H670" s="1013"/>
      <c r="I670" s="1020">
        <f t="shared" si="26"/>
        <v>-244252.76</v>
      </c>
      <c r="J670" s="1013">
        <v>117245386.43000001</v>
      </c>
      <c r="K670" s="1022" t="s">
        <v>2989</v>
      </c>
      <c r="L670" s="1005" t="s">
        <v>702</v>
      </c>
      <c r="N670" s="15" t="s">
        <v>3917</v>
      </c>
    </row>
    <row r="671" spans="1:14" ht="15" hidden="1">
      <c r="A671" s="236">
        <f t="shared" si="27"/>
        <v>670</v>
      </c>
      <c r="C671" s="984">
        <v>45890</v>
      </c>
      <c r="G671" s="1013">
        <v>244252.76</v>
      </c>
      <c r="H671" s="1013"/>
      <c r="I671" s="1020">
        <f t="shared" si="26"/>
        <v>-244252.76</v>
      </c>
      <c r="J671" s="1013">
        <v>117001133.67</v>
      </c>
      <c r="K671" s="1022" t="s">
        <v>2990</v>
      </c>
      <c r="L671" s="1005" t="s">
        <v>702</v>
      </c>
      <c r="N671" s="15" t="s">
        <v>3917</v>
      </c>
    </row>
    <row r="672" spans="1:14" ht="15" hidden="1">
      <c r="A672" s="236">
        <f t="shared" si="27"/>
        <v>671</v>
      </c>
      <c r="C672" s="984">
        <v>45890</v>
      </c>
      <c r="G672" s="1013">
        <v>131891.76</v>
      </c>
      <c r="H672" s="1013"/>
      <c r="I672" s="1020">
        <f t="shared" si="26"/>
        <v>-131891.76</v>
      </c>
      <c r="J672" s="1013">
        <v>116869241.91</v>
      </c>
      <c r="K672" s="1022" t="s">
        <v>2991</v>
      </c>
      <c r="L672" s="1005" t="s">
        <v>702</v>
      </c>
      <c r="N672" s="15" t="s">
        <v>3917</v>
      </c>
    </row>
    <row r="673" spans="1:14" ht="15" hidden="1">
      <c r="A673" s="236">
        <f t="shared" si="27"/>
        <v>672</v>
      </c>
      <c r="C673" s="984">
        <v>45890</v>
      </c>
      <c r="G673" s="1013">
        <v>244252.76</v>
      </c>
      <c r="H673" s="1013"/>
      <c r="I673" s="1020">
        <f t="shared" si="26"/>
        <v>-244252.76</v>
      </c>
      <c r="J673" s="1013">
        <v>116624989.15000001</v>
      </c>
      <c r="K673" s="1022" t="s">
        <v>2992</v>
      </c>
      <c r="L673" s="1005" t="s">
        <v>702</v>
      </c>
      <c r="N673" s="15" t="s">
        <v>3917</v>
      </c>
    </row>
    <row r="674" spans="1:14" ht="15" hidden="1">
      <c r="A674" s="236">
        <f t="shared" si="27"/>
        <v>673</v>
      </c>
      <c r="C674" s="984">
        <v>45890</v>
      </c>
      <c r="G674" s="1013">
        <v>183672.33</v>
      </c>
      <c r="H674" s="1013"/>
      <c r="I674" s="1020">
        <f t="shared" si="26"/>
        <v>-183672.33</v>
      </c>
      <c r="J674" s="1013">
        <v>116441316.81999999</v>
      </c>
      <c r="K674" s="1022" t="s">
        <v>2993</v>
      </c>
      <c r="L674" s="1005" t="s">
        <v>702</v>
      </c>
      <c r="N674" s="15" t="s">
        <v>3917</v>
      </c>
    </row>
    <row r="675" spans="1:14" ht="15" hidden="1">
      <c r="A675" s="236">
        <f t="shared" si="27"/>
        <v>674</v>
      </c>
      <c r="C675" s="984">
        <v>45890</v>
      </c>
      <c r="G675" s="1013">
        <v>403036.97</v>
      </c>
      <c r="H675" s="1013"/>
      <c r="I675" s="1020">
        <f t="shared" si="26"/>
        <v>-403036.97</v>
      </c>
      <c r="J675" s="1013">
        <v>116038279.84999999</v>
      </c>
      <c r="K675" s="1022" t="s">
        <v>2994</v>
      </c>
      <c r="L675" s="1005" t="s">
        <v>702</v>
      </c>
      <c r="N675" s="15" t="s">
        <v>3917</v>
      </c>
    </row>
    <row r="676" spans="1:14" ht="15" hidden="1">
      <c r="A676" s="236">
        <f t="shared" si="27"/>
        <v>675</v>
      </c>
      <c r="C676" s="984">
        <v>45890</v>
      </c>
      <c r="G676" s="1013">
        <v>30323.1</v>
      </c>
      <c r="H676" s="1013"/>
      <c r="I676" s="1020">
        <f t="shared" si="26"/>
        <v>-30323.1</v>
      </c>
      <c r="J676" s="1013">
        <v>116007956.75</v>
      </c>
      <c r="K676" s="1022" t="s">
        <v>2995</v>
      </c>
      <c r="L676" s="1005" t="s">
        <v>702</v>
      </c>
      <c r="N676" s="15" t="s">
        <v>3917</v>
      </c>
    </row>
    <row r="677" spans="1:14" ht="15" hidden="1">
      <c r="A677" s="236">
        <f t="shared" si="27"/>
        <v>676</v>
      </c>
      <c r="C677" s="984">
        <v>45890</v>
      </c>
      <c r="G677" s="1013">
        <v>403036.97</v>
      </c>
      <c r="H677" s="1013"/>
      <c r="I677" s="1020">
        <f t="shared" si="26"/>
        <v>-403036.97</v>
      </c>
      <c r="J677" s="1013">
        <v>115604919.78</v>
      </c>
      <c r="K677" s="1022" t="s">
        <v>2996</v>
      </c>
      <c r="L677" s="1005" t="s">
        <v>702</v>
      </c>
      <c r="N677" s="15" t="s">
        <v>3917</v>
      </c>
    </row>
    <row r="678" spans="1:14" ht="15" hidden="1">
      <c r="A678" s="236">
        <f t="shared" si="27"/>
        <v>677</v>
      </c>
      <c r="C678" s="984">
        <v>45890</v>
      </c>
      <c r="G678" s="1013">
        <v>3332.85</v>
      </c>
      <c r="H678" s="1013"/>
      <c r="I678" s="1020">
        <f t="shared" si="26"/>
        <v>-3332.85</v>
      </c>
      <c r="J678" s="1013">
        <v>115601586.93000001</v>
      </c>
      <c r="K678" s="1022" t="s">
        <v>2997</v>
      </c>
      <c r="L678" s="1005" t="s">
        <v>702</v>
      </c>
      <c r="N678" s="15" t="s">
        <v>3917</v>
      </c>
    </row>
    <row r="679" spans="1:14" ht="15" hidden="1">
      <c r="A679" s="236">
        <f t="shared" si="27"/>
        <v>678</v>
      </c>
      <c r="C679" s="988">
        <v>45890</v>
      </c>
      <c r="G679" s="1013">
        <v>620700</v>
      </c>
      <c r="H679" s="1013"/>
      <c r="I679" s="1020">
        <f t="shared" si="26"/>
        <v>-620700</v>
      </c>
      <c r="J679" s="1013">
        <v>114980886.93000001</v>
      </c>
      <c r="K679" s="1022" t="s">
        <v>2998</v>
      </c>
      <c r="L679" s="1005" t="s">
        <v>542</v>
      </c>
      <c r="N679" s="15" t="s">
        <v>3917</v>
      </c>
    </row>
    <row r="680" spans="1:14" ht="15" hidden="1">
      <c r="A680" s="236">
        <f t="shared" si="27"/>
        <v>679</v>
      </c>
      <c r="C680" s="988">
        <v>45890</v>
      </c>
      <c r="G680" s="1013">
        <v>1828.62</v>
      </c>
      <c r="H680" s="1013"/>
      <c r="I680" s="1020">
        <f t="shared" si="26"/>
        <v>-1828.62</v>
      </c>
      <c r="J680" s="1013">
        <v>114979058.31</v>
      </c>
      <c r="K680" s="1022" t="s">
        <v>2998</v>
      </c>
      <c r="L680" s="1005" t="s">
        <v>542</v>
      </c>
      <c r="N680" s="15" t="s">
        <v>3917</v>
      </c>
    </row>
    <row r="681" spans="1:14" ht="15" hidden="1">
      <c r="A681" s="236">
        <f t="shared" si="27"/>
        <v>680</v>
      </c>
      <c r="C681" s="988">
        <v>45890</v>
      </c>
      <c r="G681" s="1013">
        <v>100</v>
      </c>
      <c r="H681" s="1013"/>
      <c r="I681" s="1020">
        <f t="shared" si="26"/>
        <v>-100</v>
      </c>
      <c r="J681" s="1013">
        <v>114978958.31</v>
      </c>
      <c r="K681" s="1022" t="s">
        <v>2999</v>
      </c>
      <c r="L681" s="1005" t="s">
        <v>542</v>
      </c>
      <c r="N681" s="15" t="s">
        <v>3917</v>
      </c>
    </row>
    <row r="682" spans="1:14" ht="15" hidden="1">
      <c r="A682" s="236">
        <f t="shared" si="27"/>
        <v>681</v>
      </c>
      <c r="C682" s="984">
        <v>45890</v>
      </c>
      <c r="G682" s="1013">
        <v>1283017.05</v>
      </c>
      <c r="H682" s="1013"/>
      <c r="I682" s="1020">
        <f t="shared" si="26"/>
        <v>-1283017.05</v>
      </c>
      <c r="J682" s="1013">
        <v>113695941.26000001</v>
      </c>
      <c r="K682" s="1022" t="s">
        <v>3000</v>
      </c>
      <c r="L682" s="1005" t="s">
        <v>3726</v>
      </c>
      <c r="N682" s="15" t="s">
        <v>3917</v>
      </c>
    </row>
    <row r="683" spans="1:14" ht="15" hidden="1">
      <c r="A683" s="236">
        <f t="shared" si="27"/>
        <v>682</v>
      </c>
      <c r="C683" s="984">
        <v>45891</v>
      </c>
      <c r="G683" s="1003"/>
      <c r="H683" s="1003">
        <v>302.04000000000002</v>
      </c>
      <c r="I683" s="1020">
        <f t="shared" si="26"/>
        <v>302.04000000000002</v>
      </c>
      <c r="J683" s="1004">
        <v>113696243.3</v>
      </c>
      <c r="K683" s="1022" t="s">
        <v>3001</v>
      </c>
      <c r="L683" s="1005" t="s">
        <v>3721</v>
      </c>
      <c r="N683" s="15" t="s">
        <v>3917</v>
      </c>
    </row>
    <row r="684" spans="1:14" ht="15" hidden="1">
      <c r="A684" s="236">
        <f t="shared" si="27"/>
        <v>683</v>
      </c>
      <c r="C684" s="984">
        <v>45891</v>
      </c>
      <c r="G684" s="1004">
        <v>438762.35</v>
      </c>
      <c r="H684" s="1003"/>
      <c r="I684" s="1020">
        <f t="shared" si="26"/>
        <v>-438762.35</v>
      </c>
      <c r="J684" s="1004">
        <v>113257480.95</v>
      </c>
      <c r="K684" s="1022" t="s">
        <v>3002</v>
      </c>
      <c r="L684" s="1005" t="s">
        <v>702</v>
      </c>
      <c r="N684" s="15" t="s">
        <v>3917</v>
      </c>
    </row>
    <row r="685" spans="1:14" ht="15" hidden="1">
      <c r="A685" s="236">
        <f t="shared" si="27"/>
        <v>684</v>
      </c>
      <c r="C685" s="984">
        <v>45891</v>
      </c>
      <c r="G685" s="1004">
        <v>438762.35</v>
      </c>
      <c r="H685" s="1003"/>
      <c r="I685" s="1020">
        <f t="shared" si="26"/>
        <v>-438762.35</v>
      </c>
      <c r="J685" s="1004">
        <v>112818718.59999999</v>
      </c>
      <c r="K685" s="1022" t="s">
        <v>3003</v>
      </c>
      <c r="L685" s="1005" t="s">
        <v>702</v>
      </c>
      <c r="N685" s="15" t="s">
        <v>3917</v>
      </c>
    </row>
    <row r="686" spans="1:14" ht="15" hidden="1">
      <c r="A686" s="236">
        <f t="shared" si="27"/>
        <v>685</v>
      </c>
      <c r="C686" s="984">
        <v>45891</v>
      </c>
      <c r="G686" s="1004">
        <v>1404291.78</v>
      </c>
      <c r="H686" s="1003"/>
      <c r="I686" s="1020">
        <f t="shared" si="26"/>
        <v>-1404291.78</v>
      </c>
      <c r="J686" s="1004">
        <v>111414426.81999999</v>
      </c>
      <c r="K686" s="1022" t="s">
        <v>3004</v>
      </c>
      <c r="L686" s="1005" t="s">
        <v>702</v>
      </c>
      <c r="N686" s="15" t="s">
        <v>3917</v>
      </c>
    </row>
    <row r="687" spans="1:14" ht="15" hidden="1">
      <c r="A687" s="236">
        <f t="shared" si="27"/>
        <v>686</v>
      </c>
      <c r="C687" s="988">
        <v>45891</v>
      </c>
      <c r="G687" s="1003">
        <v>115</v>
      </c>
      <c r="H687" s="1003"/>
      <c r="I687" s="1020">
        <f t="shared" si="26"/>
        <v>-115</v>
      </c>
      <c r="J687" s="1004">
        <v>111414311.81999999</v>
      </c>
      <c r="K687" s="1022" t="s">
        <v>3005</v>
      </c>
      <c r="L687" s="1005" t="s">
        <v>542</v>
      </c>
      <c r="N687" s="15" t="s">
        <v>3917</v>
      </c>
    </row>
    <row r="688" spans="1:14" ht="15.75" hidden="1">
      <c r="A688" s="236">
        <f t="shared" si="27"/>
        <v>687</v>
      </c>
      <c r="C688" s="989">
        <v>45891</v>
      </c>
      <c r="G688" s="1003"/>
      <c r="H688" s="1014">
        <v>14109260</v>
      </c>
      <c r="I688" s="1020">
        <f t="shared" si="26"/>
        <v>14109260</v>
      </c>
      <c r="J688" s="1004">
        <v>125523571.81999999</v>
      </c>
      <c r="K688" s="1022" t="s">
        <v>3006</v>
      </c>
      <c r="L688" s="1196" t="s">
        <v>3723</v>
      </c>
      <c r="N688" s="15" t="s">
        <v>3917</v>
      </c>
    </row>
    <row r="689" spans="1:14" ht="15" hidden="1">
      <c r="A689" s="236">
        <f t="shared" si="27"/>
        <v>688</v>
      </c>
      <c r="C689" s="990">
        <v>45892</v>
      </c>
      <c r="G689" s="1008"/>
      <c r="H689" s="1005"/>
      <c r="I689" s="1020">
        <f t="shared" si="26"/>
        <v>0</v>
      </c>
      <c r="J689" s="1004">
        <v>125523571.81999999</v>
      </c>
      <c r="K689" s="1024">
        <v>0</v>
      </c>
      <c r="L689" s="1196" t="s">
        <v>3723</v>
      </c>
      <c r="N689" s="15" t="s">
        <v>3917</v>
      </c>
    </row>
    <row r="690" spans="1:14" ht="15" hidden="1">
      <c r="A690" s="236">
        <f t="shared" si="27"/>
        <v>689</v>
      </c>
      <c r="C690" s="990">
        <f>C689+1</f>
        <v>45893</v>
      </c>
      <c r="G690" s="1008"/>
      <c r="H690" s="1005"/>
      <c r="I690" s="1020">
        <f t="shared" si="26"/>
        <v>0</v>
      </c>
      <c r="J690" s="1004">
        <v>125523571.81999999</v>
      </c>
      <c r="K690" s="1024">
        <v>0</v>
      </c>
      <c r="L690" s="1196" t="s">
        <v>3723</v>
      </c>
      <c r="N690" s="15" t="s">
        <v>3917</v>
      </c>
    </row>
    <row r="691" spans="1:14" ht="15.75">
      <c r="A691" s="236">
        <f t="shared" si="27"/>
        <v>690</v>
      </c>
      <c r="C691" s="991">
        <v>45894</v>
      </c>
      <c r="G691" s="994">
        <v>4000000</v>
      </c>
      <c r="H691" s="994"/>
      <c r="I691" s="1020">
        <f t="shared" si="26"/>
        <v>-4000000</v>
      </c>
      <c r="J691" s="994">
        <v>121523571.81999999</v>
      </c>
      <c r="K691" s="1022" t="s">
        <v>3007</v>
      </c>
      <c r="L691" s="1023" t="s">
        <v>3724</v>
      </c>
      <c r="N691" s="15" t="s">
        <v>3917</v>
      </c>
    </row>
    <row r="692" spans="1:14" ht="15" hidden="1">
      <c r="A692" s="236">
        <f t="shared" si="27"/>
        <v>691</v>
      </c>
      <c r="C692" s="984">
        <v>45894</v>
      </c>
      <c r="G692" s="994">
        <v>400162.18</v>
      </c>
      <c r="H692" s="994"/>
      <c r="I692" s="1020">
        <f t="shared" si="26"/>
        <v>-400162.18</v>
      </c>
      <c r="J692" s="994">
        <v>121123409.64</v>
      </c>
      <c r="K692" s="1022" t="s">
        <v>3008</v>
      </c>
      <c r="L692" s="1005" t="s">
        <v>702</v>
      </c>
      <c r="N692" s="15" t="s">
        <v>3917</v>
      </c>
    </row>
    <row r="693" spans="1:14" ht="15" hidden="1">
      <c r="A693" s="236">
        <f t="shared" si="27"/>
        <v>692</v>
      </c>
      <c r="C693" s="984">
        <v>45894</v>
      </c>
      <c r="G693" s="994">
        <v>36108</v>
      </c>
      <c r="H693" s="994"/>
      <c r="I693" s="1020">
        <f t="shared" si="26"/>
        <v>-36108</v>
      </c>
      <c r="J693" s="994">
        <v>121087301.64</v>
      </c>
      <c r="K693" s="1022" t="s">
        <v>3009</v>
      </c>
      <c r="L693" s="1005" t="s">
        <v>702</v>
      </c>
      <c r="N693" s="15" t="s">
        <v>3917</v>
      </c>
    </row>
    <row r="694" spans="1:14" ht="15" hidden="1">
      <c r="A694" s="236">
        <f t="shared" si="27"/>
        <v>693</v>
      </c>
      <c r="C694" s="984">
        <v>45894</v>
      </c>
      <c r="G694" s="994">
        <v>1110545.2</v>
      </c>
      <c r="H694" s="994"/>
      <c r="I694" s="1020">
        <f t="shared" si="26"/>
        <v>-1110545.2</v>
      </c>
      <c r="J694" s="994">
        <v>119976756.44</v>
      </c>
      <c r="K694" s="1022" t="s">
        <v>3010</v>
      </c>
      <c r="L694" s="1005" t="s">
        <v>702</v>
      </c>
      <c r="N694" s="15" t="s">
        <v>3917</v>
      </c>
    </row>
    <row r="695" spans="1:14" ht="15" hidden="1">
      <c r="A695" s="236">
        <f t="shared" si="27"/>
        <v>694</v>
      </c>
      <c r="C695" s="984">
        <v>45894</v>
      </c>
      <c r="G695" s="994">
        <v>22939.200000000001</v>
      </c>
      <c r="H695" s="994"/>
      <c r="I695" s="1020">
        <f t="shared" si="26"/>
        <v>-22939.200000000001</v>
      </c>
      <c r="J695" s="994">
        <v>119953817.23999999</v>
      </c>
      <c r="K695" s="1022" t="s">
        <v>3011</v>
      </c>
      <c r="L695" s="1005" t="s">
        <v>702</v>
      </c>
      <c r="N695" s="15" t="s">
        <v>3917</v>
      </c>
    </row>
    <row r="696" spans="1:14" ht="15" hidden="1">
      <c r="A696" s="236">
        <f t="shared" si="27"/>
        <v>695</v>
      </c>
      <c r="C696" s="984">
        <v>45894</v>
      </c>
      <c r="G696" s="994">
        <v>3719338.46</v>
      </c>
      <c r="H696" s="994"/>
      <c r="I696" s="1020">
        <f t="shared" si="26"/>
        <v>-3719338.46</v>
      </c>
      <c r="J696" s="994">
        <v>116234478.78</v>
      </c>
      <c r="K696" s="1022" t="s">
        <v>3012</v>
      </c>
      <c r="L696" s="1005" t="s">
        <v>702</v>
      </c>
      <c r="N696" s="15" t="s">
        <v>3917</v>
      </c>
    </row>
    <row r="697" spans="1:14" ht="15" hidden="1">
      <c r="A697" s="236">
        <f t="shared" si="27"/>
        <v>696</v>
      </c>
      <c r="C697" s="984">
        <v>45894</v>
      </c>
      <c r="G697" s="994">
        <v>3867676</v>
      </c>
      <c r="H697" s="994"/>
      <c r="I697" s="1020">
        <f t="shared" si="26"/>
        <v>-3867676</v>
      </c>
      <c r="J697" s="994">
        <v>112366802.78</v>
      </c>
      <c r="K697" s="1022" t="s">
        <v>3013</v>
      </c>
      <c r="L697" s="1005" t="s">
        <v>702</v>
      </c>
      <c r="N697" s="15" t="s">
        <v>3917</v>
      </c>
    </row>
    <row r="698" spans="1:14" ht="15" hidden="1">
      <c r="A698" s="236">
        <f t="shared" si="27"/>
        <v>697</v>
      </c>
      <c r="C698" s="984">
        <v>45894</v>
      </c>
      <c r="G698" s="994">
        <v>1727052.95</v>
      </c>
      <c r="H698" s="994"/>
      <c r="I698" s="1020">
        <f t="shared" si="26"/>
        <v>-1727052.95</v>
      </c>
      <c r="J698" s="994">
        <v>110639749.83</v>
      </c>
      <c r="K698" s="1022" t="s">
        <v>3014</v>
      </c>
      <c r="L698" s="1005" t="s">
        <v>702</v>
      </c>
      <c r="N698" s="15" t="s">
        <v>3917</v>
      </c>
    </row>
    <row r="699" spans="1:14" ht="15" hidden="1">
      <c r="A699" s="236">
        <f t="shared" si="27"/>
        <v>698</v>
      </c>
      <c r="C699" s="984">
        <v>45894</v>
      </c>
      <c r="G699" s="994">
        <v>81162.52</v>
      </c>
      <c r="H699" s="994"/>
      <c r="I699" s="1020">
        <f t="shared" si="26"/>
        <v>-81162.52</v>
      </c>
      <c r="J699" s="994">
        <v>110558587.31</v>
      </c>
      <c r="K699" s="1022" t="s">
        <v>3015</v>
      </c>
      <c r="L699" s="1005" t="s">
        <v>702</v>
      </c>
      <c r="N699" s="15" t="s">
        <v>3917</v>
      </c>
    </row>
    <row r="700" spans="1:14" ht="15" hidden="1">
      <c r="A700" s="236">
        <f t="shared" si="27"/>
        <v>699</v>
      </c>
      <c r="C700" s="984">
        <v>45894</v>
      </c>
      <c r="G700" s="994">
        <v>30575.13</v>
      </c>
      <c r="H700" s="994"/>
      <c r="I700" s="1020">
        <f t="shared" si="26"/>
        <v>-30575.13</v>
      </c>
      <c r="J700" s="994">
        <v>110528012.18000001</v>
      </c>
      <c r="K700" s="1022" t="s">
        <v>3016</v>
      </c>
      <c r="L700" s="1005" t="s">
        <v>702</v>
      </c>
      <c r="N700" s="15" t="s">
        <v>3917</v>
      </c>
    </row>
    <row r="701" spans="1:14" ht="15" hidden="1">
      <c r="A701" s="236">
        <f t="shared" si="27"/>
        <v>700</v>
      </c>
      <c r="C701" s="984">
        <v>45894</v>
      </c>
      <c r="G701" s="994">
        <v>280.27999999999997</v>
      </c>
      <c r="H701" s="994"/>
      <c r="I701" s="1020">
        <f t="shared" si="26"/>
        <v>-280.27999999999997</v>
      </c>
      <c r="J701" s="994">
        <v>110527731.90000001</v>
      </c>
      <c r="K701" s="1022" t="s">
        <v>3017</v>
      </c>
      <c r="L701" s="1005" t="s">
        <v>702</v>
      </c>
      <c r="N701" s="15" t="s">
        <v>3917</v>
      </c>
    </row>
    <row r="702" spans="1:14" ht="15" hidden="1">
      <c r="A702" s="236">
        <f t="shared" si="27"/>
        <v>701</v>
      </c>
      <c r="C702" s="984">
        <v>45894</v>
      </c>
      <c r="G702" s="994">
        <v>19781.14</v>
      </c>
      <c r="H702" s="994"/>
      <c r="I702" s="1020">
        <f t="shared" si="26"/>
        <v>-19781.14</v>
      </c>
      <c r="J702" s="994">
        <v>110507950.76000001</v>
      </c>
      <c r="K702" s="1022" t="s">
        <v>3018</v>
      </c>
      <c r="L702" s="1005" t="s">
        <v>702</v>
      </c>
      <c r="N702" s="15" t="s">
        <v>3917</v>
      </c>
    </row>
    <row r="703" spans="1:14" ht="15" hidden="1">
      <c r="A703" s="236">
        <f t="shared" si="27"/>
        <v>702</v>
      </c>
      <c r="C703" s="984">
        <v>45894</v>
      </c>
      <c r="G703" s="994">
        <v>1538.52</v>
      </c>
      <c r="H703" s="994"/>
      <c r="I703" s="1020">
        <f t="shared" si="26"/>
        <v>-1538.52</v>
      </c>
      <c r="J703" s="994">
        <v>110506412.23999999</v>
      </c>
      <c r="K703" s="1022" t="s">
        <v>3019</v>
      </c>
      <c r="L703" s="1005" t="s">
        <v>702</v>
      </c>
      <c r="N703" s="15" t="s">
        <v>3917</v>
      </c>
    </row>
    <row r="704" spans="1:14" ht="15" hidden="1">
      <c r="A704" s="236">
        <f t="shared" si="27"/>
        <v>703</v>
      </c>
      <c r="C704" s="984">
        <v>45894</v>
      </c>
      <c r="G704" s="994">
        <v>400162.18</v>
      </c>
      <c r="H704" s="994"/>
      <c r="I704" s="1020">
        <f t="shared" si="26"/>
        <v>-400162.18</v>
      </c>
      <c r="J704" s="994">
        <v>110106250.06</v>
      </c>
      <c r="K704" s="1022" t="s">
        <v>3020</v>
      </c>
      <c r="L704" s="1005" t="s">
        <v>702</v>
      </c>
      <c r="N704" s="15" t="s">
        <v>3917</v>
      </c>
    </row>
    <row r="705" spans="1:14" ht="15" hidden="1">
      <c r="A705" s="236">
        <f t="shared" si="27"/>
        <v>704</v>
      </c>
      <c r="C705" s="984">
        <v>45894</v>
      </c>
      <c r="G705" s="994">
        <v>2207357</v>
      </c>
      <c r="H705" s="994"/>
      <c r="I705" s="1020">
        <f t="shared" si="26"/>
        <v>-2207357</v>
      </c>
      <c r="J705" s="994">
        <v>107898893.06</v>
      </c>
      <c r="K705" s="1022" t="s">
        <v>3021</v>
      </c>
      <c r="L705" s="1005" t="s">
        <v>702</v>
      </c>
      <c r="N705" s="15" t="s">
        <v>3917</v>
      </c>
    </row>
    <row r="706" spans="1:14" ht="15" hidden="1">
      <c r="A706" s="236">
        <f t="shared" si="27"/>
        <v>705</v>
      </c>
      <c r="C706" s="984">
        <v>45894</v>
      </c>
      <c r="G706" s="994">
        <v>9943132.8300000001</v>
      </c>
      <c r="H706" s="994"/>
      <c r="I706" s="1020">
        <f t="shared" si="26"/>
        <v>-9943132.8300000001</v>
      </c>
      <c r="J706" s="994">
        <v>97955760.230000004</v>
      </c>
      <c r="K706" s="1022" t="s">
        <v>3022</v>
      </c>
      <c r="L706" s="1005" t="s">
        <v>702</v>
      </c>
      <c r="N706" s="15" t="s">
        <v>3917</v>
      </c>
    </row>
    <row r="707" spans="1:14" ht="15" hidden="1">
      <c r="A707" s="236">
        <f t="shared" si="27"/>
        <v>706</v>
      </c>
      <c r="C707" s="984">
        <v>45894</v>
      </c>
      <c r="G707" s="994">
        <v>3739254.76</v>
      </c>
      <c r="H707" s="994"/>
      <c r="I707" s="1020">
        <f t="shared" si="26"/>
        <v>-3739254.76</v>
      </c>
      <c r="J707" s="994">
        <v>94216505.469999999</v>
      </c>
      <c r="K707" s="1022" t="s">
        <v>3023</v>
      </c>
      <c r="L707" s="1005" t="s">
        <v>702</v>
      </c>
      <c r="N707" s="15" t="s">
        <v>3917</v>
      </c>
    </row>
    <row r="708" spans="1:14" ht="15" hidden="1">
      <c r="A708" s="236">
        <f t="shared" si="27"/>
        <v>707</v>
      </c>
      <c r="C708" s="984">
        <v>45894</v>
      </c>
      <c r="G708" s="994">
        <v>1556164.31</v>
      </c>
      <c r="H708" s="994"/>
      <c r="I708" s="1020">
        <f t="shared" ref="I708:I771" si="28">H708-G708</f>
        <v>-1556164.31</v>
      </c>
      <c r="J708" s="994">
        <v>92660341.159999996</v>
      </c>
      <c r="K708" s="1022" t="s">
        <v>3024</v>
      </c>
      <c r="L708" s="1005" t="s">
        <v>702</v>
      </c>
      <c r="N708" s="15" t="s">
        <v>3917</v>
      </c>
    </row>
    <row r="709" spans="1:14" ht="15.75" hidden="1">
      <c r="A709" s="236">
        <f t="shared" ref="A709:A772" si="29">A708+1</f>
        <v>708</v>
      </c>
      <c r="C709" s="984">
        <v>45894</v>
      </c>
      <c r="G709" s="994">
        <v>64478308</v>
      </c>
      <c r="H709" s="994"/>
      <c r="I709" s="1020">
        <f t="shared" si="28"/>
        <v>-64478308</v>
      </c>
      <c r="J709" s="994">
        <v>28182033.16</v>
      </c>
      <c r="K709" s="1022" t="s">
        <v>3025</v>
      </c>
      <c r="L709" s="250" t="s">
        <v>3913</v>
      </c>
      <c r="N709" s="15" t="s">
        <v>3916</v>
      </c>
    </row>
    <row r="710" spans="1:14" ht="15" hidden="1">
      <c r="A710" s="236">
        <f t="shared" si="29"/>
        <v>709</v>
      </c>
      <c r="C710" s="984">
        <v>45894</v>
      </c>
      <c r="G710" s="994">
        <v>1150082.3899999999</v>
      </c>
      <c r="H710" s="994"/>
      <c r="I710" s="1020">
        <f t="shared" si="28"/>
        <v>-1150082.3899999999</v>
      </c>
      <c r="J710" s="994">
        <v>27031950.77</v>
      </c>
      <c r="K710" s="1022" t="s">
        <v>3026</v>
      </c>
      <c r="L710" s="1005" t="s">
        <v>3726</v>
      </c>
      <c r="N710" s="15" t="s">
        <v>3917</v>
      </c>
    </row>
    <row r="711" spans="1:14" ht="15" hidden="1">
      <c r="A711" s="236">
        <f t="shared" si="29"/>
        <v>710</v>
      </c>
      <c r="C711" s="984">
        <v>45894</v>
      </c>
      <c r="G711" s="994">
        <v>84381.36</v>
      </c>
      <c r="H711" s="994"/>
      <c r="I711" s="1020">
        <f t="shared" si="28"/>
        <v>-84381.36</v>
      </c>
      <c r="J711" s="994">
        <v>26947569.41</v>
      </c>
      <c r="K711" s="1022" t="s">
        <v>3027</v>
      </c>
      <c r="L711" s="1005" t="s">
        <v>3726</v>
      </c>
      <c r="N711" s="15" t="s">
        <v>3917</v>
      </c>
    </row>
    <row r="712" spans="1:14" ht="15" hidden="1">
      <c r="A712" s="236">
        <f t="shared" si="29"/>
        <v>711</v>
      </c>
      <c r="C712" s="988">
        <v>45894</v>
      </c>
      <c r="G712" s="994">
        <v>115</v>
      </c>
      <c r="H712" s="994"/>
      <c r="I712" s="1020">
        <f t="shared" si="28"/>
        <v>-115</v>
      </c>
      <c r="J712" s="994">
        <v>26947454.41</v>
      </c>
      <c r="K712" s="1022" t="s">
        <v>3028</v>
      </c>
      <c r="L712" s="1005" t="s">
        <v>542</v>
      </c>
      <c r="N712" s="15" t="s">
        <v>3917</v>
      </c>
    </row>
    <row r="713" spans="1:14" ht="15" hidden="1">
      <c r="A713" s="236">
        <f t="shared" si="29"/>
        <v>712</v>
      </c>
      <c r="C713" s="984">
        <v>45894</v>
      </c>
      <c r="G713" s="994"/>
      <c r="H713" s="994">
        <v>1509513</v>
      </c>
      <c r="I713" s="1020">
        <f t="shared" si="28"/>
        <v>1509513</v>
      </c>
      <c r="J713" s="994">
        <v>28456967.41</v>
      </c>
      <c r="K713" s="1022" t="s">
        <v>3029</v>
      </c>
      <c r="L713" s="1196" t="s">
        <v>3723</v>
      </c>
      <c r="N713" s="15" t="s">
        <v>3917</v>
      </c>
    </row>
    <row r="714" spans="1:14" ht="15" hidden="1">
      <c r="A714" s="236">
        <f t="shared" si="29"/>
        <v>713</v>
      </c>
      <c r="C714" s="984">
        <v>45894</v>
      </c>
      <c r="G714" s="994"/>
      <c r="H714" s="994">
        <v>1762076</v>
      </c>
      <c r="I714" s="1020">
        <f t="shared" si="28"/>
        <v>1762076</v>
      </c>
      <c r="J714" s="994">
        <v>30219043.41</v>
      </c>
      <c r="K714" s="1022" t="s">
        <v>3030</v>
      </c>
      <c r="L714" s="1196" t="s">
        <v>3723</v>
      </c>
      <c r="N714" s="15" t="s">
        <v>3917</v>
      </c>
    </row>
    <row r="715" spans="1:14" ht="15" hidden="1">
      <c r="A715" s="236">
        <f t="shared" si="29"/>
        <v>714</v>
      </c>
      <c r="C715" s="984">
        <v>45894</v>
      </c>
      <c r="G715" s="994"/>
      <c r="H715" s="994">
        <v>2257760</v>
      </c>
      <c r="I715" s="1020">
        <f t="shared" si="28"/>
        <v>2257760</v>
      </c>
      <c r="J715" s="994">
        <v>32476803.41</v>
      </c>
      <c r="K715" s="1022" t="s">
        <v>3031</v>
      </c>
      <c r="L715" s="1196" t="s">
        <v>3723</v>
      </c>
      <c r="N715" s="15" t="s">
        <v>3917</v>
      </c>
    </row>
    <row r="716" spans="1:14" ht="15" hidden="1">
      <c r="A716" s="236">
        <f t="shared" si="29"/>
        <v>715</v>
      </c>
      <c r="C716" s="984">
        <v>45894</v>
      </c>
      <c r="G716" s="994"/>
      <c r="H716" s="994">
        <v>3755831</v>
      </c>
      <c r="I716" s="1020">
        <f t="shared" si="28"/>
        <v>3755831</v>
      </c>
      <c r="J716" s="994">
        <v>36232634.409999996</v>
      </c>
      <c r="K716" s="1022" t="s">
        <v>3032</v>
      </c>
      <c r="L716" s="1196" t="s">
        <v>3723</v>
      </c>
      <c r="N716" s="15" t="s">
        <v>3917</v>
      </c>
    </row>
    <row r="717" spans="1:14" ht="15" hidden="1">
      <c r="A717" s="236">
        <f t="shared" si="29"/>
        <v>716</v>
      </c>
      <c r="C717" s="984">
        <v>45894</v>
      </c>
      <c r="G717" s="994"/>
      <c r="H717" s="994">
        <v>2323608</v>
      </c>
      <c r="I717" s="1020">
        <f t="shared" si="28"/>
        <v>2323608</v>
      </c>
      <c r="J717" s="994">
        <v>38556242.409999996</v>
      </c>
      <c r="K717" s="1022" t="s">
        <v>3033</v>
      </c>
      <c r="L717" s="1196" t="s">
        <v>3723</v>
      </c>
      <c r="N717" s="15" t="s">
        <v>3917</v>
      </c>
    </row>
    <row r="718" spans="1:14" ht="15" hidden="1">
      <c r="A718" s="236">
        <f t="shared" si="29"/>
        <v>717</v>
      </c>
      <c r="C718" s="988">
        <v>45894</v>
      </c>
      <c r="G718" s="994">
        <v>590</v>
      </c>
      <c r="H718" s="994"/>
      <c r="I718" s="1020">
        <f t="shared" si="28"/>
        <v>-590</v>
      </c>
      <c r="J718" s="994">
        <v>38555652.409999996</v>
      </c>
      <c r="K718" s="1022" t="s">
        <v>3034</v>
      </c>
      <c r="L718" s="1005" t="s">
        <v>542</v>
      </c>
      <c r="N718" s="15" t="s">
        <v>3917</v>
      </c>
    </row>
    <row r="719" spans="1:14" ht="15" hidden="1">
      <c r="A719" s="236">
        <f t="shared" si="29"/>
        <v>718</v>
      </c>
      <c r="C719" s="984">
        <v>45894</v>
      </c>
      <c r="G719" s="994"/>
      <c r="H719" s="994">
        <v>50411.4</v>
      </c>
      <c r="I719" s="1020">
        <f t="shared" si="28"/>
        <v>50411.4</v>
      </c>
      <c r="J719" s="994">
        <v>38606063.810000002</v>
      </c>
      <c r="K719" s="1022" t="s">
        <v>3035</v>
      </c>
      <c r="L719" s="1005" t="s">
        <v>3721</v>
      </c>
      <c r="N719" s="15" t="s">
        <v>3917</v>
      </c>
    </row>
    <row r="720" spans="1:14" ht="15" hidden="1">
      <c r="A720" s="236">
        <f t="shared" si="29"/>
        <v>719</v>
      </c>
      <c r="C720" s="983">
        <f>C719+1</f>
        <v>45895</v>
      </c>
      <c r="G720" s="1008"/>
      <c r="H720" s="1005"/>
      <c r="I720" s="1020">
        <f t="shared" si="28"/>
        <v>0</v>
      </c>
      <c r="J720" s="994">
        <v>38606063.810000002</v>
      </c>
      <c r="K720" s="1024">
        <v>0</v>
      </c>
      <c r="L720" s="1005" t="s">
        <v>3721</v>
      </c>
      <c r="N720" s="15" t="s">
        <v>3917</v>
      </c>
    </row>
    <row r="721" spans="1:14" ht="15" hidden="1">
      <c r="A721" s="236">
        <f t="shared" si="29"/>
        <v>720</v>
      </c>
      <c r="C721" s="984">
        <v>45895</v>
      </c>
      <c r="G721" s="1004">
        <v>7375</v>
      </c>
      <c r="H721" s="1003"/>
      <c r="I721" s="1020">
        <f t="shared" si="28"/>
        <v>-7375</v>
      </c>
      <c r="J721" s="1004">
        <v>38598688.810000002</v>
      </c>
      <c r="K721" s="1022" t="s">
        <v>3036</v>
      </c>
      <c r="L721" s="1005" t="s">
        <v>3726</v>
      </c>
      <c r="N721" s="15" t="s">
        <v>3917</v>
      </c>
    </row>
    <row r="722" spans="1:14" ht="15" hidden="1">
      <c r="A722" s="236">
        <f t="shared" si="29"/>
        <v>721</v>
      </c>
      <c r="C722" s="984">
        <v>45895</v>
      </c>
      <c r="G722" s="1003"/>
      <c r="H722" s="1003">
        <v>54.37</v>
      </c>
      <c r="I722" s="1020">
        <f t="shared" si="28"/>
        <v>54.37</v>
      </c>
      <c r="J722" s="1004">
        <v>38598743.18</v>
      </c>
      <c r="K722" s="1022" t="s">
        <v>3037</v>
      </c>
      <c r="L722" s="1005" t="s">
        <v>3721</v>
      </c>
      <c r="N722" s="15" t="s">
        <v>3917</v>
      </c>
    </row>
    <row r="723" spans="1:14" ht="15" hidden="1">
      <c r="A723" s="236">
        <f t="shared" si="29"/>
        <v>722</v>
      </c>
      <c r="C723" s="984">
        <v>45895</v>
      </c>
      <c r="G723" s="1004">
        <v>40754.910000000003</v>
      </c>
      <c r="H723" s="1003"/>
      <c r="I723" s="1020">
        <f t="shared" si="28"/>
        <v>-40754.910000000003</v>
      </c>
      <c r="J723" s="1004">
        <v>38557988.270000003</v>
      </c>
      <c r="K723" s="1022" t="s">
        <v>3038</v>
      </c>
      <c r="L723" s="1005" t="s">
        <v>702</v>
      </c>
      <c r="N723" s="15" t="s">
        <v>3917</v>
      </c>
    </row>
    <row r="724" spans="1:14" ht="15" hidden="1">
      <c r="A724" s="236">
        <f t="shared" si="29"/>
        <v>723</v>
      </c>
      <c r="C724" s="984">
        <v>45895</v>
      </c>
      <c r="G724" s="1004">
        <v>314968.03000000003</v>
      </c>
      <c r="H724" s="1003"/>
      <c r="I724" s="1020">
        <f t="shared" si="28"/>
        <v>-314968.03000000003</v>
      </c>
      <c r="J724" s="1004">
        <v>38243020.240000002</v>
      </c>
      <c r="K724" s="1022" t="s">
        <v>3039</v>
      </c>
      <c r="L724" s="1005" t="s">
        <v>702</v>
      </c>
      <c r="N724" s="15" t="s">
        <v>3917</v>
      </c>
    </row>
    <row r="725" spans="1:14" ht="15" hidden="1">
      <c r="A725" s="236">
        <f t="shared" si="29"/>
        <v>724</v>
      </c>
      <c r="C725" s="984">
        <v>45895</v>
      </c>
      <c r="G725" s="1004">
        <v>36208.949999999997</v>
      </c>
      <c r="H725" s="1003"/>
      <c r="I725" s="1020">
        <f t="shared" si="28"/>
        <v>-36208.949999999997</v>
      </c>
      <c r="J725" s="1004">
        <v>38206811.289999999</v>
      </c>
      <c r="K725" s="1022" t="s">
        <v>3040</v>
      </c>
      <c r="L725" s="1005" t="s">
        <v>702</v>
      </c>
      <c r="N725" s="15" t="s">
        <v>3917</v>
      </c>
    </row>
    <row r="726" spans="1:14" ht="15" hidden="1">
      <c r="A726" s="236">
        <f t="shared" si="29"/>
        <v>725</v>
      </c>
      <c r="C726" s="984">
        <v>45895</v>
      </c>
      <c r="G726" s="1004">
        <v>135344.56</v>
      </c>
      <c r="H726" s="1003"/>
      <c r="I726" s="1020">
        <f t="shared" si="28"/>
        <v>-135344.56</v>
      </c>
      <c r="J726" s="1004">
        <v>38071466.729999997</v>
      </c>
      <c r="K726" s="1022" t="s">
        <v>3041</v>
      </c>
      <c r="L726" s="1005" t="s">
        <v>702</v>
      </c>
      <c r="N726" s="15" t="s">
        <v>3917</v>
      </c>
    </row>
    <row r="727" spans="1:14" ht="15" hidden="1">
      <c r="A727" s="236">
        <f t="shared" si="29"/>
        <v>726</v>
      </c>
      <c r="C727" s="984">
        <v>45895</v>
      </c>
      <c r="G727" s="1004">
        <v>77927.929999999993</v>
      </c>
      <c r="H727" s="1003"/>
      <c r="I727" s="1020">
        <f t="shared" si="28"/>
        <v>-77927.929999999993</v>
      </c>
      <c r="J727" s="1004">
        <v>37993538.799999997</v>
      </c>
      <c r="K727" s="1022" t="s">
        <v>3042</v>
      </c>
      <c r="L727" s="1005" t="s">
        <v>702</v>
      </c>
      <c r="N727" s="15" t="s">
        <v>3917</v>
      </c>
    </row>
    <row r="728" spans="1:14" ht="15" hidden="1">
      <c r="A728" s="236">
        <f t="shared" si="29"/>
        <v>727</v>
      </c>
      <c r="C728" s="984">
        <v>45895</v>
      </c>
      <c r="G728" s="1004">
        <v>10007.19</v>
      </c>
      <c r="H728" s="1003"/>
      <c r="I728" s="1020">
        <f t="shared" si="28"/>
        <v>-10007.19</v>
      </c>
      <c r="J728" s="1004">
        <v>37983531.609999999</v>
      </c>
      <c r="K728" s="1022" t="s">
        <v>3043</v>
      </c>
      <c r="L728" s="1005" t="s">
        <v>702</v>
      </c>
      <c r="N728" s="15" t="s">
        <v>3917</v>
      </c>
    </row>
    <row r="729" spans="1:14" ht="15" hidden="1">
      <c r="A729" s="236">
        <f t="shared" si="29"/>
        <v>728</v>
      </c>
      <c r="C729" s="984">
        <v>45895</v>
      </c>
      <c r="G729" s="1004">
        <v>314968.03000000003</v>
      </c>
      <c r="H729" s="1003"/>
      <c r="I729" s="1020">
        <f t="shared" si="28"/>
        <v>-314968.03000000003</v>
      </c>
      <c r="J729" s="1004">
        <v>37668563.579999998</v>
      </c>
      <c r="K729" s="1022" t="s">
        <v>3044</v>
      </c>
      <c r="L729" s="1005" t="s">
        <v>702</v>
      </c>
      <c r="N729" s="15" t="s">
        <v>3917</v>
      </c>
    </row>
    <row r="730" spans="1:14" ht="15" hidden="1">
      <c r="A730" s="236">
        <f t="shared" si="29"/>
        <v>729</v>
      </c>
      <c r="C730" s="984">
        <v>45895</v>
      </c>
      <c r="G730" s="1004">
        <v>250068.06</v>
      </c>
      <c r="H730" s="1003"/>
      <c r="I730" s="1020">
        <f t="shared" si="28"/>
        <v>-250068.06</v>
      </c>
      <c r="J730" s="1004">
        <v>37418495.520000003</v>
      </c>
      <c r="K730" s="1022" t="s">
        <v>3045</v>
      </c>
      <c r="L730" s="1005" t="s">
        <v>702</v>
      </c>
      <c r="N730" s="15" t="s">
        <v>3917</v>
      </c>
    </row>
    <row r="731" spans="1:14" ht="15" hidden="1">
      <c r="A731" s="236">
        <f t="shared" si="29"/>
        <v>730</v>
      </c>
      <c r="C731" s="984">
        <v>45895</v>
      </c>
      <c r="G731" s="1004">
        <v>314968.03000000003</v>
      </c>
      <c r="H731" s="1003"/>
      <c r="I731" s="1020">
        <f t="shared" si="28"/>
        <v>-314968.03000000003</v>
      </c>
      <c r="J731" s="1004">
        <v>37103527.490000002</v>
      </c>
      <c r="K731" s="1022" t="s">
        <v>3046</v>
      </c>
      <c r="L731" s="1005" t="s">
        <v>702</v>
      </c>
      <c r="N731" s="15" t="s">
        <v>3917</v>
      </c>
    </row>
    <row r="732" spans="1:14" ht="15" hidden="1">
      <c r="A732" s="236">
        <f t="shared" si="29"/>
        <v>731</v>
      </c>
      <c r="C732" s="984">
        <v>45895</v>
      </c>
      <c r="G732" s="1004">
        <v>314968.03000000003</v>
      </c>
      <c r="H732" s="1003"/>
      <c r="I732" s="1020">
        <f t="shared" si="28"/>
        <v>-314968.03000000003</v>
      </c>
      <c r="J732" s="1004">
        <v>36788559.460000001</v>
      </c>
      <c r="K732" s="1022" t="s">
        <v>3047</v>
      </c>
      <c r="L732" s="1005" t="s">
        <v>702</v>
      </c>
      <c r="N732" s="15" t="s">
        <v>3917</v>
      </c>
    </row>
    <row r="733" spans="1:14" ht="15" hidden="1">
      <c r="A733" s="236">
        <f t="shared" si="29"/>
        <v>732</v>
      </c>
      <c r="C733" s="988">
        <v>45895</v>
      </c>
      <c r="G733" s="1004">
        <v>50000</v>
      </c>
      <c r="H733" s="1003"/>
      <c r="I733" s="1020">
        <f t="shared" si="28"/>
        <v>-50000</v>
      </c>
      <c r="J733" s="1004">
        <v>36738559.460000001</v>
      </c>
      <c r="K733" s="1022" t="s">
        <v>3048</v>
      </c>
      <c r="L733" s="1005" t="s">
        <v>542</v>
      </c>
      <c r="N733" s="15" t="s">
        <v>3917</v>
      </c>
    </row>
    <row r="734" spans="1:14" ht="15" hidden="1">
      <c r="A734" s="236">
        <f t="shared" si="29"/>
        <v>733</v>
      </c>
      <c r="C734" s="984">
        <v>45895</v>
      </c>
      <c r="G734" s="1003"/>
      <c r="H734" s="1004">
        <v>9074.0499999999993</v>
      </c>
      <c r="I734" s="1020">
        <f t="shared" si="28"/>
        <v>9074.0499999999993</v>
      </c>
      <c r="J734" s="1004">
        <v>36747633.509999998</v>
      </c>
      <c r="K734" s="1022" t="s">
        <v>3049</v>
      </c>
      <c r="L734" s="1005" t="s">
        <v>3721</v>
      </c>
      <c r="N734" s="15" t="s">
        <v>3917</v>
      </c>
    </row>
    <row r="735" spans="1:14" ht="15" hidden="1">
      <c r="A735" s="236">
        <f t="shared" si="29"/>
        <v>734</v>
      </c>
      <c r="C735" s="984">
        <v>45896</v>
      </c>
      <c r="G735" s="1015">
        <v>100000000</v>
      </c>
      <c r="H735" s="1003"/>
      <c r="I735" s="1020">
        <f t="shared" si="28"/>
        <v>-100000000</v>
      </c>
      <c r="J735" s="1004">
        <v>-63252366.490000002</v>
      </c>
      <c r="K735" s="1022" t="s">
        <v>3050</v>
      </c>
      <c r="L735" s="1005" t="s">
        <v>3719</v>
      </c>
      <c r="N735" s="15" t="s">
        <v>3917</v>
      </c>
    </row>
    <row r="736" spans="1:14" ht="15" hidden="1">
      <c r="A736" s="236">
        <f t="shared" si="29"/>
        <v>735</v>
      </c>
      <c r="C736" s="984">
        <v>45896</v>
      </c>
      <c r="G736" s="1003"/>
      <c r="H736" s="1015">
        <v>2382271</v>
      </c>
      <c r="I736" s="1020">
        <f t="shared" si="28"/>
        <v>2382271</v>
      </c>
      <c r="J736" s="1004">
        <v>-60870095.490000002</v>
      </c>
      <c r="K736" s="1022" t="s">
        <v>3051</v>
      </c>
      <c r="L736" s="1196" t="s">
        <v>3723</v>
      </c>
      <c r="N736" s="15" t="s">
        <v>3917</v>
      </c>
    </row>
    <row r="737" spans="1:14" ht="15" hidden="1">
      <c r="A737" s="236">
        <f t="shared" si="29"/>
        <v>736</v>
      </c>
      <c r="C737" s="984">
        <v>45897</v>
      </c>
      <c r="G737" s="1003"/>
      <c r="H737" s="1015">
        <v>60000000</v>
      </c>
      <c r="I737" s="1020">
        <f t="shared" si="28"/>
        <v>60000000</v>
      </c>
      <c r="J737" s="1004">
        <v>-870095.49</v>
      </c>
      <c r="K737" s="1022" t="s">
        <v>3052</v>
      </c>
      <c r="L737" s="1196" t="s">
        <v>3723</v>
      </c>
      <c r="N737" s="15" t="s">
        <v>3917</v>
      </c>
    </row>
    <row r="738" spans="1:14" ht="15" hidden="1">
      <c r="A738" s="236">
        <f t="shared" si="29"/>
        <v>737</v>
      </c>
      <c r="C738" s="984">
        <v>45897</v>
      </c>
      <c r="G738" s="1015">
        <v>4798.0200000000004</v>
      </c>
      <c r="H738" s="1003"/>
      <c r="I738" s="1020">
        <f t="shared" si="28"/>
        <v>-4798.0200000000004</v>
      </c>
      <c r="J738" s="1004">
        <v>-874893.51</v>
      </c>
      <c r="K738" s="1022" t="s">
        <v>3053</v>
      </c>
      <c r="L738" s="1005" t="s">
        <v>702</v>
      </c>
      <c r="N738" s="15" t="s">
        <v>3917</v>
      </c>
    </row>
    <row r="739" spans="1:14" ht="15" hidden="1">
      <c r="A739" s="236">
        <f t="shared" si="29"/>
        <v>738</v>
      </c>
      <c r="C739" s="984">
        <v>45897</v>
      </c>
      <c r="G739" s="1015">
        <v>2100554.66</v>
      </c>
      <c r="H739" s="1003"/>
      <c r="I739" s="1020">
        <f t="shared" si="28"/>
        <v>-2100554.66</v>
      </c>
      <c r="J739" s="1004">
        <v>-2975448.17</v>
      </c>
      <c r="K739" s="1022" t="s">
        <v>3054</v>
      </c>
      <c r="L739" s="1005" t="s">
        <v>702</v>
      </c>
      <c r="N739" s="15" t="s">
        <v>3917</v>
      </c>
    </row>
    <row r="740" spans="1:14" ht="15" hidden="1">
      <c r="A740" s="236">
        <f t="shared" si="29"/>
        <v>739</v>
      </c>
      <c r="C740" s="984">
        <v>45897</v>
      </c>
      <c r="G740" s="1015">
        <v>56124</v>
      </c>
      <c r="H740" s="1003"/>
      <c r="I740" s="1020">
        <f t="shared" si="28"/>
        <v>-56124</v>
      </c>
      <c r="J740" s="1004">
        <v>-3031572.17</v>
      </c>
      <c r="K740" s="1022" t="s">
        <v>3055</v>
      </c>
      <c r="L740" s="1005" t="s">
        <v>702</v>
      </c>
      <c r="N740" s="15" t="s">
        <v>3917</v>
      </c>
    </row>
    <row r="741" spans="1:14" ht="15" hidden="1">
      <c r="A741" s="236">
        <f t="shared" si="29"/>
        <v>740</v>
      </c>
      <c r="C741" s="984">
        <v>45897</v>
      </c>
      <c r="G741" s="1015">
        <v>1076278</v>
      </c>
      <c r="H741" s="1003"/>
      <c r="I741" s="1020">
        <f t="shared" si="28"/>
        <v>-1076278</v>
      </c>
      <c r="J741" s="1004">
        <v>-4107850.17</v>
      </c>
      <c r="K741" s="1022" t="s">
        <v>3056</v>
      </c>
      <c r="L741" s="1005" t="s">
        <v>702</v>
      </c>
      <c r="N741" s="15" t="s">
        <v>3917</v>
      </c>
    </row>
    <row r="742" spans="1:14" ht="15" hidden="1">
      <c r="A742" s="236">
        <f t="shared" si="29"/>
        <v>741</v>
      </c>
      <c r="C742" s="984">
        <v>45897</v>
      </c>
      <c r="G742" s="1015">
        <v>1894.7</v>
      </c>
      <c r="H742" s="1003"/>
      <c r="I742" s="1020">
        <f t="shared" si="28"/>
        <v>-1894.7</v>
      </c>
      <c r="J742" s="1004">
        <v>-4109744.87</v>
      </c>
      <c r="K742" s="1022" t="s">
        <v>3057</v>
      </c>
      <c r="L742" s="1005" t="s">
        <v>702</v>
      </c>
      <c r="N742" s="15" t="s">
        <v>3917</v>
      </c>
    </row>
    <row r="743" spans="1:14" ht="15" hidden="1">
      <c r="A743" s="236">
        <f t="shared" si="29"/>
        <v>742</v>
      </c>
      <c r="C743" s="984">
        <v>45897</v>
      </c>
      <c r="G743" s="1015">
        <v>12023.98</v>
      </c>
      <c r="H743" s="1003"/>
      <c r="I743" s="1020">
        <f t="shared" si="28"/>
        <v>-12023.98</v>
      </c>
      <c r="J743" s="1004">
        <v>-4121768.85</v>
      </c>
      <c r="K743" s="1022" t="s">
        <v>3058</v>
      </c>
      <c r="L743" s="1005" t="s">
        <v>702</v>
      </c>
      <c r="N743" s="15" t="s">
        <v>3917</v>
      </c>
    </row>
    <row r="744" spans="1:14" ht="15" hidden="1">
      <c r="A744" s="236">
        <f t="shared" si="29"/>
        <v>743</v>
      </c>
      <c r="C744" s="984">
        <v>45897</v>
      </c>
      <c r="G744" s="1015">
        <v>56798.81</v>
      </c>
      <c r="H744" s="1003"/>
      <c r="I744" s="1020">
        <f t="shared" si="28"/>
        <v>-56798.81</v>
      </c>
      <c r="J744" s="1004">
        <v>-4178567.66</v>
      </c>
      <c r="K744" s="1022" t="s">
        <v>3059</v>
      </c>
      <c r="L744" s="1005" t="s">
        <v>702</v>
      </c>
      <c r="N744" s="15" t="s">
        <v>3917</v>
      </c>
    </row>
    <row r="745" spans="1:14" ht="15" hidden="1">
      <c r="A745" s="236">
        <f t="shared" si="29"/>
        <v>744</v>
      </c>
      <c r="C745" s="984">
        <v>45897</v>
      </c>
      <c r="G745" s="1015">
        <v>8729.35</v>
      </c>
      <c r="H745" s="1003"/>
      <c r="I745" s="1020">
        <f t="shared" si="28"/>
        <v>-8729.35</v>
      </c>
      <c r="J745" s="1004">
        <v>-4187297.01</v>
      </c>
      <c r="K745" s="1022" t="s">
        <v>3060</v>
      </c>
      <c r="L745" s="1005" t="s">
        <v>702</v>
      </c>
      <c r="N745" s="15" t="s">
        <v>3917</v>
      </c>
    </row>
    <row r="746" spans="1:14" ht="15" hidden="1">
      <c r="A746" s="236">
        <f t="shared" si="29"/>
        <v>745</v>
      </c>
      <c r="C746" s="984">
        <v>45897</v>
      </c>
      <c r="G746" s="1015">
        <v>163990.22</v>
      </c>
      <c r="H746" s="1003"/>
      <c r="I746" s="1020">
        <f t="shared" si="28"/>
        <v>-163990.22</v>
      </c>
      <c r="J746" s="1004">
        <v>-4351287.2300000004</v>
      </c>
      <c r="K746" s="1022" t="s">
        <v>3061</v>
      </c>
      <c r="L746" s="1005" t="s">
        <v>702</v>
      </c>
      <c r="N746" s="15" t="s">
        <v>3917</v>
      </c>
    </row>
    <row r="747" spans="1:14" ht="15" hidden="1">
      <c r="A747" s="236">
        <f t="shared" si="29"/>
        <v>746</v>
      </c>
      <c r="C747" s="984">
        <v>45897</v>
      </c>
      <c r="G747" s="1015">
        <v>8769.2999999999993</v>
      </c>
      <c r="H747" s="1003"/>
      <c r="I747" s="1020">
        <f t="shared" si="28"/>
        <v>-8769.2999999999993</v>
      </c>
      <c r="J747" s="1004">
        <v>-4360056.53</v>
      </c>
      <c r="K747" s="1022" t="s">
        <v>3062</v>
      </c>
      <c r="L747" s="1005" t="s">
        <v>702</v>
      </c>
      <c r="N747" s="15" t="s">
        <v>3917</v>
      </c>
    </row>
    <row r="748" spans="1:14" ht="15" hidden="1">
      <c r="A748" s="236">
        <f t="shared" si="29"/>
        <v>747</v>
      </c>
      <c r="C748" s="984">
        <v>45897</v>
      </c>
      <c r="G748" s="1015">
        <v>11226.61</v>
      </c>
      <c r="H748" s="1003"/>
      <c r="I748" s="1020">
        <f t="shared" si="28"/>
        <v>-11226.61</v>
      </c>
      <c r="J748" s="1004">
        <v>-4371283.1399999997</v>
      </c>
      <c r="K748" s="1022" t="s">
        <v>3063</v>
      </c>
      <c r="L748" s="1005" t="s">
        <v>702</v>
      </c>
      <c r="N748" s="15" t="s">
        <v>3917</v>
      </c>
    </row>
    <row r="749" spans="1:14" ht="15" hidden="1">
      <c r="A749" s="236">
        <f t="shared" si="29"/>
        <v>748</v>
      </c>
      <c r="C749" s="984">
        <v>45897</v>
      </c>
      <c r="G749" s="1015">
        <v>29245.59</v>
      </c>
      <c r="H749" s="1003"/>
      <c r="I749" s="1020">
        <f t="shared" si="28"/>
        <v>-29245.59</v>
      </c>
      <c r="J749" s="1004">
        <v>-4400528.7300000004</v>
      </c>
      <c r="K749" s="1022" t="s">
        <v>3064</v>
      </c>
      <c r="L749" s="1005" t="s">
        <v>702</v>
      </c>
      <c r="N749" s="15" t="s">
        <v>3917</v>
      </c>
    </row>
    <row r="750" spans="1:14" ht="15" hidden="1">
      <c r="A750" s="236">
        <f t="shared" si="29"/>
        <v>749</v>
      </c>
      <c r="C750" s="984">
        <v>45897</v>
      </c>
      <c r="G750" s="1015">
        <v>12015.11</v>
      </c>
      <c r="H750" s="1003"/>
      <c r="I750" s="1020">
        <f t="shared" si="28"/>
        <v>-12015.11</v>
      </c>
      <c r="J750" s="1004">
        <v>-4412543.84</v>
      </c>
      <c r="K750" s="1022" t="s">
        <v>3065</v>
      </c>
      <c r="L750" s="1005" t="s">
        <v>702</v>
      </c>
      <c r="N750" s="15" t="s">
        <v>3917</v>
      </c>
    </row>
    <row r="751" spans="1:14" ht="15" hidden="1">
      <c r="A751" s="236">
        <f t="shared" si="29"/>
        <v>750</v>
      </c>
      <c r="C751" s="984">
        <v>45897</v>
      </c>
      <c r="G751" s="1015">
        <v>152.5</v>
      </c>
      <c r="H751" s="1003"/>
      <c r="I751" s="1020">
        <f t="shared" si="28"/>
        <v>-152.5</v>
      </c>
      <c r="J751" s="1004">
        <v>-4412696.34</v>
      </c>
      <c r="K751" s="1022" t="s">
        <v>3066</v>
      </c>
      <c r="L751" s="1005" t="s">
        <v>702</v>
      </c>
      <c r="N751" s="15" t="s">
        <v>3917</v>
      </c>
    </row>
    <row r="752" spans="1:14" ht="15" hidden="1">
      <c r="A752" s="236">
        <f t="shared" si="29"/>
        <v>751</v>
      </c>
      <c r="C752" s="984">
        <v>45897</v>
      </c>
      <c r="G752" s="1015">
        <v>30978.94</v>
      </c>
      <c r="H752" s="1003"/>
      <c r="I752" s="1020">
        <f t="shared" si="28"/>
        <v>-30978.94</v>
      </c>
      <c r="J752" s="1004">
        <v>-4443675.28</v>
      </c>
      <c r="K752" s="1022" t="s">
        <v>3067</v>
      </c>
      <c r="L752" s="1005" t="s">
        <v>702</v>
      </c>
      <c r="N752" s="15" t="s">
        <v>3917</v>
      </c>
    </row>
    <row r="753" spans="1:14" ht="15" hidden="1">
      <c r="A753" s="236">
        <f t="shared" si="29"/>
        <v>752</v>
      </c>
      <c r="C753" s="984">
        <v>45897</v>
      </c>
      <c r="G753" s="1015">
        <v>20560.060000000001</v>
      </c>
      <c r="H753" s="1003"/>
      <c r="I753" s="1020">
        <f t="shared" si="28"/>
        <v>-20560.060000000001</v>
      </c>
      <c r="J753" s="1004">
        <v>-4464235.34</v>
      </c>
      <c r="K753" s="1022" t="s">
        <v>3068</v>
      </c>
      <c r="L753" s="1005" t="s">
        <v>702</v>
      </c>
      <c r="N753" s="15" t="s">
        <v>3917</v>
      </c>
    </row>
    <row r="754" spans="1:14" ht="15" hidden="1">
      <c r="A754" s="236">
        <f t="shared" si="29"/>
        <v>753</v>
      </c>
      <c r="C754" s="984">
        <v>45897</v>
      </c>
      <c r="G754" s="1015">
        <v>2120.34</v>
      </c>
      <c r="H754" s="1003"/>
      <c r="I754" s="1020">
        <f t="shared" si="28"/>
        <v>-2120.34</v>
      </c>
      <c r="J754" s="1004">
        <v>-4466355.68</v>
      </c>
      <c r="K754" s="1022" t="s">
        <v>3069</v>
      </c>
      <c r="L754" s="1005" t="s">
        <v>702</v>
      </c>
      <c r="N754" s="15" t="s">
        <v>3917</v>
      </c>
    </row>
    <row r="755" spans="1:14" ht="15" hidden="1">
      <c r="A755" s="236">
        <f t="shared" si="29"/>
        <v>754</v>
      </c>
      <c r="C755" s="984">
        <v>45897</v>
      </c>
      <c r="G755" s="1015">
        <v>35091</v>
      </c>
      <c r="H755" s="1003"/>
      <c r="I755" s="1020">
        <f t="shared" si="28"/>
        <v>-35091</v>
      </c>
      <c r="J755" s="1004">
        <v>-4501446.68</v>
      </c>
      <c r="K755" s="1022" t="s">
        <v>3070</v>
      </c>
      <c r="L755" s="1005" t="s">
        <v>702</v>
      </c>
      <c r="N755" s="15" t="s">
        <v>3917</v>
      </c>
    </row>
    <row r="756" spans="1:14" ht="15" hidden="1">
      <c r="A756" s="236">
        <f t="shared" si="29"/>
        <v>755</v>
      </c>
      <c r="C756" s="984">
        <v>45897</v>
      </c>
      <c r="G756" s="1015">
        <v>17099.990000000002</v>
      </c>
      <c r="H756" s="1003"/>
      <c r="I756" s="1020">
        <f t="shared" si="28"/>
        <v>-17099.990000000002</v>
      </c>
      <c r="J756" s="1004">
        <v>-4518546.67</v>
      </c>
      <c r="K756" s="1022" t="s">
        <v>3071</v>
      </c>
      <c r="L756" s="1005" t="s">
        <v>702</v>
      </c>
      <c r="N756" s="15" t="s">
        <v>3917</v>
      </c>
    </row>
    <row r="757" spans="1:14" ht="15" hidden="1">
      <c r="A757" s="236">
        <f t="shared" si="29"/>
        <v>756</v>
      </c>
      <c r="C757" s="984">
        <v>45897</v>
      </c>
      <c r="G757" s="1015">
        <v>11685.85</v>
      </c>
      <c r="H757" s="1003"/>
      <c r="I757" s="1020">
        <f t="shared" si="28"/>
        <v>-11685.85</v>
      </c>
      <c r="J757" s="1004">
        <v>-4530232.5199999996</v>
      </c>
      <c r="K757" s="1022" t="s">
        <v>3072</v>
      </c>
      <c r="L757" s="1005" t="s">
        <v>702</v>
      </c>
      <c r="N757" s="15" t="s">
        <v>3917</v>
      </c>
    </row>
    <row r="758" spans="1:14" ht="15" hidden="1">
      <c r="A758" s="236">
        <f t="shared" si="29"/>
        <v>757</v>
      </c>
      <c r="C758" s="984">
        <v>45897</v>
      </c>
      <c r="G758" s="1015">
        <v>6052.59</v>
      </c>
      <c r="H758" s="1003"/>
      <c r="I758" s="1020">
        <f t="shared" si="28"/>
        <v>-6052.59</v>
      </c>
      <c r="J758" s="1004">
        <v>-4536285.1100000003</v>
      </c>
      <c r="K758" s="1022" t="s">
        <v>3073</v>
      </c>
      <c r="L758" s="1005" t="s">
        <v>702</v>
      </c>
      <c r="N758" s="15" t="s">
        <v>3917</v>
      </c>
    </row>
    <row r="759" spans="1:14" ht="15" hidden="1">
      <c r="A759" s="236">
        <f t="shared" si="29"/>
        <v>758</v>
      </c>
      <c r="C759" s="984">
        <v>45897</v>
      </c>
      <c r="G759" s="1003"/>
      <c r="H759" s="1015">
        <v>199628.64</v>
      </c>
      <c r="I759" s="1020">
        <f t="shared" si="28"/>
        <v>199628.64</v>
      </c>
      <c r="J759" s="1004">
        <v>-4336656.47</v>
      </c>
      <c r="K759" s="1022" t="s">
        <v>3074</v>
      </c>
      <c r="L759" s="1005" t="s">
        <v>3721</v>
      </c>
      <c r="N759" s="15" t="s">
        <v>3917</v>
      </c>
    </row>
    <row r="760" spans="1:14" ht="15" hidden="1">
      <c r="A760" s="236">
        <f t="shared" si="29"/>
        <v>759</v>
      </c>
      <c r="C760" s="984">
        <v>45897</v>
      </c>
      <c r="G760" s="1003"/>
      <c r="H760" s="1015">
        <v>40000000</v>
      </c>
      <c r="I760" s="1020">
        <f t="shared" si="28"/>
        <v>40000000</v>
      </c>
      <c r="J760" s="1004">
        <v>35663343.530000001</v>
      </c>
      <c r="K760" s="1022" t="s">
        <v>3075</v>
      </c>
      <c r="L760" s="1196" t="s">
        <v>3723</v>
      </c>
      <c r="N760" s="15" t="s">
        <v>3917</v>
      </c>
    </row>
    <row r="761" spans="1:14" ht="15" hidden="1">
      <c r="A761" s="236">
        <f t="shared" si="29"/>
        <v>760</v>
      </c>
      <c r="C761" s="984">
        <v>45898</v>
      </c>
      <c r="G761" s="994">
        <v>165229.25</v>
      </c>
      <c r="H761" s="1013"/>
      <c r="I761" s="1020">
        <f t="shared" si="28"/>
        <v>-165229.25</v>
      </c>
      <c r="J761" s="1013">
        <v>35498114.280000001</v>
      </c>
      <c r="K761" s="1022" t="s">
        <v>3076</v>
      </c>
      <c r="L761" s="1005" t="s">
        <v>702</v>
      </c>
      <c r="N761" s="15" t="s">
        <v>3917</v>
      </c>
    </row>
    <row r="762" spans="1:14" ht="15.75" hidden="1">
      <c r="A762" s="236">
        <f t="shared" si="29"/>
        <v>761</v>
      </c>
      <c r="C762" s="984">
        <v>45898</v>
      </c>
      <c r="G762" s="994">
        <v>75000000</v>
      </c>
      <c r="H762" s="1013"/>
      <c r="I762" s="1020">
        <f t="shared" si="28"/>
        <v>-75000000</v>
      </c>
      <c r="J762" s="1013">
        <v>-39501885.719999999</v>
      </c>
      <c r="K762" s="1022" t="s">
        <v>3077</v>
      </c>
      <c r="L762" s="1027" t="s">
        <v>3913</v>
      </c>
      <c r="N762" s="15" t="s">
        <v>3916</v>
      </c>
    </row>
    <row r="763" spans="1:14" ht="15" hidden="1">
      <c r="A763" s="236">
        <f t="shared" si="29"/>
        <v>762</v>
      </c>
      <c r="C763" s="984">
        <v>45898</v>
      </c>
      <c r="G763" s="1013"/>
      <c r="H763" s="1013">
        <v>61300000</v>
      </c>
      <c r="I763" s="1020">
        <f t="shared" si="28"/>
        <v>61300000</v>
      </c>
      <c r="J763" s="1013">
        <v>21798114.280000001</v>
      </c>
      <c r="K763" s="1022" t="s">
        <v>3078</v>
      </c>
      <c r="L763" s="1196" t="s">
        <v>3723</v>
      </c>
      <c r="N763" s="15" t="s">
        <v>3917</v>
      </c>
    </row>
    <row r="764" spans="1:14" ht="15" hidden="1">
      <c r="A764" s="236">
        <f t="shared" si="29"/>
        <v>763</v>
      </c>
      <c r="C764" s="992">
        <v>45899</v>
      </c>
      <c r="G764" s="1016">
        <v>100</v>
      </c>
      <c r="H764" s="1016"/>
      <c r="I764" s="1020">
        <f t="shared" si="28"/>
        <v>-100</v>
      </c>
      <c r="J764" s="249">
        <v>21798014.280000001</v>
      </c>
      <c r="K764" s="1029" t="s">
        <v>3079</v>
      </c>
      <c r="L764" s="1005" t="s">
        <v>542</v>
      </c>
      <c r="N764" s="15" t="s">
        <v>3917</v>
      </c>
    </row>
    <row r="765" spans="1:14" ht="15" hidden="1">
      <c r="A765" s="236">
        <f t="shared" si="29"/>
        <v>764</v>
      </c>
      <c r="C765" s="992">
        <v>45899</v>
      </c>
      <c r="G765" s="1016">
        <v>590</v>
      </c>
      <c r="H765" s="1016"/>
      <c r="I765" s="1020">
        <f t="shared" si="28"/>
        <v>-590</v>
      </c>
      <c r="J765" s="249">
        <v>21797424.280000001</v>
      </c>
      <c r="K765" s="1029" t="s">
        <v>3080</v>
      </c>
      <c r="L765" s="1005" t="s">
        <v>542</v>
      </c>
      <c r="N765" s="15" t="s">
        <v>3917</v>
      </c>
    </row>
    <row r="766" spans="1:14" ht="15" hidden="1">
      <c r="A766" s="236">
        <f t="shared" si="29"/>
        <v>765</v>
      </c>
      <c r="C766" s="247">
        <v>45899</v>
      </c>
      <c r="G766" s="249">
        <v>1180</v>
      </c>
      <c r="H766" s="1016"/>
      <c r="I766" s="1020">
        <f t="shared" si="28"/>
        <v>-1180</v>
      </c>
      <c r="J766" s="249">
        <v>21796244.280000001</v>
      </c>
      <c r="K766" s="1029" t="s">
        <v>3081</v>
      </c>
      <c r="L766" s="15" t="s">
        <v>3726</v>
      </c>
      <c r="N766" s="15" t="s">
        <v>3917</v>
      </c>
    </row>
    <row r="767" spans="1:14" ht="15" hidden="1">
      <c r="A767" s="236">
        <f t="shared" si="29"/>
        <v>766</v>
      </c>
      <c r="C767" s="247">
        <v>45899</v>
      </c>
      <c r="G767" s="249">
        <v>269410</v>
      </c>
      <c r="H767" s="1016"/>
      <c r="I767" s="1020">
        <f t="shared" si="28"/>
        <v>-269410</v>
      </c>
      <c r="J767" s="249">
        <v>21526834.280000001</v>
      </c>
      <c r="K767" s="1029" t="s">
        <v>3082</v>
      </c>
      <c r="L767" s="15" t="s">
        <v>984</v>
      </c>
      <c r="N767" s="15" t="s">
        <v>3917</v>
      </c>
    </row>
    <row r="768" spans="1:14" ht="15" hidden="1">
      <c r="A768" s="236">
        <f t="shared" si="29"/>
        <v>767</v>
      </c>
      <c r="C768" s="992">
        <v>45899</v>
      </c>
      <c r="G768" s="249">
        <v>1180</v>
      </c>
      <c r="H768" s="1016"/>
      <c r="I768" s="1020">
        <f t="shared" si="28"/>
        <v>-1180</v>
      </c>
      <c r="J768" s="249">
        <v>21525654.280000001</v>
      </c>
      <c r="K768" s="1029" t="s">
        <v>3083</v>
      </c>
      <c r="L768" s="1005" t="s">
        <v>542</v>
      </c>
      <c r="N768" s="15" t="s">
        <v>3917</v>
      </c>
    </row>
    <row r="769" spans="1:14" ht="15" hidden="1">
      <c r="A769" s="236">
        <f t="shared" si="29"/>
        <v>768</v>
      </c>
      <c r="C769" s="992">
        <v>45899</v>
      </c>
      <c r="G769" s="1016">
        <v>590</v>
      </c>
      <c r="H769" s="1016"/>
      <c r="I769" s="1020">
        <f t="shared" si="28"/>
        <v>-590</v>
      </c>
      <c r="J769" s="249">
        <v>21525064.280000001</v>
      </c>
      <c r="K769" s="1029" t="s">
        <v>3084</v>
      </c>
      <c r="L769" s="1005" t="s">
        <v>542</v>
      </c>
      <c r="N769" s="15" t="s">
        <v>3917</v>
      </c>
    </row>
    <row r="770" spans="1:14" ht="15" hidden="1">
      <c r="A770" s="236">
        <f t="shared" si="29"/>
        <v>769</v>
      </c>
      <c r="C770" s="247">
        <v>45899</v>
      </c>
      <c r="G770" s="249">
        <v>958750</v>
      </c>
      <c r="H770" s="1016"/>
      <c r="I770" s="1020">
        <f t="shared" si="28"/>
        <v>-958750</v>
      </c>
      <c r="J770" s="249">
        <v>20566314.280000001</v>
      </c>
      <c r="K770" s="1029" t="s">
        <v>3085</v>
      </c>
      <c r="L770" s="15" t="s">
        <v>3726</v>
      </c>
      <c r="N770" s="15" t="s">
        <v>3917</v>
      </c>
    </row>
    <row r="771" spans="1:14" ht="15" hidden="1">
      <c r="A771" s="236">
        <f t="shared" si="29"/>
        <v>770</v>
      </c>
      <c r="C771" s="992">
        <v>45899</v>
      </c>
      <c r="G771" s="1016">
        <v>100</v>
      </c>
      <c r="H771" s="1016"/>
      <c r="I771" s="1020">
        <f t="shared" si="28"/>
        <v>-100</v>
      </c>
      <c r="J771" s="249">
        <v>20566214.280000001</v>
      </c>
      <c r="K771" s="1029" t="s">
        <v>3086</v>
      </c>
      <c r="L771" s="1005" t="s">
        <v>542</v>
      </c>
      <c r="N771" s="15" t="s">
        <v>3917</v>
      </c>
    </row>
    <row r="772" spans="1:14" ht="15" hidden="1">
      <c r="A772" s="236">
        <f t="shared" si="29"/>
        <v>771</v>
      </c>
      <c r="C772" s="247">
        <v>45899</v>
      </c>
      <c r="G772" s="249">
        <v>37998.25</v>
      </c>
      <c r="H772" s="1016"/>
      <c r="I772" s="1020">
        <f t="shared" ref="I772:I799" si="30">H772-G772</f>
        <v>-37998.25</v>
      </c>
      <c r="J772" s="249">
        <v>20528216.030000001</v>
      </c>
      <c r="K772" s="1029" t="s">
        <v>3087</v>
      </c>
      <c r="L772" s="15" t="s">
        <v>702</v>
      </c>
      <c r="N772" s="15" t="s">
        <v>3917</v>
      </c>
    </row>
    <row r="773" spans="1:14" ht="15" hidden="1">
      <c r="A773" s="236">
        <f t="shared" ref="A773:A799" si="31">A772+1</f>
        <v>772</v>
      </c>
      <c r="C773" s="247">
        <v>45899</v>
      </c>
      <c r="G773" s="249">
        <v>1551.97</v>
      </c>
      <c r="H773" s="1016"/>
      <c r="I773" s="1020">
        <f t="shared" si="30"/>
        <v>-1551.97</v>
      </c>
      <c r="J773" s="249">
        <v>20526664.059999999</v>
      </c>
      <c r="K773" s="1029" t="s">
        <v>3088</v>
      </c>
      <c r="L773" s="15" t="s">
        <v>702</v>
      </c>
      <c r="N773" s="15" t="s">
        <v>3917</v>
      </c>
    </row>
    <row r="774" spans="1:14" ht="15" hidden="1">
      <c r="A774" s="236">
        <f t="shared" si="31"/>
        <v>773</v>
      </c>
      <c r="C774" s="247">
        <v>45899</v>
      </c>
      <c r="G774" s="249">
        <v>11268.3</v>
      </c>
      <c r="H774" s="1016"/>
      <c r="I774" s="1020">
        <f t="shared" si="30"/>
        <v>-11268.3</v>
      </c>
      <c r="J774" s="249">
        <v>20515395.760000002</v>
      </c>
      <c r="K774" s="1029" t="s">
        <v>3089</v>
      </c>
      <c r="L774" s="15" t="s">
        <v>702</v>
      </c>
      <c r="N774" s="15" t="s">
        <v>3917</v>
      </c>
    </row>
    <row r="775" spans="1:14" ht="15" hidden="1">
      <c r="A775" s="236">
        <f t="shared" si="31"/>
        <v>774</v>
      </c>
      <c r="C775" s="247">
        <v>45899</v>
      </c>
      <c r="G775" s="249">
        <v>20388.52</v>
      </c>
      <c r="H775" s="1016"/>
      <c r="I775" s="1020">
        <f t="shared" si="30"/>
        <v>-20388.52</v>
      </c>
      <c r="J775" s="249">
        <v>20495007.239999998</v>
      </c>
      <c r="K775" s="1029" t="s">
        <v>3090</v>
      </c>
      <c r="L775" s="15" t="s">
        <v>702</v>
      </c>
      <c r="N775" s="15" t="s">
        <v>3917</v>
      </c>
    </row>
    <row r="776" spans="1:14" ht="15" hidden="1">
      <c r="A776" s="236">
        <f t="shared" si="31"/>
        <v>775</v>
      </c>
      <c r="C776" s="247">
        <v>45899</v>
      </c>
      <c r="G776" s="249">
        <v>5694.26</v>
      </c>
      <c r="H776" s="1016"/>
      <c r="I776" s="1020">
        <f t="shared" si="30"/>
        <v>-5694.26</v>
      </c>
      <c r="J776" s="249">
        <v>20489312.98</v>
      </c>
      <c r="K776" s="1029" t="s">
        <v>3091</v>
      </c>
      <c r="L776" s="15" t="s">
        <v>702</v>
      </c>
      <c r="N776" s="15" t="s">
        <v>3917</v>
      </c>
    </row>
    <row r="777" spans="1:14" ht="15" hidden="1">
      <c r="A777" s="236">
        <f t="shared" si="31"/>
        <v>776</v>
      </c>
      <c r="C777" s="247">
        <v>45899</v>
      </c>
      <c r="G777" s="1016">
        <v>525.35</v>
      </c>
      <c r="H777" s="1016"/>
      <c r="I777" s="1020">
        <f t="shared" si="30"/>
        <v>-525.35</v>
      </c>
      <c r="J777" s="249">
        <v>20488787.629999999</v>
      </c>
      <c r="K777" s="1029" t="s">
        <v>3092</v>
      </c>
      <c r="L777" s="15" t="s">
        <v>702</v>
      </c>
      <c r="N777" s="15" t="s">
        <v>3917</v>
      </c>
    </row>
    <row r="778" spans="1:14" ht="15" hidden="1">
      <c r="A778" s="236">
        <f t="shared" si="31"/>
        <v>777</v>
      </c>
      <c r="C778" s="247">
        <v>45899</v>
      </c>
      <c r="G778" s="249">
        <v>52436.93</v>
      </c>
      <c r="H778" s="1016"/>
      <c r="I778" s="1020">
        <f t="shared" si="30"/>
        <v>-52436.93</v>
      </c>
      <c r="J778" s="249">
        <v>20436350.699999999</v>
      </c>
      <c r="K778" s="1029" t="s">
        <v>3093</v>
      </c>
      <c r="L778" s="15" t="s">
        <v>702</v>
      </c>
      <c r="N778" s="15" t="s">
        <v>3917</v>
      </c>
    </row>
    <row r="779" spans="1:14" ht="15" hidden="1">
      <c r="A779" s="236">
        <f t="shared" si="31"/>
        <v>778</v>
      </c>
      <c r="C779" s="247">
        <v>45899</v>
      </c>
      <c r="G779" s="249">
        <v>1091.5899999999999</v>
      </c>
      <c r="H779" s="1016"/>
      <c r="I779" s="1020">
        <f t="shared" si="30"/>
        <v>-1091.5899999999999</v>
      </c>
      <c r="J779" s="249">
        <v>20435259.109999999</v>
      </c>
      <c r="K779" s="1029" t="s">
        <v>3094</v>
      </c>
      <c r="L779" s="15" t="s">
        <v>702</v>
      </c>
      <c r="N779" s="15" t="s">
        <v>3917</v>
      </c>
    </row>
    <row r="780" spans="1:14" ht="15" hidden="1">
      <c r="A780" s="236">
        <f t="shared" si="31"/>
        <v>779</v>
      </c>
      <c r="C780" s="247">
        <v>45899</v>
      </c>
      <c r="G780" s="249">
        <v>7283.79</v>
      </c>
      <c r="H780" s="1016"/>
      <c r="I780" s="1020">
        <f t="shared" si="30"/>
        <v>-7283.79</v>
      </c>
      <c r="J780" s="249">
        <v>20427975.32</v>
      </c>
      <c r="K780" s="1029" t="s">
        <v>3095</v>
      </c>
      <c r="L780" s="15" t="s">
        <v>702</v>
      </c>
      <c r="N780" s="15" t="s">
        <v>3917</v>
      </c>
    </row>
    <row r="781" spans="1:14" ht="15" hidden="1">
      <c r="A781" s="236">
        <f t="shared" si="31"/>
        <v>780</v>
      </c>
      <c r="C781" s="247">
        <v>45899</v>
      </c>
      <c r="G781" s="249">
        <v>2615.2399999999998</v>
      </c>
      <c r="H781" s="1016"/>
      <c r="I781" s="1020">
        <f t="shared" si="30"/>
        <v>-2615.2399999999998</v>
      </c>
      <c r="J781" s="249">
        <v>20425360.079999998</v>
      </c>
      <c r="K781" s="1029" t="s">
        <v>3096</v>
      </c>
      <c r="L781" s="15" t="s">
        <v>702</v>
      </c>
      <c r="N781" s="15" t="s">
        <v>3917</v>
      </c>
    </row>
    <row r="782" spans="1:14" ht="15" hidden="1">
      <c r="A782" s="236">
        <f t="shared" si="31"/>
        <v>781</v>
      </c>
      <c r="C782" s="247">
        <v>45899</v>
      </c>
      <c r="G782" s="249">
        <v>12519.56</v>
      </c>
      <c r="H782" s="1016"/>
      <c r="I782" s="1020">
        <f t="shared" si="30"/>
        <v>-12519.56</v>
      </c>
      <c r="J782" s="249">
        <v>20412840.52</v>
      </c>
      <c r="K782" s="1029" t="s">
        <v>3097</v>
      </c>
      <c r="L782" s="15" t="s">
        <v>702</v>
      </c>
      <c r="N782" s="15" t="s">
        <v>3917</v>
      </c>
    </row>
    <row r="783" spans="1:14" ht="15" hidden="1">
      <c r="A783" s="236">
        <f t="shared" si="31"/>
        <v>782</v>
      </c>
      <c r="C783" s="247">
        <v>45899</v>
      </c>
      <c r="G783" s="249">
        <v>8121.41</v>
      </c>
      <c r="H783" s="1016"/>
      <c r="I783" s="1020">
        <f t="shared" si="30"/>
        <v>-8121.41</v>
      </c>
      <c r="J783" s="249">
        <v>20404719.109999999</v>
      </c>
      <c r="K783" s="1029" t="s">
        <v>3098</v>
      </c>
      <c r="L783" s="15" t="s">
        <v>702</v>
      </c>
      <c r="N783" s="15" t="s">
        <v>3917</v>
      </c>
    </row>
    <row r="784" spans="1:14" ht="15" hidden="1">
      <c r="A784" s="236">
        <f t="shared" si="31"/>
        <v>783</v>
      </c>
      <c r="C784" s="247">
        <v>45899</v>
      </c>
      <c r="G784" s="249">
        <v>4411.1000000000004</v>
      </c>
      <c r="H784" s="1016"/>
      <c r="I784" s="1020">
        <f t="shared" si="30"/>
        <v>-4411.1000000000004</v>
      </c>
      <c r="J784" s="249">
        <v>20400308.010000002</v>
      </c>
      <c r="K784" s="1029" t="s">
        <v>3099</v>
      </c>
      <c r="L784" s="15" t="s">
        <v>702</v>
      </c>
      <c r="N784" s="15" t="s">
        <v>3917</v>
      </c>
    </row>
    <row r="785" spans="1:14" ht="15" hidden="1">
      <c r="A785" s="236">
        <f t="shared" si="31"/>
        <v>784</v>
      </c>
      <c r="C785" s="247">
        <v>45899</v>
      </c>
      <c r="G785" s="249">
        <v>44394.61</v>
      </c>
      <c r="H785" s="1016"/>
      <c r="I785" s="1020">
        <f t="shared" si="30"/>
        <v>-44394.61</v>
      </c>
      <c r="J785" s="249">
        <v>20355913.399999999</v>
      </c>
      <c r="K785" s="1029" t="s">
        <v>3100</v>
      </c>
      <c r="L785" s="15" t="s">
        <v>702</v>
      </c>
      <c r="N785" s="15" t="s">
        <v>3917</v>
      </c>
    </row>
    <row r="786" spans="1:14" ht="15" hidden="1">
      <c r="A786" s="236">
        <f t="shared" si="31"/>
        <v>785</v>
      </c>
      <c r="C786" s="247">
        <v>45899</v>
      </c>
      <c r="G786" s="249">
        <v>1308.8399999999999</v>
      </c>
      <c r="H786" s="1016"/>
      <c r="I786" s="1020">
        <f t="shared" si="30"/>
        <v>-1308.8399999999999</v>
      </c>
      <c r="J786" s="249">
        <v>20354604.559999999</v>
      </c>
      <c r="K786" s="1029" t="s">
        <v>3101</v>
      </c>
      <c r="L786" s="15" t="s">
        <v>702</v>
      </c>
      <c r="N786" s="15" t="s">
        <v>3917</v>
      </c>
    </row>
    <row r="787" spans="1:14" ht="15" hidden="1">
      <c r="A787" s="236">
        <f t="shared" si="31"/>
        <v>786</v>
      </c>
      <c r="C787" s="247">
        <v>45899</v>
      </c>
      <c r="G787" s="249">
        <v>2462.69</v>
      </c>
      <c r="H787" s="1016"/>
      <c r="I787" s="1020">
        <f t="shared" si="30"/>
        <v>-2462.69</v>
      </c>
      <c r="J787" s="249">
        <v>20352141.870000001</v>
      </c>
      <c r="K787" s="1029" t="s">
        <v>3102</v>
      </c>
      <c r="L787" s="15" t="s">
        <v>702</v>
      </c>
      <c r="N787" s="15" t="s">
        <v>3917</v>
      </c>
    </row>
    <row r="788" spans="1:14" ht="15" hidden="1">
      <c r="A788" s="236">
        <f t="shared" si="31"/>
        <v>787</v>
      </c>
      <c r="C788" s="247">
        <v>45899</v>
      </c>
      <c r="G788" s="249">
        <v>1196.1600000000001</v>
      </c>
      <c r="H788" s="1016"/>
      <c r="I788" s="1020">
        <f t="shared" si="30"/>
        <v>-1196.1600000000001</v>
      </c>
      <c r="J788" s="249">
        <v>20350945.710000001</v>
      </c>
      <c r="K788" s="1029" t="s">
        <v>3103</v>
      </c>
      <c r="L788" s="15" t="s">
        <v>3726</v>
      </c>
      <c r="N788" s="15" t="s">
        <v>3917</v>
      </c>
    </row>
    <row r="789" spans="1:14" ht="15" hidden="1">
      <c r="A789" s="236">
        <f t="shared" si="31"/>
        <v>788</v>
      </c>
      <c r="C789" s="247">
        <v>45899</v>
      </c>
      <c r="G789" s="1016"/>
      <c r="H789" s="249">
        <v>35933.160000000003</v>
      </c>
      <c r="I789" s="1020">
        <f t="shared" si="30"/>
        <v>35933.160000000003</v>
      </c>
      <c r="J789" s="249">
        <v>20386878.870000001</v>
      </c>
      <c r="K789" s="1029" t="s">
        <v>3104</v>
      </c>
      <c r="L789" s="15" t="s">
        <v>3721</v>
      </c>
      <c r="N789" s="15" t="s">
        <v>3917</v>
      </c>
    </row>
    <row r="790" spans="1:14" ht="15" hidden="1">
      <c r="A790" s="236">
        <f t="shared" si="31"/>
        <v>789</v>
      </c>
      <c r="C790" s="247">
        <v>45899</v>
      </c>
      <c r="G790" s="1016"/>
      <c r="H790" s="249">
        <v>200000</v>
      </c>
      <c r="I790" s="1020">
        <f t="shared" si="30"/>
        <v>200000</v>
      </c>
      <c r="J790" s="249">
        <v>20586878.870000001</v>
      </c>
      <c r="K790" s="1029" t="s">
        <v>3105</v>
      </c>
      <c r="L790" s="15" t="s">
        <v>3718</v>
      </c>
      <c r="N790" s="15" t="s">
        <v>3917</v>
      </c>
    </row>
    <row r="791" spans="1:14" ht="15.75" hidden="1">
      <c r="A791" s="236">
        <f t="shared" si="31"/>
        <v>790</v>
      </c>
      <c r="C791" s="247">
        <v>45899</v>
      </c>
      <c r="G791" s="249">
        <v>42164</v>
      </c>
      <c r="H791" s="1016"/>
      <c r="I791" s="1020">
        <f t="shared" si="30"/>
        <v>-42164</v>
      </c>
      <c r="J791" s="249">
        <v>20544714.870000001</v>
      </c>
      <c r="K791" s="1029" t="s">
        <v>3106</v>
      </c>
      <c r="L791" s="1030" t="s">
        <v>3717</v>
      </c>
      <c r="N791" s="15" t="s">
        <v>3918</v>
      </c>
    </row>
    <row r="792" spans="1:14" ht="15.75" hidden="1">
      <c r="A792" s="236">
        <f t="shared" si="31"/>
        <v>791</v>
      </c>
      <c r="C792" s="247">
        <f>C791+1</f>
        <v>45900</v>
      </c>
      <c r="G792" s="249"/>
      <c r="H792" s="1016"/>
      <c r="I792" s="1020">
        <f t="shared" si="30"/>
        <v>0</v>
      </c>
      <c r="J792" s="249">
        <f>J791-G792+H792</f>
        <v>20544714.870000001</v>
      </c>
      <c r="K792" s="1029">
        <v>0</v>
      </c>
      <c r="L792" s="1030" t="s">
        <v>542</v>
      </c>
      <c r="N792" s="15" t="s">
        <v>3917</v>
      </c>
    </row>
    <row r="793" spans="1:14" ht="15" hidden="1">
      <c r="A793" s="236">
        <f t="shared" si="31"/>
        <v>792</v>
      </c>
      <c r="C793" s="247">
        <v>45901</v>
      </c>
      <c r="G793" s="1017">
        <v>147821.94</v>
      </c>
      <c r="H793" s="1017"/>
      <c r="I793" s="1020">
        <f t="shared" si="30"/>
        <v>-147821.94</v>
      </c>
      <c r="J793" s="249">
        <f>J792-G793+H793</f>
        <v>20396892.93</v>
      </c>
      <c r="K793" s="1029" t="s">
        <v>3107</v>
      </c>
      <c r="L793" s="15" t="s">
        <v>702</v>
      </c>
      <c r="N793" s="15" t="s">
        <v>3917</v>
      </c>
    </row>
    <row r="794" spans="1:14" ht="15" hidden="1">
      <c r="A794" s="236">
        <f t="shared" si="31"/>
        <v>793</v>
      </c>
      <c r="C794" s="247">
        <v>45901</v>
      </c>
      <c r="G794" s="1017">
        <v>843723.6</v>
      </c>
      <c r="H794" s="1017"/>
      <c r="I794" s="1020">
        <f t="shared" si="30"/>
        <v>-843723.6</v>
      </c>
      <c r="J794" s="1017">
        <v>19553169.329999998</v>
      </c>
      <c r="K794" s="1029" t="s">
        <v>3108</v>
      </c>
      <c r="L794" s="15" t="s">
        <v>702</v>
      </c>
      <c r="N794" s="15" t="s">
        <v>3917</v>
      </c>
    </row>
    <row r="795" spans="1:14" ht="15" hidden="1">
      <c r="A795" s="236">
        <f t="shared" si="31"/>
        <v>794</v>
      </c>
      <c r="C795" s="247">
        <v>45901</v>
      </c>
      <c r="G795" s="1017">
        <v>3867676</v>
      </c>
      <c r="H795" s="1017"/>
      <c r="I795" s="1020">
        <f t="shared" si="30"/>
        <v>-3867676</v>
      </c>
      <c r="J795" s="1017">
        <v>15685493.33</v>
      </c>
      <c r="K795" s="1029" t="s">
        <v>3109</v>
      </c>
      <c r="L795" s="15" t="s">
        <v>702</v>
      </c>
      <c r="N795" s="15" t="s">
        <v>3917</v>
      </c>
    </row>
    <row r="796" spans="1:14" ht="15" hidden="1">
      <c r="A796" s="236">
        <f t="shared" si="31"/>
        <v>795</v>
      </c>
      <c r="C796" s="247">
        <v>45901</v>
      </c>
      <c r="G796" s="1017"/>
      <c r="H796" s="1018">
        <v>1000000</v>
      </c>
      <c r="I796" s="1020">
        <f t="shared" si="30"/>
        <v>1000000</v>
      </c>
      <c r="J796" s="1018">
        <v>16685493.33</v>
      </c>
      <c r="K796" s="1031" t="s">
        <v>3110</v>
      </c>
      <c r="L796" s="1032" t="s">
        <v>3718</v>
      </c>
      <c r="N796" s="15" t="s">
        <v>3917</v>
      </c>
    </row>
    <row r="797" spans="1:14" ht="15.75" hidden="1">
      <c r="A797" s="236">
        <f t="shared" si="31"/>
        <v>796</v>
      </c>
      <c r="C797" s="484">
        <v>45902</v>
      </c>
      <c r="G797" s="1019">
        <v>92654</v>
      </c>
      <c r="H797" s="1019">
        <v>0</v>
      </c>
      <c r="I797" s="1020">
        <f t="shared" si="30"/>
        <v>-92654</v>
      </c>
      <c r="J797" s="1019">
        <v>16592839.33</v>
      </c>
      <c r="K797" s="246" t="s">
        <v>3111</v>
      </c>
      <c r="L797" s="246" t="s">
        <v>3717</v>
      </c>
      <c r="N797" s="15" t="s">
        <v>3918</v>
      </c>
    </row>
    <row r="798" spans="1:14" ht="15.75" hidden="1">
      <c r="A798" s="236">
        <f t="shared" si="31"/>
        <v>797</v>
      </c>
      <c r="C798" s="484">
        <v>45902</v>
      </c>
      <c r="G798" s="1019">
        <v>3996000</v>
      </c>
      <c r="H798" s="1019">
        <v>0</v>
      </c>
      <c r="I798" s="1020">
        <f t="shared" si="30"/>
        <v>-3996000</v>
      </c>
      <c r="J798" s="1019">
        <v>12596839.33</v>
      </c>
      <c r="K798" s="246" t="s">
        <v>3112</v>
      </c>
      <c r="L798" s="246" t="s">
        <v>702</v>
      </c>
      <c r="N798" s="15" t="s">
        <v>3917</v>
      </c>
    </row>
    <row r="799" spans="1:14" ht="15.75" hidden="1">
      <c r="A799" s="236">
        <f t="shared" si="31"/>
        <v>798</v>
      </c>
      <c r="C799" s="484">
        <v>45902</v>
      </c>
      <c r="G799" s="1019">
        <v>0</v>
      </c>
      <c r="H799" s="1019">
        <v>2484633</v>
      </c>
      <c r="I799" s="1020">
        <f t="shared" si="30"/>
        <v>2484633</v>
      </c>
      <c r="J799" s="1019">
        <v>15081472.33</v>
      </c>
      <c r="K799" s="246" t="s">
        <v>3113</v>
      </c>
      <c r="L799" s="1125" t="s">
        <v>3723</v>
      </c>
      <c r="N799" s="15" t="s">
        <v>3917</v>
      </c>
    </row>
  </sheetData>
  <autoFilter ref="A1:N799" xr:uid="{C7DEB8CC-2604-4E9C-A40F-7785486F61A1}">
    <filterColumn colId="11">
      <filters>
        <filter val="Operating expenses"/>
      </filters>
    </filterColumn>
  </autoFilter>
  <dataValidations count="1">
    <dataValidation type="list" allowBlank="1" showInputMessage="1" showErrorMessage="1" sqref="L32 L36:L43 L45:L46 L16" xr:uid="{81032E13-03F0-4908-8D96-10E4C9006AA2}">
      <formula1>#REF!</formula1>
    </dataValidation>
  </dataValidations>
  <pageMargins left="0.75" right="0.75" top="1" bottom="1" header="0.5" footer="0.5"/>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637A8-4C1C-4DF8-A875-36C0440F86EA}">
  <dimension ref="A1:Q703"/>
  <sheetViews>
    <sheetView workbookViewId="0">
      <pane ySplit="1" topLeftCell="A2" activePane="bottomLeft" state="frozen"/>
      <selection pane="bottomLeft" activeCell="C1" sqref="C1"/>
    </sheetView>
  </sheetViews>
  <sheetFormatPr defaultRowHeight="12.75"/>
  <cols>
    <col min="1" max="1" width="3.5546875" style="4" bestFit="1" customWidth="1"/>
    <col min="2" max="3" width="9.88671875" style="10" bestFit="1" customWidth="1"/>
    <col min="4" max="4" width="42.6640625" style="4" bestFit="1" customWidth="1"/>
    <col min="5" max="5" width="16.44140625" style="4" bestFit="1" customWidth="1"/>
    <col min="6" max="6" width="8.88671875" style="4" bestFit="1" customWidth="1"/>
    <col min="7" max="7" width="13.77734375" style="64" bestFit="1" customWidth="1"/>
    <col min="8" max="8" width="13.88671875" style="64" bestFit="1" customWidth="1"/>
    <col min="9" max="9" width="13.88671875" style="64" customWidth="1"/>
    <col min="10" max="10" width="14.77734375" style="64" bestFit="1" customWidth="1"/>
    <col min="11" max="11" width="14.77734375" style="64" customWidth="1"/>
    <col min="12" max="12" width="15.44140625" style="4" bestFit="1" customWidth="1"/>
    <col min="13" max="13" width="11.6640625" style="4" bestFit="1" customWidth="1"/>
    <col min="14" max="14" width="8.88671875" style="4"/>
    <col min="15" max="15" width="11.33203125" style="4" bestFit="1" customWidth="1"/>
    <col min="16" max="16" width="10" style="4" bestFit="1" customWidth="1"/>
    <col min="17" max="17" width="11.33203125" style="4" bestFit="1" customWidth="1"/>
    <col min="18" max="16384" width="8.88671875" style="4"/>
  </cols>
  <sheetData>
    <row r="1" spans="1:14" ht="13.5">
      <c r="A1" s="1179" t="s">
        <v>897</v>
      </c>
      <c r="B1" s="164" t="s">
        <v>177</v>
      </c>
      <c r="C1" s="164" t="s">
        <v>54</v>
      </c>
      <c r="D1" s="164" t="s">
        <v>178</v>
      </c>
      <c r="E1" s="164" t="s">
        <v>179</v>
      </c>
      <c r="F1" s="164" t="s">
        <v>180</v>
      </c>
      <c r="G1" s="1180" t="s">
        <v>375</v>
      </c>
      <c r="H1" s="1181" t="s">
        <v>6</v>
      </c>
      <c r="I1" s="1181" t="s">
        <v>993</v>
      </c>
      <c r="J1" s="165" t="s">
        <v>123</v>
      </c>
      <c r="K1" s="165" t="s">
        <v>1375</v>
      </c>
      <c r="L1" s="1182" t="s">
        <v>376</v>
      </c>
      <c r="M1" s="1183" t="s">
        <v>7</v>
      </c>
      <c r="N1" s="9" t="s">
        <v>3915</v>
      </c>
    </row>
    <row r="2" spans="1:14" ht="13.5">
      <c r="A2" s="95">
        <v>1</v>
      </c>
      <c r="B2" s="111">
        <v>45833</v>
      </c>
      <c r="C2" s="111">
        <v>45833</v>
      </c>
      <c r="D2" s="115" t="s">
        <v>109</v>
      </c>
      <c r="E2" s="115" t="s">
        <v>108</v>
      </c>
      <c r="F2" s="166">
        <v>13913</v>
      </c>
      <c r="G2" s="167">
        <v>19200</v>
      </c>
      <c r="H2" s="94">
        <v>0</v>
      </c>
      <c r="I2" s="94">
        <f>H2-G2</f>
        <v>-19200</v>
      </c>
      <c r="J2" s="189">
        <v>57696772.509999998</v>
      </c>
      <c r="K2" s="189"/>
      <c r="L2" s="95" t="s">
        <v>3717</v>
      </c>
      <c r="M2" s="95" t="str">
        <f>L2</f>
        <v>Repayment of  Loan &amp; interest</v>
      </c>
      <c r="N2" s="4" t="s">
        <v>3918</v>
      </c>
    </row>
    <row r="3" spans="1:14" ht="13.5">
      <c r="A3" s="95">
        <f>A2+1</f>
        <v>2</v>
      </c>
      <c r="B3" s="111">
        <v>45833</v>
      </c>
      <c r="C3" s="111">
        <v>45833</v>
      </c>
      <c r="D3" s="115" t="s">
        <v>107</v>
      </c>
      <c r="E3" s="115" t="s">
        <v>106</v>
      </c>
      <c r="F3" s="166">
        <v>99922</v>
      </c>
      <c r="G3" s="168">
        <v>20000000</v>
      </c>
      <c r="H3" s="94">
        <v>0</v>
      </c>
      <c r="I3" s="94">
        <f t="shared" ref="I3:I66" si="0">H3-G3</f>
        <v>-20000000</v>
      </c>
      <c r="J3" s="189">
        <v>37696772.509999998</v>
      </c>
      <c r="K3" s="189"/>
      <c r="L3" s="95" t="s">
        <v>3717</v>
      </c>
      <c r="M3" s="95" t="str">
        <f t="shared" ref="M3:M9" si="1">L3</f>
        <v>Repayment of  Loan &amp; interest</v>
      </c>
      <c r="N3" s="4" t="s">
        <v>3918</v>
      </c>
    </row>
    <row r="4" spans="1:14" ht="13.5">
      <c r="A4" s="95">
        <f t="shared" ref="A4:A67" si="2">A3+1</f>
        <v>3</v>
      </c>
      <c r="B4" s="111">
        <v>45833</v>
      </c>
      <c r="C4" s="111">
        <v>45833</v>
      </c>
      <c r="D4" s="115" t="s">
        <v>105</v>
      </c>
      <c r="E4" s="115" t="s">
        <v>104</v>
      </c>
      <c r="F4" s="166">
        <v>99922</v>
      </c>
      <c r="G4" s="168">
        <v>50000000</v>
      </c>
      <c r="H4" s="94">
        <v>0</v>
      </c>
      <c r="I4" s="94">
        <f t="shared" si="0"/>
        <v>-50000000</v>
      </c>
      <c r="J4" s="189">
        <v>-12303227.49</v>
      </c>
      <c r="K4" s="189"/>
      <c r="L4" s="95" t="s">
        <v>3718</v>
      </c>
      <c r="M4" s="95" t="str">
        <f t="shared" si="1"/>
        <v>Intra company transfer</v>
      </c>
      <c r="N4" s="4" t="s">
        <v>3917</v>
      </c>
    </row>
    <row r="5" spans="1:14" ht="13.5">
      <c r="A5" s="95">
        <f t="shared" si="2"/>
        <v>4</v>
      </c>
      <c r="B5" s="111">
        <v>45833</v>
      </c>
      <c r="C5" s="111">
        <v>45833</v>
      </c>
      <c r="D5" s="115" t="s">
        <v>103</v>
      </c>
      <c r="E5" s="115" t="s">
        <v>102</v>
      </c>
      <c r="F5" s="166">
        <v>99922</v>
      </c>
      <c r="G5" s="168">
        <v>50000000</v>
      </c>
      <c r="H5" s="94">
        <v>0</v>
      </c>
      <c r="I5" s="94">
        <f t="shared" si="0"/>
        <v>-50000000</v>
      </c>
      <c r="J5" s="189">
        <v>-62303227.490000002</v>
      </c>
      <c r="K5" s="189"/>
      <c r="L5" s="95" t="s">
        <v>3718</v>
      </c>
      <c r="M5" s="95" t="str">
        <f t="shared" si="1"/>
        <v>Intra company transfer</v>
      </c>
      <c r="N5" s="4" t="s">
        <v>3917</v>
      </c>
    </row>
    <row r="6" spans="1:14" ht="13.5">
      <c r="A6" s="95">
        <f t="shared" si="2"/>
        <v>5</v>
      </c>
      <c r="B6" s="111">
        <v>45833</v>
      </c>
      <c r="C6" s="111">
        <v>45833</v>
      </c>
      <c r="D6" s="115" t="s">
        <v>101</v>
      </c>
      <c r="E6" s="115" t="s">
        <v>100</v>
      </c>
      <c r="F6" s="166">
        <v>13913</v>
      </c>
      <c r="G6" s="94">
        <v>0</v>
      </c>
      <c r="H6" s="168">
        <v>14703763</v>
      </c>
      <c r="I6" s="94">
        <f t="shared" si="0"/>
        <v>14703763</v>
      </c>
      <c r="J6" s="189">
        <v>-47599464.490000002</v>
      </c>
      <c r="K6" s="189"/>
      <c r="L6" s="52" t="s">
        <v>3718</v>
      </c>
      <c r="M6" s="95" t="str">
        <f t="shared" si="1"/>
        <v>Intra company transfer</v>
      </c>
      <c r="N6" s="4" t="s">
        <v>3917</v>
      </c>
    </row>
    <row r="7" spans="1:14" ht="13.5">
      <c r="A7" s="95">
        <f t="shared" si="2"/>
        <v>6</v>
      </c>
      <c r="B7" s="111">
        <v>45833</v>
      </c>
      <c r="C7" s="111">
        <v>45833</v>
      </c>
      <c r="D7" s="115" t="s">
        <v>99</v>
      </c>
      <c r="E7" s="115" t="s">
        <v>98</v>
      </c>
      <c r="F7" s="166">
        <v>4430</v>
      </c>
      <c r="G7" s="94">
        <v>0</v>
      </c>
      <c r="H7" s="168">
        <v>30000000</v>
      </c>
      <c r="I7" s="94">
        <f t="shared" si="0"/>
        <v>30000000</v>
      </c>
      <c r="J7" s="189">
        <v>-17599464.489999998</v>
      </c>
      <c r="K7" s="189"/>
      <c r="L7" s="95" t="s">
        <v>3718</v>
      </c>
      <c r="M7" s="95" t="str">
        <f t="shared" si="1"/>
        <v>Intra company transfer</v>
      </c>
      <c r="N7" s="4" t="s">
        <v>3917</v>
      </c>
    </row>
    <row r="8" spans="1:14" ht="13.5">
      <c r="A8" s="95">
        <f t="shared" si="2"/>
        <v>7</v>
      </c>
      <c r="B8" s="111">
        <v>45833</v>
      </c>
      <c r="C8" s="111">
        <v>45833</v>
      </c>
      <c r="D8" s="115" t="s">
        <v>97</v>
      </c>
      <c r="E8" s="115" t="s">
        <v>96</v>
      </c>
      <c r="F8" s="166">
        <v>99922</v>
      </c>
      <c r="G8" s="168">
        <v>1107723</v>
      </c>
      <c r="H8" s="94">
        <v>0</v>
      </c>
      <c r="I8" s="94">
        <f t="shared" si="0"/>
        <v>-1107723</v>
      </c>
      <c r="J8" s="189">
        <v>-18707187.489999998</v>
      </c>
      <c r="K8" s="189"/>
      <c r="L8" s="52" t="s">
        <v>3718</v>
      </c>
      <c r="M8" s="95" t="str">
        <f t="shared" si="1"/>
        <v>Intra company transfer</v>
      </c>
      <c r="N8" s="4" t="s">
        <v>3917</v>
      </c>
    </row>
    <row r="9" spans="1:14" ht="13.5">
      <c r="A9" s="95">
        <f t="shared" si="2"/>
        <v>8</v>
      </c>
      <c r="B9" s="111">
        <v>45833</v>
      </c>
      <c r="C9" s="111">
        <v>45833</v>
      </c>
      <c r="D9" s="115" t="s">
        <v>95</v>
      </c>
      <c r="E9" s="115" t="s">
        <v>94</v>
      </c>
      <c r="F9" s="166">
        <v>99922</v>
      </c>
      <c r="G9" s="168">
        <v>10065590</v>
      </c>
      <c r="H9" s="94">
        <v>0</v>
      </c>
      <c r="I9" s="94">
        <f t="shared" si="0"/>
        <v>-10065590</v>
      </c>
      <c r="J9" s="189">
        <v>-28772777.489999998</v>
      </c>
      <c r="K9" s="189"/>
      <c r="L9" s="1200" t="s">
        <v>542</v>
      </c>
      <c r="M9" s="95" t="str">
        <f t="shared" si="1"/>
        <v>Other Expenses</v>
      </c>
      <c r="N9" s="4" t="s">
        <v>3917</v>
      </c>
    </row>
    <row r="10" spans="1:14" ht="13.5">
      <c r="A10" s="95">
        <f t="shared" si="2"/>
        <v>9</v>
      </c>
      <c r="B10" s="111">
        <v>45834</v>
      </c>
      <c r="C10" s="111">
        <v>45834</v>
      </c>
      <c r="D10" s="111" t="s">
        <v>1228</v>
      </c>
      <c r="E10" s="115" t="s">
        <v>507</v>
      </c>
      <c r="F10" s="169">
        <v>99922</v>
      </c>
      <c r="G10" s="157">
        <v>0</v>
      </c>
      <c r="H10" s="170">
        <v>8500000</v>
      </c>
      <c r="I10" s="94">
        <f t="shared" si="0"/>
        <v>8500000</v>
      </c>
      <c r="J10" s="169">
        <v>-20272777.489999998</v>
      </c>
      <c r="K10" s="169"/>
      <c r="L10" s="4" t="s">
        <v>3723</v>
      </c>
      <c r="M10" s="95" t="s">
        <v>508</v>
      </c>
      <c r="N10" s="4" t="s">
        <v>3917</v>
      </c>
    </row>
    <row r="11" spans="1:14" ht="15.75">
      <c r="A11" s="95">
        <f t="shared" si="2"/>
        <v>10</v>
      </c>
      <c r="B11" s="171">
        <v>45835</v>
      </c>
      <c r="C11" s="112">
        <v>45835</v>
      </c>
      <c r="D11" s="52" t="s">
        <v>161</v>
      </c>
      <c r="E11" s="52" t="s">
        <v>162</v>
      </c>
      <c r="F11" s="52">
        <v>99922</v>
      </c>
      <c r="G11" s="103">
        <v>713409</v>
      </c>
      <c r="H11" s="103">
        <v>0</v>
      </c>
      <c r="I11" s="94">
        <f t="shared" si="0"/>
        <v>-713409</v>
      </c>
      <c r="J11" s="106">
        <v>-20986186.489999998</v>
      </c>
      <c r="K11" s="106"/>
      <c r="L11" s="2" t="s">
        <v>542</v>
      </c>
      <c r="M11" s="95" t="str">
        <f t="shared" ref="M11:M48" si="3">L11</f>
        <v>Other Expenses</v>
      </c>
      <c r="N11" s="4" t="s">
        <v>3917</v>
      </c>
    </row>
    <row r="12" spans="1:14" ht="13.5">
      <c r="A12" s="95">
        <f t="shared" si="2"/>
        <v>11</v>
      </c>
      <c r="B12" s="171">
        <v>45835</v>
      </c>
      <c r="C12" s="112">
        <v>45835</v>
      </c>
      <c r="D12" s="52" t="s">
        <v>163</v>
      </c>
      <c r="E12" s="52" t="s">
        <v>164</v>
      </c>
      <c r="F12" s="52">
        <v>99922</v>
      </c>
      <c r="G12" s="103">
        <v>452265</v>
      </c>
      <c r="H12" s="103">
        <v>0</v>
      </c>
      <c r="I12" s="94">
        <f t="shared" si="0"/>
        <v>-452265</v>
      </c>
      <c r="J12" s="106">
        <v>-21438451.489999998</v>
      </c>
      <c r="K12" s="106"/>
      <c r="L12" s="52" t="s">
        <v>3717</v>
      </c>
      <c r="M12" s="95" t="str">
        <f t="shared" si="3"/>
        <v>Repayment of  Loan &amp; interest</v>
      </c>
      <c r="N12" s="4" t="s">
        <v>3918</v>
      </c>
    </row>
    <row r="13" spans="1:14" ht="13.5">
      <c r="A13" s="95">
        <f t="shared" si="2"/>
        <v>12</v>
      </c>
      <c r="B13" s="171">
        <v>45835</v>
      </c>
      <c r="C13" s="112">
        <v>45835</v>
      </c>
      <c r="D13" s="52" t="s">
        <v>163</v>
      </c>
      <c r="E13" s="52" t="s">
        <v>165</v>
      </c>
      <c r="F13" s="52">
        <v>99922</v>
      </c>
      <c r="G13" s="103">
        <v>6479035</v>
      </c>
      <c r="H13" s="103">
        <v>0</v>
      </c>
      <c r="I13" s="94">
        <f t="shared" si="0"/>
        <v>-6479035</v>
      </c>
      <c r="J13" s="106">
        <v>-27917486.489999998</v>
      </c>
      <c r="K13" s="106"/>
      <c r="L13" s="64" t="s">
        <v>542</v>
      </c>
      <c r="M13" s="95" t="s">
        <v>3914</v>
      </c>
      <c r="N13" s="4" t="s">
        <v>3917</v>
      </c>
    </row>
    <row r="14" spans="1:14" ht="13.5">
      <c r="A14" s="95">
        <f t="shared" si="2"/>
        <v>13</v>
      </c>
      <c r="B14" s="171">
        <v>45835</v>
      </c>
      <c r="C14" s="112">
        <v>45835</v>
      </c>
      <c r="D14" s="52" t="s">
        <v>166</v>
      </c>
      <c r="E14" s="52" t="s">
        <v>167</v>
      </c>
      <c r="F14" s="52">
        <v>99922</v>
      </c>
      <c r="G14" s="103">
        <v>12961</v>
      </c>
      <c r="H14" s="103">
        <v>0</v>
      </c>
      <c r="I14" s="94">
        <f t="shared" si="0"/>
        <v>-12961</v>
      </c>
      <c r="J14" s="106">
        <v>-27930447.489999998</v>
      </c>
      <c r="K14" s="106"/>
      <c r="L14" s="52" t="s">
        <v>542</v>
      </c>
      <c r="M14" s="95" t="s">
        <v>3914</v>
      </c>
      <c r="N14" s="4" t="s">
        <v>3917</v>
      </c>
    </row>
    <row r="15" spans="1:14" ht="13.5">
      <c r="A15" s="95">
        <f t="shared" si="2"/>
        <v>14</v>
      </c>
      <c r="B15" s="171">
        <v>45835</v>
      </c>
      <c r="C15" s="112">
        <v>45835</v>
      </c>
      <c r="D15" s="52" t="s">
        <v>168</v>
      </c>
      <c r="E15" s="52" t="s">
        <v>169</v>
      </c>
      <c r="F15" s="52">
        <v>99922</v>
      </c>
      <c r="G15" s="103">
        <v>120165</v>
      </c>
      <c r="H15" s="103">
        <v>0</v>
      </c>
      <c r="I15" s="94">
        <f t="shared" si="0"/>
        <v>-120165</v>
      </c>
      <c r="J15" s="106">
        <v>-28050612.489999998</v>
      </c>
      <c r="K15" s="106"/>
      <c r="L15" s="52" t="s">
        <v>542</v>
      </c>
      <c r="M15" s="95" t="s">
        <v>3914</v>
      </c>
      <c r="N15" s="4" t="s">
        <v>3917</v>
      </c>
    </row>
    <row r="16" spans="1:14" ht="13.5">
      <c r="A16" s="95">
        <f t="shared" si="2"/>
        <v>15</v>
      </c>
      <c r="B16" s="171">
        <v>45835</v>
      </c>
      <c r="C16" s="112">
        <v>45835</v>
      </c>
      <c r="D16" s="52" t="s">
        <v>170</v>
      </c>
      <c r="E16" s="52" t="s">
        <v>171</v>
      </c>
      <c r="F16" s="52">
        <v>99922</v>
      </c>
      <c r="G16" s="103">
        <v>570280</v>
      </c>
      <c r="H16" s="103">
        <v>0</v>
      </c>
      <c r="I16" s="94">
        <f t="shared" si="0"/>
        <v>-570280</v>
      </c>
      <c r="J16" s="106">
        <v>-28620892.489999998</v>
      </c>
      <c r="K16" s="106"/>
      <c r="L16" s="52" t="s">
        <v>542</v>
      </c>
      <c r="M16" s="95" t="str">
        <f t="shared" si="3"/>
        <v>Other Expenses</v>
      </c>
      <c r="N16" s="4" t="s">
        <v>3917</v>
      </c>
    </row>
    <row r="17" spans="1:14" ht="13.5">
      <c r="A17" s="95">
        <f t="shared" si="2"/>
        <v>16</v>
      </c>
      <c r="B17" s="171">
        <v>45835</v>
      </c>
      <c r="C17" s="112">
        <v>45835</v>
      </c>
      <c r="D17" s="52" t="s">
        <v>163</v>
      </c>
      <c r="E17" s="52" t="s">
        <v>172</v>
      </c>
      <c r="F17" s="52">
        <v>99922</v>
      </c>
      <c r="G17" s="103">
        <v>1000000</v>
      </c>
      <c r="H17" s="103">
        <v>0</v>
      </c>
      <c r="I17" s="94">
        <f t="shared" si="0"/>
        <v>-1000000</v>
      </c>
      <c r="J17" s="106">
        <v>-29620892.489999998</v>
      </c>
      <c r="K17" s="106"/>
      <c r="L17" s="52" t="s">
        <v>542</v>
      </c>
      <c r="M17" s="95" t="str">
        <f t="shared" si="3"/>
        <v>Other Expenses</v>
      </c>
      <c r="N17" s="4" t="s">
        <v>3917</v>
      </c>
    </row>
    <row r="18" spans="1:14" ht="13.5">
      <c r="A18" s="95">
        <f t="shared" si="2"/>
        <v>17</v>
      </c>
      <c r="B18" s="171">
        <v>45835</v>
      </c>
      <c r="C18" s="112">
        <v>45835</v>
      </c>
      <c r="D18" s="52" t="s">
        <v>173</v>
      </c>
      <c r="E18" s="52" t="s">
        <v>174</v>
      </c>
      <c r="F18" s="52">
        <v>99922</v>
      </c>
      <c r="G18" s="103">
        <v>6500000</v>
      </c>
      <c r="H18" s="103">
        <v>0</v>
      </c>
      <c r="I18" s="94">
        <f t="shared" si="0"/>
        <v>-6500000</v>
      </c>
      <c r="J18" s="106">
        <v>-36120892.490000002</v>
      </c>
      <c r="K18" s="106"/>
      <c r="L18" s="52" t="s">
        <v>3719</v>
      </c>
      <c r="M18" s="95" t="str">
        <f t="shared" si="3"/>
        <v>Vendor payments</v>
      </c>
      <c r="N18" s="4" t="s">
        <v>3917</v>
      </c>
    </row>
    <row r="19" spans="1:14" ht="13.5">
      <c r="A19" s="95">
        <f t="shared" si="2"/>
        <v>18</v>
      </c>
      <c r="B19" s="171">
        <v>45835</v>
      </c>
      <c r="C19" s="112">
        <v>45835</v>
      </c>
      <c r="D19" s="52" t="s">
        <v>175</v>
      </c>
      <c r="E19" s="52" t="s">
        <v>176</v>
      </c>
      <c r="F19" s="52">
        <v>99922</v>
      </c>
      <c r="G19" s="103">
        <v>623700</v>
      </c>
      <c r="H19" s="103">
        <v>0</v>
      </c>
      <c r="I19" s="94">
        <f t="shared" si="0"/>
        <v>-623700</v>
      </c>
      <c r="J19" s="106">
        <v>-36744592.490000002</v>
      </c>
      <c r="K19" s="106"/>
      <c r="L19" s="52" t="s">
        <v>3717</v>
      </c>
      <c r="M19" s="95" t="str">
        <f t="shared" si="3"/>
        <v>Repayment of  Loan &amp; interest</v>
      </c>
      <c r="N19" s="4" t="s">
        <v>3918</v>
      </c>
    </row>
    <row r="20" spans="1:14" ht="13.5">
      <c r="A20" s="95">
        <f t="shared" si="2"/>
        <v>19</v>
      </c>
      <c r="B20" s="104">
        <v>45836</v>
      </c>
      <c r="C20" s="104">
        <v>45836</v>
      </c>
      <c r="D20" s="52" t="s">
        <v>163</v>
      </c>
      <c r="E20" s="52" t="s">
        <v>185</v>
      </c>
      <c r="F20" s="52">
        <v>99922</v>
      </c>
      <c r="G20" s="103">
        <v>2365438</v>
      </c>
      <c r="H20" s="103">
        <v>0</v>
      </c>
      <c r="I20" s="94">
        <f t="shared" si="0"/>
        <v>-2365438</v>
      </c>
      <c r="J20" s="106">
        <v>-39110030.490000002</v>
      </c>
      <c r="K20" s="106"/>
      <c r="L20" s="52" t="s">
        <v>3720</v>
      </c>
      <c r="M20" s="95" t="str">
        <f t="shared" si="3"/>
        <v>Tender</v>
      </c>
      <c r="N20" s="4" t="s">
        <v>3917</v>
      </c>
    </row>
    <row r="21" spans="1:14" ht="13.5">
      <c r="A21" s="95">
        <f t="shared" si="2"/>
        <v>20</v>
      </c>
      <c r="B21" s="104">
        <v>45836</v>
      </c>
      <c r="C21" s="104">
        <v>45836</v>
      </c>
      <c r="D21" s="52" t="s">
        <v>173</v>
      </c>
      <c r="E21" s="52" t="s">
        <v>186</v>
      </c>
      <c r="F21" s="52">
        <v>99922</v>
      </c>
      <c r="G21" s="103">
        <v>39076</v>
      </c>
      <c r="H21" s="103">
        <v>0</v>
      </c>
      <c r="I21" s="94">
        <f t="shared" si="0"/>
        <v>-39076</v>
      </c>
      <c r="J21" s="106">
        <v>-39149106.490000002</v>
      </c>
      <c r="K21" s="106"/>
      <c r="L21" s="52" t="s">
        <v>3720</v>
      </c>
      <c r="M21" s="95" t="str">
        <f t="shared" si="3"/>
        <v>Tender</v>
      </c>
      <c r="N21" s="4" t="s">
        <v>3917</v>
      </c>
    </row>
    <row r="22" spans="1:14" ht="13.5">
      <c r="A22" s="95">
        <f t="shared" si="2"/>
        <v>21</v>
      </c>
      <c r="B22" s="104">
        <v>45836</v>
      </c>
      <c r="C22" s="104">
        <v>45836</v>
      </c>
      <c r="D22" s="52" t="s">
        <v>173</v>
      </c>
      <c r="E22" s="52" t="s">
        <v>187</v>
      </c>
      <c r="F22" s="52">
        <v>99922</v>
      </c>
      <c r="G22" s="103">
        <v>4040500</v>
      </c>
      <c r="H22" s="103">
        <v>0</v>
      </c>
      <c r="I22" s="94">
        <f t="shared" si="0"/>
        <v>-4040500</v>
      </c>
      <c r="J22" s="106">
        <v>-43189606.490000002</v>
      </c>
      <c r="K22" s="106"/>
      <c r="L22" s="52" t="s">
        <v>3720</v>
      </c>
      <c r="M22" s="95" t="str">
        <f t="shared" si="3"/>
        <v>Tender</v>
      </c>
      <c r="N22" s="4" t="s">
        <v>3917</v>
      </c>
    </row>
    <row r="23" spans="1:14" ht="13.5">
      <c r="A23" s="95">
        <f t="shared" si="2"/>
        <v>22</v>
      </c>
      <c r="B23" s="104">
        <v>45836</v>
      </c>
      <c r="C23" s="104">
        <v>45836</v>
      </c>
      <c r="D23" s="52" t="s">
        <v>163</v>
      </c>
      <c r="E23" s="52" t="s">
        <v>188</v>
      </c>
      <c r="F23" s="52">
        <v>99922</v>
      </c>
      <c r="G23" s="103">
        <v>1711500</v>
      </c>
      <c r="H23" s="103">
        <v>0</v>
      </c>
      <c r="I23" s="94">
        <f t="shared" si="0"/>
        <v>-1711500</v>
      </c>
      <c r="J23" s="106">
        <v>-44901106.490000002</v>
      </c>
      <c r="K23" s="106"/>
      <c r="L23" s="52" t="s">
        <v>3720</v>
      </c>
      <c r="M23" s="95" t="str">
        <f t="shared" si="3"/>
        <v>Tender</v>
      </c>
      <c r="N23" s="4" t="s">
        <v>3917</v>
      </c>
    </row>
    <row r="24" spans="1:14" ht="13.5">
      <c r="A24" s="95">
        <f t="shared" si="2"/>
        <v>23</v>
      </c>
      <c r="B24" s="104">
        <f>B23+1</f>
        <v>45837</v>
      </c>
      <c r="C24" s="104">
        <f>C23+1</f>
        <v>45837</v>
      </c>
      <c r="D24" s="52"/>
      <c r="E24" s="52"/>
      <c r="F24" s="52"/>
      <c r="G24" s="103">
        <v>0</v>
      </c>
      <c r="H24" s="103">
        <v>0</v>
      </c>
      <c r="I24" s="94">
        <f t="shared" si="0"/>
        <v>0</v>
      </c>
      <c r="J24" s="106">
        <v>-44901106.490000002</v>
      </c>
      <c r="K24" s="106"/>
      <c r="L24" s="95" t="s">
        <v>3720</v>
      </c>
      <c r="M24" s="95" t="str">
        <f t="shared" si="3"/>
        <v>Tender</v>
      </c>
      <c r="N24" s="4" t="s">
        <v>3917</v>
      </c>
    </row>
    <row r="25" spans="1:14" ht="13.5">
      <c r="A25" s="95">
        <f t="shared" si="2"/>
        <v>24</v>
      </c>
      <c r="B25" s="104">
        <v>45838</v>
      </c>
      <c r="C25" s="104">
        <v>45838</v>
      </c>
      <c r="D25" s="52" t="s">
        <v>190</v>
      </c>
      <c r="E25" s="52" t="s">
        <v>130</v>
      </c>
      <c r="F25" s="52">
        <v>4430</v>
      </c>
      <c r="G25" s="103">
        <v>0</v>
      </c>
      <c r="H25" s="103">
        <v>900000</v>
      </c>
      <c r="I25" s="94">
        <f t="shared" si="0"/>
        <v>900000</v>
      </c>
      <c r="J25" s="106">
        <v>-44001106.490000002</v>
      </c>
      <c r="K25" s="106"/>
      <c r="L25" s="95" t="s">
        <v>3720</v>
      </c>
      <c r="M25" s="95" t="str">
        <f t="shared" si="3"/>
        <v>Tender</v>
      </c>
      <c r="N25" s="4" t="s">
        <v>3917</v>
      </c>
    </row>
    <row r="26" spans="1:14" ht="13.5">
      <c r="A26" s="95">
        <f t="shared" si="2"/>
        <v>25</v>
      </c>
      <c r="B26" s="104">
        <v>45838</v>
      </c>
      <c r="C26" s="104">
        <v>45838</v>
      </c>
      <c r="D26" s="52" t="s">
        <v>191</v>
      </c>
      <c r="E26" s="52" t="s">
        <v>192</v>
      </c>
      <c r="F26" s="52">
        <v>99922</v>
      </c>
      <c r="G26" s="103">
        <v>4100000</v>
      </c>
      <c r="H26" s="103">
        <v>0</v>
      </c>
      <c r="I26" s="94">
        <f t="shared" si="0"/>
        <v>-4100000</v>
      </c>
      <c r="J26" s="106">
        <v>-48101106.490000002</v>
      </c>
      <c r="K26" s="106"/>
      <c r="L26" s="95" t="s">
        <v>3720</v>
      </c>
      <c r="M26" s="95" t="str">
        <f t="shared" si="3"/>
        <v>Tender</v>
      </c>
      <c r="N26" s="4" t="s">
        <v>3917</v>
      </c>
    </row>
    <row r="27" spans="1:14" ht="13.5">
      <c r="A27" s="95">
        <f t="shared" si="2"/>
        <v>26</v>
      </c>
      <c r="B27" s="104">
        <v>45838</v>
      </c>
      <c r="C27" s="104">
        <v>45838</v>
      </c>
      <c r="D27" s="52" t="s">
        <v>193</v>
      </c>
      <c r="E27" s="52" t="s">
        <v>194</v>
      </c>
      <c r="F27" s="52">
        <v>99922</v>
      </c>
      <c r="G27" s="103">
        <v>8000</v>
      </c>
      <c r="H27" s="103">
        <v>0</v>
      </c>
      <c r="I27" s="94">
        <f t="shared" si="0"/>
        <v>-8000</v>
      </c>
      <c r="J27" s="106">
        <v>-48109106.490000002</v>
      </c>
      <c r="K27" s="106"/>
      <c r="L27" s="52" t="s">
        <v>3718</v>
      </c>
      <c r="M27" s="95" t="str">
        <f t="shared" si="3"/>
        <v>Intra company transfer</v>
      </c>
      <c r="N27" s="4" t="s">
        <v>3917</v>
      </c>
    </row>
    <row r="28" spans="1:14" ht="13.5">
      <c r="A28" s="95">
        <f t="shared" si="2"/>
        <v>27</v>
      </c>
      <c r="B28" s="104">
        <v>45838</v>
      </c>
      <c r="C28" s="104">
        <v>45838</v>
      </c>
      <c r="D28" s="52" t="s">
        <v>195</v>
      </c>
      <c r="E28" s="52" t="s">
        <v>196</v>
      </c>
      <c r="F28" s="52">
        <v>99922</v>
      </c>
      <c r="G28" s="103">
        <v>368874</v>
      </c>
      <c r="H28" s="103">
        <v>0</v>
      </c>
      <c r="I28" s="94">
        <f t="shared" si="0"/>
        <v>-368874</v>
      </c>
      <c r="J28" s="106">
        <v>-48477980.490000002</v>
      </c>
      <c r="K28" s="106"/>
      <c r="L28" s="52" t="s">
        <v>3720</v>
      </c>
      <c r="M28" s="95" t="str">
        <f t="shared" si="3"/>
        <v>Tender</v>
      </c>
      <c r="N28" s="4" t="s">
        <v>3917</v>
      </c>
    </row>
    <row r="29" spans="1:14" ht="13.5">
      <c r="A29" s="95">
        <f t="shared" si="2"/>
        <v>28</v>
      </c>
      <c r="B29" s="104">
        <v>45838</v>
      </c>
      <c r="C29" s="104">
        <v>45838</v>
      </c>
      <c r="D29" s="52" t="s">
        <v>197</v>
      </c>
      <c r="E29" s="52" t="s">
        <v>198</v>
      </c>
      <c r="F29" s="52">
        <v>99922</v>
      </c>
      <c r="G29" s="103">
        <v>0</v>
      </c>
      <c r="H29" s="103">
        <v>20000000</v>
      </c>
      <c r="I29" s="94">
        <f t="shared" si="0"/>
        <v>20000000</v>
      </c>
      <c r="J29" s="106">
        <v>-28477980.489999998</v>
      </c>
      <c r="K29" s="106"/>
      <c r="L29" s="54" t="s">
        <v>3723</v>
      </c>
      <c r="M29" s="95" t="str">
        <f t="shared" si="3"/>
        <v>Revenue from operation</v>
      </c>
      <c r="N29" s="4" t="s">
        <v>3917</v>
      </c>
    </row>
    <row r="30" spans="1:14" ht="13.5">
      <c r="A30" s="95">
        <f t="shared" si="2"/>
        <v>29</v>
      </c>
      <c r="B30" s="104">
        <v>45838</v>
      </c>
      <c r="C30" s="104">
        <v>45838</v>
      </c>
      <c r="D30" s="52" t="s">
        <v>197</v>
      </c>
      <c r="E30" s="52" t="s">
        <v>199</v>
      </c>
      <c r="F30" s="52">
        <v>99922</v>
      </c>
      <c r="G30" s="103">
        <v>0</v>
      </c>
      <c r="H30" s="103">
        <v>20000000</v>
      </c>
      <c r="I30" s="94">
        <f t="shared" si="0"/>
        <v>20000000</v>
      </c>
      <c r="J30" s="106">
        <v>-8477980.4900000002</v>
      </c>
      <c r="K30" s="106"/>
      <c r="L30" s="52" t="s">
        <v>3723</v>
      </c>
      <c r="M30" s="95" t="str">
        <f t="shared" si="3"/>
        <v>Revenue from operation</v>
      </c>
      <c r="N30" s="4" t="s">
        <v>3917</v>
      </c>
    </row>
    <row r="31" spans="1:14" ht="13.5">
      <c r="A31" s="95">
        <f t="shared" si="2"/>
        <v>30</v>
      </c>
      <c r="B31" s="104">
        <v>45838</v>
      </c>
      <c r="C31" s="104">
        <v>45838</v>
      </c>
      <c r="D31" s="52" t="s">
        <v>197</v>
      </c>
      <c r="E31" s="52" t="s">
        <v>200</v>
      </c>
      <c r="F31" s="52">
        <v>99922</v>
      </c>
      <c r="G31" s="103">
        <v>0</v>
      </c>
      <c r="H31" s="103">
        <v>20000000</v>
      </c>
      <c r="I31" s="94">
        <f t="shared" si="0"/>
        <v>20000000</v>
      </c>
      <c r="J31" s="106">
        <v>11522019.51</v>
      </c>
      <c r="K31" s="106"/>
      <c r="L31" s="64" t="s">
        <v>3723</v>
      </c>
      <c r="M31" s="95" t="str">
        <f t="shared" si="3"/>
        <v>Revenue from operation</v>
      </c>
      <c r="N31" s="4" t="s">
        <v>3917</v>
      </c>
    </row>
    <row r="32" spans="1:14" ht="13.5">
      <c r="A32" s="95">
        <f t="shared" si="2"/>
        <v>31</v>
      </c>
      <c r="B32" s="104">
        <v>45838</v>
      </c>
      <c r="C32" s="104">
        <v>45838</v>
      </c>
      <c r="D32" s="52" t="s">
        <v>197</v>
      </c>
      <c r="E32" s="52" t="s">
        <v>201</v>
      </c>
      <c r="F32" s="52">
        <v>99922</v>
      </c>
      <c r="G32" s="103">
        <v>0</v>
      </c>
      <c r="H32" s="103">
        <v>20000000</v>
      </c>
      <c r="I32" s="94">
        <f t="shared" si="0"/>
        <v>20000000</v>
      </c>
      <c r="J32" s="106">
        <v>31522019.510000002</v>
      </c>
      <c r="K32" s="106"/>
      <c r="L32" s="52" t="s">
        <v>3723</v>
      </c>
      <c r="M32" s="95" t="str">
        <f t="shared" si="3"/>
        <v>Revenue from operation</v>
      </c>
      <c r="N32" s="4" t="s">
        <v>3917</v>
      </c>
    </row>
    <row r="33" spans="1:14" ht="13.5">
      <c r="A33" s="95">
        <f t="shared" si="2"/>
        <v>32</v>
      </c>
      <c r="B33" s="104">
        <v>45838</v>
      </c>
      <c r="C33" s="104">
        <v>45838</v>
      </c>
      <c r="D33" s="52" t="s">
        <v>197</v>
      </c>
      <c r="E33" s="52" t="s">
        <v>202</v>
      </c>
      <c r="F33" s="52">
        <v>99922</v>
      </c>
      <c r="G33" s="103">
        <v>0</v>
      </c>
      <c r="H33" s="103">
        <v>20000000</v>
      </c>
      <c r="I33" s="94">
        <f t="shared" si="0"/>
        <v>20000000</v>
      </c>
      <c r="J33" s="106">
        <v>51522019.509999998</v>
      </c>
      <c r="K33" s="106"/>
      <c r="L33" s="1177" t="s">
        <v>3723</v>
      </c>
      <c r="M33" s="95"/>
      <c r="N33" s="4" t="s">
        <v>3917</v>
      </c>
    </row>
    <row r="34" spans="1:14" ht="13.5">
      <c r="A34" s="95">
        <f t="shared" si="2"/>
        <v>33</v>
      </c>
      <c r="B34" s="104">
        <v>45838</v>
      </c>
      <c r="C34" s="104">
        <v>45838</v>
      </c>
      <c r="D34" s="52" t="s">
        <v>197</v>
      </c>
      <c r="E34" s="52" t="s">
        <v>203</v>
      </c>
      <c r="F34" s="52">
        <v>99922</v>
      </c>
      <c r="G34" s="103">
        <v>0</v>
      </c>
      <c r="H34" s="103">
        <v>20000000</v>
      </c>
      <c r="I34" s="94">
        <f t="shared" si="0"/>
        <v>20000000</v>
      </c>
      <c r="J34" s="106">
        <v>71522019.510000005</v>
      </c>
      <c r="K34" s="106"/>
      <c r="L34" s="52" t="s">
        <v>3718</v>
      </c>
      <c r="M34" s="95" t="str">
        <f t="shared" si="3"/>
        <v>Intra company transfer</v>
      </c>
      <c r="N34" s="4" t="s">
        <v>3917</v>
      </c>
    </row>
    <row r="35" spans="1:14" ht="13.5">
      <c r="A35" s="95">
        <f t="shared" si="2"/>
        <v>34</v>
      </c>
      <c r="B35" s="104">
        <v>45838</v>
      </c>
      <c r="C35" s="104">
        <v>45838</v>
      </c>
      <c r="D35" s="52" t="s">
        <v>197</v>
      </c>
      <c r="E35" s="52" t="s">
        <v>204</v>
      </c>
      <c r="F35" s="52">
        <v>99922</v>
      </c>
      <c r="G35" s="103">
        <v>0</v>
      </c>
      <c r="H35" s="103">
        <v>20000000</v>
      </c>
      <c r="I35" s="94">
        <f t="shared" si="0"/>
        <v>20000000</v>
      </c>
      <c r="J35" s="106">
        <v>91522019.510000005</v>
      </c>
      <c r="K35" s="106"/>
      <c r="L35" s="1177" t="s">
        <v>3723</v>
      </c>
      <c r="M35" s="95"/>
      <c r="N35" s="4" t="s">
        <v>3917</v>
      </c>
    </row>
    <row r="36" spans="1:14" ht="13.5">
      <c r="A36" s="95">
        <f t="shared" si="2"/>
        <v>35</v>
      </c>
      <c r="B36" s="104">
        <v>45838</v>
      </c>
      <c r="C36" s="104">
        <v>45838</v>
      </c>
      <c r="D36" s="52" t="s">
        <v>197</v>
      </c>
      <c r="E36" s="52" t="s">
        <v>205</v>
      </c>
      <c r="F36" s="52">
        <v>99922</v>
      </c>
      <c r="G36" s="103">
        <v>0</v>
      </c>
      <c r="H36" s="103">
        <v>20000000</v>
      </c>
      <c r="I36" s="94">
        <f t="shared" si="0"/>
        <v>20000000</v>
      </c>
      <c r="J36" s="106">
        <v>111522019.51000001</v>
      </c>
      <c r="K36" s="106"/>
      <c r="L36" s="1177" t="s">
        <v>3723</v>
      </c>
      <c r="M36" s="95"/>
      <c r="N36" s="4" t="s">
        <v>3917</v>
      </c>
    </row>
    <row r="37" spans="1:14" ht="13.5">
      <c r="A37" s="95">
        <f t="shared" si="2"/>
        <v>36</v>
      </c>
      <c r="B37" s="104">
        <v>45838</v>
      </c>
      <c r="C37" s="104">
        <v>45838</v>
      </c>
      <c r="D37" s="52" t="s">
        <v>197</v>
      </c>
      <c r="E37" s="52" t="s">
        <v>206</v>
      </c>
      <c r="F37" s="52">
        <v>99922</v>
      </c>
      <c r="G37" s="103">
        <v>0</v>
      </c>
      <c r="H37" s="103">
        <v>20000000</v>
      </c>
      <c r="I37" s="94">
        <f t="shared" si="0"/>
        <v>20000000</v>
      </c>
      <c r="J37" s="106">
        <v>131522019.51000001</v>
      </c>
      <c r="K37" s="106"/>
      <c r="L37" s="52" t="s">
        <v>3723</v>
      </c>
      <c r="M37" s="95" t="str">
        <f t="shared" si="3"/>
        <v>Revenue from operation</v>
      </c>
      <c r="N37" s="4" t="s">
        <v>3917</v>
      </c>
    </row>
    <row r="38" spans="1:14" ht="13.5">
      <c r="A38" s="95">
        <f t="shared" si="2"/>
        <v>37</v>
      </c>
      <c r="B38" s="104">
        <v>45838</v>
      </c>
      <c r="C38" s="104">
        <v>45838</v>
      </c>
      <c r="D38" s="52" t="s">
        <v>197</v>
      </c>
      <c r="E38" s="52" t="s">
        <v>207</v>
      </c>
      <c r="F38" s="52">
        <v>99922</v>
      </c>
      <c r="G38" s="103">
        <v>0</v>
      </c>
      <c r="H38" s="103">
        <v>20000000</v>
      </c>
      <c r="I38" s="94">
        <f t="shared" si="0"/>
        <v>20000000</v>
      </c>
      <c r="J38" s="106">
        <v>151522019.50999999</v>
      </c>
      <c r="K38" s="106"/>
      <c r="L38" s="52" t="s">
        <v>3723</v>
      </c>
      <c r="M38" s="95" t="str">
        <f t="shared" si="3"/>
        <v>Revenue from operation</v>
      </c>
      <c r="N38" s="4" t="s">
        <v>3917</v>
      </c>
    </row>
    <row r="39" spans="1:14" ht="13.5">
      <c r="A39" s="95">
        <f t="shared" si="2"/>
        <v>38</v>
      </c>
      <c r="B39" s="104">
        <v>45838</v>
      </c>
      <c r="C39" s="104">
        <v>45838</v>
      </c>
      <c r="D39" s="52" t="s">
        <v>197</v>
      </c>
      <c r="E39" s="52" t="s">
        <v>208</v>
      </c>
      <c r="F39" s="52">
        <v>99922</v>
      </c>
      <c r="G39" s="103">
        <v>0</v>
      </c>
      <c r="H39" s="103">
        <v>20000000</v>
      </c>
      <c r="I39" s="94">
        <f t="shared" si="0"/>
        <v>20000000</v>
      </c>
      <c r="J39" s="106">
        <v>171522019.50999999</v>
      </c>
      <c r="K39" s="106"/>
      <c r="L39" s="52" t="s">
        <v>3723</v>
      </c>
      <c r="M39" s="95" t="str">
        <f t="shared" si="3"/>
        <v>Revenue from operation</v>
      </c>
      <c r="N39" s="4" t="s">
        <v>3917</v>
      </c>
    </row>
    <row r="40" spans="1:14" ht="13.5">
      <c r="A40" s="95">
        <f t="shared" si="2"/>
        <v>39</v>
      </c>
      <c r="B40" s="104">
        <v>45838</v>
      </c>
      <c r="C40" s="104">
        <v>45838</v>
      </c>
      <c r="D40" s="52" t="s">
        <v>197</v>
      </c>
      <c r="E40" s="52" t="s">
        <v>209</v>
      </c>
      <c r="F40" s="52">
        <v>99922</v>
      </c>
      <c r="G40" s="103">
        <v>0</v>
      </c>
      <c r="H40" s="103">
        <v>20000000</v>
      </c>
      <c r="I40" s="94">
        <f t="shared" si="0"/>
        <v>20000000</v>
      </c>
      <c r="J40" s="106">
        <v>191522019.50999999</v>
      </c>
      <c r="K40" s="106"/>
      <c r="L40" s="52" t="s">
        <v>3723</v>
      </c>
      <c r="M40" s="95" t="str">
        <f t="shared" si="3"/>
        <v>Revenue from operation</v>
      </c>
      <c r="N40" s="4" t="s">
        <v>3917</v>
      </c>
    </row>
    <row r="41" spans="1:14" ht="13.5">
      <c r="A41" s="95">
        <f t="shared" si="2"/>
        <v>40</v>
      </c>
      <c r="B41" s="104">
        <v>45838</v>
      </c>
      <c r="C41" s="104">
        <v>45838</v>
      </c>
      <c r="D41" s="52" t="s">
        <v>210</v>
      </c>
      <c r="E41" s="52" t="s">
        <v>131</v>
      </c>
      <c r="F41" s="52">
        <v>4430</v>
      </c>
      <c r="G41" s="103">
        <v>0</v>
      </c>
      <c r="H41" s="103">
        <v>35000000</v>
      </c>
      <c r="I41" s="94">
        <f t="shared" si="0"/>
        <v>35000000</v>
      </c>
      <c r="J41" s="106">
        <v>226522019.50999999</v>
      </c>
      <c r="K41" s="106"/>
      <c r="L41" s="52" t="s">
        <v>3723</v>
      </c>
      <c r="M41" s="95" t="str">
        <f t="shared" si="3"/>
        <v>Revenue from operation</v>
      </c>
      <c r="N41" s="4" t="s">
        <v>3917</v>
      </c>
    </row>
    <row r="42" spans="1:14" ht="15.75">
      <c r="A42" s="95">
        <f t="shared" si="2"/>
        <v>41</v>
      </c>
      <c r="B42" s="104">
        <v>45838</v>
      </c>
      <c r="C42" s="104">
        <v>45838</v>
      </c>
      <c r="D42" s="52" t="s">
        <v>211</v>
      </c>
      <c r="E42" s="52" t="s">
        <v>212</v>
      </c>
      <c r="F42" s="52">
        <v>99922</v>
      </c>
      <c r="G42" s="103">
        <v>17760772</v>
      </c>
      <c r="H42" s="103">
        <v>0</v>
      </c>
      <c r="I42" s="94">
        <f t="shared" si="0"/>
        <v>-17760772</v>
      </c>
      <c r="J42" s="106">
        <v>208761247.50999999</v>
      </c>
      <c r="K42" s="106"/>
      <c r="L42" s="2" t="s">
        <v>3719</v>
      </c>
      <c r="M42" s="95" t="str">
        <f t="shared" si="3"/>
        <v>Vendor payments</v>
      </c>
      <c r="N42" s="4" t="s">
        <v>3917</v>
      </c>
    </row>
    <row r="43" spans="1:14" ht="15.75">
      <c r="A43" s="95">
        <f t="shared" si="2"/>
        <v>42</v>
      </c>
      <c r="B43" s="104">
        <v>45838</v>
      </c>
      <c r="C43" s="104">
        <v>45838</v>
      </c>
      <c r="D43" s="52" t="s">
        <v>213</v>
      </c>
      <c r="E43" s="52" t="s">
        <v>214</v>
      </c>
      <c r="F43" s="52">
        <v>99922</v>
      </c>
      <c r="G43" s="103">
        <v>50000000</v>
      </c>
      <c r="H43" s="103">
        <v>0</v>
      </c>
      <c r="I43" s="94">
        <f t="shared" si="0"/>
        <v>-50000000</v>
      </c>
      <c r="J43" s="106">
        <v>158761247.50999999</v>
      </c>
      <c r="K43" s="106"/>
      <c r="L43" s="2" t="s">
        <v>3719</v>
      </c>
      <c r="M43" s="95" t="str">
        <f t="shared" si="3"/>
        <v>Vendor payments</v>
      </c>
      <c r="N43" s="4" t="s">
        <v>3917</v>
      </c>
    </row>
    <row r="44" spans="1:14" ht="13.5">
      <c r="A44" s="95">
        <f t="shared" si="2"/>
        <v>43</v>
      </c>
      <c r="B44" s="104">
        <v>45838</v>
      </c>
      <c r="C44" s="104">
        <v>45838</v>
      </c>
      <c r="D44" s="52" t="s">
        <v>215</v>
      </c>
      <c r="E44" s="52" t="s">
        <v>216</v>
      </c>
      <c r="F44" s="52">
        <v>99922</v>
      </c>
      <c r="G44" s="103">
        <v>50000000</v>
      </c>
      <c r="H44" s="103">
        <v>0</v>
      </c>
      <c r="I44" s="94">
        <f t="shared" si="0"/>
        <v>-50000000</v>
      </c>
      <c r="J44" s="106">
        <v>108761247.51000001</v>
      </c>
      <c r="K44" s="106"/>
      <c r="L44" s="52" t="s">
        <v>542</v>
      </c>
      <c r="M44" s="95" t="str">
        <f t="shared" si="3"/>
        <v>Other Expenses</v>
      </c>
      <c r="N44" s="4" t="s">
        <v>3917</v>
      </c>
    </row>
    <row r="45" spans="1:14" ht="13.5">
      <c r="A45" s="95">
        <f t="shared" si="2"/>
        <v>44</v>
      </c>
      <c r="B45" s="104">
        <v>45838</v>
      </c>
      <c r="C45" s="104">
        <v>45838</v>
      </c>
      <c r="D45" s="52" t="s">
        <v>217</v>
      </c>
      <c r="E45" s="52" t="s">
        <v>218</v>
      </c>
      <c r="F45" s="52">
        <v>99922</v>
      </c>
      <c r="G45" s="103">
        <v>29534215</v>
      </c>
      <c r="H45" s="103">
        <v>0</v>
      </c>
      <c r="I45" s="94">
        <f t="shared" si="0"/>
        <v>-29534215</v>
      </c>
      <c r="J45" s="106">
        <v>79227032.510000005</v>
      </c>
      <c r="K45" s="106"/>
      <c r="L45" s="52" t="s">
        <v>3722</v>
      </c>
      <c r="M45" s="95" t="str">
        <f t="shared" si="3"/>
        <v>Inter company support</v>
      </c>
      <c r="N45" s="4" t="s">
        <v>3917</v>
      </c>
    </row>
    <row r="46" spans="1:14" ht="13.5">
      <c r="A46" s="95">
        <f t="shared" si="2"/>
        <v>45</v>
      </c>
      <c r="B46" s="104">
        <v>45838</v>
      </c>
      <c r="C46" s="104">
        <v>45838</v>
      </c>
      <c r="D46" s="52" t="s">
        <v>219</v>
      </c>
      <c r="E46" s="52" t="s">
        <v>220</v>
      </c>
      <c r="F46" s="52">
        <v>99922</v>
      </c>
      <c r="G46" s="103">
        <v>50000000</v>
      </c>
      <c r="H46" s="103">
        <v>0</v>
      </c>
      <c r="I46" s="94">
        <f t="shared" si="0"/>
        <v>-50000000</v>
      </c>
      <c r="J46" s="106">
        <v>29227032.510000002</v>
      </c>
      <c r="K46" s="106"/>
      <c r="L46" s="52" t="s">
        <v>3719</v>
      </c>
      <c r="M46" s="95" t="str">
        <f t="shared" si="3"/>
        <v>Vendor payments</v>
      </c>
      <c r="N46" s="4" t="s">
        <v>3917</v>
      </c>
    </row>
    <row r="47" spans="1:14" ht="13.5">
      <c r="A47" s="95">
        <f t="shared" si="2"/>
        <v>46</v>
      </c>
      <c r="B47" s="104">
        <v>45838</v>
      </c>
      <c r="C47" s="104">
        <v>45838</v>
      </c>
      <c r="D47" s="52" t="s">
        <v>221</v>
      </c>
      <c r="E47" s="52" t="s">
        <v>222</v>
      </c>
      <c r="F47" s="52">
        <v>99922</v>
      </c>
      <c r="G47" s="103">
        <v>50000000</v>
      </c>
      <c r="H47" s="103">
        <v>0</v>
      </c>
      <c r="I47" s="94">
        <f t="shared" si="0"/>
        <v>-50000000</v>
      </c>
      <c r="J47" s="106">
        <v>-20772967.489999998</v>
      </c>
      <c r="K47" s="106"/>
      <c r="L47" s="52" t="s">
        <v>3719</v>
      </c>
      <c r="M47" s="95" t="str">
        <f t="shared" si="3"/>
        <v>Vendor payments</v>
      </c>
      <c r="N47" s="4" t="s">
        <v>3917</v>
      </c>
    </row>
    <row r="48" spans="1:14" ht="13.5">
      <c r="A48" s="95">
        <f t="shared" si="2"/>
        <v>47</v>
      </c>
      <c r="B48" s="104">
        <v>45838</v>
      </c>
      <c r="C48" s="104">
        <v>45838</v>
      </c>
      <c r="D48" s="52" t="s">
        <v>223</v>
      </c>
      <c r="E48" s="52" t="s">
        <v>224</v>
      </c>
      <c r="F48" s="52">
        <v>99999</v>
      </c>
      <c r="G48" s="103">
        <v>511206</v>
      </c>
      <c r="H48" s="103">
        <v>0</v>
      </c>
      <c r="I48" s="94">
        <f t="shared" si="0"/>
        <v>-511206</v>
      </c>
      <c r="J48" s="106">
        <v>-21284173.489999998</v>
      </c>
      <c r="K48" s="106"/>
      <c r="L48" s="52" t="s">
        <v>3720</v>
      </c>
      <c r="M48" s="95" t="str">
        <f t="shared" si="3"/>
        <v>Tender</v>
      </c>
      <c r="N48" s="4" t="s">
        <v>3917</v>
      </c>
    </row>
    <row r="49" spans="1:14" ht="15.75">
      <c r="A49" s="95">
        <f t="shared" si="2"/>
        <v>48</v>
      </c>
      <c r="B49" s="104">
        <v>45839</v>
      </c>
      <c r="C49" s="104">
        <v>45839</v>
      </c>
      <c r="D49" s="52" t="s">
        <v>471</v>
      </c>
      <c r="E49" s="52" t="s">
        <v>472</v>
      </c>
      <c r="F49" s="52">
        <v>4328</v>
      </c>
      <c r="G49" s="103">
        <v>98157</v>
      </c>
      <c r="H49" s="103">
        <v>0</v>
      </c>
      <c r="I49" s="94">
        <f t="shared" si="0"/>
        <v>-98157</v>
      </c>
      <c r="J49" s="106">
        <v>-21382330.489999998</v>
      </c>
      <c r="K49" s="106"/>
      <c r="L49" t="s">
        <v>3717</v>
      </c>
      <c r="M49" s="95" t="s">
        <v>473</v>
      </c>
      <c r="N49" s="4" t="s">
        <v>3918</v>
      </c>
    </row>
    <row r="50" spans="1:14" ht="15.75">
      <c r="A50" s="95">
        <f t="shared" si="2"/>
        <v>49</v>
      </c>
      <c r="B50" s="104">
        <v>45839</v>
      </c>
      <c r="C50" s="104">
        <v>45839</v>
      </c>
      <c r="D50" s="52" t="s">
        <v>474</v>
      </c>
      <c r="E50" s="52" t="s">
        <v>224</v>
      </c>
      <c r="F50" s="52">
        <v>61076</v>
      </c>
      <c r="G50" s="103">
        <v>259990</v>
      </c>
      <c r="H50" s="103">
        <v>0</v>
      </c>
      <c r="I50" s="94">
        <f t="shared" si="0"/>
        <v>-259990</v>
      </c>
      <c r="J50" s="106">
        <v>-21642320.489999998</v>
      </c>
      <c r="K50" s="106"/>
      <c r="L50" t="s">
        <v>3717</v>
      </c>
      <c r="M50" s="95" t="s">
        <v>475</v>
      </c>
      <c r="N50" s="4" t="s">
        <v>3918</v>
      </c>
    </row>
    <row r="51" spans="1:14" ht="13.5">
      <c r="A51" s="95">
        <f t="shared" si="2"/>
        <v>50</v>
      </c>
      <c r="B51" s="104">
        <v>45839</v>
      </c>
      <c r="C51" s="104">
        <v>45839</v>
      </c>
      <c r="D51" s="52" t="s">
        <v>476</v>
      </c>
      <c r="E51" s="52" t="s">
        <v>477</v>
      </c>
      <c r="F51" s="52">
        <v>99922</v>
      </c>
      <c r="G51" s="103">
        <v>547213</v>
      </c>
      <c r="H51" s="103">
        <v>0</v>
      </c>
      <c r="I51" s="94">
        <f t="shared" si="0"/>
        <v>-547213</v>
      </c>
      <c r="J51" s="106">
        <v>-22189533.489999998</v>
      </c>
      <c r="K51" s="106"/>
      <c r="L51" s="4" t="s">
        <v>3719</v>
      </c>
      <c r="M51" s="95" t="s">
        <v>478</v>
      </c>
      <c r="N51" s="4" t="s">
        <v>3917</v>
      </c>
    </row>
    <row r="52" spans="1:14" ht="15.75">
      <c r="A52" s="95">
        <f t="shared" si="2"/>
        <v>51</v>
      </c>
      <c r="B52" s="104">
        <v>45840</v>
      </c>
      <c r="C52" s="104">
        <v>45840</v>
      </c>
      <c r="D52" s="52" t="s">
        <v>505</v>
      </c>
      <c r="E52" s="52" t="s">
        <v>224</v>
      </c>
      <c r="F52" s="52">
        <v>4266</v>
      </c>
      <c r="G52" s="103">
        <v>89202</v>
      </c>
      <c r="H52" s="103">
        <v>0</v>
      </c>
      <c r="I52" s="94">
        <f t="shared" si="0"/>
        <v>-89202</v>
      </c>
      <c r="J52" s="106">
        <v>-22278735.489999998</v>
      </c>
      <c r="K52" s="106"/>
      <c r="L52" t="s">
        <v>3717</v>
      </c>
      <c r="M52" s="95" t="s">
        <v>511</v>
      </c>
      <c r="N52" s="4" t="s">
        <v>3918</v>
      </c>
    </row>
    <row r="53" spans="1:14" ht="13.5">
      <c r="A53" s="95">
        <f t="shared" si="2"/>
        <v>52</v>
      </c>
      <c r="B53" s="104">
        <v>45840</v>
      </c>
      <c r="C53" s="104">
        <v>45840</v>
      </c>
      <c r="D53" s="52" t="s">
        <v>479</v>
      </c>
      <c r="E53" s="52" t="s">
        <v>480</v>
      </c>
      <c r="F53" s="52">
        <v>99922</v>
      </c>
      <c r="G53" s="103">
        <v>10938609</v>
      </c>
      <c r="H53" s="103">
        <v>0</v>
      </c>
      <c r="I53" s="94">
        <f t="shared" si="0"/>
        <v>-10938609</v>
      </c>
      <c r="J53" s="106">
        <v>-33217344.489999998</v>
      </c>
      <c r="K53" s="106"/>
      <c r="L53" s="95" t="s">
        <v>3718</v>
      </c>
      <c r="M53" s="95" t="s">
        <v>517</v>
      </c>
      <c r="N53" s="4" t="s">
        <v>3917</v>
      </c>
    </row>
    <row r="54" spans="1:14" ht="13.5">
      <c r="A54" s="95">
        <f t="shared" si="2"/>
        <v>53</v>
      </c>
      <c r="B54" s="104">
        <v>45840</v>
      </c>
      <c r="C54" s="104">
        <v>45840</v>
      </c>
      <c r="D54" s="52" t="s">
        <v>481</v>
      </c>
      <c r="E54" s="52" t="s">
        <v>482</v>
      </c>
      <c r="F54" s="52">
        <v>99922</v>
      </c>
      <c r="G54" s="103">
        <v>583428</v>
      </c>
      <c r="H54" s="103">
        <v>0</v>
      </c>
      <c r="I54" s="94">
        <f t="shared" si="0"/>
        <v>-583428</v>
      </c>
      <c r="J54" s="106">
        <v>-33800772.490000002</v>
      </c>
      <c r="K54" s="106"/>
      <c r="L54" s="95" t="s">
        <v>3719</v>
      </c>
      <c r="M54" s="95" t="s">
        <v>517</v>
      </c>
      <c r="N54" s="4" t="s">
        <v>3917</v>
      </c>
    </row>
    <row r="55" spans="1:14" ht="13.5">
      <c r="A55" s="95">
        <f t="shared" si="2"/>
        <v>54</v>
      </c>
      <c r="B55" s="104">
        <v>45840</v>
      </c>
      <c r="C55" s="104">
        <v>45840</v>
      </c>
      <c r="D55" s="52" t="s">
        <v>483</v>
      </c>
      <c r="E55" s="52" t="s">
        <v>509</v>
      </c>
      <c r="F55" s="52">
        <v>99922</v>
      </c>
      <c r="G55" s="172">
        <v>29500</v>
      </c>
      <c r="H55" s="103">
        <v>0</v>
      </c>
      <c r="I55" s="94">
        <f t="shared" si="0"/>
        <v>-29500</v>
      </c>
      <c r="J55" s="106">
        <v>-33830272.490000002</v>
      </c>
      <c r="K55" s="106"/>
      <c r="L55" s="52" t="s">
        <v>3719</v>
      </c>
      <c r="M55" s="95" t="s">
        <v>484</v>
      </c>
      <c r="N55" s="4" t="s">
        <v>3917</v>
      </c>
    </row>
    <row r="56" spans="1:14" ht="13.5">
      <c r="A56" s="95">
        <f t="shared" si="2"/>
        <v>55</v>
      </c>
      <c r="B56" s="104">
        <v>45840</v>
      </c>
      <c r="C56" s="104">
        <v>45840</v>
      </c>
      <c r="D56" s="52" t="s">
        <v>485</v>
      </c>
      <c r="E56" s="52" t="s">
        <v>486</v>
      </c>
      <c r="F56" s="52">
        <v>99922</v>
      </c>
      <c r="G56" s="172">
        <v>14160</v>
      </c>
      <c r="H56" s="103">
        <v>0</v>
      </c>
      <c r="I56" s="94">
        <f t="shared" si="0"/>
        <v>-14160</v>
      </c>
      <c r="J56" s="106">
        <v>-33844432.490000002</v>
      </c>
      <c r="K56" s="106"/>
      <c r="L56" s="52" t="s">
        <v>3719</v>
      </c>
      <c r="M56" s="95" t="s">
        <v>487</v>
      </c>
      <c r="N56" s="4" t="s">
        <v>3917</v>
      </c>
    </row>
    <row r="57" spans="1:14" ht="13.5">
      <c r="A57" s="95">
        <f t="shared" si="2"/>
        <v>56</v>
      </c>
      <c r="B57" s="104">
        <v>45840</v>
      </c>
      <c r="C57" s="104">
        <v>45840</v>
      </c>
      <c r="D57" s="52" t="s">
        <v>488</v>
      </c>
      <c r="E57" s="52" t="s">
        <v>489</v>
      </c>
      <c r="F57" s="52">
        <v>99922</v>
      </c>
      <c r="G57" s="172">
        <v>472000</v>
      </c>
      <c r="H57" s="103">
        <v>0</v>
      </c>
      <c r="I57" s="94">
        <f t="shared" si="0"/>
        <v>-472000</v>
      </c>
      <c r="J57" s="106">
        <v>-34316432.490000002</v>
      </c>
      <c r="K57" s="106"/>
      <c r="L57" s="52" t="s">
        <v>542</v>
      </c>
      <c r="M57" s="95" t="s">
        <v>3914</v>
      </c>
      <c r="N57" s="4" t="s">
        <v>3917</v>
      </c>
    </row>
    <row r="58" spans="1:14" ht="13.5">
      <c r="A58" s="95">
        <f t="shared" si="2"/>
        <v>57</v>
      </c>
      <c r="B58" s="104">
        <v>45840</v>
      </c>
      <c r="C58" s="104">
        <v>45840</v>
      </c>
      <c r="D58" s="52" t="s">
        <v>506</v>
      </c>
      <c r="E58" s="52" t="s">
        <v>224</v>
      </c>
      <c r="F58" s="52">
        <v>61076</v>
      </c>
      <c r="G58" s="103">
        <v>108987</v>
      </c>
      <c r="H58" s="103">
        <v>0</v>
      </c>
      <c r="I58" s="94">
        <f t="shared" si="0"/>
        <v>-108987</v>
      </c>
      <c r="J58" s="106">
        <v>-34425419.490000002</v>
      </c>
      <c r="K58" s="106"/>
      <c r="L58" s="52" t="s">
        <v>542</v>
      </c>
      <c r="M58" s="95" t="s">
        <v>3914</v>
      </c>
      <c r="N58" s="4" t="s">
        <v>3917</v>
      </c>
    </row>
    <row r="59" spans="1:14" ht="13.5">
      <c r="A59" s="95">
        <f t="shared" si="2"/>
        <v>58</v>
      </c>
      <c r="B59" s="104">
        <v>45840</v>
      </c>
      <c r="C59" s="104">
        <v>45840</v>
      </c>
      <c r="D59" s="52" t="s">
        <v>490</v>
      </c>
      <c r="E59" s="52" t="s">
        <v>491</v>
      </c>
      <c r="F59" s="52">
        <v>99922</v>
      </c>
      <c r="G59" s="103">
        <v>0</v>
      </c>
      <c r="H59" s="103">
        <v>500000</v>
      </c>
      <c r="I59" s="94">
        <f t="shared" si="0"/>
        <v>500000</v>
      </c>
      <c r="J59" s="106">
        <v>-33925419.490000002</v>
      </c>
      <c r="K59" s="106"/>
      <c r="L59" s="52" t="s">
        <v>3723</v>
      </c>
      <c r="M59" s="95" t="s">
        <v>512</v>
      </c>
      <c r="N59" s="4" t="s">
        <v>3917</v>
      </c>
    </row>
    <row r="60" spans="1:14" ht="13.5">
      <c r="A60" s="95">
        <f t="shared" si="2"/>
        <v>59</v>
      </c>
      <c r="B60" s="104">
        <v>45840</v>
      </c>
      <c r="C60" s="104">
        <v>45840</v>
      </c>
      <c r="D60" s="52" t="s">
        <v>490</v>
      </c>
      <c r="E60" s="52" t="s">
        <v>492</v>
      </c>
      <c r="F60" s="52">
        <v>99922</v>
      </c>
      <c r="G60" s="103">
        <v>0</v>
      </c>
      <c r="H60" s="103">
        <v>2000000</v>
      </c>
      <c r="I60" s="94">
        <f t="shared" si="0"/>
        <v>2000000</v>
      </c>
      <c r="J60" s="106">
        <v>-31925419.489999998</v>
      </c>
      <c r="K60" s="106"/>
      <c r="L60" s="52" t="s">
        <v>3723</v>
      </c>
      <c r="M60" s="95" t="s">
        <v>512</v>
      </c>
      <c r="N60" s="4" t="s">
        <v>3917</v>
      </c>
    </row>
    <row r="61" spans="1:14" ht="13.5">
      <c r="A61" s="95">
        <f t="shared" si="2"/>
        <v>60</v>
      </c>
      <c r="B61" s="104">
        <v>45840</v>
      </c>
      <c r="C61" s="104">
        <v>45840</v>
      </c>
      <c r="D61" s="52" t="s">
        <v>490</v>
      </c>
      <c r="E61" s="52" t="s">
        <v>493</v>
      </c>
      <c r="F61" s="52">
        <v>99922</v>
      </c>
      <c r="G61" s="103">
        <v>0</v>
      </c>
      <c r="H61" s="103">
        <v>1000000</v>
      </c>
      <c r="I61" s="94">
        <f t="shared" si="0"/>
        <v>1000000</v>
      </c>
      <c r="J61" s="106">
        <v>-30925419.489999998</v>
      </c>
      <c r="K61" s="106"/>
      <c r="L61" s="52" t="s">
        <v>3723</v>
      </c>
      <c r="M61" s="95" t="s">
        <v>512</v>
      </c>
      <c r="N61" s="4" t="s">
        <v>3917</v>
      </c>
    </row>
    <row r="62" spans="1:14" ht="15.75">
      <c r="A62" s="4">
        <f t="shared" si="2"/>
        <v>61</v>
      </c>
      <c r="B62" s="19">
        <v>45840</v>
      </c>
      <c r="C62" s="19">
        <v>45840</v>
      </c>
      <c r="D62" t="s">
        <v>490</v>
      </c>
      <c r="E62" t="s">
        <v>494</v>
      </c>
      <c r="F62">
        <v>99922</v>
      </c>
      <c r="G62" s="22">
        <v>0</v>
      </c>
      <c r="H62" s="22">
        <v>1200000</v>
      </c>
      <c r="I62" s="58">
        <f t="shared" si="0"/>
        <v>1200000</v>
      </c>
      <c r="J62" s="22">
        <v>-29725419.489999998</v>
      </c>
      <c r="K62" s="22"/>
      <c r="L62" s="2" t="s">
        <v>3723</v>
      </c>
      <c r="M62" s="4" t="s">
        <v>512</v>
      </c>
      <c r="N62" s="4" t="s">
        <v>3917</v>
      </c>
    </row>
    <row r="63" spans="1:14" ht="15.75">
      <c r="A63" s="4">
        <f t="shared" si="2"/>
        <v>62</v>
      </c>
      <c r="B63" s="19">
        <v>45840</v>
      </c>
      <c r="C63" s="19">
        <v>45840</v>
      </c>
      <c r="D63" t="s">
        <v>490</v>
      </c>
      <c r="E63" t="s">
        <v>495</v>
      </c>
      <c r="F63">
        <v>99922</v>
      </c>
      <c r="G63" s="22">
        <v>0</v>
      </c>
      <c r="H63" s="22">
        <v>800000</v>
      </c>
      <c r="I63" s="58">
        <f t="shared" si="0"/>
        <v>800000</v>
      </c>
      <c r="J63" s="22">
        <v>-28925419.489999998</v>
      </c>
      <c r="K63" s="22"/>
      <c r="L63" s="2" t="s">
        <v>3723</v>
      </c>
      <c r="M63" s="4" t="s">
        <v>512</v>
      </c>
      <c r="N63" s="4" t="s">
        <v>3917</v>
      </c>
    </row>
    <row r="64" spans="1:14" ht="15.75">
      <c r="A64" s="4">
        <f t="shared" si="2"/>
        <v>63</v>
      </c>
      <c r="B64" s="19">
        <v>45840</v>
      </c>
      <c r="C64" s="19">
        <v>45840</v>
      </c>
      <c r="D64" t="s">
        <v>490</v>
      </c>
      <c r="E64" t="s">
        <v>496</v>
      </c>
      <c r="F64">
        <v>99922</v>
      </c>
      <c r="G64" s="22">
        <v>0</v>
      </c>
      <c r="H64" s="22">
        <v>700000</v>
      </c>
      <c r="I64" s="58">
        <f t="shared" si="0"/>
        <v>700000</v>
      </c>
      <c r="J64" s="22">
        <v>-28225419.489999998</v>
      </c>
      <c r="K64" s="22"/>
      <c r="L64" s="2" t="s">
        <v>3723</v>
      </c>
      <c r="M64" s="4" t="s">
        <v>512</v>
      </c>
      <c r="N64" s="4" t="s">
        <v>3917</v>
      </c>
    </row>
    <row r="65" spans="1:14" ht="15.75">
      <c r="A65" s="4">
        <f t="shared" si="2"/>
        <v>64</v>
      </c>
      <c r="B65" s="19">
        <v>45840</v>
      </c>
      <c r="C65" s="19">
        <v>45840</v>
      </c>
      <c r="D65" t="s">
        <v>490</v>
      </c>
      <c r="E65" t="s">
        <v>497</v>
      </c>
      <c r="F65">
        <v>99922</v>
      </c>
      <c r="G65" s="22">
        <v>0</v>
      </c>
      <c r="H65" s="22">
        <v>1000000</v>
      </c>
      <c r="I65" s="58">
        <f t="shared" si="0"/>
        <v>1000000</v>
      </c>
      <c r="J65" s="22">
        <v>-27225419.489999998</v>
      </c>
      <c r="K65" s="22"/>
      <c r="L65" s="2" t="s">
        <v>3723</v>
      </c>
      <c r="M65" s="4" t="s">
        <v>512</v>
      </c>
      <c r="N65" s="4" t="s">
        <v>3917</v>
      </c>
    </row>
    <row r="66" spans="1:14" ht="15.75">
      <c r="A66" s="4">
        <f t="shared" si="2"/>
        <v>65</v>
      </c>
      <c r="B66" s="19">
        <v>45840</v>
      </c>
      <c r="C66" s="19">
        <v>45840</v>
      </c>
      <c r="D66" t="s">
        <v>498</v>
      </c>
      <c r="E66" t="s">
        <v>499</v>
      </c>
      <c r="F66">
        <v>99922</v>
      </c>
      <c r="G66" s="22">
        <v>1016695</v>
      </c>
      <c r="H66" s="22">
        <v>0</v>
      </c>
      <c r="I66" s="58">
        <f t="shared" si="0"/>
        <v>-1016695</v>
      </c>
      <c r="J66" s="22">
        <v>-28242114.489999998</v>
      </c>
      <c r="K66" s="22"/>
      <c r="L66" s="2" t="s">
        <v>3719</v>
      </c>
      <c r="M66" s="4" t="s">
        <v>517</v>
      </c>
      <c r="N66" s="4" t="s">
        <v>3917</v>
      </c>
    </row>
    <row r="67" spans="1:14" ht="15.75">
      <c r="A67" s="4">
        <f t="shared" si="2"/>
        <v>66</v>
      </c>
      <c r="B67" s="19">
        <v>45840</v>
      </c>
      <c r="C67" s="19">
        <v>45840</v>
      </c>
      <c r="D67" t="s">
        <v>500</v>
      </c>
      <c r="E67" t="s">
        <v>501</v>
      </c>
      <c r="F67">
        <v>99922</v>
      </c>
      <c r="G67" s="22">
        <v>314345</v>
      </c>
      <c r="H67" s="22">
        <v>0</v>
      </c>
      <c r="I67" s="58">
        <f t="shared" ref="I67:I130" si="4">H67-G67</f>
        <v>-314345</v>
      </c>
      <c r="J67" s="22">
        <v>-28556459.489999998</v>
      </c>
      <c r="K67" s="22"/>
      <c r="L67" s="4" t="s">
        <v>3719</v>
      </c>
      <c r="M67" s="4" t="s">
        <v>502</v>
      </c>
      <c r="N67" s="4" t="s">
        <v>3917</v>
      </c>
    </row>
    <row r="68" spans="1:14" ht="15.75">
      <c r="A68" s="4">
        <f t="shared" ref="A68:A131" si="5">A67+1</f>
        <v>67</v>
      </c>
      <c r="B68" s="19">
        <v>45840</v>
      </c>
      <c r="C68" s="19">
        <v>45840</v>
      </c>
      <c r="D68" t="s">
        <v>503</v>
      </c>
      <c r="E68" t="s">
        <v>504</v>
      </c>
      <c r="F68">
        <v>99922</v>
      </c>
      <c r="G68" s="22">
        <v>838510</v>
      </c>
      <c r="H68" s="22">
        <v>0</v>
      </c>
      <c r="I68" s="58">
        <f t="shared" si="4"/>
        <v>-838510</v>
      </c>
      <c r="J68" s="22">
        <v>-29394969.489999998</v>
      </c>
      <c r="K68" s="22"/>
      <c r="L68" s="4" t="s">
        <v>3719</v>
      </c>
      <c r="M68" s="4" t="s">
        <v>517</v>
      </c>
      <c r="N68" s="4" t="s">
        <v>3917</v>
      </c>
    </row>
    <row r="69" spans="1:14" ht="15.75">
      <c r="A69" s="4">
        <f t="shared" si="5"/>
        <v>68</v>
      </c>
      <c r="B69" s="18">
        <v>45841</v>
      </c>
      <c r="C69" s="18">
        <v>45841</v>
      </c>
      <c r="D69" s="2" t="s">
        <v>479</v>
      </c>
      <c r="E69" s="2" t="s">
        <v>518</v>
      </c>
      <c r="F69" s="2">
        <v>99922</v>
      </c>
      <c r="G69" s="59">
        <v>3900000</v>
      </c>
      <c r="H69" s="59">
        <v>0</v>
      </c>
      <c r="I69" s="58">
        <f t="shared" si="4"/>
        <v>-3900000</v>
      </c>
      <c r="J69" s="59">
        <v>-33294969.489999998</v>
      </c>
      <c r="K69" s="59"/>
      <c r="L69" s="2" t="s">
        <v>3719</v>
      </c>
      <c r="M69" s="17" t="str">
        <f>L69</f>
        <v>Vendor payments</v>
      </c>
      <c r="N69" s="4" t="s">
        <v>3917</v>
      </c>
    </row>
    <row r="70" spans="1:14" ht="15.75">
      <c r="A70" s="4">
        <f t="shared" si="5"/>
        <v>69</v>
      </c>
      <c r="B70" s="18">
        <v>45841</v>
      </c>
      <c r="C70" s="18">
        <v>45841</v>
      </c>
      <c r="D70" s="2" t="s">
        <v>519</v>
      </c>
      <c r="E70" s="2" t="s">
        <v>520</v>
      </c>
      <c r="F70" s="2">
        <v>99922</v>
      </c>
      <c r="G70" s="59">
        <v>6800000</v>
      </c>
      <c r="H70" s="59">
        <v>0</v>
      </c>
      <c r="I70" s="58">
        <f t="shared" si="4"/>
        <v>-6800000</v>
      </c>
      <c r="J70" s="59">
        <v>-40094969.490000002</v>
      </c>
      <c r="K70" s="59"/>
      <c r="L70" s="2" t="s">
        <v>3719</v>
      </c>
      <c r="M70" s="17" t="s">
        <v>521</v>
      </c>
      <c r="N70" s="4" t="s">
        <v>3917</v>
      </c>
    </row>
    <row r="71" spans="1:14" ht="15.75">
      <c r="A71" s="4">
        <f t="shared" si="5"/>
        <v>70</v>
      </c>
      <c r="B71" s="18">
        <v>45841</v>
      </c>
      <c r="C71" s="18">
        <v>45841</v>
      </c>
      <c r="D71" s="2" t="s">
        <v>522</v>
      </c>
      <c r="E71" s="2" t="s">
        <v>523</v>
      </c>
      <c r="F71" s="2">
        <v>16209</v>
      </c>
      <c r="G71" s="59">
        <v>0</v>
      </c>
      <c r="H71" s="59">
        <v>1</v>
      </c>
      <c r="I71" s="58">
        <f t="shared" si="4"/>
        <v>1</v>
      </c>
      <c r="J71" s="59">
        <v>-40094968.490000002</v>
      </c>
      <c r="K71" s="59"/>
      <c r="L71" s="2" t="s">
        <v>3723</v>
      </c>
      <c r="M71" s="17" t="str">
        <f t="shared" ref="M71:M72" si="6">L71</f>
        <v>Revenue from operation</v>
      </c>
      <c r="N71" s="4" t="s">
        <v>3917</v>
      </c>
    </row>
    <row r="72" spans="1:14" ht="15.75">
      <c r="A72" s="4">
        <f t="shared" si="5"/>
        <v>71</v>
      </c>
      <c r="B72" s="18">
        <v>45841</v>
      </c>
      <c r="C72" s="18">
        <v>45841</v>
      </c>
      <c r="D72" s="2" t="s">
        <v>524</v>
      </c>
      <c r="E72" s="2" t="s">
        <v>525</v>
      </c>
      <c r="F72" s="2">
        <v>99922</v>
      </c>
      <c r="G72" s="59">
        <v>50933</v>
      </c>
      <c r="H72" s="59">
        <v>0</v>
      </c>
      <c r="I72" s="58">
        <f t="shared" si="4"/>
        <v>-50933</v>
      </c>
      <c r="J72" s="59">
        <v>-40145901.490000002</v>
      </c>
      <c r="K72" s="59"/>
      <c r="L72" s="2" t="s">
        <v>3719</v>
      </c>
      <c r="M72" s="17" t="str">
        <f t="shared" si="6"/>
        <v>Vendor payments</v>
      </c>
      <c r="N72" s="4" t="s">
        <v>3917</v>
      </c>
    </row>
    <row r="73" spans="1:14" ht="15.75">
      <c r="A73" s="4">
        <f t="shared" si="5"/>
        <v>72</v>
      </c>
      <c r="B73" s="18">
        <v>45841</v>
      </c>
      <c r="C73" s="18">
        <v>45841</v>
      </c>
      <c r="D73" s="2" t="s">
        <v>526</v>
      </c>
      <c r="E73" s="2" t="s">
        <v>527</v>
      </c>
      <c r="F73" s="2">
        <v>99922</v>
      </c>
      <c r="G73" s="59">
        <v>7268</v>
      </c>
      <c r="H73" s="59">
        <v>0</v>
      </c>
      <c r="I73" s="58">
        <f t="shared" si="4"/>
        <v>-7268</v>
      </c>
      <c r="J73" s="59">
        <v>-40153169.490000002</v>
      </c>
      <c r="K73" s="59"/>
      <c r="L73" s="2" t="s">
        <v>3719</v>
      </c>
      <c r="M73" s="17" t="s">
        <v>528</v>
      </c>
      <c r="N73" s="4" t="s">
        <v>3917</v>
      </c>
    </row>
    <row r="74" spans="1:14" ht="15.75">
      <c r="A74" s="4">
        <f t="shared" si="5"/>
        <v>73</v>
      </c>
      <c r="B74" s="18">
        <v>45841</v>
      </c>
      <c r="C74" s="18">
        <v>45841</v>
      </c>
      <c r="D74" s="2" t="s">
        <v>529</v>
      </c>
      <c r="E74" s="2" t="s">
        <v>530</v>
      </c>
      <c r="F74" s="2">
        <v>99922</v>
      </c>
      <c r="G74" s="59">
        <v>3040389.91</v>
      </c>
      <c r="H74" s="59">
        <v>0</v>
      </c>
      <c r="I74" s="58">
        <f t="shared" si="4"/>
        <v>-3040389.91</v>
      </c>
      <c r="J74" s="59">
        <v>-43193559.399999999</v>
      </c>
      <c r="K74" s="59"/>
      <c r="L74" t="s">
        <v>3717</v>
      </c>
      <c r="M74" s="17" t="s">
        <v>531</v>
      </c>
      <c r="N74" s="4" t="s">
        <v>3918</v>
      </c>
    </row>
    <row r="75" spans="1:14" ht="15.75">
      <c r="A75" s="4">
        <f t="shared" si="5"/>
        <v>74</v>
      </c>
      <c r="B75" s="18">
        <v>45841</v>
      </c>
      <c r="C75" s="18">
        <v>45841</v>
      </c>
      <c r="D75" s="2" t="s">
        <v>532</v>
      </c>
      <c r="E75" s="2" t="s">
        <v>533</v>
      </c>
      <c r="F75" s="2">
        <v>99922</v>
      </c>
      <c r="G75" s="59">
        <v>392000</v>
      </c>
      <c r="H75" s="59">
        <v>0</v>
      </c>
      <c r="I75" s="58">
        <f t="shared" si="4"/>
        <v>-392000</v>
      </c>
      <c r="J75" s="59">
        <v>-43585559.399999999</v>
      </c>
      <c r="K75" s="59"/>
      <c r="L75" s="2" t="s">
        <v>3719</v>
      </c>
      <c r="M75" s="17" t="s">
        <v>534</v>
      </c>
      <c r="N75" s="4" t="s">
        <v>3917</v>
      </c>
    </row>
    <row r="76" spans="1:14" ht="15.75">
      <c r="A76" s="4">
        <f t="shared" si="5"/>
        <v>75</v>
      </c>
      <c r="B76" s="18">
        <v>45842</v>
      </c>
      <c r="C76" s="18">
        <v>45842</v>
      </c>
      <c r="D76" s="2" t="s">
        <v>535</v>
      </c>
      <c r="E76" s="2" t="s">
        <v>536</v>
      </c>
      <c r="F76" s="2">
        <v>4328</v>
      </c>
      <c r="G76" s="59">
        <v>180563</v>
      </c>
      <c r="H76" s="59">
        <v>0</v>
      </c>
      <c r="I76" s="58">
        <f t="shared" si="4"/>
        <v>-180563</v>
      </c>
      <c r="J76" s="59">
        <v>-43766122.399999999</v>
      </c>
      <c r="K76" s="59"/>
      <c r="L76" s="2" t="s">
        <v>3719</v>
      </c>
      <c r="M76" s="17" t="str">
        <f t="shared" ref="M76:M78" si="7">L76</f>
        <v>Vendor payments</v>
      </c>
      <c r="N76" s="4" t="s">
        <v>3917</v>
      </c>
    </row>
    <row r="77" spans="1:14" ht="15.75">
      <c r="A77" s="4">
        <f t="shared" si="5"/>
        <v>76</v>
      </c>
      <c r="B77" s="18">
        <v>45843</v>
      </c>
      <c r="C77" s="18">
        <v>45843</v>
      </c>
      <c r="D77" s="2" t="s">
        <v>537</v>
      </c>
      <c r="E77" s="2" t="s">
        <v>538</v>
      </c>
      <c r="F77" s="2">
        <v>99922</v>
      </c>
      <c r="G77" s="59">
        <v>12703729</v>
      </c>
      <c r="H77" s="59">
        <v>0</v>
      </c>
      <c r="I77" s="58">
        <f t="shared" si="4"/>
        <v>-12703729</v>
      </c>
      <c r="J77" s="59">
        <v>-56469851.399999999</v>
      </c>
      <c r="K77" s="59"/>
      <c r="L77" s="17" t="s">
        <v>3718</v>
      </c>
      <c r="M77" s="17" t="str">
        <f t="shared" si="7"/>
        <v>Intra company transfer</v>
      </c>
      <c r="N77" s="4" t="s">
        <v>3917</v>
      </c>
    </row>
    <row r="78" spans="1:14" ht="15.75">
      <c r="A78" s="4">
        <f t="shared" si="5"/>
        <v>77</v>
      </c>
      <c r="B78" s="18">
        <v>45843</v>
      </c>
      <c r="C78" s="18">
        <v>45843</v>
      </c>
      <c r="D78" s="2" t="s">
        <v>539</v>
      </c>
      <c r="E78" s="2" t="s">
        <v>540</v>
      </c>
      <c r="F78" s="2">
        <v>99922</v>
      </c>
      <c r="G78" s="59">
        <v>105479</v>
      </c>
      <c r="H78" s="59">
        <v>0</v>
      </c>
      <c r="I78" s="58">
        <f t="shared" si="4"/>
        <v>-105479</v>
      </c>
      <c r="J78" s="59">
        <v>-56575330.399999999</v>
      </c>
      <c r="K78" s="59"/>
      <c r="L78" s="2" t="s">
        <v>3718</v>
      </c>
      <c r="M78" s="17" t="str">
        <f t="shared" si="7"/>
        <v>Intra company transfer</v>
      </c>
      <c r="N78" s="4" t="s">
        <v>3917</v>
      </c>
    </row>
    <row r="79" spans="1:14" ht="15.75">
      <c r="A79" s="4">
        <f t="shared" si="5"/>
        <v>78</v>
      </c>
      <c r="B79" s="18">
        <v>45843</v>
      </c>
      <c r="C79" s="18">
        <v>45843</v>
      </c>
      <c r="D79" s="2" t="s">
        <v>541</v>
      </c>
      <c r="E79" s="2" t="s">
        <v>224</v>
      </c>
      <c r="F79" s="2">
        <v>61076</v>
      </c>
      <c r="G79" s="59">
        <v>232991</v>
      </c>
      <c r="H79" s="59">
        <v>0</v>
      </c>
      <c r="I79" s="58">
        <f t="shared" si="4"/>
        <v>-232991</v>
      </c>
      <c r="J79" s="59">
        <v>-56808321.399999999</v>
      </c>
      <c r="K79" s="59"/>
      <c r="L79" t="s">
        <v>3717</v>
      </c>
      <c r="M79" s="17" t="s">
        <v>543</v>
      </c>
      <c r="N79" s="4" t="s">
        <v>3918</v>
      </c>
    </row>
    <row r="80" spans="1:14" ht="15.75">
      <c r="A80" s="4">
        <f t="shared" si="5"/>
        <v>79</v>
      </c>
      <c r="B80" s="18">
        <v>45843</v>
      </c>
      <c r="C80" s="18">
        <v>45843</v>
      </c>
      <c r="D80" s="2" t="s">
        <v>163</v>
      </c>
      <c r="E80" s="2" t="s">
        <v>544</v>
      </c>
      <c r="F80" s="2">
        <v>99922</v>
      </c>
      <c r="G80" s="59">
        <v>568600</v>
      </c>
      <c r="H80" s="59">
        <v>0</v>
      </c>
      <c r="I80" s="58">
        <f t="shared" si="4"/>
        <v>-568600</v>
      </c>
      <c r="J80" s="59">
        <v>-57376921.399999999</v>
      </c>
      <c r="K80" s="59"/>
      <c r="L80" s="17" t="s">
        <v>3719</v>
      </c>
      <c r="M80" s="17" t="str">
        <f t="shared" ref="M80:M81" si="8">L80</f>
        <v>Vendor payments</v>
      </c>
      <c r="N80" s="4" t="s">
        <v>3917</v>
      </c>
    </row>
    <row r="81" spans="1:14" ht="15.75">
      <c r="A81" s="4">
        <f t="shared" si="5"/>
        <v>80</v>
      </c>
      <c r="B81" s="18">
        <v>45843</v>
      </c>
      <c r="C81" s="18">
        <v>45843</v>
      </c>
      <c r="D81" s="2" t="s">
        <v>163</v>
      </c>
      <c r="E81" s="2" t="s">
        <v>545</v>
      </c>
      <c r="F81" s="2">
        <v>99922</v>
      </c>
      <c r="G81" s="59">
        <v>750000</v>
      </c>
      <c r="H81" s="59">
        <v>0</v>
      </c>
      <c r="I81" s="58">
        <f t="shared" si="4"/>
        <v>-750000</v>
      </c>
      <c r="J81" s="59">
        <v>-58126921.399999999</v>
      </c>
      <c r="K81" s="59"/>
      <c r="L81" s="17" t="s">
        <v>3719</v>
      </c>
      <c r="M81" s="17" t="str">
        <f t="shared" si="8"/>
        <v>Vendor payments</v>
      </c>
      <c r="N81" s="4" t="s">
        <v>3917</v>
      </c>
    </row>
    <row r="82" spans="1:14" ht="15.75">
      <c r="A82" s="4">
        <f t="shared" si="5"/>
        <v>81</v>
      </c>
      <c r="B82" s="18">
        <v>45844</v>
      </c>
      <c r="C82" s="18">
        <v>45844</v>
      </c>
      <c r="D82" s="2"/>
      <c r="E82" s="2"/>
      <c r="F82" s="2"/>
      <c r="G82" s="59">
        <v>0</v>
      </c>
      <c r="H82" s="59">
        <v>0</v>
      </c>
      <c r="I82" s="58">
        <f t="shared" si="4"/>
        <v>0</v>
      </c>
      <c r="J82" s="59">
        <v>-58126921.399999999</v>
      </c>
      <c r="K82" s="59"/>
      <c r="L82" s="17" t="s">
        <v>542</v>
      </c>
      <c r="M82" s="41" t="s">
        <v>3914</v>
      </c>
      <c r="N82" s="4" t="s">
        <v>3917</v>
      </c>
    </row>
    <row r="83" spans="1:14" ht="15.75">
      <c r="A83" s="4">
        <f t="shared" si="5"/>
        <v>82</v>
      </c>
      <c r="B83" s="18">
        <v>45845</v>
      </c>
      <c r="C83" s="18">
        <v>45845</v>
      </c>
      <c r="D83" s="2" t="s">
        <v>546</v>
      </c>
      <c r="E83" s="2" t="s">
        <v>547</v>
      </c>
      <c r="F83" s="2">
        <v>4430</v>
      </c>
      <c r="G83" s="59">
        <v>0</v>
      </c>
      <c r="H83" s="59">
        <v>20000000</v>
      </c>
      <c r="I83" s="58">
        <f t="shared" si="4"/>
        <v>20000000</v>
      </c>
      <c r="J83" s="59">
        <v>-38126921.399999999</v>
      </c>
      <c r="K83" s="59"/>
      <c r="L83" s="17" t="s">
        <v>3718</v>
      </c>
      <c r="M83" s="17" t="s">
        <v>548</v>
      </c>
      <c r="N83" s="4" t="s">
        <v>3917</v>
      </c>
    </row>
    <row r="84" spans="1:14" ht="15.75">
      <c r="A84" s="4">
        <f t="shared" si="5"/>
        <v>83</v>
      </c>
      <c r="B84" s="18">
        <v>45845</v>
      </c>
      <c r="C84" s="18">
        <v>45845</v>
      </c>
      <c r="D84" s="2" t="s">
        <v>549</v>
      </c>
      <c r="E84" s="2" t="s">
        <v>550</v>
      </c>
      <c r="F84" s="2">
        <v>4430</v>
      </c>
      <c r="G84" s="59">
        <v>0</v>
      </c>
      <c r="H84" s="59">
        <v>871658</v>
      </c>
      <c r="I84" s="58">
        <f t="shared" si="4"/>
        <v>871658</v>
      </c>
      <c r="J84" s="59">
        <v>-37255263.399999999</v>
      </c>
      <c r="K84" s="59"/>
      <c r="L84" s="17" t="s">
        <v>3722</v>
      </c>
      <c r="M84" s="17" t="s">
        <v>551</v>
      </c>
      <c r="N84" s="4" t="s">
        <v>3917</v>
      </c>
    </row>
    <row r="85" spans="1:14" ht="15.75">
      <c r="A85" s="4">
        <f t="shared" si="5"/>
        <v>84</v>
      </c>
      <c r="B85" s="18">
        <v>45845</v>
      </c>
      <c r="C85" s="18">
        <v>45845</v>
      </c>
      <c r="D85" s="2" t="s">
        <v>552</v>
      </c>
      <c r="E85" s="2" t="s">
        <v>553</v>
      </c>
      <c r="F85" s="2">
        <v>99922</v>
      </c>
      <c r="G85" s="59">
        <v>550000</v>
      </c>
      <c r="H85" s="59">
        <v>0</v>
      </c>
      <c r="I85" s="58">
        <f t="shared" si="4"/>
        <v>-550000</v>
      </c>
      <c r="J85" s="59">
        <v>-37805263.399999999</v>
      </c>
      <c r="K85" s="59"/>
      <c r="L85" s="31" t="s">
        <v>3722</v>
      </c>
      <c r="M85" s="17" t="str">
        <f t="shared" ref="M85:M87" si="9">L85</f>
        <v>Inter company support</v>
      </c>
      <c r="N85" s="4" t="s">
        <v>3917</v>
      </c>
    </row>
    <row r="86" spans="1:14" ht="15.75">
      <c r="A86" s="4">
        <f t="shared" si="5"/>
        <v>85</v>
      </c>
      <c r="B86" s="18">
        <v>45845</v>
      </c>
      <c r="C86" s="18">
        <v>45845</v>
      </c>
      <c r="D86" s="2" t="s">
        <v>552</v>
      </c>
      <c r="E86" s="2" t="s">
        <v>554</v>
      </c>
      <c r="F86" s="2">
        <v>99922</v>
      </c>
      <c r="G86" s="59">
        <v>2954538</v>
      </c>
      <c r="H86" s="59">
        <v>0</v>
      </c>
      <c r="I86" s="58">
        <f t="shared" si="4"/>
        <v>-2954538</v>
      </c>
      <c r="J86" s="59">
        <v>-40759801.399999999</v>
      </c>
      <c r="K86" s="59"/>
      <c r="L86" s="31" t="s">
        <v>3722</v>
      </c>
      <c r="M86" s="17" t="str">
        <f t="shared" si="9"/>
        <v>Inter company support</v>
      </c>
      <c r="N86" s="4" t="s">
        <v>3917</v>
      </c>
    </row>
    <row r="87" spans="1:14" ht="15.75">
      <c r="A87" s="4">
        <f t="shared" si="5"/>
        <v>86</v>
      </c>
      <c r="B87" s="18">
        <v>45845</v>
      </c>
      <c r="C87" s="18">
        <v>45845</v>
      </c>
      <c r="D87" s="2" t="s">
        <v>552</v>
      </c>
      <c r="E87" s="2" t="s">
        <v>555</v>
      </c>
      <c r="F87" s="2">
        <v>99922</v>
      </c>
      <c r="G87" s="59">
        <v>1995989</v>
      </c>
      <c r="H87" s="59">
        <v>0</v>
      </c>
      <c r="I87" s="58">
        <f t="shared" si="4"/>
        <v>-1995989</v>
      </c>
      <c r="J87" s="59">
        <v>-42755790.399999999</v>
      </c>
      <c r="K87" s="59"/>
      <c r="L87" s="31" t="s">
        <v>3722</v>
      </c>
      <c r="M87" s="17" t="str">
        <f t="shared" si="9"/>
        <v>Inter company support</v>
      </c>
      <c r="N87" s="4" t="s">
        <v>3917</v>
      </c>
    </row>
    <row r="88" spans="1:14" ht="15.75">
      <c r="A88" s="4">
        <f t="shared" si="5"/>
        <v>87</v>
      </c>
      <c r="B88" s="18">
        <v>45845</v>
      </c>
      <c r="C88" s="18">
        <v>45845</v>
      </c>
      <c r="D88" s="2" t="s">
        <v>556</v>
      </c>
      <c r="E88" s="2" t="s">
        <v>557</v>
      </c>
      <c r="F88" s="2">
        <v>99922</v>
      </c>
      <c r="G88" s="59">
        <v>5900</v>
      </c>
      <c r="H88" s="59">
        <v>0</v>
      </c>
      <c r="I88" s="58">
        <f t="shared" si="4"/>
        <v>-5900</v>
      </c>
      <c r="J88" s="59">
        <v>-42761690.399999999</v>
      </c>
      <c r="K88" s="59"/>
      <c r="L88" s="32" t="s">
        <v>3722</v>
      </c>
      <c r="M88" s="17" t="s">
        <v>558</v>
      </c>
      <c r="N88" s="4" t="s">
        <v>3917</v>
      </c>
    </row>
    <row r="89" spans="1:14" ht="15.75">
      <c r="A89" s="4">
        <f t="shared" si="5"/>
        <v>88</v>
      </c>
      <c r="B89" s="18">
        <v>45845</v>
      </c>
      <c r="C89" s="18">
        <v>45845</v>
      </c>
      <c r="D89" s="2" t="s">
        <v>537</v>
      </c>
      <c r="E89" s="2" t="s">
        <v>559</v>
      </c>
      <c r="F89" s="2">
        <v>99922</v>
      </c>
      <c r="G89" s="60">
        <v>115385</v>
      </c>
      <c r="H89" s="60">
        <v>0</v>
      </c>
      <c r="I89" s="58">
        <f t="shared" si="4"/>
        <v>-115385</v>
      </c>
      <c r="J89" s="59">
        <v>-42877075.399999999</v>
      </c>
      <c r="K89" s="59"/>
      <c r="L89" s="32" t="s">
        <v>3722</v>
      </c>
      <c r="M89" s="17" t="s">
        <v>560</v>
      </c>
      <c r="N89" s="4" t="s">
        <v>3917</v>
      </c>
    </row>
    <row r="90" spans="1:14" ht="15.75">
      <c r="A90" s="4">
        <f t="shared" si="5"/>
        <v>89</v>
      </c>
      <c r="B90" s="18">
        <v>45845</v>
      </c>
      <c r="C90" s="18">
        <v>45845</v>
      </c>
      <c r="D90" s="2" t="s">
        <v>537</v>
      </c>
      <c r="E90" s="2" t="s">
        <v>559</v>
      </c>
      <c r="F90" s="2">
        <v>99922</v>
      </c>
      <c r="G90" s="60">
        <v>157899</v>
      </c>
      <c r="H90" s="60">
        <v>0</v>
      </c>
      <c r="I90" s="58">
        <f t="shared" si="4"/>
        <v>-157899</v>
      </c>
      <c r="J90" s="59">
        <v>-43034974.399999999</v>
      </c>
      <c r="K90" s="59"/>
      <c r="L90" s="17" t="s">
        <v>3722</v>
      </c>
      <c r="M90" s="17" t="s">
        <v>561</v>
      </c>
      <c r="N90" s="4" t="s">
        <v>3917</v>
      </c>
    </row>
    <row r="91" spans="1:14" ht="15.75">
      <c r="A91" s="4">
        <f t="shared" si="5"/>
        <v>90</v>
      </c>
      <c r="B91" s="18">
        <v>45846</v>
      </c>
      <c r="C91" s="18">
        <v>45846</v>
      </c>
      <c r="D91" s="2" t="s">
        <v>562</v>
      </c>
      <c r="E91" s="2" t="s">
        <v>563</v>
      </c>
      <c r="F91" s="2">
        <v>99922</v>
      </c>
      <c r="G91" s="59">
        <v>11421772</v>
      </c>
      <c r="H91" s="59">
        <v>0</v>
      </c>
      <c r="I91" s="58">
        <f t="shared" si="4"/>
        <v>-11421772</v>
      </c>
      <c r="J91" s="59">
        <v>-54456746.399999999</v>
      </c>
      <c r="K91" s="59"/>
      <c r="L91" s="2" t="s">
        <v>3722</v>
      </c>
      <c r="M91" s="17" t="str">
        <f t="shared" ref="M91:M95" si="10">L91</f>
        <v>Inter company support</v>
      </c>
      <c r="N91" s="4" t="s">
        <v>3917</v>
      </c>
    </row>
    <row r="92" spans="1:14" ht="15.75">
      <c r="A92" s="4">
        <f t="shared" si="5"/>
        <v>91</v>
      </c>
      <c r="B92" s="18">
        <v>45846</v>
      </c>
      <c r="C92" s="18">
        <v>45846</v>
      </c>
      <c r="D92" s="2" t="s">
        <v>562</v>
      </c>
      <c r="E92" s="2" t="s">
        <v>564</v>
      </c>
      <c r="F92" s="2">
        <v>99922</v>
      </c>
      <c r="G92" s="59">
        <v>10664</v>
      </c>
      <c r="H92" s="59">
        <v>0</v>
      </c>
      <c r="I92" s="58">
        <f t="shared" si="4"/>
        <v>-10664</v>
      </c>
      <c r="J92" s="59">
        <v>-54467410.399999999</v>
      </c>
      <c r="K92" s="59"/>
      <c r="L92" s="2" t="s">
        <v>3722</v>
      </c>
      <c r="M92" s="17" t="str">
        <f t="shared" si="10"/>
        <v>Inter company support</v>
      </c>
      <c r="N92" s="4" t="s">
        <v>3917</v>
      </c>
    </row>
    <row r="93" spans="1:14" ht="15.75">
      <c r="A93" s="4">
        <f t="shared" si="5"/>
        <v>92</v>
      </c>
      <c r="B93" s="18">
        <v>45846</v>
      </c>
      <c r="C93" s="18">
        <v>45846</v>
      </c>
      <c r="D93" s="2" t="s">
        <v>565</v>
      </c>
      <c r="E93" s="2" t="s">
        <v>566</v>
      </c>
      <c r="F93" s="2">
        <v>99922</v>
      </c>
      <c r="G93" s="59">
        <v>2037317</v>
      </c>
      <c r="H93" s="59">
        <v>0</v>
      </c>
      <c r="I93" s="58">
        <f t="shared" si="4"/>
        <v>-2037317</v>
      </c>
      <c r="J93" s="59">
        <v>-56504727.399999999</v>
      </c>
      <c r="K93" s="59"/>
      <c r="L93" s="2" t="s">
        <v>3722</v>
      </c>
      <c r="M93" s="17" t="str">
        <f t="shared" si="10"/>
        <v>Inter company support</v>
      </c>
      <c r="N93" s="4" t="s">
        <v>3917</v>
      </c>
    </row>
    <row r="94" spans="1:14" ht="15.75">
      <c r="A94" s="4">
        <f t="shared" si="5"/>
        <v>93</v>
      </c>
      <c r="B94" s="18">
        <v>45846</v>
      </c>
      <c r="C94" s="18">
        <v>45846</v>
      </c>
      <c r="D94" s="2" t="s">
        <v>567</v>
      </c>
      <c r="E94" s="2" t="s">
        <v>568</v>
      </c>
      <c r="F94" s="2">
        <v>99922</v>
      </c>
      <c r="G94" s="59">
        <v>24529</v>
      </c>
      <c r="H94" s="59">
        <v>0</v>
      </c>
      <c r="I94" s="58">
        <f t="shared" si="4"/>
        <v>-24529</v>
      </c>
      <c r="J94" s="59">
        <v>-56529256.399999999</v>
      </c>
      <c r="K94" s="59"/>
      <c r="L94" s="2" t="s">
        <v>3722</v>
      </c>
      <c r="M94" s="17" t="str">
        <f t="shared" si="10"/>
        <v>Inter company support</v>
      </c>
      <c r="N94" s="4" t="s">
        <v>3917</v>
      </c>
    </row>
    <row r="95" spans="1:14" ht="15.75">
      <c r="A95" s="4">
        <f t="shared" si="5"/>
        <v>94</v>
      </c>
      <c r="B95" s="18">
        <v>45846</v>
      </c>
      <c r="C95" s="18">
        <v>45846</v>
      </c>
      <c r="D95" s="2" t="s">
        <v>569</v>
      </c>
      <c r="E95" s="2" t="s">
        <v>570</v>
      </c>
      <c r="F95" s="2">
        <v>99922</v>
      </c>
      <c r="G95" s="59">
        <v>2562704</v>
      </c>
      <c r="H95" s="59">
        <v>0</v>
      </c>
      <c r="I95" s="58">
        <f t="shared" si="4"/>
        <v>-2562704</v>
      </c>
      <c r="J95" s="59">
        <v>-59091960.399999999</v>
      </c>
      <c r="K95" s="59"/>
      <c r="L95" s="2" t="s">
        <v>3719</v>
      </c>
      <c r="M95" s="17" t="str">
        <f t="shared" si="10"/>
        <v>Vendor payments</v>
      </c>
      <c r="N95" s="4" t="s">
        <v>3917</v>
      </c>
    </row>
    <row r="96" spans="1:14" ht="15.75">
      <c r="A96" s="4">
        <f t="shared" si="5"/>
        <v>95</v>
      </c>
      <c r="B96" s="18">
        <v>45846</v>
      </c>
      <c r="C96" s="18">
        <v>45846</v>
      </c>
      <c r="D96" s="2" t="s">
        <v>505</v>
      </c>
      <c r="E96" s="2" t="s">
        <v>224</v>
      </c>
      <c r="F96" s="2">
        <v>4266</v>
      </c>
      <c r="G96" s="59">
        <v>9251</v>
      </c>
      <c r="H96" s="59">
        <v>0</v>
      </c>
      <c r="I96" s="58">
        <f t="shared" si="4"/>
        <v>-9251</v>
      </c>
      <c r="J96" s="60">
        <v>-59101211.399999999</v>
      </c>
      <c r="K96" s="60"/>
      <c r="L96" s="2" t="s">
        <v>542</v>
      </c>
      <c r="M96" s="33" t="s">
        <v>511</v>
      </c>
      <c r="N96" s="4" t="s">
        <v>3917</v>
      </c>
    </row>
    <row r="97" spans="1:14" ht="15.75">
      <c r="A97" s="4">
        <f t="shared" si="5"/>
        <v>96</v>
      </c>
      <c r="B97" s="18">
        <v>45846</v>
      </c>
      <c r="C97" s="18">
        <v>45846</v>
      </c>
      <c r="D97" s="2" t="s">
        <v>539</v>
      </c>
      <c r="E97" s="2" t="s">
        <v>571</v>
      </c>
      <c r="F97" s="2">
        <v>99922</v>
      </c>
      <c r="G97" s="60">
        <v>12150</v>
      </c>
      <c r="H97" s="60">
        <v>0</v>
      </c>
      <c r="I97" s="58">
        <f t="shared" si="4"/>
        <v>-12150</v>
      </c>
      <c r="J97" s="60">
        <v>-59113361.399999999</v>
      </c>
      <c r="K97" s="60"/>
      <c r="L97" s="2" t="s">
        <v>3724</v>
      </c>
      <c r="M97" s="33" t="s">
        <v>572</v>
      </c>
      <c r="N97" s="4" t="s">
        <v>3917</v>
      </c>
    </row>
    <row r="98" spans="1:14" ht="15.75">
      <c r="A98" s="4">
        <f t="shared" si="5"/>
        <v>97</v>
      </c>
      <c r="B98" s="18">
        <v>45846</v>
      </c>
      <c r="C98" s="18">
        <v>45846</v>
      </c>
      <c r="D98" s="2" t="s">
        <v>539</v>
      </c>
      <c r="E98" s="2" t="s">
        <v>571</v>
      </c>
      <c r="F98" s="2">
        <v>99922</v>
      </c>
      <c r="G98" s="61">
        <v>15840</v>
      </c>
      <c r="H98" s="60">
        <v>0</v>
      </c>
      <c r="I98" s="58">
        <f t="shared" si="4"/>
        <v>-15840</v>
      </c>
      <c r="J98" s="60">
        <v>-59129201.399999999</v>
      </c>
      <c r="K98" s="60"/>
      <c r="L98" s="2" t="s">
        <v>3719</v>
      </c>
      <c r="M98" s="33" t="s">
        <v>573</v>
      </c>
      <c r="N98" s="4" t="s">
        <v>3917</v>
      </c>
    </row>
    <row r="99" spans="1:14" ht="15.75">
      <c r="A99" s="4">
        <f t="shared" si="5"/>
        <v>98</v>
      </c>
      <c r="B99" s="18">
        <v>45846</v>
      </c>
      <c r="C99" s="18">
        <v>45846</v>
      </c>
      <c r="D99" s="2" t="s">
        <v>574</v>
      </c>
      <c r="E99" s="2" t="s">
        <v>575</v>
      </c>
      <c r="F99" s="2">
        <v>99922</v>
      </c>
      <c r="G99" s="61">
        <v>20000</v>
      </c>
      <c r="H99" s="60">
        <v>0</v>
      </c>
      <c r="I99" s="58">
        <f t="shared" si="4"/>
        <v>-20000</v>
      </c>
      <c r="J99" s="60">
        <v>-59149201.399999999</v>
      </c>
      <c r="K99" s="60"/>
      <c r="L99" s="2" t="s">
        <v>3718</v>
      </c>
      <c r="M99" s="33" t="s">
        <v>576</v>
      </c>
      <c r="N99" s="4" t="s">
        <v>3917</v>
      </c>
    </row>
    <row r="100" spans="1:14" ht="15.75">
      <c r="A100" s="4">
        <f t="shared" si="5"/>
        <v>99</v>
      </c>
      <c r="B100" s="18">
        <v>45846</v>
      </c>
      <c r="C100" s="18">
        <v>45846</v>
      </c>
      <c r="D100" s="2" t="s">
        <v>574</v>
      </c>
      <c r="E100" s="2" t="s">
        <v>575</v>
      </c>
      <c r="F100" s="2">
        <v>99922</v>
      </c>
      <c r="G100" s="61">
        <v>50000</v>
      </c>
      <c r="H100" s="60">
        <v>0</v>
      </c>
      <c r="I100" s="58">
        <f t="shared" si="4"/>
        <v>-50000</v>
      </c>
      <c r="J100" s="60">
        <v>-59199201.399999999</v>
      </c>
      <c r="K100" s="60"/>
      <c r="L100" s="2" t="s">
        <v>3718</v>
      </c>
      <c r="M100" s="33" t="s">
        <v>577</v>
      </c>
      <c r="N100" s="4" t="s">
        <v>3917</v>
      </c>
    </row>
    <row r="101" spans="1:14" ht="15.75">
      <c r="A101" s="4">
        <f t="shared" si="5"/>
        <v>100</v>
      </c>
      <c r="B101" s="18">
        <v>45846</v>
      </c>
      <c r="C101" s="18">
        <v>45846</v>
      </c>
      <c r="D101" s="2" t="s">
        <v>574</v>
      </c>
      <c r="E101" s="2" t="s">
        <v>575</v>
      </c>
      <c r="F101" s="2">
        <v>99922</v>
      </c>
      <c r="G101" s="61">
        <v>925</v>
      </c>
      <c r="H101" s="60">
        <v>0</v>
      </c>
      <c r="I101" s="58">
        <f t="shared" si="4"/>
        <v>-925</v>
      </c>
      <c r="J101" s="60">
        <v>-59200126.399999999</v>
      </c>
      <c r="K101" s="60"/>
      <c r="L101" t="s">
        <v>3724</v>
      </c>
      <c r="M101" s="33" t="s">
        <v>578</v>
      </c>
      <c r="N101" s="4" t="s">
        <v>3917</v>
      </c>
    </row>
    <row r="102" spans="1:14" ht="15.75">
      <c r="A102" s="4">
        <f t="shared" si="5"/>
        <v>101</v>
      </c>
      <c r="B102" s="18">
        <v>45846</v>
      </c>
      <c r="C102" s="18">
        <v>45846</v>
      </c>
      <c r="D102" s="2" t="s">
        <v>574</v>
      </c>
      <c r="E102" s="2" t="s">
        <v>575</v>
      </c>
      <c r="F102" s="2">
        <v>99922</v>
      </c>
      <c r="G102" s="61">
        <v>24806</v>
      </c>
      <c r="H102" s="60">
        <v>0</v>
      </c>
      <c r="I102" s="58">
        <f t="shared" si="4"/>
        <v>-24806</v>
      </c>
      <c r="J102" s="60">
        <v>-59224932.399999999</v>
      </c>
      <c r="K102" s="60"/>
      <c r="L102" t="s">
        <v>3724</v>
      </c>
      <c r="M102" s="33" t="s">
        <v>578</v>
      </c>
      <c r="N102" s="4" t="s">
        <v>3917</v>
      </c>
    </row>
    <row r="103" spans="1:14" ht="15.75">
      <c r="A103" s="4">
        <f t="shared" si="5"/>
        <v>102</v>
      </c>
      <c r="B103" s="18">
        <v>45846</v>
      </c>
      <c r="C103" s="18">
        <v>45846</v>
      </c>
      <c r="D103" s="2" t="s">
        <v>574</v>
      </c>
      <c r="E103" s="2" t="s">
        <v>575</v>
      </c>
      <c r="F103" s="2">
        <v>99922</v>
      </c>
      <c r="G103" s="61">
        <v>114404</v>
      </c>
      <c r="H103" s="60">
        <v>0</v>
      </c>
      <c r="I103" s="58">
        <f t="shared" si="4"/>
        <v>-114404</v>
      </c>
      <c r="J103" s="60">
        <v>-59339336.399999999</v>
      </c>
      <c r="K103" s="60"/>
      <c r="L103" t="s">
        <v>3724</v>
      </c>
      <c r="M103" s="33" t="s">
        <v>578</v>
      </c>
      <c r="N103" s="4" t="s">
        <v>3917</v>
      </c>
    </row>
    <row r="104" spans="1:14" ht="15.75">
      <c r="A104" s="4">
        <f t="shared" si="5"/>
        <v>103</v>
      </c>
      <c r="B104" s="18">
        <v>45846</v>
      </c>
      <c r="C104" s="18">
        <v>45846</v>
      </c>
      <c r="D104" s="2" t="s">
        <v>579</v>
      </c>
      <c r="E104" s="2" t="s">
        <v>580</v>
      </c>
      <c r="F104" s="2">
        <v>99922</v>
      </c>
      <c r="G104" s="61">
        <v>51250</v>
      </c>
      <c r="H104" s="60">
        <v>0</v>
      </c>
      <c r="I104" s="58">
        <f t="shared" si="4"/>
        <v>-51250</v>
      </c>
      <c r="J104" s="60">
        <v>-59390586.399999999</v>
      </c>
      <c r="K104" s="60"/>
      <c r="L104" t="s">
        <v>3724</v>
      </c>
      <c r="M104" s="33" t="s">
        <v>581</v>
      </c>
      <c r="N104" s="4" t="s">
        <v>3917</v>
      </c>
    </row>
    <row r="105" spans="1:14" ht="15.75">
      <c r="A105" s="4">
        <f t="shared" si="5"/>
        <v>104</v>
      </c>
      <c r="B105" s="18">
        <v>45846</v>
      </c>
      <c r="C105" s="18">
        <v>45846</v>
      </c>
      <c r="D105" s="2" t="s">
        <v>582</v>
      </c>
      <c r="E105" s="2" t="s">
        <v>583</v>
      </c>
      <c r="F105" s="2">
        <v>99922</v>
      </c>
      <c r="G105" s="61">
        <v>47177</v>
      </c>
      <c r="H105" s="60">
        <v>0</v>
      </c>
      <c r="I105" s="58">
        <f t="shared" si="4"/>
        <v>-47177</v>
      </c>
      <c r="J105" s="60">
        <v>-59437763.399999999</v>
      </c>
      <c r="K105" s="60"/>
      <c r="L105" t="s">
        <v>3724</v>
      </c>
      <c r="M105" s="33" t="s">
        <v>584</v>
      </c>
      <c r="N105" s="4" t="s">
        <v>3917</v>
      </c>
    </row>
    <row r="106" spans="1:14" ht="15.75">
      <c r="A106" s="4">
        <f t="shared" si="5"/>
        <v>105</v>
      </c>
      <c r="B106" s="34">
        <v>45847</v>
      </c>
      <c r="C106" s="34">
        <v>45847</v>
      </c>
      <c r="D106" s="35" t="s">
        <v>585</v>
      </c>
      <c r="E106" s="35" t="s">
        <v>586</v>
      </c>
      <c r="F106" s="17"/>
      <c r="G106" s="62">
        <v>873180</v>
      </c>
      <c r="H106" s="60">
        <v>0</v>
      </c>
      <c r="I106" s="58">
        <f t="shared" si="4"/>
        <v>-873180</v>
      </c>
      <c r="J106" s="60">
        <v>-60310943.399999999</v>
      </c>
      <c r="K106" s="60"/>
      <c r="L106" t="s">
        <v>3724</v>
      </c>
      <c r="M106" s="35" t="s">
        <v>587</v>
      </c>
      <c r="N106" s="4" t="s">
        <v>3917</v>
      </c>
    </row>
    <row r="107" spans="1:14" ht="15.75">
      <c r="A107" s="4">
        <f t="shared" si="5"/>
        <v>106</v>
      </c>
      <c r="B107" s="34">
        <v>45847</v>
      </c>
      <c r="C107" s="34">
        <v>45847</v>
      </c>
      <c r="D107" s="36" t="s">
        <v>588</v>
      </c>
      <c r="E107" s="36" t="s">
        <v>586</v>
      </c>
      <c r="F107" s="17"/>
      <c r="G107" s="37">
        <v>65323</v>
      </c>
      <c r="H107" s="60">
        <v>0</v>
      </c>
      <c r="I107" s="58">
        <f t="shared" si="4"/>
        <v>-65323</v>
      </c>
      <c r="J107" s="60">
        <v>-60376266.399999999</v>
      </c>
      <c r="K107" s="60"/>
      <c r="L107" s="17" t="s">
        <v>3718</v>
      </c>
      <c r="M107" s="36" t="s">
        <v>589</v>
      </c>
      <c r="N107" s="4" t="s">
        <v>3917</v>
      </c>
    </row>
    <row r="108" spans="1:14" ht="15.75">
      <c r="A108" s="4">
        <f t="shared" si="5"/>
        <v>107</v>
      </c>
      <c r="B108" s="34">
        <v>45847</v>
      </c>
      <c r="C108" s="34">
        <v>45847</v>
      </c>
      <c r="D108" s="35" t="s">
        <v>590</v>
      </c>
      <c r="E108" s="35" t="s">
        <v>586</v>
      </c>
      <c r="F108" s="17"/>
      <c r="G108" s="62">
        <v>12588</v>
      </c>
      <c r="H108" s="60">
        <v>0</v>
      </c>
      <c r="I108" s="58">
        <f t="shared" si="4"/>
        <v>-12588</v>
      </c>
      <c r="J108" s="60">
        <v>-60388854.399999999</v>
      </c>
      <c r="K108" s="60"/>
      <c r="L108" s="2" t="s">
        <v>3718</v>
      </c>
      <c r="M108" s="35" t="s">
        <v>591</v>
      </c>
      <c r="N108" s="4" t="s">
        <v>3917</v>
      </c>
    </row>
    <row r="109" spans="1:14" ht="15.75">
      <c r="A109" s="4">
        <f t="shared" si="5"/>
        <v>108</v>
      </c>
      <c r="B109" s="34">
        <v>45847</v>
      </c>
      <c r="C109" s="34">
        <v>45847</v>
      </c>
      <c r="D109" s="35" t="s">
        <v>592</v>
      </c>
      <c r="E109" s="35" t="s">
        <v>586</v>
      </c>
      <c r="F109" s="17"/>
      <c r="G109" s="62">
        <v>56400</v>
      </c>
      <c r="H109" s="60">
        <v>0</v>
      </c>
      <c r="I109" s="58">
        <f t="shared" si="4"/>
        <v>-56400</v>
      </c>
      <c r="J109" s="60">
        <v>-60445254.399999999</v>
      </c>
      <c r="K109" s="60"/>
      <c r="L109" t="s">
        <v>542</v>
      </c>
      <c r="M109" s="35" t="s">
        <v>593</v>
      </c>
      <c r="N109" s="4" t="s">
        <v>3917</v>
      </c>
    </row>
    <row r="110" spans="1:14" ht="15.75">
      <c r="A110" s="4">
        <f t="shared" si="5"/>
        <v>109</v>
      </c>
      <c r="B110" s="34">
        <v>45847</v>
      </c>
      <c r="C110" s="34">
        <v>45847</v>
      </c>
      <c r="D110" s="35" t="s">
        <v>594</v>
      </c>
      <c r="E110" s="35" t="s">
        <v>595</v>
      </c>
      <c r="F110" s="17"/>
      <c r="G110" s="62">
        <v>72765</v>
      </c>
      <c r="H110" s="60">
        <v>0</v>
      </c>
      <c r="I110" s="58">
        <f t="shared" si="4"/>
        <v>-72765</v>
      </c>
      <c r="J110" s="60">
        <v>-60518019.399999999</v>
      </c>
      <c r="K110" s="60"/>
      <c r="L110" s="2" t="s">
        <v>3719</v>
      </c>
      <c r="M110" s="35" t="s">
        <v>596</v>
      </c>
      <c r="N110" s="4" t="s">
        <v>3917</v>
      </c>
    </row>
    <row r="111" spans="1:14" ht="15.75">
      <c r="A111" s="4">
        <f t="shared" si="5"/>
        <v>110</v>
      </c>
      <c r="B111" s="34">
        <v>45847</v>
      </c>
      <c r="C111" s="34">
        <v>45847</v>
      </c>
      <c r="D111" s="35" t="s">
        <v>597</v>
      </c>
      <c r="E111" s="35" t="s">
        <v>586</v>
      </c>
      <c r="F111" s="17"/>
      <c r="G111" s="62">
        <v>1251</v>
      </c>
      <c r="H111" s="60">
        <v>0</v>
      </c>
      <c r="I111" s="58">
        <f t="shared" si="4"/>
        <v>-1251</v>
      </c>
      <c r="J111" s="60">
        <v>-60519270.399999999</v>
      </c>
      <c r="K111" s="60"/>
      <c r="L111" s="17" t="s">
        <v>3719</v>
      </c>
      <c r="M111" s="35" t="s">
        <v>598</v>
      </c>
      <c r="N111" s="4" t="s">
        <v>3917</v>
      </c>
    </row>
    <row r="112" spans="1:14" ht="15.75">
      <c r="A112" s="4">
        <f t="shared" si="5"/>
        <v>111</v>
      </c>
      <c r="B112" s="34">
        <v>45847</v>
      </c>
      <c r="C112" s="34">
        <v>45847</v>
      </c>
      <c r="D112" s="35" t="s">
        <v>599</v>
      </c>
      <c r="E112" s="35" t="s">
        <v>586</v>
      </c>
      <c r="F112" s="17"/>
      <c r="G112" s="62">
        <v>15000</v>
      </c>
      <c r="H112" s="60">
        <v>0</v>
      </c>
      <c r="I112" s="58">
        <f t="shared" si="4"/>
        <v>-15000</v>
      </c>
      <c r="J112" s="60">
        <v>-60534270.399999999</v>
      </c>
      <c r="K112" s="60"/>
      <c r="L112" s="17" t="s">
        <v>3719</v>
      </c>
      <c r="M112" s="35" t="s">
        <v>600</v>
      </c>
      <c r="N112" s="4" t="s">
        <v>3917</v>
      </c>
    </row>
    <row r="113" spans="1:14" ht="15.75">
      <c r="A113" s="4">
        <f t="shared" si="5"/>
        <v>112</v>
      </c>
      <c r="B113" s="34">
        <v>45847</v>
      </c>
      <c r="C113" s="34">
        <v>45847</v>
      </c>
      <c r="D113" s="36" t="s">
        <v>601</v>
      </c>
      <c r="E113" s="36" t="s">
        <v>602</v>
      </c>
      <c r="F113" s="17"/>
      <c r="G113" s="38">
        <v>403680</v>
      </c>
      <c r="H113" s="60">
        <v>0</v>
      </c>
      <c r="I113" s="58">
        <f t="shared" si="4"/>
        <v>-403680</v>
      </c>
      <c r="J113" s="60">
        <v>-60937950.399999999</v>
      </c>
      <c r="K113" s="60"/>
      <c r="L113" s="2" t="s">
        <v>3719</v>
      </c>
      <c r="M113" s="36" t="s">
        <v>603</v>
      </c>
      <c r="N113" s="4" t="s">
        <v>3917</v>
      </c>
    </row>
    <row r="114" spans="1:14" ht="15.75">
      <c r="A114" s="4">
        <f t="shared" si="5"/>
        <v>113</v>
      </c>
      <c r="B114" s="34">
        <v>45847</v>
      </c>
      <c r="C114" s="34">
        <v>45847</v>
      </c>
      <c r="D114" s="35" t="s">
        <v>604</v>
      </c>
      <c r="E114" s="35" t="s">
        <v>605</v>
      </c>
      <c r="F114" s="17"/>
      <c r="G114" s="62">
        <v>12000</v>
      </c>
      <c r="H114" s="60">
        <v>0</v>
      </c>
      <c r="I114" s="58">
        <f t="shared" si="4"/>
        <v>-12000</v>
      </c>
      <c r="J114" s="60">
        <v>-60949950.399999999</v>
      </c>
      <c r="K114" s="60"/>
      <c r="L114" s="2" t="s">
        <v>542</v>
      </c>
      <c r="M114" s="35" t="s">
        <v>606</v>
      </c>
      <c r="N114" s="4" t="s">
        <v>3917</v>
      </c>
    </row>
    <row r="115" spans="1:14" ht="15.75">
      <c r="A115" s="4">
        <f t="shared" si="5"/>
        <v>114</v>
      </c>
      <c r="B115" s="34">
        <v>45847</v>
      </c>
      <c r="C115" s="34">
        <v>45847</v>
      </c>
      <c r="D115" s="35" t="s">
        <v>604</v>
      </c>
      <c r="E115" s="35" t="s">
        <v>605</v>
      </c>
      <c r="F115" s="17"/>
      <c r="G115" s="62">
        <v>12000</v>
      </c>
      <c r="H115" s="60">
        <v>0</v>
      </c>
      <c r="I115" s="58">
        <f t="shared" si="4"/>
        <v>-12000</v>
      </c>
      <c r="J115" s="60">
        <v>-60961950.399999999</v>
      </c>
      <c r="K115" s="60"/>
      <c r="L115" s="2" t="s">
        <v>542</v>
      </c>
      <c r="M115" s="35" t="s">
        <v>607</v>
      </c>
      <c r="N115" s="4" t="s">
        <v>3917</v>
      </c>
    </row>
    <row r="116" spans="1:14" ht="15.75">
      <c r="A116" s="4">
        <f t="shared" si="5"/>
        <v>115</v>
      </c>
      <c r="B116" s="34">
        <v>45847</v>
      </c>
      <c r="C116" s="34">
        <v>45847</v>
      </c>
      <c r="D116" s="35" t="s">
        <v>604</v>
      </c>
      <c r="E116" s="35" t="s">
        <v>605</v>
      </c>
      <c r="F116" s="17"/>
      <c r="G116" s="62">
        <v>12000</v>
      </c>
      <c r="H116" s="60">
        <v>0</v>
      </c>
      <c r="I116" s="58">
        <f t="shared" si="4"/>
        <v>-12000</v>
      </c>
      <c r="J116" s="60">
        <v>-60973950.399999999</v>
      </c>
      <c r="K116" s="60"/>
      <c r="L116" s="2" t="s">
        <v>542</v>
      </c>
      <c r="M116" s="35" t="s">
        <v>608</v>
      </c>
      <c r="N116" s="4" t="s">
        <v>3917</v>
      </c>
    </row>
    <row r="117" spans="1:14" ht="15.75">
      <c r="A117" s="4">
        <f t="shared" si="5"/>
        <v>116</v>
      </c>
      <c r="B117" s="34">
        <v>45847</v>
      </c>
      <c r="C117" s="34">
        <v>45847</v>
      </c>
      <c r="D117" s="36" t="s">
        <v>609</v>
      </c>
      <c r="E117" s="36" t="s">
        <v>610</v>
      </c>
      <c r="F117" s="17"/>
      <c r="G117" s="37">
        <v>150000</v>
      </c>
      <c r="H117" s="60">
        <v>0</v>
      </c>
      <c r="I117" s="58">
        <f t="shared" si="4"/>
        <v>-150000</v>
      </c>
      <c r="J117" s="60">
        <v>-61123950.399999999</v>
      </c>
      <c r="K117" s="60"/>
      <c r="L117" s="17" t="s">
        <v>3724</v>
      </c>
      <c r="M117" s="36" t="s">
        <v>611</v>
      </c>
      <c r="N117" s="4" t="s">
        <v>3917</v>
      </c>
    </row>
    <row r="118" spans="1:14" ht="15.75">
      <c r="A118" s="4">
        <f t="shared" si="5"/>
        <v>117</v>
      </c>
      <c r="B118" s="19">
        <v>45848</v>
      </c>
      <c r="C118" s="19">
        <v>45848</v>
      </c>
      <c r="D118" t="s">
        <v>612</v>
      </c>
      <c r="E118" t="s">
        <v>224</v>
      </c>
      <c r="F118">
        <v>61076</v>
      </c>
      <c r="G118" s="22">
        <v>72974</v>
      </c>
      <c r="H118" s="22">
        <v>0</v>
      </c>
      <c r="I118" s="58">
        <f t="shared" si="4"/>
        <v>-72974</v>
      </c>
      <c r="J118" s="22">
        <v>-61196924.399999999</v>
      </c>
      <c r="K118" s="22"/>
      <c r="L118" s="2" t="s">
        <v>542</v>
      </c>
      <c r="M118" s="10" t="s">
        <v>613</v>
      </c>
      <c r="N118" s="4" t="s">
        <v>3917</v>
      </c>
    </row>
    <row r="119" spans="1:14" ht="15.75">
      <c r="A119" s="4">
        <f t="shared" si="5"/>
        <v>118</v>
      </c>
      <c r="B119" s="19">
        <v>45848</v>
      </c>
      <c r="C119" s="19">
        <v>45848</v>
      </c>
      <c r="D119" t="s">
        <v>614</v>
      </c>
      <c r="E119" t="s">
        <v>615</v>
      </c>
      <c r="F119">
        <v>99922</v>
      </c>
      <c r="G119" s="22">
        <v>29500</v>
      </c>
      <c r="H119" s="22">
        <v>0</v>
      </c>
      <c r="I119" s="58">
        <f t="shared" si="4"/>
        <v>-29500</v>
      </c>
      <c r="J119" s="22">
        <v>-61226424.399999999</v>
      </c>
      <c r="K119" s="22"/>
      <c r="L119" s="2" t="s">
        <v>542</v>
      </c>
      <c r="M119" s="10" t="s">
        <v>616</v>
      </c>
      <c r="N119" s="4" t="s">
        <v>3917</v>
      </c>
    </row>
    <row r="120" spans="1:14" ht="15.75">
      <c r="A120" s="4">
        <f t="shared" si="5"/>
        <v>119</v>
      </c>
      <c r="B120" s="19">
        <v>45848</v>
      </c>
      <c r="C120" s="19">
        <v>45848</v>
      </c>
      <c r="D120" t="s">
        <v>617</v>
      </c>
      <c r="E120" t="s">
        <v>618</v>
      </c>
      <c r="F120">
        <v>99922</v>
      </c>
      <c r="G120" s="22">
        <v>1770000</v>
      </c>
      <c r="H120" s="22">
        <v>0</v>
      </c>
      <c r="I120" s="58">
        <f t="shared" si="4"/>
        <v>-1770000</v>
      </c>
      <c r="J120" s="22">
        <v>-62996424.399999999</v>
      </c>
      <c r="K120" s="22"/>
      <c r="L120" s="2" t="s">
        <v>542</v>
      </c>
      <c r="M120" s="10" t="s">
        <v>616</v>
      </c>
      <c r="N120" s="4" t="s">
        <v>3917</v>
      </c>
    </row>
    <row r="121" spans="1:14" ht="15.75">
      <c r="A121" s="4">
        <f t="shared" si="5"/>
        <v>120</v>
      </c>
      <c r="B121" s="19">
        <v>45848</v>
      </c>
      <c r="C121" s="19">
        <v>45848</v>
      </c>
      <c r="D121" t="s">
        <v>619</v>
      </c>
      <c r="E121" t="s">
        <v>620</v>
      </c>
      <c r="F121">
        <v>13913</v>
      </c>
      <c r="G121" s="22">
        <v>0</v>
      </c>
      <c r="H121" s="22">
        <v>3500000</v>
      </c>
      <c r="I121" s="58">
        <f t="shared" si="4"/>
        <v>3500000</v>
      </c>
      <c r="J121" s="22">
        <v>-59496424.399999999</v>
      </c>
      <c r="K121" s="22"/>
      <c r="L121" t="s">
        <v>3723</v>
      </c>
      <c r="M121" s="10" t="s">
        <v>621</v>
      </c>
      <c r="N121" s="4" t="s">
        <v>3917</v>
      </c>
    </row>
    <row r="122" spans="1:14" ht="15.75">
      <c r="A122" s="4">
        <f t="shared" si="5"/>
        <v>121</v>
      </c>
      <c r="B122" s="19">
        <v>45848</v>
      </c>
      <c r="C122" s="19">
        <v>45848</v>
      </c>
      <c r="D122" t="s">
        <v>622</v>
      </c>
      <c r="E122" t="s">
        <v>623</v>
      </c>
      <c r="F122">
        <v>99922</v>
      </c>
      <c r="G122" s="22">
        <v>1625382</v>
      </c>
      <c r="H122" s="22">
        <v>0</v>
      </c>
      <c r="I122" s="58">
        <f t="shared" si="4"/>
        <v>-1625382</v>
      </c>
      <c r="J122" s="22">
        <v>-61121806.399999999</v>
      </c>
      <c r="K122" s="22"/>
      <c r="L122" s="2" t="s">
        <v>3724</v>
      </c>
      <c r="M122" s="10" t="s">
        <v>624</v>
      </c>
      <c r="N122" s="4" t="s">
        <v>3917</v>
      </c>
    </row>
    <row r="123" spans="1:14" ht="15.75">
      <c r="A123" s="4">
        <f t="shared" si="5"/>
        <v>122</v>
      </c>
      <c r="B123" s="19">
        <v>45848</v>
      </c>
      <c r="C123" s="19">
        <v>45848</v>
      </c>
      <c r="D123" t="s">
        <v>625</v>
      </c>
      <c r="E123" t="s">
        <v>626</v>
      </c>
      <c r="F123">
        <v>99922</v>
      </c>
      <c r="G123" s="22">
        <v>1200000</v>
      </c>
      <c r="H123" s="22">
        <v>0</v>
      </c>
      <c r="I123" s="58">
        <f t="shared" si="4"/>
        <v>-1200000</v>
      </c>
      <c r="J123" s="22">
        <v>-62321806.399999999</v>
      </c>
      <c r="K123" s="22"/>
      <c r="L123" s="4" t="s">
        <v>3724</v>
      </c>
      <c r="M123" s="10" t="s">
        <v>627</v>
      </c>
      <c r="N123" s="4" t="s">
        <v>3917</v>
      </c>
    </row>
    <row r="124" spans="1:14" ht="15.75">
      <c r="A124" s="4">
        <f t="shared" si="5"/>
        <v>123</v>
      </c>
      <c r="B124" s="19">
        <v>45848</v>
      </c>
      <c r="C124" s="19">
        <v>45848</v>
      </c>
      <c r="D124" s="4" t="s">
        <v>628</v>
      </c>
      <c r="E124" t="s">
        <v>629</v>
      </c>
      <c r="F124">
        <v>99922</v>
      </c>
      <c r="G124" s="63">
        <v>400000</v>
      </c>
      <c r="H124" s="64">
        <v>0</v>
      </c>
      <c r="I124" s="58">
        <f t="shared" si="4"/>
        <v>-400000</v>
      </c>
      <c r="J124" s="64">
        <v>-62721806.399999999</v>
      </c>
      <c r="L124" s="4" t="s">
        <v>3724</v>
      </c>
      <c r="M124" s="40" t="s">
        <v>630</v>
      </c>
      <c r="N124" s="4" t="s">
        <v>3917</v>
      </c>
    </row>
    <row r="125" spans="1:14" ht="15.75">
      <c r="A125" s="4">
        <f t="shared" si="5"/>
        <v>124</v>
      </c>
      <c r="B125" s="19">
        <v>45848</v>
      </c>
      <c r="C125" s="19">
        <v>45848</v>
      </c>
      <c r="D125" s="4" t="s">
        <v>631</v>
      </c>
      <c r="E125" t="s">
        <v>629</v>
      </c>
      <c r="F125">
        <v>99922</v>
      </c>
      <c r="G125" s="63">
        <v>200000</v>
      </c>
      <c r="H125" s="64">
        <v>0</v>
      </c>
      <c r="I125" s="58">
        <f t="shared" si="4"/>
        <v>-200000</v>
      </c>
      <c r="J125" s="64">
        <v>-62921806.399999999</v>
      </c>
      <c r="L125" s="4" t="s">
        <v>3724</v>
      </c>
      <c r="M125" s="40" t="s">
        <v>630</v>
      </c>
      <c r="N125" s="4" t="s">
        <v>3917</v>
      </c>
    </row>
    <row r="126" spans="1:14" ht="15.75">
      <c r="A126" s="4">
        <f t="shared" si="5"/>
        <v>125</v>
      </c>
      <c r="B126" s="19">
        <v>45848</v>
      </c>
      <c r="C126" s="19">
        <v>45848</v>
      </c>
      <c r="D126" s="4" t="s">
        <v>632</v>
      </c>
      <c r="E126" t="s">
        <v>629</v>
      </c>
      <c r="F126">
        <v>99922</v>
      </c>
      <c r="G126" s="63">
        <v>200000</v>
      </c>
      <c r="H126" s="64">
        <v>0</v>
      </c>
      <c r="I126" s="58">
        <f t="shared" si="4"/>
        <v>-200000</v>
      </c>
      <c r="J126" s="64">
        <v>-63121806.399999999</v>
      </c>
      <c r="L126" s="4" t="s">
        <v>3724</v>
      </c>
      <c r="M126" s="40" t="s">
        <v>630</v>
      </c>
      <c r="N126" s="4" t="s">
        <v>3917</v>
      </c>
    </row>
    <row r="127" spans="1:14" ht="15.75">
      <c r="A127" s="4">
        <f t="shared" si="5"/>
        <v>126</v>
      </c>
      <c r="B127" s="19">
        <v>45848</v>
      </c>
      <c r="C127" s="19">
        <v>45848</v>
      </c>
      <c r="D127" s="4" t="s">
        <v>633</v>
      </c>
      <c r="E127" t="s">
        <v>629</v>
      </c>
      <c r="F127">
        <v>99922</v>
      </c>
      <c r="G127" s="63">
        <v>200000</v>
      </c>
      <c r="H127" s="64">
        <v>0</v>
      </c>
      <c r="I127" s="58">
        <f t="shared" si="4"/>
        <v>-200000</v>
      </c>
      <c r="J127" s="64">
        <v>-63321806.399999999</v>
      </c>
      <c r="L127" s="4" t="s">
        <v>3724</v>
      </c>
      <c r="M127" s="40" t="s">
        <v>630</v>
      </c>
      <c r="N127" s="4" t="s">
        <v>3917</v>
      </c>
    </row>
    <row r="128" spans="1:14" ht="15.75">
      <c r="A128" s="4">
        <f t="shared" si="5"/>
        <v>127</v>
      </c>
      <c r="B128" s="19">
        <v>45848</v>
      </c>
      <c r="C128" s="19">
        <v>45848</v>
      </c>
      <c r="D128" s="4" t="s">
        <v>634</v>
      </c>
      <c r="E128" t="s">
        <v>629</v>
      </c>
      <c r="F128">
        <v>99922</v>
      </c>
      <c r="G128" s="63">
        <v>200000</v>
      </c>
      <c r="H128" s="64">
        <v>0</v>
      </c>
      <c r="I128" s="58">
        <f t="shared" si="4"/>
        <v>-200000</v>
      </c>
      <c r="J128" s="64">
        <v>-63521806.399999999</v>
      </c>
      <c r="L128" s="4" t="s">
        <v>3724</v>
      </c>
      <c r="M128" s="40" t="s">
        <v>630</v>
      </c>
      <c r="N128" s="4" t="s">
        <v>3917</v>
      </c>
    </row>
    <row r="129" spans="1:14" ht="15.75">
      <c r="A129" s="4">
        <f t="shared" si="5"/>
        <v>128</v>
      </c>
      <c r="B129" s="19">
        <v>45848</v>
      </c>
      <c r="C129" s="19">
        <v>45848</v>
      </c>
      <c r="D129" s="4" t="s">
        <v>635</v>
      </c>
      <c r="E129" t="s">
        <v>629</v>
      </c>
      <c r="F129">
        <v>99922</v>
      </c>
      <c r="G129" s="63">
        <v>900000</v>
      </c>
      <c r="H129" s="64">
        <v>0</v>
      </c>
      <c r="I129" s="58">
        <f t="shared" si="4"/>
        <v>-900000</v>
      </c>
      <c r="J129" s="64">
        <v>-64421806.399999999</v>
      </c>
      <c r="L129" s="4" t="s">
        <v>542</v>
      </c>
      <c r="M129" s="40" t="s">
        <v>630</v>
      </c>
      <c r="N129" s="4" t="s">
        <v>3917</v>
      </c>
    </row>
    <row r="130" spans="1:14" ht="15.75">
      <c r="A130" s="4">
        <f t="shared" si="5"/>
        <v>129</v>
      </c>
      <c r="B130" s="19">
        <v>45849</v>
      </c>
      <c r="C130" s="19">
        <v>45849</v>
      </c>
      <c r="D130" t="s">
        <v>636</v>
      </c>
      <c r="E130" t="s">
        <v>637</v>
      </c>
      <c r="F130">
        <v>13913</v>
      </c>
      <c r="G130" s="22">
        <v>0</v>
      </c>
      <c r="H130" s="22">
        <v>10000</v>
      </c>
      <c r="I130" s="58">
        <f t="shared" si="4"/>
        <v>10000</v>
      </c>
      <c r="J130" s="22">
        <v>-64411806.399999999</v>
      </c>
      <c r="K130" s="22"/>
      <c r="L130" s="2" t="s">
        <v>3723</v>
      </c>
      <c r="M130" s="10" t="s">
        <v>638</v>
      </c>
      <c r="N130" s="4" t="s">
        <v>3917</v>
      </c>
    </row>
    <row r="131" spans="1:14" ht="15.75">
      <c r="A131" s="4">
        <f t="shared" si="5"/>
        <v>130</v>
      </c>
      <c r="B131" s="19">
        <v>45849</v>
      </c>
      <c r="C131" s="19">
        <v>45849</v>
      </c>
      <c r="D131" t="s">
        <v>639</v>
      </c>
      <c r="E131" t="s">
        <v>640</v>
      </c>
      <c r="F131">
        <v>99922</v>
      </c>
      <c r="G131" s="22">
        <v>22500</v>
      </c>
      <c r="H131" s="22">
        <v>0</v>
      </c>
      <c r="I131" s="58">
        <f t="shared" ref="I131:I193" si="11">H131-G131</f>
        <v>-22500</v>
      </c>
      <c r="J131" s="22">
        <v>-64434306.399999999</v>
      </c>
      <c r="K131" s="22"/>
      <c r="L131" s="2" t="s">
        <v>542</v>
      </c>
      <c r="M131" s="10" t="s">
        <v>641</v>
      </c>
      <c r="N131" s="4" t="s">
        <v>3917</v>
      </c>
    </row>
    <row r="132" spans="1:14" ht="15.75">
      <c r="A132" s="4">
        <f t="shared" ref="A132:A195" si="12">A131+1</f>
        <v>131</v>
      </c>
      <c r="B132" s="19">
        <v>45849</v>
      </c>
      <c r="C132" s="19">
        <v>45849</v>
      </c>
      <c r="D132" t="s">
        <v>642</v>
      </c>
      <c r="E132" t="s">
        <v>643</v>
      </c>
      <c r="F132">
        <v>99922</v>
      </c>
      <c r="G132" s="22">
        <v>59000</v>
      </c>
      <c r="H132" s="22">
        <v>0</v>
      </c>
      <c r="I132" s="58">
        <f t="shared" si="11"/>
        <v>-59000</v>
      </c>
      <c r="J132" s="22">
        <v>-64493306.399999999</v>
      </c>
      <c r="K132" s="22"/>
      <c r="L132" s="2" t="s">
        <v>542</v>
      </c>
      <c r="M132" s="10" t="s">
        <v>644</v>
      </c>
      <c r="N132" s="4" t="s">
        <v>3917</v>
      </c>
    </row>
    <row r="133" spans="1:14" ht="15.75">
      <c r="A133" s="4">
        <f t="shared" si="12"/>
        <v>132</v>
      </c>
      <c r="B133" s="19">
        <v>45849</v>
      </c>
      <c r="C133" s="19">
        <v>45849</v>
      </c>
      <c r="D133" t="s">
        <v>645</v>
      </c>
      <c r="E133" t="s">
        <v>646</v>
      </c>
      <c r="F133">
        <v>99922</v>
      </c>
      <c r="G133" s="22">
        <v>1770000</v>
      </c>
      <c r="H133" s="22">
        <v>0</v>
      </c>
      <c r="I133" s="58">
        <f t="shared" si="11"/>
        <v>-1770000</v>
      </c>
      <c r="J133" s="22">
        <v>-66263306.399999999</v>
      </c>
      <c r="K133" s="22"/>
      <c r="L133" s="2" t="s">
        <v>542</v>
      </c>
      <c r="M133" s="10" t="s">
        <v>641</v>
      </c>
      <c r="N133" s="4" t="s">
        <v>3917</v>
      </c>
    </row>
    <row r="134" spans="1:14" ht="15.75">
      <c r="A134" s="4">
        <f t="shared" si="12"/>
        <v>133</v>
      </c>
      <c r="B134" s="19">
        <v>45850</v>
      </c>
      <c r="C134" s="19">
        <v>45850</v>
      </c>
      <c r="D134" t="s">
        <v>994</v>
      </c>
      <c r="E134" t="s">
        <v>995</v>
      </c>
      <c r="F134">
        <v>99922</v>
      </c>
      <c r="G134" s="22">
        <v>609432</v>
      </c>
      <c r="H134" s="22">
        <v>0</v>
      </c>
      <c r="I134" s="58">
        <f t="shared" si="11"/>
        <v>-609432</v>
      </c>
      <c r="J134">
        <v>-66872738.399999999</v>
      </c>
      <c r="K134"/>
      <c r="L134" s="2" t="s">
        <v>542</v>
      </c>
      <c r="N134" s="4" t="s">
        <v>3917</v>
      </c>
    </row>
    <row r="135" spans="1:14" ht="15.75">
      <c r="A135" s="4">
        <f t="shared" si="12"/>
        <v>134</v>
      </c>
      <c r="B135" s="19">
        <v>45850</v>
      </c>
      <c r="C135" s="19">
        <v>45850</v>
      </c>
      <c r="D135" t="s">
        <v>537</v>
      </c>
      <c r="E135" t="s">
        <v>996</v>
      </c>
      <c r="F135">
        <v>99922</v>
      </c>
      <c r="G135" s="22">
        <v>590622</v>
      </c>
      <c r="H135" s="22">
        <v>0</v>
      </c>
      <c r="I135" s="58">
        <f t="shared" si="11"/>
        <v>-590622</v>
      </c>
      <c r="J135">
        <v>-67463360.400000006</v>
      </c>
      <c r="K135"/>
      <c r="L135" s="3" t="s">
        <v>542</v>
      </c>
      <c r="M135" s="10" t="s">
        <v>997</v>
      </c>
      <c r="N135" s="4" t="s">
        <v>3917</v>
      </c>
    </row>
    <row r="136" spans="1:14" ht="15.75">
      <c r="A136" s="4">
        <f t="shared" si="12"/>
        <v>135</v>
      </c>
      <c r="B136" s="19">
        <v>45850</v>
      </c>
      <c r="C136" s="19">
        <v>45850</v>
      </c>
      <c r="D136" t="s">
        <v>998</v>
      </c>
      <c r="E136" t="s">
        <v>999</v>
      </c>
      <c r="F136">
        <v>99922</v>
      </c>
      <c r="G136" s="22">
        <v>5000</v>
      </c>
      <c r="H136" s="22">
        <v>0</v>
      </c>
      <c r="I136" s="58">
        <f t="shared" si="11"/>
        <v>-5000</v>
      </c>
      <c r="J136">
        <v>-67468360.400000006</v>
      </c>
      <c r="K136"/>
      <c r="L136" s="2" t="s">
        <v>542</v>
      </c>
      <c r="N136" s="4" t="s">
        <v>3917</v>
      </c>
    </row>
    <row r="137" spans="1:14" ht="15.75">
      <c r="A137" s="4">
        <f t="shared" si="12"/>
        <v>136</v>
      </c>
      <c r="B137" s="19">
        <v>45850</v>
      </c>
      <c r="C137" s="19">
        <v>45850</v>
      </c>
      <c r="D137" t="s">
        <v>1000</v>
      </c>
      <c r="E137" t="s">
        <v>1001</v>
      </c>
      <c r="F137">
        <v>99922</v>
      </c>
      <c r="G137" s="22">
        <v>5250</v>
      </c>
      <c r="H137" s="22">
        <v>0</v>
      </c>
      <c r="I137" s="58">
        <f t="shared" si="11"/>
        <v>-5250</v>
      </c>
      <c r="J137">
        <v>-67473610.400000006</v>
      </c>
      <c r="K137"/>
      <c r="L137" s="2" t="s">
        <v>542</v>
      </c>
      <c r="N137" s="4" t="s">
        <v>3917</v>
      </c>
    </row>
    <row r="138" spans="1:14" ht="15.75">
      <c r="A138" s="4">
        <f t="shared" si="12"/>
        <v>137</v>
      </c>
      <c r="B138" s="19">
        <v>45850</v>
      </c>
      <c r="C138" s="19">
        <v>45850</v>
      </c>
      <c r="D138" t="s">
        <v>173</v>
      </c>
      <c r="E138" t="s">
        <v>1002</v>
      </c>
      <c r="F138">
        <v>99922</v>
      </c>
      <c r="G138" s="22">
        <v>91860</v>
      </c>
      <c r="H138" s="22">
        <v>0</v>
      </c>
      <c r="I138" s="58">
        <f t="shared" si="11"/>
        <v>-91860</v>
      </c>
      <c r="J138">
        <v>-67565470.400000006</v>
      </c>
      <c r="K138"/>
      <c r="L138" s="2" t="s">
        <v>542</v>
      </c>
      <c r="M138" s="10" t="s">
        <v>1003</v>
      </c>
      <c r="N138" s="4" t="s">
        <v>3917</v>
      </c>
    </row>
    <row r="139" spans="1:14" ht="15.75">
      <c r="A139" s="4">
        <f t="shared" si="12"/>
        <v>138</v>
      </c>
      <c r="B139" s="19">
        <v>45850</v>
      </c>
      <c r="C139" s="19">
        <v>45850</v>
      </c>
      <c r="D139" t="s">
        <v>173</v>
      </c>
      <c r="E139" t="s">
        <v>1004</v>
      </c>
      <c r="F139">
        <v>99922</v>
      </c>
      <c r="G139" s="22">
        <v>269300</v>
      </c>
      <c r="H139" s="22">
        <v>0</v>
      </c>
      <c r="I139" s="58">
        <f t="shared" si="11"/>
        <v>-269300</v>
      </c>
      <c r="J139">
        <v>-67834770.400000006</v>
      </c>
      <c r="K139"/>
      <c r="L139" s="2" t="s">
        <v>542</v>
      </c>
      <c r="N139" s="4" t="s">
        <v>3917</v>
      </c>
    </row>
    <row r="140" spans="1:14" ht="15.75">
      <c r="A140" s="4">
        <f t="shared" si="12"/>
        <v>139</v>
      </c>
      <c r="B140" s="65">
        <f>B139+1</f>
        <v>45851</v>
      </c>
      <c r="C140" s="65">
        <f>C139+1</f>
        <v>45851</v>
      </c>
      <c r="G140" s="64">
        <v>0</v>
      </c>
      <c r="H140" s="64">
        <v>0</v>
      </c>
      <c r="I140" s="58">
        <f t="shared" si="11"/>
        <v>0</v>
      </c>
      <c r="J140">
        <v>-67834770.400000006</v>
      </c>
      <c r="K140"/>
      <c r="L140" s="10" t="s">
        <v>542</v>
      </c>
      <c r="N140" s="4" t="s">
        <v>3917</v>
      </c>
    </row>
    <row r="141" spans="1:14" ht="15.75">
      <c r="A141" s="4">
        <f t="shared" si="12"/>
        <v>140</v>
      </c>
      <c r="B141" s="65">
        <v>45852</v>
      </c>
      <c r="C141" s="65">
        <v>45852</v>
      </c>
      <c r="D141" s="66" t="s">
        <v>1005</v>
      </c>
      <c r="G141" s="67">
        <v>0</v>
      </c>
      <c r="H141" s="67">
        <v>135958</v>
      </c>
      <c r="I141" s="58">
        <f t="shared" si="11"/>
        <v>135958</v>
      </c>
      <c r="J141" s="21">
        <f>J140-G141+H141</f>
        <v>-67698812.400000006</v>
      </c>
      <c r="K141" s="21"/>
      <c r="L141" s="2" t="s">
        <v>3723</v>
      </c>
      <c r="M141" s="10" t="s">
        <v>1006</v>
      </c>
      <c r="N141" s="4" t="s">
        <v>3917</v>
      </c>
    </row>
    <row r="142" spans="1:14" ht="15.75">
      <c r="A142" s="4">
        <f t="shared" si="12"/>
        <v>141</v>
      </c>
      <c r="B142" s="65">
        <v>45852</v>
      </c>
      <c r="C142" s="65">
        <v>45852</v>
      </c>
      <c r="D142" s="4" t="s">
        <v>1007</v>
      </c>
      <c r="G142" s="64">
        <v>801903</v>
      </c>
      <c r="H142" s="64">
        <v>0</v>
      </c>
      <c r="I142" s="58">
        <f t="shared" si="11"/>
        <v>-801903</v>
      </c>
      <c r="J142" s="39">
        <f>J141-G142</f>
        <v>-68500715.400000006</v>
      </c>
      <c r="K142" s="39"/>
      <c r="L142" s="2" t="s">
        <v>542</v>
      </c>
      <c r="N142" s="4" t="s">
        <v>3917</v>
      </c>
    </row>
    <row r="143" spans="1:14" ht="15.75">
      <c r="A143" s="4">
        <f t="shared" si="12"/>
        <v>142</v>
      </c>
      <c r="B143" s="65">
        <v>45852</v>
      </c>
      <c r="C143" s="65">
        <v>45852</v>
      </c>
      <c r="D143" s="4" t="s">
        <v>1008</v>
      </c>
      <c r="G143" s="64">
        <v>11605</v>
      </c>
      <c r="H143" s="64">
        <v>0</v>
      </c>
      <c r="I143" s="58">
        <f t="shared" si="11"/>
        <v>-11605</v>
      </c>
      <c r="J143" s="39">
        <f>J142-G143</f>
        <v>-68512320.400000006</v>
      </c>
      <c r="K143" s="39"/>
      <c r="L143" s="2" t="s">
        <v>542</v>
      </c>
      <c r="N143" s="4" t="s">
        <v>3917</v>
      </c>
    </row>
    <row r="144" spans="1:14" ht="15.75">
      <c r="A144" s="4">
        <f t="shared" si="12"/>
        <v>143</v>
      </c>
      <c r="B144" s="65">
        <v>45852</v>
      </c>
      <c r="C144" s="65">
        <v>45852</v>
      </c>
      <c r="D144" s="4" t="s">
        <v>1007</v>
      </c>
      <c r="G144" s="64">
        <v>294</v>
      </c>
      <c r="H144" s="64">
        <v>0</v>
      </c>
      <c r="I144" s="58">
        <f t="shared" si="11"/>
        <v>-294</v>
      </c>
      <c r="J144" s="39">
        <f>J143-G144</f>
        <v>-68512614.400000006</v>
      </c>
      <c r="K144" s="39"/>
      <c r="L144" s="2" t="s">
        <v>542</v>
      </c>
      <c r="N144" s="4" t="s">
        <v>3917</v>
      </c>
    </row>
    <row r="145" spans="1:14" ht="15.75">
      <c r="A145" s="4">
        <f t="shared" si="12"/>
        <v>144</v>
      </c>
      <c r="B145" s="19">
        <v>45853</v>
      </c>
      <c r="C145" s="19">
        <v>45853</v>
      </c>
      <c r="D145" s="55" t="s">
        <v>1009</v>
      </c>
      <c r="E145" t="s">
        <v>1010</v>
      </c>
      <c r="F145">
        <v>4430</v>
      </c>
      <c r="G145">
        <v>0</v>
      </c>
      <c r="H145" s="20">
        <v>35000000</v>
      </c>
      <c r="I145" s="58">
        <f t="shared" si="11"/>
        <v>35000000</v>
      </c>
      <c r="J145">
        <v>-33512614.399999999</v>
      </c>
      <c r="K145"/>
      <c r="L145" s="2" t="s">
        <v>3723</v>
      </c>
      <c r="M145" s="10" t="s">
        <v>1011</v>
      </c>
      <c r="N145" s="4" t="s">
        <v>3917</v>
      </c>
    </row>
    <row r="146" spans="1:14" ht="15.75">
      <c r="A146" s="4">
        <f t="shared" si="12"/>
        <v>145</v>
      </c>
      <c r="B146" s="68">
        <v>45854</v>
      </c>
      <c r="C146" s="68">
        <v>45854</v>
      </c>
      <c r="D146" s="55" t="s">
        <v>1012</v>
      </c>
      <c r="E146" t="s">
        <v>1013</v>
      </c>
      <c r="F146">
        <v>4430</v>
      </c>
      <c r="G146">
        <v>0</v>
      </c>
      <c r="H146" s="20">
        <v>30000000</v>
      </c>
      <c r="I146" s="58">
        <f t="shared" si="11"/>
        <v>30000000</v>
      </c>
      <c r="J146" s="69">
        <v>-3512614.4</v>
      </c>
      <c r="K146" s="69"/>
      <c r="L146" s="4" t="s">
        <v>3723</v>
      </c>
      <c r="M146" s="10" t="s">
        <v>1014</v>
      </c>
      <c r="N146" s="4" t="s">
        <v>3917</v>
      </c>
    </row>
    <row r="147" spans="1:14" ht="15.75">
      <c r="A147" s="4">
        <f t="shared" si="12"/>
        <v>146</v>
      </c>
      <c r="B147" s="68">
        <v>45854</v>
      </c>
      <c r="C147" s="68">
        <v>45854</v>
      </c>
      <c r="D147" s="55" t="s">
        <v>1015</v>
      </c>
      <c r="E147" t="s">
        <v>1016</v>
      </c>
      <c r="F147">
        <v>99922</v>
      </c>
      <c r="G147" s="22">
        <v>50000000</v>
      </c>
      <c r="H147" s="64">
        <v>0</v>
      </c>
      <c r="I147" s="58">
        <f t="shared" si="11"/>
        <v>-50000000</v>
      </c>
      <c r="J147" s="69">
        <v>-53512614.399999999</v>
      </c>
      <c r="K147" s="69"/>
      <c r="L147" s="2" t="s">
        <v>542</v>
      </c>
      <c r="M147" s="10" t="s">
        <v>1017</v>
      </c>
      <c r="N147" s="4" t="s">
        <v>3917</v>
      </c>
    </row>
    <row r="148" spans="1:14" ht="15.75">
      <c r="A148" s="4">
        <f t="shared" si="12"/>
        <v>147</v>
      </c>
      <c r="B148" s="68">
        <v>45854</v>
      </c>
      <c r="C148" s="68">
        <v>45854</v>
      </c>
      <c r="D148" s="55" t="s">
        <v>1018</v>
      </c>
      <c r="E148" t="s">
        <v>1019</v>
      </c>
      <c r="F148">
        <v>99922</v>
      </c>
      <c r="G148" s="22">
        <v>12194420</v>
      </c>
      <c r="H148" s="64">
        <v>0</v>
      </c>
      <c r="I148" s="58">
        <f t="shared" si="11"/>
        <v>-12194420</v>
      </c>
      <c r="J148" s="69">
        <v>-65707034.399999999</v>
      </c>
      <c r="K148" s="69"/>
      <c r="L148" s="2" t="s">
        <v>3719</v>
      </c>
      <c r="M148" s="2" t="s">
        <v>1</v>
      </c>
      <c r="N148" s="4" t="s">
        <v>3917</v>
      </c>
    </row>
    <row r="149" spans="1:14" ht="15.75">
      <c r="A149" s="4">
        <f t="shared" si="12"/>
        <v>148</v>
      </c>
      <c r="B149" s="34">
        <v>45855</v>
      </c>
      <c r="C149" s="34">
        <v>45855</v>
      </c>
      <c r="D149" s="70" t="s">
        <v>1020</v>
      </c>
      <c r="G149" s="37">
        <v>6000</v>
      </c>
      <c r="H149" s="64">
        <v>0</v>
      </c>
      <c r="I149" s="58">
        <f t="shared" si="11"/>
        <v>-6000</v>
      </c>
      <c r="J149" s="64">
        <f t="shared" ref="J149:J155" si="13">J148-G149</f>
        <v>-65713034.399999999</v>
      </c>
      <c r="L149" s="4" t="s">
        <v>542</v>
      </c>
      <c r="M149" s="2" t="s">
        <v>542</v>
      </c>
      <c r="N149" s="4" t="s">
        <v>3917</v>
      </c>
    </row>
    <row r="150" spans="1:14" ht="15.75">
      <c r="A150" s="4">
        <f t="shared" si="12"/>
        <v>149</v>
      </c>
      <c r="B150" s="34">
        <v>45855</v>
      </c>
      <c r="C150" s="34">
        <v>45855</v>
      </c>
      <c r="D150" s="70" t="s">
        <v>1021</v>
      </c>
      <c r="G150" s="37">
        <v>65144</v>
      </c>
      <c r="H150" s="64">
        <v>0</v>
      </c>
      <c r="I150" s="58">
        <f t="shared" si="11"/>
        <v>-65144</v>
      </c>
      <c r="J150" s="64">
        <f t="shared" si="13"/>
        <v>-65778178.399999999</v>
      </c>
      <c r="L150" s="2" t="s">
        <v>542</v>
      </c>
      <c r="M150" s="70" t="s">
        <v>1022</v>
      </c>
      <c r="N150" s="4" t="s">
        <v>3917</v>
      </c>
    </row>
    <row r="151" spans="1:14" ht="15.75">
      <c r="A151" s="4">
        <f t="shared" si="12"/>
        <v>150</v>
      </c>
      <c r="B151" s="34">
        <v>45855</v>
      </c>
      <c r="C151" s="34">
        <v>45855</v>
      </c>
      <c r="D151" s="71" t="s">
        <v>1023</v>
      </c>
      <c r="G151" s="62">
        <v>18900</v>
      </c>
      <c r="H151" s="64">
        <v>0</v>
      </c>
      <c r="I151" s="58">
        <f t="shared" si="11"/>
        <v>-18900</v>
      </c>
      <c r="J151" s="64">
        <f t="shared" si="13"/>
        <v>-65797078.399999999</v>
      </c>
      <c r="L151" s="2" t="s">
        <v>3719</v>
      </c>
      <c r="M151" s="71" t="s">
        <v>1024</v>
      </c>
      <c r="N151" s="4" t="s">
        <v>3917</v>
      </c>
    </row>
    <row r="152" spans="1:14" ht="15.75">
      <c r="A152" s="4">
        <f t="shared" si="12"/>
        <v>151</v>
      </c>
      <c r="B152" s="34">
        <v>45855</v>
      </c>
      <c r="C152" s="34">
        <v>45855</v>
      </c>
      <c r="D152" s="71" t="s">
        <v>1025</v>
      </c>
      <c r="G152" s="62">
        <v>15000</v>
      </c>
      <c r="H152" s="64">
        <v>0</v>
      </c>
      <c r="I152" s="58">
        <f t="shared" si="11"/>
        <v>-15000</v>
      </c>
      <c r="J152" s="64">
        <f t="shared" si="13"/>
        <v>-65812078.399999999</v>
      </c>
      <c r="L152" s="2" t="s">
        <v>3719</v>
      </c>
      <c r="M152" s="71" t="s">
        <v>1026</v>
      </c>
      <c r="N152" s="4" t="s">
        <v>3917</v>
      </c>
    </row>
    <row r="153" spans="1:14" ht="15.75">
      <c r="A153" s="4">
        <f t="shared" si="12"/>
        <v>152</v>
      </c>
      <c r="B153" s="34">
        <v>45855</v>
      </c>
      <c r="C153" s="34">
        <v>45855</v>
      </c>
      <c r="D153" s="71" t="s">
        <v>1027</v>
      </c>
      <c r="G153" s="62">
        <v>50000</v>
      </c>
      <c r="H153" s="64">
        <v>0</v>
      </c>
      <c r="I153" s="58">
        <f t="shared" si="11"/>
        <v>-50000</v>
      </c>
      <c r="J153" s="64">
        <f t="shared" si="13"/>
        <v>-65862078.399999999</v>
      </c>
      <c r="L153" s="2" t="s">
        <v>3719</v>
      </c>
      <c r="M153" s="71" t="s">
        <v>1028</v>
      </c>
      <c r="N153" s="4" t="s">
        <v>3917</v>
      </c>
    </row>
    <row r="154" spans="1:14" ht="15.75">
      <c r="A154" s="4">
        <f t="shared" si="12"/>
        <v>153</v>
      </c>
      <c r="B154" s="34">
        <v>45855</v>
      </c>
      <c r="C154" s="34">
        <v>45855</v>
      </c>
      <c r="D154" s="71" t="s">
        <v>1029</v>
      </c>
      <c r="G154" s="62">
        <v>5000</v>
      </c>
      <c r="H154" s="64">
        <v>0</v>
      </c>
      <c r="I154" s="58">
        <f t="shared" si="11"/>
        <v>-5000</v>
      </c>
      <c r="J154" s="64">
        <f t="shared" si="13"/>
        <v>-65867078.399999999</v>
      </c>
      <c r="L154" s="2" t="s">
        <v>3719</v>
      </c>
      <c r="M154" s="71" t="s">
        <v>1030</v>
      </c>
      <c r="N154" s="4" t="s">
        <v>3917</v>
      </c>
    </row>
    <row r="155" spans="1:14" ht="15.75">
      <c r="A155" s="4">
        <f t="shared" si="12"/>
        <v>154</v>
      </c>
      <c r="B155" s="72">
        <v>45855</v>
      </c>
      <c r="C155" s="72">
        <v>45855</v>
      </c>
      <c r="D155" s="73" t="s">
        <v>1031</v>
      </c>
      <c r="G155" s="75">
        <v>160928</v>
      </c>
      <c r="H155" s="64">
        <v>0</v>
      </c>
      <c r="I155" s="58">
        <f t="shared" si="11"/>
        <v>-160928</v>
      </c>
      <c r="J155" s="64">
        <f t="shared" si="13"/>
        <v>-66028006.399999999</v>
      </c>
      <c r="L155" s="74" t="s">
        <v>3719</v>
      </c>
      <c r="M155" s="73" t="s">
        <v>1032</v>
      </c>
      <c r="N155" s="4" t="s">
        <v>3917</v>
      </c>
    </row>
    <row r="156" spans="1:14" ht="15.75">
      <c r="A156" s="4">
        <f t="shared" si="12"/>
        <v>155</v>
      </c>
      <c r="B156" s="18">
        <v>45856</v>
      </c>
      <c r="C156" s="18">
        <v>45856</v>
      </c>
      <c r="D156" s="2" t="s">
        <v>1033</v>
      </c>
      <c r="E156" s="2" t="s">
        <v>1034</v>
      </c>
      <c r="F156" s="2">
        <v>4430</v>
      </c>
      <c r="G156">
        <v>0</v>
      </c>
      <c r="H156" s="30">
        <v>6000000</v>
      </c>
      <c r="I156" s="58">
        <f t="shared" si="11"/>
        <v>6000000</v>
      </c>
      <c r="J156" s="2">
        <v>-60028006.399999999</v>
      </c>
      <c r="K156" s="2"/>
      <c r="L156" s="2" t="s">
        <v>3723</v>
      </c>
      <c r="M156" s="33"/>
      <c r="N156" s="4" t="s">
        <v>3917</v>
      </c>
    </row>
    <row r="157" spans="1:14" ht="15.75">
      <c r="A157" s="4">
        <f t="shared" si="12"/>
        <v>156</v>
      </c>
      <c r="B157" s="18">
        <v>45856</v>
      </c>
      <c r="C157" s="18">
        <v>45856</v>
      </c>
      <c r="D157" s="2" t="s">
        <v>1035</v>
      </c>
      <c r="E157" s="2" t="s">
        <v>1036</v>
      </c>
      <c r="F157" s="2">
        <v>4430</v>
      </c>
      <c r="G157">
        <v>0</v>
      </c>
      <c r="H157" s="30">
        <v>2000000</v>
      </c>
      <c r="I157" s="58">
        <f t="shared" si="11"/>
        <v>2000000</v>
      </c>
      <c r="J157" s="2">
        <v>-58028006.399999999</v>
      </c>
      <c r="K157" s="2"/>
      <c r="L157" s="2" t="s">
        <v>3725</v>
      </c>
      <c r="M157" s="33"/>
      <c r="N157" s="4" t="s">
        <v>3918</v>
      </c>
    </row>
    <row r="158" spans="1:14" ht="15.75">
      <c r="A158" s="4">
        <f t="shared" si="12"/>
        <v>157</v>
      </c>
      <c r="B158" s="18">
        <v>45856</v>
      </c>
      <c r="C158" s="18">
        <v>45856</v>
      </c>
      <c r="D158" s="2" t="s">
        <v>1037</v>
      </c>
      <c r="E158" s="2" t="s">
        <v>1038</v>
      </c>
      <c r="F158" s="2">
        <v>99922</v>
      </c>
      <c r="G158">
        <v>0</v>
      </c>
      <c r="H158" s="30">
        <v>3000000</v>
      </c>
      <c r="I158" s="58">
        <f t="shared" si="11"/>
        <v>3000000</v>
      </c>
      <c r="J158" s="2">
        <v>-55028006.399999999</v>
      </c>
      <c r="K158" s="2"/>
      <c r="L158" s="2" t="s">
        <v>3723</v>
      </c>
      <c r="M158" s="33"/>
      <c r="N158" s="4" t="s">
        <v>3917</v>
      </c>
    </row>
    <row r="159" spans="1:14" ht="15.75">
      <c r="A159" s="4">
        <f t="shared" si="12"/>
        <v>158</v>
      </c>
      <c r="B159" s="18">
        <v>45856</v>
      </c>
      <c r="C159" s="18">
        <v>45856</v>
      </c>
      <c r="D159" s="2" t="s">
        <v>1039</v>
      </c>
      <c r="E159" s="2" t="s">
        <v>1040</v>
      </c>
      <c r="F159" s="2">
        <v>99922</v>
      </c>
      <c r="G159" s="59">
        <v>800000</v>
      </c>
      <c r="H159" s="59">
        <v>0</v>
      </c>
      <c r="I159" s="58">
        <f t="shared" si="11"/>
        <v>-800000</v>
      </c>
      <c r="J159" s="2">
        <v>-55828006.399999999</v>
      </c>
      <c r="K159" s="2"/>
      <c r="L159" s="2" t="s">
        <v>3724</v>
      </c>
      <c r="M159" s="33"/>
      <c r="N159" s="4" t="s">
        <v>3917</v>
      </c>
    </row>
    <row r="160" spans="1:14" ht="15.75">
      <c r="A160" s="4">
        <f t="shared" si="12"/>
        <v>159</v>
      </c>
      <c r="B160" s="214">
        <v>45856</v>
      </c>
      <c r="C160" s="214">
        <v>45856</v>
      </c>
      <c r="D160" s="74" t="s">
        <v>173</v>
      </c>
      <c r="E160" s="74" t="s">
        <v>1041</v>
      </c>
      <c r="F160" s="74">
        <v>99922</v>
      </c>
      <c r="G160" s="215">
        <v>63084</v>
      </c>
      <c r="H160" s="215">
        <v>0</v>
      </c>
      <c r="I160" s="216">
        <f t="shared" si="11"/>
        <v>-63084</v>
      </c>
      <c r="J160" s="74">
        <v>-55891090.399999999</v>
      </c>
      <c r="K160" s="74"/>
      <c r="L160" s="74" t="s">
        <v>542</v>
      </c>
      <c r="M160" s="217"/>
      <c r="N160" s="4" t="s">
        <v>3917</v>
      </c>
    </row>
    <row r="161" spans="1:14" ht="15.75">
      <c r="A161" s="17">
        <f t="shared" si="12"/>
        <v>160</v>
      </c>
      <c r="B161" s="18">
        <v>45856</v>
      </c>
      <c r="C161" s="18">
        <v>45856</v>
      </c>
      <c r="D161" s="2" t="s">
        <v>537</v>
      </c>
      <c r="E161" s="2" t="s">
        <v>1042</v>
      </c>
      <c r="F161" s="2">
        <v>99922</v>
      </c>
      <c r="G161" s="59">
        <v>760124</v>
      </c>
      <c r="H161" s="59">
        <v>0</v>
      </c>
      <c r="I161" s="218">
        <f t="shared" si="11"/>
        <v>-760124</v>
      </c>
      <c r="J161" s="2">
        <v>-56651214.399999999</v>
      </c>
      <c r="K161" s="2"/>
      <c r="L161" s="2" t="s">
        <v>3719</v>
      </c>
      <c r="M161" s="33"/>
      <c r="N161" s="4" t="s">
        <v>3917</v>
      </c>
    </row>
    <row r="162" spans="1:14" ht="15.75">
      <c r="A162" s="17">
        <f t="shared" si="12"/>
        <v>161</v>
      </c>
      <c r="B162" s="219">
        <f t="shared" ref="B162:C164" si="14">B161+1</f>
        <v>45857</v>
      </c>
      <c r="C162" s="219">
        <f t="shared" si="14"/>
        <v>45857</v>
      </c>
      <c r="D162" s="17"/>
      <c r="E162" s="17"/>
      <c r="F162" s="17"/>
      <c r="G162" s="60">
        <v>0</v>
      </c>
      <c r="H162" s="60">
        <v>0</v>
      </c>
      <c r="I162" s="218">
        <f t="shared" si="11"/>
        <v>0</v>
      </c>
      <c r="J162" s="2">
        <v>-56651214.399999999</v>
      </c>
      <c r="K162" s="2"/>
      <c r="L162" s="17" t="s">
        <v>3722</v>
      </c>
      <c r="M162" s="17"/>
      <c r="N162" s="4" t="s">
        <v>3917</v>
      </c>
    </row>
    <row r="163" spans="1:14" ht="15.75">
      <c r="A163" s="17">
        <f t="shared" si="12"/>
        <v>162</v>
      </c>
      <c r="B163" s="219">
        <f t="shared" si="14"/>
        <v>45858</v>
      </c>
      <c r="C163" s="219">
        <f t="shared" si="14"/>
        <v>45858</v>
      </c>
      <c r="D163" s="17"/>
      <c r="E163" s="17"/>
      <c r="F163" s="17"/>
      <c r="G163" s="60">
        <v>0</v>
      </c>
      <c r="H163" s="60">
        <v>0</v>
      </c>
      <c r="I163" s="218">
        <f t="shared" si="11"/>
        <v>0</v>
      </c>
      <c r="J163" s="2">
        <v>-56651214.399999999</v>
      </c>
      <c r="K163" s="2"/>
      <c r="L163" s="17" t="s">
        <v>3722</v>
      </c>
      <c r="M163" s="17"/>
      <c r="N163" s="4" t="s">
        <v>3917</v>
      </c>
    </row>
    <row r="164" spans="1:14" ht="15.75">
      <c r="A164" s="17">
        <f t="shared" si="12"/>
        <v>163</v>
      </c>
      <c r="B164" s="219">
        <f t="shared" si="14"/>
        <v>45859</v>
      </c>
      <c r="C164" s="219">
        <f t="shared" si="14"/>
        <v>45859</v>
      </c>
      <c r="D164" s="17"/>
      <c r="E164" s="17"/>
      <c r="F164" s="17"/>
      <c r="G164" s="60">
        <v>0</v>
      </c>
      <c r="H164" s="60">
        <v>0</v>
      </c>
      <c r="I164" s="218">
        <f t="shared" si="11"/>
        <v>0</v>
      </c>
      <c r="J164" s="2">
        <v>-56651214.399999999</v>
      </c>
      <c r="K164" s="2"/>
      <c r="L164" s="17" t="s">
        <v>3717</v>
      </c>
      <c r="M164" s="17"/>
      <c r="N164" s="4" t="s">
        <v>3918</v>
      </c>
    </row>
    <row r="165" spans="1:14" ht="15.75">
      <c r="A165" s="17">
        <f t="shared" si="12"/>
        <v>164</v>
      </c>
      <c r="B165" s="211">
        <v>45859</v>
      </c>
      <c r="C165" s="211">
        <v>45859</v>
      </c>
      <c r="D165" s="212" t="s">
        <v>1037</v>
      </c>
      <c r="E165" s="2" t="s">
        <v>1360</v>
      </c>
      <c r="F165" s="2">
        <v>99922</v>
      </c>
      <c r="G165" s="30">
        <v>0</v>
      </c>
      <c r="H165" s="213">
        <v>500000</v>
      </c>
      <c r="I165" s="218">
        <f t="shared" si="11"/>
        <v>500000</v>
      </c>
      <c r="J165" s="2">
        <v>-65143614.399999999</v>
      </c>
      <c r="K165" s="2"/>
      <c r="L165" s="17" t="s">
        <v>3722</v>
      </c>
      <c r="M165" s="33"/>
      <c r="N165" s="4" t="s">
        <v>3917</v>
      </c>
    </row>
    <row r="166" spans="1:14" ht="15.75">
      <c r="A166" s="17">
        <f t="shared" si="12"/>
        <v>165</v>
      </c>
      <c r="B166" s="211">
        <v>45859</v>
      </c>
      <c r="C166" s="211">
        <v>45859</v>
      </c>
      <c r="D166" s="212" t="s">
        <v>1361</v>
      </c>
      <c r="E166" s="2" t="s">
        <v>1362</v>
      </c>
      <c r="F166" s="2">
        <v>99922</v>
      </c>
      <c r="G166" s="30">
        <v>1180000</v>
      </c>
      <c r="H166" s="30">
        <v>0</v>
      </c>
      <c r="I166" s="218">
        <f t="shared" si="11"/>
        <v>-1180000</v>
      </c>
      <c r="J166" s="2">
        <v>-66323614.399999999</v>
      </c>
      <c r="K166" s="74"/>
      <c r="L166" s="229" t="s">
        <v>542</v>
      </c>
      <c r="M166" s="33" t="s">
        <v>3238</v>
      </c>
      <c r="N166" s="4" t="s">
        <v>3917</v>
      </c>
    </row>
    <row r="167" spans="1:14" ht="15.75">
      <c r="A167" s="17">
        <f t="shared" si="12"/>
        <v>166</v>
      </c>
      <c r="B167" s="211">
        <v>45859</v>
      </c>
      <c r="C167" s="211">
        <v>45859</v>
      </c>
      <c r="D167" s="212" t="s">
        <v>1363</v>
      </c>
      <c r="E167" s="2" t="s">
        <v>1364</v>
      </c>
      <c r="F167" s="2">
        <v>99922</v>
      </c>
      <c r="G167" s="30">
        <v>500000</v>
      </c>
      <c r="H167" s="30">
        <v>0</v>
      </c>
      <c r="I167" s="218">
        <f t="shared" si="11"/>
        <v>-500000</v>
      </c>
      <c r="J167" s="2">
        <v>-66823614.399999999</v>
      </c>
      <c r="K167" s="74"/>
      <c r="L167" s="229" t="s">
        <v>3722</v>
      </c>
      <c r="M167" s="33" t="s">
        <v>621</v>
      </c>
      <c r="N167" s="4" t="s">
        <v>3917</v>
      </c>
    </row>
    <row r="168" spans="1:14" ht="15.75">
      <c r="A168" s="17">
        <f t="shared" si="12"/>
        <v>167</v>
      </c>
      <c r="B168" s="211">
        <v>45859</v>
      </c>
      <c r="C168" s="211">
        <v>45859</v>
      </c>
      <c r="D168" s="212" t="s">
        <v>197</v>
      </c>
      <c r="E168" s="2" t="s">
        <v>1365</v>
      </c>
      <c r="F168" s="2">
        <v>99922</v>
      </c>
      <c r="G168" s="30">
        <v>0</v>
      </c>
      <c r="H168" s="213">
        <v>12600000</v>
      </c>
      <c r="I168" s="218">
        <f t="shared" si="11"/>
        <v>12600000</v>
      </c>
      <c r="J168" s="2">
        <v>-54223614.399999999</v>
      </c>
      <c r="K168" s="2"/>
      <c r="L168" s="64" t="s">
        <v>3723</v>
      </c>
      <c r="M168" s="33"/>
      <c r="N168" s="4" t="s">
        <v>3917</v>
      </c>
    </row>
    <row r="169" spans="1:14" ht="15.75">
      <c r="A169" s="17">
        <f t="shared" si="12"/>
        <v>168</v>
      </c>
      <c r="B169" s="211">
        <v>45859</v>
      </c>
      <c r="C169" s="211">
        <v>45859</v>
      </c>
      <c r="D169" s="2" t="s">
        <v>1366</v>
      </c>
      <c r="E169" s="2" t="s">
        <v>1367</v>
      </c>
      <c r="F169" s="2">
        <v>99922</v>
      </c>
      <c r="G169" s="30">
        <v>0</v>
      </c>
      <c r="H169" s="30">
        <v>7956873</v>
      </c>
      <c r="I169" s="218">
        <f t="shared" si="11"/>
        <v>7956873</v>
      </c>
      <c r="J169" s="2">
        <v>-46266741.399999999</v>
      </c>
      <c r="K169" s="2"/>
      <c r="L169" s="32" t="s">
        <v>3723</v>
      </c>
      <c r="M169" s="33" t="s">
        <v>1368</v>
      </c>
      <c r="N169" s="4" t="s">
        <v>3917</v>
      </c>
    </row>
    <row r="170" spans="1:14" ht="15.75">
      <c r="A170" s="17">
        <f t="shared" si="12"/>
        <v>169</v>
      </c>
      <c r="B170" s="211">
        <v>45859</v>
      </c>
      <c r="C170" s="211">
        <v>45859</v>
      </c>
      <c r="D170" s="2" t="s">
        <v>1369</v>
      </c>
      <c r="E170" s="2" t="s">
        <v>1370</v>
      </c>
      <c r="F170" s="2">
        <v>4430</v>
      </c>
      <c r="G170" s="30">
        <v>0</v>
      </c>
      <c r="H170" s="30">
        <v>20000000</v>
      </c>
      <c r="I170" s="218">
        <f t="shared" si="11"/>
        <v>20000000</v>
      </c>
      <c r="J170" s="2">
        <v>-26266741.399999999</v>
      </c>
      <c r="K170" s="2"/>
      <c r="L170" s="17" t="s">
        <v>3723</v>
      </c>
      <c r="M170" s="33" t="s">
        <v>1371</v>
      </c>
      <c r="N170" s="4" t="s">
        <v>3917</v>
      </c>
    </row>
    <row r="171" spans="1:14" ht="15.75">
      <c r="A171" s="17">
        <f t="shared" si="12"/>
        <v>170</v>
      </c>
      <c r="B171" s="211">
        <v>45859</v>
      </c>
      <c r="C171" s="211">
        <v>45859</v>
      </c>
      <c r="D171" s="2" t="s">
        <v>1372</v>
      </c>
      <c r="E171" s="2" t="s">
        <v>1373</v>
      </c>
      <c r="F171" s="2">
        <v>4430</v>
      </c>
      <c r="G171" s="30">
        <v>0</v>
      </c>
      <c r="H171" s="30">
        <v>20000000</v>
      </c>
      <c r="I171" s="218">
        <f t="shared" si="11"/>
        <v>20000000</v>
      </c>
      <c r="J171" s="2">
        <v>-6266741.4000000004</v>
      </c>
      <c r="K171" s="2"/>
      <c r="L171" s="17" t="s">
        <v>3723</v>
      </c>
      <c r="M171" s="33" t="s">
        <v>1371</v>
      </c>
      <c r="N171" s="4" t="s">
        <v>3917</v>
      </c>
    </row>
    <row r="172" spans="1:14" ht="15.75">
      <c r="A172" s="17">
        <f t="shared" si="12"/>
        <v>171</v>
      </c>
      <c r="B172" s="233">
        <f>B171+1</f>
        <v>45860</v>
      </c>
      <c r="C172" s="233">
        <f>C171+1</f>
        <v>45860</v>
      </c>
      <c r="D172" t="s">
        <v>1377</v>
      </c>
      <c r="E172" t="s">
        <v>1378</v>
      </c>
      <c r="F172">
        <v>99922</v>
      </c>
      <c r="G172" s="20">
        <v>9618745</v>
      </c>
      <c r="H172" s="20">
        <v>0</v>
      </c>
      <c r="I172" s="218">
        <f t="shared" si="11"/>
        <v>-9618745</v>
      </c>
      <c r="J172" s="20">
        <v>-15885486.4</v>
      </c>
      <c r="K172" s="224"/>
      <c r="L172" s="224" t="s">
        <v>542</v>
      </c>
      <c r="M172" s="234" t="s">
        <v>1017</v>
      </c>
      <c r="N172" s="4" t="s">
        <v>3917</v>
      </c>
    </row>
    <row r="173" spans="1:14" ht="15.75">
      <c r="A173" s="17">
        <f t="shared" si="12"/>
        <v>172</v>
      </c>
      <c r="B173" s="233">
        <v>45860</v>
      </c>
      <c r="C173" s="233">
        <f>C171+1</f>
        <v>45860</v>
      </c>
      <c r="D173" t="s">
        <v>1379</v>
      </c>
      <c r="E173" t="s">
        <v>1380</v>
      </c>
      <c r="F173">
        <v>4430</v>
      </c>
      <c r="G173" s="20">
        <v>0</v>
      </c>
      <c r="H173" s="20">
        <v>20000000</v>
      </c>
      <c r="I173" s="218">
        <f t="shared" si="11"/>
        <v>20000000</v>
      </c>
      <c r="J173" s="20">
        <v>4114513.6</v>
      </c>
      <c r="K173" s="17"/>
      <c r="L173" s="17" t="s">
        <v>3723</v>
      </c>
      <c r="M173" s="235" t="s">
        <v>1371</v>
      </c>
      <c r="N173" s="4" t="s">
        <v>3917</v>
      </c>
    </row>
    <row r="174" spans="1:14" ht="15.75">
      <c r="A174" s="17">
        <f t="shared" si="12"/>
        <v>173</v>
      </c>
      <c r="B174" s="19">
        <v>45861</v>
      </c>
      <c r="C174" s="19">
        <v>45861</v>
      </c>
      <c r="D174" t="s">
        <v>1425</v>
      </c>
      <c r="E174" t="s">
        <v>1426</v>
      </c>
      <c r="F174">
        <v>4430</v>
      </c>
      <c r="G174" s="20">
        <v>0</v>
      </c>
      <c r="H174" s="20">
        <v>7868897</v>
      </c>
      <c r="I174" s="218">
        <f t="shared" si="11"/>
        <v>7868897</v>
      </c>
      <c r="J174" s="20">
        <v>11983410.6</v>
      </c>
      <c r="K174" s="20"/>
      <c r="L174" s="4" t="s">
        <v>3723</v>
      </c>
      <c r="M174" s="235" t="s">
        <v>1427</v>
      </c>
      <c r="N174" s="4" t="s">
        <v>3917</v>
      </c>
    </row>
    <row r="175" spans="1:14" ht="15.75">
      <c r="A175" s="17">
        <f t="shared" si="12"/>
        <v>174</v>
      </c>
      <c r="B175" s="19">
        <v>45861</v>
      </c>
      <c r="C175" s="19">
        <v>45861</v>
      </c>
      <c r="D175" s="10" t="s">
        <v>1428</v>
      </c>
      <c r="G175" s="39">
        <v>11094</v>
      </c>
      <c r="H175" s="4">
        <v>0</v>
      </c>
      <c r="I175" s="218">
        <f t="shared" si="11"/>
        <v>-11094</v>
      </c>
      <c r="J175" s="39">
        <f t="shared" ref="J175:J218" si="15">J174-G175</f>
        <v>11972316.6</v>
      </c>
      <c r="K175" s="39"/>
      <c r="L175" s="4" t="s">
        <v>542</v>
      </c>
      <c r="M175" s="235" t="s">
        <v>1429</v>
      </c>
      <c r="N175" s="4" t="s">
        <v>3917</v>
      </c>
    </row>
    <row r="176" spans="1:14" ht="15.75">
      <c r="A176" s="17">
        <f t="shared" si="12"/>
        <v>175</v>
      </c>
      <c r="B176" s="19">
        <v>45861</v>
      </c>
      <c r="C176" s="19">
        <v>45861</v>
      </c>
      <c r="D176" s="10" t="s">
        <v>1430</v>
      </c>
      <c r="G176" s="39">
        <v>4200</v>
      </c>
      <c r="H176" s="4">
        <v>0</v>
      </c>
      <c r="I176" s="218">
        <f t="shared" si="11"/>
        <v>-4200</v>
      </c>
      <c r="J176" s="39">
        <f t="shared" si="15"/>
        <v>11968116.6</v>
      </c>
      <c r="K176" s="39"/>
      <c r="L176" s="4" t="s">
        <v>3719</v>
      </c>
      <c r="M176" s="235" t="s">
        <v>1431</v>
      </c>
      <c r="N176" s="4" t="s">
        <v>3917</v>
      </c>
    </row>
    <row r="177" spans="1:14" ht="15.75">
      <c r="A177" s="17">
        <f t="shared" si="12"/>
        <v>176</v>
      </c>
      <c r="B177" s="19">
        <v>45861</v>
      </c>
      <c r="C177" s="19">
        <v>45861</v>
      </c>
      <c r="D177" s="10" t="s">
        <v>1432</v>
      </c>
      <c r="G177" s="39">
        <v>13200</v>
      </c>
      <c r="H177" s="4">
        <v>0</v>
      </c>
      <c r="I177" s="218">
        <f t="shared" si="11"/>
        <v>-13200</v>
      </c>
      <c r="J177" s="39">
        <f t="shared" si="15"/>
        <v>11954916.6</v>
      </c>
      <c r="K177" s="39"/>
      <c r="L177" s="4" t="s">
        <v>3719</v>
      </c>
      <c r="M177" s="235" t="s">
        <v>1433</v>
      </c>
      <c r="N177" s="4" t="s">
        <v>3917</v>
      </c>
    </row>
    <row r="178" spans="1:14" ht="15.75">
      <c r="A178" s="17">
        <f t="shared" si="12"/>
        <v>177</v>
      </c>
      <c r="B178" s="19">
        <v>45861</v>
      </c>
      <c r="C178" s="19">
        <v>45861</v>
      </c>
      <c r="D178" s="10" t="s">
        <v>1434</v>
      </c>
      <c r="G178" s="39">
        <v>22758</v>
      </c>
      <c r="H178" s="4">
        <v>0</v>
      </c>
      <c r="I178" s="218">
        <f t="shared" si="11"/>
        <v>-22758</v>
      </c>
      <c r="J178" s="39">
        <f t="shared" si="15"/>
        <v>11932158.6</v>
      </c>
      <c r="K178" s="39"/>
      <c r="L178" s="4" t="s">
        <v>3719</v>
      </c>
      <c r="M178" s="235" t="s">
        <v>1435</v>
      </c>
      <c r="N178" s="4" t="s">
        <v>3917</v>
      </c>
    </row>
    <row r="179" spans="1:14" ht="15.75">
      <c r="A179" s="17">
        <f t="shared" si="12"/>
        <v>178</v>
      </c>
      <c r="B179" s="19">
        <v>45861</v>
      </c>
      <c r="C179" s="19">
        <v>45861</v>
      </c>
      <c r="D179" s="10" t="s">
        <v>1436</v>
      </c>
      <c r="G179" s="39">
        <v>72520</v>
      </c>
      <c r="H179" s="4">
        <v>0</v>
      </c>
      <c r="I179" s="218">
        <f t="shared" si="11"/>
        <v>-72520</v>
      </c>
      <c r="J179" s="39">
        <f t="shared" si="15"/>
        <v>11859638.6</v>
      </c>
      <c r="K179" s="39"/>
      <c r="L179" s="4" t="s">
        <v>3719</v>
      </c>
      <c r="M179" s="235" t="s">
        <v>1437</v>
      </c>
      <c r="N179" s="4" t="s">
        <v>3917</v>
      </c>
    </row>
    <row r="180" spans="1:14" ht="15.75">
      <c r="A180" s="17">
        <f t="shared" si="12"/>
        <v>179</v>
      </c>
      <c r="B180" s="19">
        <v>45861</v>
      </c>
      <c r="C180" s="19">
        <v>45861</v>
      </c>
      <c r="D180" s="10" t="s">
        <v>1436</v>
      </c>
      <c r="G180" s="39">
        <v>43512</v>
      </c>
      <c r="H180" s="4">
        <v>0</v>
      </c>
      <c r="I180" s="218">
        <f t="shared" si="11"/>
        <v>-43512</v>
      </c>
      <c r="J180" s="39">
        <f t="shared" si="15"/>
        <v>11816126.6</v>
      </c>
      <c r="K180" s="39"/>
      <c r="L180" s="4" t="s">
        <v>3719</v>
      </c>
      <c r="M180" s="235" t="s">
        <v>1438</v>
      </c>
      <c r="N180" s="4" t="s">
        <v>3917</v>
      </c>
    </row>
    <row r="181" spans="1:14" ht="15.75">
      <c r="A181" s="17">
        <f t="shared" si="12"/>
        <v>180</v>
      </c>
      <c r="B181" s="19">
        <v>45861</v>
      </c>
      <c r="C181" s="19">
        <v>45861</v>
      </c>
      <c r="D181" s="10" t="s">
        <v>1436</v>
      </c>
      <c r="G181" s="39">
        <v>43512</v>
      </c>
      <c r="H181" s="4">
        <v>0</v>
      </c>
      <c r="I181" s="218">
        <f t="shared" si="11"/>
        <v>-43512</v>
      </c>
      <c r="J181" s="39">
        <f t="shared" si="15"/>
        <v>11772614.6</v>
      </c>
      <c r="K181" s="39"/>
      <c r="L181" s="4" t="s">
        <v>3719</v>
      </c>
      <c r="M181" s="235" t="s">
        <v>1439</v>
      </c>
      <c r="N181" s="4" t="s">
        <v>3917</v>
      </c>
    </row>
    <row r="182" spans="1:14" ht="15.75">
      <c r="A182" s="17">
        <f t="shared" si="12"/>
        <v>181</v>
      </c>
      <c r="B182" s="19">
        <v>45861</v>
      </c>
      <c r="C182" s="19">
        <v>45861</v>
      </c>
      <c r="D182" s="10" t="s">
        <v>1436</v>
      </c>
      <c r="G182" s="39">
        <v>72520</v>
      </c>
      <c r="H182" s="4">
        <v>0</v>
      </c>
      <c r="I182" s="218">
        <f t="shared" si="11"/>
        <v>-72520</v>
      </c>
      <c r="J182" s="39">
        <f t="shared" si="15"/>
        <v>11700094.6</v>
      </c>
      <c r="K182" s="39"/>
      <c r="L182" s="4" t="s">
        <v>3719</v>
      </c>
      <c r="M182" s="235" t="s">
        <v>1440</v>
      </c>
      <c r="N182" s="4" t="s">
        <v>3917</v>
      </c>
    </row>
    <row r="183" spans="1:14" ht="15.75">
      <c r="A183" s="17">
        <f t="shared" si="12"/>
        <v>182</v>
      </c>
      <c r="B183" s="19">
        <v>45861</v>
      </c>
      <c r="C183" s="19">
        <v>45861</v>
      </c>
      <c r="D183" s="10" t="s">
        <v>1441</v>
      </c>
      <c r="G183" s="39">
        <v>51040</v>
      </c>
      <c r="H183" s="4">
        <v>0</v>
      </c>
      <c r="I183" s="218">
        <f t="shared" si="11"/>
        <v>-51040</v>
      </c>
      <c r="J183" s="39">
        <f t="shared" si="15"/>
        <v>11649054.6</v>
      </c>
      <c r="K183" s="39"/>
      <c r="L183" s="4" t="s">
        <v>3719</v>
      </c>
      <c r="M183" s="235" t="s">
        <v>1442</v>
      </c>
      <c r="N183" s="4" t="s">
        <v>3917</v>
      </c>
    </row>
    <row r="184" spans="1:14" ht="15.75">
      <c r="A184" s="17">
        <f t="shared" si="12"/>
        <v>183</v>
      </c>
      <c r="B184" s="19">
        <v>45861</v>
      </c>
      <c r="C184" s="19">
        <v>45861</v>
      </c>
      <c r="D184" s="10" t="s">
        <v>1441</v>
      </c>
      <c r="G184" s="39">
        <v>51040</v>
      </c>
      <c r="H184" s="4">
        <v>0</v>
      </c>
      <c r="I184" s="218">
        <f t="shared" si="11"/>
        <v>-51040</v>
      </c>
      <c r="J184" s="39">
        <f t="shared" si="15"/>
        <v>11598014.6</v>
      </c>
      <c r="K184" s="39"/>
      <c r="L184" s="4" t="s">
        <v>3719</v>
      </c>
      <c r="M184" s="235" t="s">
        <v>1443</v>
      </c>
      <c r="N184" s="4" t="s">
        <v>3917</v>
      </c>
    </row>
    <row r="185" spans="1:14" ht="15.75">
      <c r="A185" s="17">
        <f t="shared" si="12"/>
        <v>184</v>
      </c>
      <c r="B185" s="19">
        <v>45861</v>
      </c>
      <c r="C185" s="19">
        <v>45861</v>
      </c>
      <c r="D185" s="10" t="s">
        <v>1441</v>
      </c>
      <c r="G185" s="39">
        <v>51040</v>
      </c>
      <c r="H185" s="4">
        <v>0</v>
      </c>
      <c r="I185" s="218">
        <f t="shared" si="11"/>
        <v>-51040</v>
      </c>
      <c r="J185" s="39">
        <f t="shared" si="15"/>
        <v>11546974.6</v>
      </c>
      <c r="K185" s="39"/>
      <c r="L185" s="4" t="s">
        <v>3719</v>
      </c>
      <c r="M185" s="235" t="s">
        <v>1444</v>
      </c>
      <c r="N185" s="4" t="s">
        <v>3917</v>
      </c>
    </row>
    <row r="186" spans="1:14" ht="15.75">
      <c r="A186" s="17">
        <f t="shared" si="12"/>
        <v>185</v>
      </c>
      <c r="B186" s="19">
        <v>45861</v>
      </c>
      <c r="C186" s="19">
        <v>45861</v>
      </c>
      <c r="D186" s="10" t="s">
        <v>1441</v>
      </c>
      <c r="G186" s="39">
        <v>54520</v>
      </c>
      <c r="H186" s="4">
        <v>0</v>
      </c>
      <c r="I186" s="218">
        <f t="shared" si="11"/>
        <v>-54520</v>
      </c>
      <c r="J186" s="39">
        <f t="shared" si="15"/>
        <v>11492454.6</v>
      </c>
      <c r="K186" s="39"/>
      <c r="L186" s="4" t="s">
        <v>3719</v>
      </c>
      <c r="M186" s="235" t="s">
        <v>1445</v>
      </c>
      <c r="N186" s="4" t="s">
        <v>3917</v>
      </c>
    </row>
    <row r="187" spans="1:14" ht="15.75">
      <c r="A187" s="17">
        <f t="shared" si="12"/>
        <v>186</v>
      </c>
      <c r="B187" s="19">
        <v>45861</v>
      </c>
      <c r="C187" s="19">
        <v>45861</v>
      </c>
      <c r="D187" s="10" t="s">
        <v>1441</v>
      </c>
      <c r="G187" s="39">
        <v>51040</v>
      </c>
      <c r="H187" s="4">
        <v>0</v>
      </c>
      <c r="I187" s="218">
        <f t="shared" si="11"/>
        <v>-51040</v>
      </c>
      <c r="J187" s="39">
        <f t="shared" si="15"/>
        <v>11441414.6</v>
      </c>
      <c r="K187" s="39"/>
      <c r="L187" s="4" t="s">
        <v>3719</v>
      </c>
      <c r="M187" s="235" t="s">
        <v>1446</v>
      </c>
      <c r="N187" s="4" t="s">
        <v>3917</v>
      </c>
    </row>
    <row r="188" spans="1:14" ht="15.75">
      <c r="A188" s="17">
        <f t="shared" si="12"/>
        <v>187</v>
      </c>
      <c r="B188" s="19">
        <v>45861</v>
      </c>
      <c r="C188" s="19">
        <v>45861</v>
      </c>
      <c r="D188" s="10" t="s">
        <v>1441</v>
      </c>
      <c r="G188" s="39">
        <v>51040</v>
      </c>
      <c r="H188" s="4">
        <v>0</v>
      </c>
      <c r="I188" s="218">
        <f t="shared" si="11"/>
        <v>-51040</v>
      </c>
      <c r="J188" s="39">
        <f t="shared" si="15"/>
        <v>11390374.6</v>
      </c>
      <c r="K188" s="39"/>
      <c r="L188" s="4" t="s">
        <v>3719</v>
      </c>
      <c r="M188" s="235" t="s">
        <v>1447</v>
      </c>
      <c r="N188" s="4" t="s">
        <v>3917</v>
      </c>
    </row>
    <row r="189" spans="1:14" ht="15.75">
      <c r="A189" s="17">
        <f t="shared" si="12"/>
        <v>188</v>
      </c>
      <c r="B189" s="19">
        <v>45861</v>
      </c>
      <c r="C189" s="19">
        <v>45861</v>
      </c>
      <c r="D189" s="10" t="s">
        <v>1441</v>
      </c>
      <c r="G189" s="39">
        <v>79112</v>
      </c>
      <c r="H189" s="4">
        <v>0</v>
      </c>
      <c r="I189" s="218">
        <f t="shared" si="11"/>
        <v>-79112</v>
      </c>
      <c r="J189" s="39">
        <f t="shared" si="15"/>
        <v>11311262.6</v>
      </c>
      <c r="K189" s="39"/>
      <c r="L189" s="4" t="s">
        <v>3719</v>
      </c>
      <c r="M189" s="235" t="s">
        <v>1448</v>
      </c>
      <c r="N189" s="4" t="s">
        <v>3917</v>
      </c>
    </row>
    <row r="190" spans="1:14" ht="15.75">
      <c r="A190" s="17">
        <f t="shared" si="12"/>
        <v>189</v>
      </c>
      <c r="B190" s="19">
        <v>45861</v>
      </c>
      <c r="C190" s="19">
        <v>45861</v>
      </c>
      <c r="D190" s="10" t="s">
        <v>1449</v>
      </c>
      <c r="G190" s="39">
        <v>20000</v>
      </c>
      <c r="H190" s="4">
        <v>0</v>
      </c>
      <c r="I190" s="218">
        <f t="shared" si="11"/>
        <v>-20000</v>
      </c>
      <c r="J190" s="39">
        <f t="shared" si="15"/>
        <v>11291262.6</v>
      </c>
      <c r="K190" s="39"/>
      <c r="L190" s="4" t="s">
        <v>3719</v>
      </c>
      <c r="M190" s="235" t="s">
        <v>577</v>
      </c>
      <c r="N190" s="4" t="s">
        <v>3917</v>
      </c>
    </row>
    <row r="191" spans="1:14" ht="15.75">
      <c r="A191" s="17">
        <f t="shared" si="12"/>
        <v>190</v>
      </c>
      <c r="B191" s="19">
        <v>45861</v>
      </c>
      <c r="C191" s="19">
        <v>45861</v>
      </c>
      <c r="D191" s="10" t="s">
        <v>1450</v>
      </c>
      <c r="G191" s="39">
        <v>11800</v>
      </c>
      <c r="H191" s="4">
        <v>0</v>
      </c>
      <c r="I191" s="218">
        <f t="shared" si="11"/>
        <v>-11800</v>
      </c>
      <c r="J191" s="39">
        <f t="shared" si="15"/>
        <v>11279462.6</v>
      </c>
      <c r="K191" s="39"/>
      <c r="L191" s="4" t="s">
        <v>3719</v>
      </c>
      <c r="M191" s="235" t="s">
        <v>1451</v>
      </c>
      <c r="N191" s="4" t="s">
        <v>3917</v>
      </c>
    </row>
    <row r="192" spans="1:14" ht="15.75">
      <c r="A192" s="17">
        <f t="shared" si="12"/>
        <v>191</v>
      </c>
      <c r="B192" s="19">
        <v>45861</v>
      </c>
      <c r="C192" s="19">
        <v>45861</v>
      </c>
      <c r="D192" s="10" t="s">
        <v>1452</v>
      </c>
      <c r="G192" s="39">
        <v>5913</v>
      </c>
      <c r="H192" s="4">
        <v>0</v>
      </c>
      <c r="I192" s="218">
        <f t="shared" si="11"/>
        <v>-5913</v>
      </c>
      <c r="J192" s="39">
        <f t="shared" si="15"/>
        <v>11273549.6</v>
      </c>
      <c r="K192" s="39"/>
      <c r="L192" s="4" t="s">
        <v>3719</v>
      </c>
      <c r="M192" s="235" t="s">
        <v>1453</v>
      </c>
      <c r="N192" s="4" t="s">
        <v>3917</v>
      </c>
    </row>
    <row r="193" spans="1:14" ht="15.75">
      <c r="A193" s="17">
        <f t="shared" si="12"/>
        <v>192</v>
      </c>
      <c r="B193" s="19">
        <v>45861</v>
      </c>
      <c r="C193" s="19">
        <v>45861</v>
      </c>
      <c r="D193" s="10" t="s">
        <v>1452</v>
      </c>
      <c r="G193" s="39">
        <v>27500</v>
      </c>
      <c r="H193" s="4">
        <v>0</v>
      </c>
      <c r="I193" s="218">
        <f t="shared" si="11"/>
        <v>-27500</v>
      </c>
      <c r="J193" s="39">
        <f t="shared" si="15"/>
        <v>11246049.6</v>
      </c>
      <c r="K193" s="39"/>
      <c r="L193" s="4" t="s">
        <v>3719</v>
      </c>
      <c r="M193" s="235" t="s">
        <v>1454</v>
      </c>
      <c r="N193" s="4" t="s">
        <v>3917</v>
      </c>
    </row>
    <row r="194" spans="1:14" ht="15.75">
      <c r="A194" s="17">
        <f t="shared" si="12"/>
        <v>193</v>
      </c>
      <c r="B194" s="19">
        <v>45861</v>
      </c>
      <c r="C194" s="19">
        <v>45861</v>
      </c>
      <c r="D194" s="10" t="s">
        <v>1455</v>
      </c>
      <c r="G194" s="39">
        <v>5000</v>
      </c>
      <c r="H194" s="4">
        <v>0</v>
      </c>
      <c r="I194" s="218">
        <f t="shared" ref="I194:I257" si="16">H194-G194</f>
        <v>-5000</v>
      </c>
      <c r="J194" s="39">
        <f t="shared" si="15"/>
        <v>11241049.6</v>
      </c>
      <c r="K194" s="39"/>
      <c r="L194" s="4" t="s">
        <v>3719</v>
      </c>
      <c r="M194" s="235" t="s">
        <v>1456</v>
      </c>
      <c r="N194" s="4" t="s">
        <v>3917</v>
      </c>
    </row>
    <row r="195" spans="1:14" ht="15.75">
      <c r="A195" s="17">
        <f t="shared" si="12"/>
        <v>194</v>
      </c>
      <c r="B195" s="19">
        <v>45861</v>
      </c>
      <c r="C195" s="19">
        <v>45861</v>
      </c>
      <c r="D195" s="10" t="s">
        <v>1457</v>
      </c>
      <c r="G195" s="39">
        <v>25000</v>
      </c>
      <c r="H195" s="4">
        <v>0</v>
      </c>
      <c r="I195" s="218">
        <f t="shared" si="16"/>
        <v>-25000</v>
      </c>
      <c r="J195" s="39">
        <f t="shared" si="15"/>
        <v>11216049.6</v>
      </c>
      <c r="K195" s="39"/>
      <c r="L195" s="4" t="s">
        <v>542</v>
      </c>
      <c r="M195" s="235" t="s">
        <v>1454</v>
      </c>
      <c r="N195" s="4" t="s">
        <v>3917</v>
      </c>
    </row>
    <row r="196" spans="1:14" ht="15.75">
      <c r="A196" s="17">
        <f t="shared" ref="A196:A259" si="17">A195+1</f>
        <v>195</v>
      </c>
      <c r="B196" s="19">
        <v>45861</v>
      </c>
      <c r="C196" s="19">
        <v>45861</v>
      </c>
      <c r="D196" s="10" t="s">
        <v>1458</v>
      </c>
      <c r="G196" s="39">
        <v>5700</v>
      </c>
      <c r="H196" s="4">
        <v>0</v>
      </c>
      <c r="I196" s="218">
        <f t="shared" si="16"/>
        <v>-5700</v>
      </c>
      <c r="J196" s="39">
        <f t="shared" si="15"/>
        <v>11210349.6</v>
      </c>
      <c r="K196" s="39"/>
      <c r="L196" s="4" t="s">
        <v>3719</v>
      </c>
      <c r="M196" s="235" t="s">
        <v>1459</v>
      </c>
      <c r="N196" s="4" t="s">
        <v>3917</v>
      </c>
    </row>
    <row r="197" spans="1:14" ht="15.75">
      <c r="A197" s="17">
        <f t="shared" si="17"/>
        <v>196</v>
      </c>
      <c r="B197" s="19">
        <v>45861</v>
      </c>
      <c r="C197" s="19">
        <v>45861</v>
      </c>
      <c r="D197" s="10" t="s">
        <v>1460</v>
      </c>
      <c r="G197" s="39">
        <v>36547</v>
      </c>
      <c r="H197" s="4">
        <v>0</v>
      </c>
      <c r="I197" s="218">
        <f t="shared" si="16"/>
        <v>-36547</v>
      </c>
      <c r="J197" s="39">
        <f t="shared" si="15"/>
        <v>11173802.6</v>
      </c>
      <c r="K197" s="39"/>
      <c r="L197" s="4" t="s">
        <v>3719</v>
      </c>
      <c r="M197" s="235" t="s">
        <v>1461</v>
      </c>
      <c r="N197" s="4" t="s">
        <v>3917</v>
      </c>
    </row>
    <row r="198" spans="1:14" ht="15.75">
      <c r="A198" s="17">
        <f t="shared" si="17"/>
        <v>197</v>
      </c>
      <c r="B198" s="19">
        <v>45861</v>
      </c>
      <c r="C198" s="19">
        <v>45861</v>
      </c>
      <c r="D198" s="10" t="s">
        <v>1462</v>
      </c>
      <c r="G198" s="39">
        <v>22400</v>
      </c>
      <c r="H198" s="4">
        <v>0</v>
      </c>
      <c r="I198" s="218">
        <f t="shared" si="16"/>
        <v>-22400</v>
      </c>
      <c r="J198" s="39">
        <f t="shared" si="15"/>
        <v>11151402.6</v>
      </c>
      <c r="K198" s="39"/>
      <c r="L198" s="4" t="s">
        <v>542</v>
      </c>
      <c r="M198" s="235" t="s">
        <v>1463</v>
      </c>
      <c r="N198" s="4" t="s">
        <v>3917</v>
      </c>
    </row>
    <row r="199" spans="1:14" ht="15.75">
      <c r="A199" s="17">
        <f t="shared" si="17"/>
        <v>198</v>
      </c>
      <c r="B199" s="19">
        <v>45861</v>
      </c>
      <c r="C199" s="19">
        <v>45861</v>
      </c>
      <c r="D199" s="10" t="s">
        <v>1464</v>
      </c>
      <c r="G199" s="39">
        <v>4180</v>
      </c>
      <c r="H199" s="4">
        <v>0</v>
      </c>
      <c r="I199" s="218">
        <f t="shared" si="16"/>
        <v>-4180</v>
      </c>
      <c r="J199" s="39">
        <f t="shared" si="15"/>
        <v>11147222.6</v>
      </c>
      <c r="K199" s="39"/>
      <c r="L199" s="4" t="s">
        <v>542</v>
      </c>
      <c r="M199" s="235" t="s">
        <v>1465</v>
      </c>
      <c r="N199" s="4" t="s">
        <v>3917</v>
      </c>
    </row>
    <row r="200" spans="1:14" ht="15.75">
      <c r="A200" s="17">
        <f t="shared" si="17"/>
        <v>199</v>
      </c>
      <c r="B200" s="19">
        <v>45861</v>
      </c>
      <c r="C200" s="19">
        <v>45861</v>
      </c>
      <c r="D200" s="10" t="s">
        <v>1464</v>
      </c>
      <c r="G200" s="39">
        <v>4977</v>
      </c>
      <c r="H200" s="4">
        <v>0</v>
      </c>
      <c r="I200" s="218">
        <f t="shared" si="16"/>
        <v>-4977</v>
      </c>
      <c r="J200" s="39">
        <f t="shared" si="15"/>
        <v>11142245.6</v>
      </c>
      <c r="K200" s="39"/>
      <c r="L200" s="4" t="s">
        <v>3719</v>
      </c>
      <c r="M200" s="235" t="s">
        <v>1466</v>
      </c>
      <c r="N200" s="4" t="s">
        <v>3917</v>
      </c>
    </row>
    <row r="201" spans="1:14" ht="15.75">
      <c r="A201" s="17">
        <f t="shared" si="17"/>
        <v>200</v>
      </c>
      <c r="B201" s="19">
        <v>45861</v>
      </c>
      <c r="C201" s="19">
        <v>45861</v>
      </c>
      <c r="D201" s="10" t="s">
        <v>1464</v>
      </c>
      <c r="G201" s="39">
        <v>760</v>
      </c>
      <c r="H201" s="4">
        <v>0</v>
      </c>
      <c r="I201" s="218">
        <f t="shared" si="16"/>
        <v>-760</v>
      </c>
      <c r="J201" s="39">
        <f t="shared" si="15"/>
        <v>11141485.6</v>
      </c>
      <c r="K201" s="39"/>
      <c r="L201" s="4" t="s">
        <v>542</v>
      </c>
      <c r="M201" s="235" t="s">
        <v>1467</v>
      </c>
      <c r="N201" s="4" t="s">
        <v>3917</v>
      </c>
    </row>
    <row r="202" spans="1:14" ht="15.75">
      <c r="A202" s="17">
        <f t="shared" si="17"/>
        <v>201</v>
      </c>
      <c r="B202" s="19">
        <v>45861</v>
      </c>
      <c r="C202" s="19">
        <v>45861</v>
      </c>
      <c r="D202" s="10" t="s">
        <v>1464</v>
      </c>
      <c r="G202" s="39">
        <v>3846</v>
      </c>
      <c r="H202" s="4">
        <v>0</v>
      </c>
      <c r="I202" s="218">
        <f t="shared" si="16"/>
        <v>-3846</v>
      </c>
      <c r="J202" s="39">
        <f t="shared" si="15"/>
        <v>11137639.6</v>
      </c>
      <c r="K202" s="39"/>
      <c r="L202" s="4" t="s">
        <v>3724</v>
      </c>
      <c r="M202" s="235" t="s">
        <v>1468</v>
      </c>
      <c r="N202" s="4" t="s">
        <v>3917</v>
      </c>
    </row>
    <row r="203" spans="1:14" ht="15.75">
      <c r="A203" s="17">
        <f t="shared" si="17"/>
        <v>202</v>
      </c>
      <c r="B203" s="19">
        <v>45861</v>
      </c>
      <c r="C203" s="19">
        <v>45861</v>
      </c>
      <c r="D203" s="10" t="s">
        <v>1464</v>
      </c>
      <c r="G203" s="39">
        <v>3610</v>
      </c>
      <c r="H203" s="4">
        <v>0</v>
      </c>
      <c r="I203" s="218">
        <f t="shared" si="16"/>
        <v>-3610</v>
      </c>
      <c r="J203" s="39">
        <f t="shared" si="15"/>
        <v>11134029.6</v>
      </c>
      <c r="K203" s="39"/>
      <c r="L203" s="4" t="s">
        <v>542</v>
      </c>
      <c r="M203" s="235" t="s">
        <v>1469</v>
      </c>
      <c r="N203" s="4" t="s">
        <v>3917</v>
      </c>
    </row>
    <row r="204" spans="1:14" ht="15.75">
      <c r="A204" s="17">
        <f t="shared" si="17"/>
        <v>203</v>
      </c>
      <c r="B204" s="19">
        <v>45861</v>
      </c>
      <c r="C204" s="19">
        <v>45861</v>
      </c>
      <c r="D204" s="10" t="s">
        <v>1470</v>
      </c>
      <c r="G204" s="39">
        <v>32825</v>
      </c>
      <c r="H204" s="4">
        <v>0</v>
      </c>
      <c r="I204" s="218">
        <f t="shared" si="16"/>
        <v>-32825</v>
      </c>
      <c r="J204" s="39">
        <f t="shared" si="15"/>
        <v>11101204.6</v>
      </c>
      <c r="K204" s="39"/>
      <c r="L204" s="4" t="s">
        <v>3719</v>
      </c>
      <c r="M204" s="235" t="s">
        <v>1471</v>
      </c>
      <c r="N204" s="4" t="s">
        <v>3917</v>
      </c>
    </row>
    <row r="205" spans="1:14" ht="15.75">
      <c r="A205" s="17">
        <f t="shared" si="17"/>
        <v>204</v>
      </c>
      <c r="B205" s="19">
        <v>45861</v>
      </c>
      <c r="C205" s="19">
        <v>45861</v>
      </c>
      <c r="D205" s="10" t="s">
        <v>1470</v>
      </c>
      <c r="G205" s="39">
        <v>56522</v>
      </c>
      <c r="H205" s="4">
        <v>0</v>
      </c>
      <c r="I205" s="218">
        <f t="shared" si="16"/>
        <v>-56522</v>
      </c>
      <c r="J205" s="39">
        <f t="shared" si="15"/>
        <v>11044682.6</v>
      </c>
      <c r="K205" s="39"/>
      <c r="L205" s="4" t="s">
        <v>3724</v>
      </c>
      <c r="M205" s="235" t="s">
        <v>1472</v>
      </c>
      <c r="N205" s="4" t="s">
        <v>3917</v>
      </c>
    </row>
    <row r="206" spans="1:14" ht="15.75">
      <c r="A206" s="17">
        <f t="shared" si="17"/>
        <v>205</v>
      </c>
      <c r="B206" s="19">
        <v>45861</v>
      </c>
      <c r="C206" s="19">
        <v>45861</v>
      </c>
      <c r="D206" s="10" t="s">
        <v>1473</v>
      </c>
      <c r="G206" s="39">
        <v>40950</v>
      </c>
      <c r="H206" s="4">
        <v>0</v>
      </c>
      <c r="I206" s="218">
        <f t="shared" si="16"/>
        <v>-40950</v>
      </c>
      <c r="J206" s="39">
        <f t="shared" si="15"/>
        <v>11003732.6</v>
      </c>
      <c r="K206" s="39"/>
      <c r="L206" s="4" t="s">
        <v>3724</v>
      </c>
      <c r="M206" s="235" t="s">
        <v>1474</v>
      </c>
      <c r="N206" s="4" t="s">
        <v>3917</v>
      </c>
    </row>
    <row r="207" spans="1:14" ht="15.75">
      <c r="A207" s="17">
        <f t="shared" si="17"/>
        <v>206</v>
      </c>
      <c r="B207" s="19">
        <v>45861</v>
      </c>
      <c r="C207" s="19">
        <v>45861</v>
      </c>
      <c r="D207" s="10" t="s">
        <v>1475</v>
      </c>
      <c r="G207" s="39">
        <v>52758</v>
      </c>
      <c r="H207" s="4">
        <v>0</v>
      </c>
      <c r="I207" s="218">
        <f t="shared" si="16"/>
        <v>-52758</v>
      </c>
      <c r="J207" s="39">
        <f t="shared" si="15"/>
        <v>10950974.6</v>
      </c>
      <c r="K207" s="39"/>
      <c r="L207" s="4" t="s">
        <v>3724</v>
      </c>
      <c r="M207" s="235" t="s">
        <v>1476</v>
      </c>
      <c r="N207" s="4" t="s">
        <v>3917</v>
      </c>
    </row>
    <row r="208" spans="1:14" ht="15.75">
      <c r="A208" s="17">
        <f t="shared" si="17"/>
        <v>207</v>
      </c>
      <c r="B208" s="19">
        <v>45861</v>
      </c>
      <c r="C208" s="19">
        <v>45861</v>
      </c>
      <c r="D208" s="10" t="s">
        <v>1029</v>
      </c>
      <c r="G208" s="39">
        <v>5000</v>
      </c>
      <c r="H208" s="4">
        <v>0</v>
      </c>
      <c r="I208" s="218">
        <f t="shared" si="16"/>
        <v>-5000</v>
      </c>
      <c r="J208" s="39">
        <f t="shared" si="15"/>
        <v>10945974.6</v>
      </c>
      <c r="K208" s="39"/>
      <c r="L208" s="4" t="s">
        <v>3719</v>
      </c>
      <c r="M208" s="235" t="s">
        <v>1477</v>
      </c>
      <c r="N208" s="4" t="s">
        <v>3917</v>
      </c>
    </row>
    <row r="209" spans="1:14" ht="15.75">
      <c r="A209" s="17">
        <f t="shared" si="17"/>
        <v>208</v>
      </c>
      <c r="B209" s="19">
        <v>45861</v>
      </c>
      <c r="C209" s="19">
        <v>45861</v>
      </c>
      <c r="D209" s="10" t="s">
        <v>1478</v>
      </c>
      <c r="G209" s="39">
        <v>228483</v>
      </c>
      <c r="H209" s="4">
        <v>0</v>
      </c>
      <c r="I209" s="218">
        <f t="shared" si="16"/>
        <v>-228483</v>
      </c>
      <c r="J209" s="39">
        <f t="shared" si="15"/>
        <v>10717491.6</v>
      </c>
      <c r="K209" s="39"/>
      <c r="L209" s="4" t="s">
        <v>3719</v>
      </c>
      <c r="M209" s="235" t="s">
        <v>1479</v>
      </c>
      <c r="N209" s="4" t="s">
        <v>3917</v>
      </c>
    </row>
    <row r="210" spans="1:14" ht="15.75">
      <c r="A210" s="17">
        <f t="shared" si="17"/>
        <v>209</v>
      </c>
      <c r="B210" s="19">
        <v>45861</v>
      </c>
      <c r="C210" s="19">
        <v>45861</v>
      </c>
      <c r="D210" s="10" t="s">
        <v>1478</v>
      </c>
      <c r="G210" s="39">
        <v>174823</v>
      </c>
      <c r="H210" s="4">
        <v>0</v>
      </c>
      <c r="I210" s="218">
        <f t="shared" si="16"/>
        <v>-174823</v>
      </c>
      <c r="J210" s="39">
        <f t="shared" si="15"/>
        <v>10542668.6</v>
      </c>
      <c r="K210" s="39"/>
      <c r="L210" s="4" t="s">
        <v>3719</v>
      </c>
      <c r="M210" s="235" t="s">
        <v>1480</v>
      </c>
      <c r="N210" s="4" t="s">
        <v>3917</v>
      </c>
    </row>
    <row r="211" spans="1:14" ht="15.75">
      <c r="A211" s="17">
        <f t="shared" si="17"/>
        <v>210</v>
      </c>
      <c r="B211" s="19">
        <v>45861</v>
      </c>
      <c r="C211" s="19">
        <v>45861</v>
      </c>
      <c r="D211" s="10" t="s">
        <v>1481</v>
      </c>
      <c r="G211" s="39">
        <v>55680</v>
      </c>
      <c r="H211" s="4">
        <v>0</v>
      </c>
      <c r="I211" s="218">
        <f t="shared" si="16"/>
        <v>-55680</v>
      </c>
      <c r="J211" s="39">
        <f t="shared" si="15"/>
        <v>10486988.6</v>
      </c>
      <c r="K211" s="39"/>
      <c r="L211" s="4" t="s">
        <v>3719</v>
      </c>
      <c r="M211" s="235" t="s">
        <v>1482</v>
      </c>
      <c r="N211" s="4" t="s">
        <v>3917</v>
      </c>
    </row>
    <row r="212" spans="1:14" ht="15.75">
      <c r="A212" s="17">
        <f t="shared" si="17"/>
        <v>211</v>
      </c>
      <c r="B212" s="19">
        <v>45861</v>
      </c>
      <c r="C212" s="19">
        <v>45861</v>
      </c>
      <c r="D212" s="10" t="s">
        <v>1483</v>
      </c>
      <c r="G212" s="39">
        <v>50028</v>
      </c>
      <c r="H212" s="4">
        <v>0</v>
      </c>
      <c r="I212" s="218">
        <f t="shared" si="16"/>
        <v>-50028</v>
      </c>
      <c r="J212" s="39">
        <f t="shared" si="15"/>
        <v>10436960.6</v>
      </c>
      <c r="K212" s="39"/>
      <c r="L212" s="4" t="s">
        <v>3724</v>
      </c>
      <c r="M212" s="235" t="s">
        <v>591</v>
      </c>
      <c r="N212" s="4" t="s">
        <v>3917</v>
      </c>
    </row>
    <row r="213" spans="1:14" ht="15.75">
      <c r="A213" s="17">
        <f t="shared" si="17"/>
        <v>212</v>
      </c>
      <c r="B213" s="19">
        <v>45861</v>
      </c>
      <c r="C213" s="19">
        <v>45861</v>
      </c>
      <c r="D213" s="10" t="s">
        <v>1484</v>
      </c>
      <c r="G213" s="39">
        <v>151200</v>
      </c>
      <c r="H213" s="4">
        <v>0</v>
      </c>
      <c r="I213" s="218">
        <f t="shared" si="16"/>
        <v>-151200</v>
      </c>
      <c r="J213" s="39">
        <f t="shared" si="15"/>
        <v>10285760.6</v>
      </c>
      <c r="K213" s="39"/>
      <c r="L213" s="4" t="s">
        <v>542</v>
      </c>
      <c r="M213" s="235" t="s">
        <v>1485</v>
      </c>
      <c r="N213" s="4" t="s">
        <v>3917</v>
      </c>
    </row>
    <row r="214" spans="1:14" ht="15.75">
      <c r="A214" s="17">
        <f t="shared" si="17"/>
        <v>213</v>
      </c>
      <c r="B214" s="19">
        <v>45861</v>
      </c>
      <c r="C214" s="19">
        <v>45861</v>
      </c>
      <c r="D214" s="10" t="s">
        <v>1486</v>
      </c>
      <c r="G214" s="39">
        <v>97440</v>
      </c>
      <c r="H214" s="4">
        <v>0</v>
      </c>
      <c r="I214" s="218">
        <f t="shared" si="16"/>
        <v>-97440</v>
      </c>
      <c r="J214" s="39">
        <f t="shared" si="15"/>
        <v>10188320.6</v>
      </c>
      <c r="K214" s="39"/>
      <c r="L214" s="4" t="s">
        <v>3719</v>
      </c>
      <c r="M214" s="235" t="s">
        <v>1487</v>
      </c>
      <c r="N214" s="4" t="s">
        <v>3917</v>
      </c>
    </row>
    <row r="215" spans="1:14" ht="15.75">
      <c r="A215" s="17">
        <f t="shared" si="17"/>
        <v>214</v>
      </c>
      <c r="B215" s="19">
        <v>45861</v>
      </c>
      <c r="C215" s="19">
        <v>45861</v>
      </c>
      <c r="D215" s="10" t="s">
        <v>1488</v>
      </c>
      <c r="G215" s="39">
        <v>144536</v>
      </c>
      <c r="H215" s="4">
        <v>0</v>
      </c>
      <c r="I215" s="218">
        <f t="shared" si="16"/>
        <v>-144536</v>
      </c>
      <c r="J215" s="39">
        <f t="shared" si="15"/>
        <v>10043784.6</v>
      </c>
      <c r="K215" s="39"/>
      <c r="L215" s="4" t="s">
        <v>3719</v>
      </c>
      <c r="M215" s="235" t="s">
        <v>1489</v>
      </c>
      <c r="N215" s="4" t="s">
        <v>3917</v>
      </c>
    </row>
    <row r="216" spans="1:14" ht="15.75">
      <c r="A216" s="17">
        <f t="shared" si="17"/>
        <v>215</v>
      </c>
      <c r="B216" s="19">
        <v>45861</v>
      </c>
      <c r="C216" s="19">
        <v>45861</v>
      </c>
      <c r="D216" s="10" t="s">
        <v>1490</v>
      </c>
      <c r="G216" s="39">
        <v>1800</v>
      </c>
      <c r="H216" s="4">
        <v>0</v>
      </c>
      <c r="I216" s="218">
        <f t="shared" si="16"/>
        <v>-1800</v>
      </c>
      <c r="J216" s="39">
        <f t="shared" si="15"/>
        <v>10041984.6</v>
      </c>
      <c r="K216" s="39"/>
      <c r="L216" s="4" t="s">
        <v>542</v>
      </c>
      <c r="M216" s="235" t="s">
        <v>1491</v>
      </c>
      <c r="N216" s="4" t="s">
        <v>3917</v>
      </c>
    </row>
    <row r="217" spans="1:14" ht="15.75">
      <c r="A217" s="17">
        <f t="shared" si="17"/>
        <v>216</v>
      </c>
      <c r="B217" s="19">
        <v>45861</v>
      </c>
      <c r="C217" s="19">
        <v>45861</v>
      </c>
      <c r="D217" s="10" t="s">
        <v>1490</v>
      </c>
      <c r="G217" s="39">
        <v>1800</v>
      </c>
      <c r="H217" s="4">
        <v>0</v>
      </c>
      <c r="I217" s="218">
        <f t="shared" si="16"/>
        <v>-1800</v>
      </c>
      <c r="J217" s="39">
        <f t="shared" si="15"/>
        <v>10040184.6</v>
      </c>
      <c r="K217" s="39"/>
      <c r="L217" s="4" t="s">
        <v>3719</v>
      </c>
      <c r="M217" s="235" t="s">
        <v>1492</v>
      </c>
      <c r="N217" s="4" t="s">
        <v>3917</v>
      </c>
    </row>
    <row r="218" spans="1:14" ht="15.75">
      <c r="A218" s="17">
        <f t="shared" si="17"/>
        <v>217</v>
      </c>
      <c r="B218" s="19">
        <v>45861</v>
      </c>
      <c r="C218" s="19">
        <v>45861</v>
      </c>
      <c r="D218" s="10" t="s">
        <v>1493</v>
      </c>
      <c r="G218" s="39">
        <v>25000</v>
      </c>
      <c r="H218" s="4">
        <v>0</v>
      </c>
      <c r="I218" s="218">
        <f t="shared" si="16"/>
        <v>-25000</v>
      </c>
      <c r="J218" s="39">
        <f t="shared" si="15"/>
        <v>10015184.6</v>
      </c>
      <c r="K218" s="39"/>
      <c r="L218" s="4" t="s">
        <v>542</v>
      </c>
      <c r="M218" s="235" t="s">
        <v>1494</v>
      </c>
      <c r="N218" s="4" t="s">
        <v>3917</v>
      </c>
    </row>
    <row r="219" spans="1:14" ht="15.75">
      <c r="A219" s="17">
        <f t="shared" si="17"/>
        <v>218</v>
      </c>
      <c r="B219" s="19">
        <v>45861</v>
      </c>
      <c r="C219" s="19">
        <v>45861</v>
      </c>
      <c r="D219" t="s">
        <v>1495</v>
      </c>
      <c r="E219" t="s">
        <v>1010</v>
      </c>
      <c r="F219">
        <v>4430</v>
      </c>
      <c r="G219" s="20">
        <v>0</v>
      </c>
      <c r="H219" s="20">
        <v>5100000</v>
      </c>
      <c r="I219" s="218">
        <f t="shared" si="16"/>
        <v>5100000</v>
      </c>
      <c r="J219" s="20">
        <v>15115184.6</v>
      </c>
      <c r="K219" s="20"/>
      <c r="L219" s="4" t="s">
        <v>3723</v>
      </c>
      <c r="M219" s="235" t="s">
        <v>1011</v>
      </c>
      <c r="N219" s="4" t="s">
        <v>3917</v>
      </c>
    </row>
    <row r="220" spans="1:14" ht="15.75">
      <c r="A220" s="17">
        <f t="shared" si="17"/>
        <v>219</v>
      </c>
      <c r="B220" s="19">
        <v>45861</v>
      </c>
      <c r="C220" s="19">
        <v>45861</v>
      </c>
      <c r="D220" t="s">
        <v>1496</v>
      </c>
      <c r="E220" t="s">
        <v>1497</v>
      </c>
      <c r="F220">
        <v>4430</v>
      </c>
      <c r="G220" s="20">
        <v>0</v>
      </c>
      <c r="H220" s="20">
        <v>40950</v>
      </c>
      <c r="I220" s="218">
        <f t="shared" si="16"/>
        <v>40950</v>
      </c>
      <c r="J220" s="20">
        <v>15156134.6</v>
      </c>
      <c r="K220" s="20"/>
      <c r="L220" s="4" t="s">
        <v>3723</v>
      </c>
      <c r="M220" s="240" t="s">
        <v>1474</v>
      </c>
      <c r="N220" s="4" t="s">
        <v>3917</v>
      </c>
    </row>
    <row r="221" spans="1:14" ht="15.75">
      <c r="A221" s="17">
        <f t="shared" si="17"/>
        <v>220</v>
      </c>
      <c r="B221" s="19">
        <v>45861</v>
      </c>
      <c r="C221" s="19">
        <v>45861</v>
      </c>
      <c r="D221" t="s">
        <v>1498</v>
      </c>
      <c r="E221" t="s">
        <v>1373</v>
      </c>
      <c r="F221">
        <v>4430</v>
      </c>
      <c r="G221" s="20">
        <v>0</v>
      </c>
      <c r="H221" s="20">
        <v>20000000</v>
      </c>
      <c r="I221" s="218">
        <f t="shared" si="16"/>
        <v>20000000</v>
      </c>
      <c r="J221" s="20">
        <v>35156134.600000001</v>
      </c>
      <c r="K221" s="20"/>
      <c r="L221" s="4" t="s">
        <v>3723</v>
      </c>
      <c r="M221" s="235" t="s">
        <v>1371</v>
      </c>
      <c r="N221" s="4" t="s">
        <v>3917</v>
      </c>
    </row>
    <row r="222" spans="1:14" ht="15.75">
      <c r="A222" s="17">
        <f t="shared" si="17"/>
        <v>221</v>
      </c>
      <c r="B222" s="19">
        <v>45861</v>
      </c>
      <c r="C222" s="19">
        <v>45861</v>
      </c>
      <c r="D222" t="s">
        <v>1499</v>
      </c>
      <c r="E222"/>
      <c r="F222"/>
      <c r="G222" s="241">
        <v>2300000</v>
      </c>
      <c r="H222" s="20">
        <v>0</v>
      </c>
      <c r="I222" s="218">
        <f t="shared" si="16"/>
        <v>-2300000</v>
      </c>
      <c r="J222" s="20">
        <f>J221-G222</f>
        <v>32856134.600000001</v>
      </c>
      <c r="K222" s="20"/>
      <c r="L222" s="4" t="s">
        <v>542</v>
      </c>
      <c r="M222" t="s">
        <v>1499</v>
      </c>
      <c r="N222" s="4" t="s">
        <v>3917</v>
      </c>
    </row>
    <row r="223" spans="1:14" ht="15.75">
      <c r="A223" s="17">
        <f t="shared" si="17"/>
        <v>222</v>
      </c>
      <c r="B223" s="19">
        <v>45861</v>
      </c>
      <c r="C223" s="19">
        <v>45861</v>
      </c>
      <c r="D223" t="s">
        <v>628</v>
      </c>
      <c r="E223"/>
      <c r="F223"/>
      <c r="G223" s="241">
        <v>300000</v>
      </c>
      <c r="H223" s="20">
        <v>0</v>
      </c>
      <c r="I223" s="218">
        <f t="shared" si="16"/>
        <v>-300000</v>
      </c>
      <c r="J223" s="20">
        <f>J222-G223</f>
        <v>32556134.600000001</v>
      </c>
      <c r="K223" s="20"/>
      <c r="L223" s="4" t="s">
        <v>542</v>
      </c>
      <c r="M223" t="s">
        <v>628</v>
      </c>
      <c r="N223" s="4" t="s">
        <v>3917</v>
      </c>
    </row>
    <row r="224" spans="1:14" ht="15.75">
      <c r="A224" s="17">
        <f t="shared" si="17"/>
        <v>223</v>
      </c>
      <c r="B224" s="19">
        <v>45861</v>
      </c>
      <c r="C224" s="19">
        <v>45861</v>
      </c>
      <c r="D224" t="s">
        <v>1017</v>
      </c>
      <c r="E224"/>
      <c r="F224"/>
      <c r="G224" s="241">
        <v>5033888</v>
      </c>
      <c r="H224" s="20">
        <v>0</v>
      </c>
      <c r="I224" s="218">
        <f t="shared" si="16"/>
        <v>-5033888</v>
      </c>
      <c r="J224" s="20">
        <f>J223-G224</f>
        <v>27522246.600000001</v>
      </c>
      <c r="K224" s="20"/>
      <c r="L224" s="4" t="s">
        <v>542</v>
      </c>
      <c r="M224" s="235"/>
      <c r="N224" s="4" t="s">
        <v>3917</v>
      </c>
    </row>
    <row r="225" spans="1:14" ht="15.75">
      <c r="A225" s="17">
        <f t="shared" si="17"/>
        <v>224</v>
      </c>
      <c r="B225" s="19">
        <v>45861</v>
      </c>
      <c r="C225" s="19">
        <v>45861</v>
      </c>
      <c r="D225" t="s">
        <v>634</v>
      </c>
      <c r="E225"/>
      <c r="F225"/>
      <c r="G225" s="241">
        <v>800000</v>
      </c>
      <c r="H225" s="20">
        <v>0</v>
      </c>
      <c r="I225" s="218">
        <f t="shared" si="16"/>
        <v>-800000</v>
      </c>
      <c r="J225" s="20">
        <f>J224-G225</f>
        <v>26722246.600000001</v>
      </c>
      <c r="K225" s="20"/>
      <c r="L225" s="4" t="s">
        <v>542</v>
      </c>
      <c r="M225" t="s">
        <v>634</v>
      </c>
      <c r="N225" s="4" t="s">
        <v>3917</v>
      </c>
    </row>
    <row r="226" spans="1:14" ht="15.75">
      <c r="A226" s="17">
        <f t="shared" si="17"/>
        <v>225</v>
      </c>
      <c r="B226" s="19">
        <v>45861</v>
      </c>
      <c r="C226" s="19">
        <v>45861</v>
      </c>
      <c r="D226" t="s">
        <v>1500</v>
      </c>
      <c r="E226" t="s">
        <v>1501</v>
      </c>
      <c r="F226">
        <v>99922</v>
      </c>
      <c r="G226" s="242">
        <v>2400000</v>
      </c>
      <c r="H226" s="20">
        <v>0</v>
      </c>
      <c r="I226" s="218">
        <f t="shared" si="16"/>
        <v>-2400000</v>
      </c>
      <c r="J226" s="20">
        <v>24322246.600000001</v>
      </c>
      <c r="K226" s="20"/>
      <c r="L226" s="4" t="s">
        <v>542</v>
      </c>
      <c r="M226" s="235" t="s">
        <v>1502</v>
      </c>
      <c r="N226" s="4" t="s">
        <v>3917</v>
      </c>
    </row>
    <row r="227" spans="1:14" ht="15.75">
      <c r="A227" s="17">
        <f t="shared" si="17"/>
        <v>226</v>
      </c>
      <c r="B227" s="19">
        <v>45861</v>
      </c>
      <c r="C227" s="19">
        <v>45861</v>
      </c>
      <c r="D227" t="s">
        <v>1503</v>
      </c>
      <c r="E227" t="s">
        <v>1370</v>
      </c>
      <c r="F227">
        <v>4430</v>
      </c>
      <c r="G227" s="20">
        <v>0</v>
      </c>
      <c r="H227" s="20">
        <v>20000000</v>
      </c>
      <c r="I227" s="218">
        <f t="shared" si="16"/>
        <v>20000000</v>
      </c>
      <c r="J227" s="20">
        <v>44322246.600000001</v>
      </c>
      <c r="K227" s="20"/>
      <c r="L227" s="4" t="s">
        <v>3723</v>
      </c>
      <c r="M227" s="235" t="s">
        <v>1371</v>
      </c>
      <c r="N227" s="4" t="s">
        <v>3917</v>
      </c>
    </row>
    <row r="228" spans="1:14" ht="15.75">
      <c r="A228" s="17">
        <f t="shared" si="17"/>
        <v>227</v>
      </c>
      <c r="B228" s="19">
        <v>45861</v>
      </c>
      <c r="C228" s="19">
        <v>45861</v>
      </c>
      <c r="D228" t="s">
        <v>1504</v>
      </c>
      <c r="E228" t="s">
        <v>1505</v>
      </c>
      <c r="F228">
        <v>4430</v>
      </c>
      <c r="G228" s="20">
        <v>0</v>
      </c>
      <c r="H228" s="20">
        <v>17600000</v>
      </c>
      <c r="I228" s="218">
        <f t="shared" si="16"/>
        <v>17600000</v>
      </c>
      <c r="J228" s="20">
        <v>61922246.600000001</v>
      </c>
      <c r="K228" s="20"/>
      <c r="L228" s="4" t="s">
        <v>3723</v>
      </c>
      <c r="M228" s="235" t="s">
        <v>1371</v>
      </c>
      <c r="N228" s="4" t="s">
        <v>3917</v>
      </c>
    </row>
    <row r="229" spans="1:14" ht="15.75">
      <c r="A229" s="17">
        <f t="shared" si="17"/>
        <v>228</v>
      </c>
      <c r="B229" s="19">
        <v>45861</v>
      </c>
      <c r="C229" s="19">
        <v>45861</v>
      </c>
      <c r="D229" s="10" t="s">
        <v>1506</v>
      </c>
      <c r="G229" s="39">
        <v>97929</v>
      </c>
      <c r="H229" s="4">
        <v>0</v>
      </c>
      <c r="I229" s="218">
        <f t="shared" si="16"/>
        <v>-97929</v>
      </c>
      <c r="J229" s="39">
        <f t="shared" ref="J229:J235" si="18">J228-G229</f>
        <v>61824317.600000001</v>
      </c>
      <c r="K229" s="39"/>
      <c r="L229" s="4" t="s">
        <v>542</v>
      </c>
      <c r="M229" s="36" t="s">
        <v>1507</v>
      </c>
      <c r="N229" s="4" t="s">
        <v>3917</v>
      </c>
    </row>
    <row r="230" spans="1:14" ht="15.75">
      <c r="A230" s="17">
        <f t="shared" si="17"/>
        <v>229</v>
      </c>
      <c r="B230" s="19">
        <v>45861</v>
      </c>
      <c r="C230" s="19">
        <v>45861</v>
      </c>
      <c r="D230" s="10" t="s">
        <v>1508</v>
      </c>
      <c r="G230" s="39">
        <v>91359</v>
      </c>
      <c r="H230" s="4">
        <v>0</v>
      </c>
      <c r="I230" s="218">
        <f t="shared" si="16"/>
        <v>-91359</v>
      </c>
      <c r="J230" s="39">
        <f t="shared" si="18"/>
        <v>61732958.600000001</v>
      </c>
      <c r="K230" s="39"/>
      <c r="L230" s="4" t="s">
        <v>542</v>
      </c>
      <c r="M230" s="36" t="s">
        <v>1509</v>
      </c>
      <c r="N230" s="4" t="s">
        <v>3917</v>
      </c>
    </row>
    <row r="231" spans="1:14" ht="15.75">
      <c r="A231" s="17">
        <f t="shared" si="17"/>
        <v>230</v>
      </c>
      <c r="B231" s="19">
        <v>45861</v>
      </c>
      <c r="C231" s="19">
        <v>45861</v>
      </c>
      <c r="D231" s="10" t="s">
        <v>1508</v>
      </c>
      <c r="G231" s="39">
        <v>54452</v>
      </c>
      <c r="H231" s="4">
        <v>0</v>
      </c>
      <c r="I231" s="218">
        <f t="shared" si="16"/>
        <v>-54452</v>
      </c>
      <c r="J231" s="39">
        <f t="shared" si="18"/>
        <v>61678506.600000001</v>
      </c>
      <c r="K231" s="39"/>
      <c r="L231" s="4" t="s">
        <v>542</v>
      </c>
      <c r="M231" s="36" t="s">
        <v>1510</v>
      </c>
      <c r="N231" s="4" t="s">
        <v>3917</v>
      </c>
    </row>
    <row r="232" spans="1:14" ht="15.75">
      <c r="A232" s="17">
        <f t="shared" si="17"/>
        <v>231</v>
      </c>
      <c r="B232" s="19">
        <v>45861</v>
      </c>
      <c r="C232" s="19">
        <v>45861</v>
      </c>
      <c r="D232" s="10" t="s">
        <v>1511</v>
      </c>
      <c r="G232" s="39">
        <v>25000</v>
      </c>
      <c r="H232" s="4">
        <v>0</v>
      </c>
      <c r="I232" s="218">
        <f t="shared" si="16"/>
        <v>-25000</v>
      </c>
      <c r="J232" s="39">
        <f t="shared" si="18"/>
        <v>61653506.600000001</v>
      </c>
      <c r="K232" s="39"/>
      <c r="L232" s="4" t="s">
        <v>542</v>
      </c>
      <c r="M232" s="36" t="s">
        <v>1512</v>
      </c>
      <c r="N232" s="4" t="s">
        <v>3917</v>
      </c>
    </row>
    <row r="233" spans="1:14" ht="15.75">
      <c r="A233" s="17">
        <f t="shared" si="17"/>
        <v>232</v>
      </c>
      <c r="B233" s="19">
        <v>45861</v>
      </c>
      <c r="C233" s="19">
        <v>45861</v>
      </c>
      <c r="D233" s="10" t="s">
        <v>1513</v>
      </c>
      <c r="G233" s="39">
        <v>36270</v>
      </c>
      <c r="H233" s="4">
        <v>0</v>
      </c>
      <c r="I233" s="218">
        <f t="shared" si="16"/>
        <v>-36270</v>
      </c>
      <c r="J233" s="39">
        <f t="shared" si="18"/>
        <v>61617236.600000001</v>
      </c>
      <c r="K233" s="39"/>
      <c r="L233" s="4" t="s">
        <v>542</v>
      </c>
      <c r="M233" s="36" t="s">
        <v>1514</v>
      </c>
      <c r="N233" s="4" t="s">
        <v>3917</v>
      </c>
    </row>
    <row r="234" spans="1:14" ht="15.75">
      <c r="A234" s="17">
        <f t="shared" si="17"/>
        <v>233</v>
      </c>
      <c r="B234" s="19">
        <v>45861</v>
      </c>
      <c r="C234" s="19">
        <v>45861</v>
      </c>
      <c r="D234" s="10" t="s">
        <v>1473</v>
      </c>
      <c r="G234" s="39">
        <v>40950</v>
      </c>
      <c r="H234" s="4">
        <v>0</v>
      </c>
      <c r="I234" s="218">
        <f t="shared" si="16"/>
        <v>-40950</v>
      </c>
      <c r="J234" s="39">
        <f t="shared" si="18"/>
        <v>61576286.600000001</v>
      </c>
      <c r="K234" s="39"/>
      <c r="L234" s="4" t="s">
        <v>542</v>
      </c>
      <c r="M234" s="36" t="s">
        <v>1515</v>
      </c>
      <c r="N234" s="4" t="s">
        <v>3917</v>
      </c>
    </row>
    <row r="235" spans="1:14">
      <c r="A235" s="17">
        <f t="shared" si="17"/>
        <v>234</v>
      </c>
      <c r="B235" s="65">
        <f>B234+1</f>
        <v>45862</v>
      </c>
      <c r="C235" s="65">
        <f>C234+1</f>
        <v>45862</v>
      </c>
      <c r="G235" s="64">
        <v>0</v>
      </c>
      <c r="H235" s="64">
        <v>0</v>
      </c>
      <c r="I235" s="218">
        <f t="shared" si="16"/>
        <v>0</v>
      </c>
      <c r="J235" s="39">
        <f t="shared" si="18"/>
        <v>61576286.600000001</v>
      </c>
      <c r="K235" s="39"/>
      <c r="L235" s="4" t="s">
        <v>542</v>
      </c>
      <c r="N235" s="4" t="s">
        <v>3917</v>
      </c>
    </row>
    <row r="236" spans="1:14" ht="15.75">
      <c r="A236" s="17">
        <f t="shared" si="17"/>
        <v>235</v>
      </c>
      <c r="B236" s="19">
        <v>45862</v>
      </c>
      <c r="C236" s="19">
        <v>45862</v>
      </c>
      <c r="D236" t="s">
        <v>1539</v>
      </c>
      <c r="G236" s="64">
        <v>20000000</v>
      </c>
      <c r="H236" s="64">
        <v>0</v>
      </c>
      <c r="I236" s="218">
        <f t="shared" si="16"/>
        <v>-20000000</v>
      </c>
      <c r="J236" s="64">
        <v>41576286.600000001</v>
      </c>
      <c r="L236" s="4" t="s">
        <v>542</v>
      </c>
      <c r="M236" s="235" t="s">
        <v>377</v>
      </c>
      <c r="N236" s="4" t="s">
        <v>3917</v>
      </c>
    </row>
    <row r="237" spans="1:14" ht="15.75">
      <c r="A237" s="17">
        <f t="shared" si="17"/>
        <v>236</v>
      </c>
      <c r="B237" s="19">
        <v>45862</v>
      </c>
      <c r="C237" s="19">
        <v>45862</v>
      </c>
      <c r="D237" t="s">
        <v>1540</v>
      </c>
      <c r="G237" s="64">
        <v>50000000</v>
      </c>
      <c r="H237" s="64">
        <v>0</v>
      </c>
      <c r="I237" s="218">
        <f t="shared" si="16"/>
        <v>-50000000</v>
      </c>
      <c r="J237" s="64">
        <v>-8423713.4000000004</v>
      </c>
      <c r="L237" s="4" t="s">
        <v>542</v>
      </c>
      <c r="M237" s="235"/>
      <c r="N237" s="4" t="s">
        <v>3917</v>
      </c>
    </row>
    <row r="238" spans="1:14" ht="15.75">
      <c r="A238" s="17">
        <f t="shared" si="17"/>
        <v>237</v>
      </c>
      <c r="B238" s="19">
        <v>45862</v>
      </c>
      <c r="C238" s="19">
        <v>45862</v>
      </c>
      <c r="D238" t="s">
        <v>1541</v>
      </c>
      <c r="G238" s="64">
        <v>0</v>
      </c>
      <c r="H238" s="64">
        <v>330370</v>
      </c>
      <c r="I238" s="218">
        <f t="shared" si="16"/>
        <v>330370</v>
      </c>
      <c r="J238" s="64">
        <v>-8093343.4000000004</v>
      </c>
      <c r="L238" s="4" t="s">
        <v>3723</v>
      </c>
      <c r="M238" s="235" t="s">
        <v>1548</v>
      </c>
      <c r="N238" s="4" t="s">
        <v>3917</v>
      </c>
    </row>
    <row r="239" spans="1:14" ht="15.75">
      <c r="A239" s="17">
        <f t="shared" si="17"/>
        <v>238</v>
      </c>
      <c r="B239" s="19">
        <v>45862</v>
      </c>
      <c r="C239" s="19">
        <v>45862</v>
      </c>
      <c r="D239" t="s">
        <v>1542</v>
      </c>
      <c r="G239" s="64">
        <v>225000</v>
      </c>
      <c r="H239" s="64">
        <v>0</v>
      </c>
      <c r="I239" s="218">
        <f t="shared" si="16"/>
        <v>-225000</v>
      </c>
      <c r="J239" s="64">
        <v>-8318343.4000000004</v>
      </c>
      <c r="L239" s="4" t="s">
        <v>542</v>
      </c>
      <c r="M239" s="235" t="s">
        <v>3238</v>
      </c>
      <c r="N239" s="4" t="s">
        <v>3917</v>
      </c>
    </row>
    <row r="240" spans="1:14" ht="15.75">
      <c r="A240" s="17">
        <f t="shared" si="17"/>
        <v>239</v>
      </c>
      <c r="B240" s="19">
        <v>45863</v>
      </c>
      <c r="C240" s="19">
        <v>45863</v>
      </c>
      <c r="D240" t="s">
        <v>1536</v>
      </c>
      <c r="G240" s="64">
        <v>19200</v>
      </c>
      <c r="H240" s="64">
        <v>0</v>
      </c>
      <c r="I240" s="218">
        <f t="shared" si="16"/>
        <v>-19200</v>
      </c>
      <c r="J240" s="64">
        <v>-8337543.4000000004</v>
      </c>
      <c r="L240" s="4" t="s">
        <v>542</v>
      </c>
      <c r="M240" s="235" t="s">
        <v>3238</v>
      </c>
      <c r="N240" s="4" t="s">
        <v>3917</v>
      </c>
    </row>
    <row r="241" spans="1:14" ht="15.75">
      <c r="A241" s="17">
        <f t="shared" si="17"/>
        <v>240</v>
      </c>
      <c r="B241" s="19">
        <v>45863</v>
      </c>
      <c r="C241" s="19">
        <v>45863</v>
      </c>
      <c r="D241" t="s">
        <v>537</v>
      </c>
      <c r="G241" s="64">
        <v>25000000</v>
      </c>
      <c r="H241" s="64">
        <v>0</v>
      </c>
      <c r="I241" s="218">
        <f t="shared" si="16"/>
        <v>-25000000</v>
      </c>
      <c r="J241" s="64">
        <v>-33337543.399999999</v>
      </c>
      <c r="L241" s="4" t="s">
        <v>542</v>
      </c>
      <c r="M241" s="235"/>
      <c r="N241" s="4" t="s">
        <v>3917</v>
      </c>
    </row>
    <row r="242" spans="1:14" ht="15.75">
      <c r="A242" s="17">
        <f t="shared" si="17"/>
        <v>241</v>
      </c>
      <c r="B242" s="19">
        <v>45863</v>
      </c>
      <c r="C242" s="19">
        <v>45863</v>
      </c>
      <c r="D242" t="s">
        <v>1543</v>
      </c>
      <c r="G242" s="64">
        <v>0</v>
      </c>
      <c r="H242" s="64">
        <v>77026846</v>
      </c>
      <c r="I242" s="218">
        <f t="shared" si="16"/>
        <v>77026846</v>
      </c>
      <c r="J242" s="64">
        <v>43689302.600000001</v>
      </c>
      <c r="L242" s="250" t="s">
        <v>3723</v>
      </c>
      <c r="M242" s="235"/>
      <c r="N242" s="4" t="s">
        <v>3917</v>
      </c>
    </row>
    <row r="243" spans="1:14" ht="15.75">
      <c r="A243" s="17">
        <f t="shared" si="17"/>
        <v>242</v>
      </c>
      <c r="B243" s="19">
        <v>45863</v>
      </c>
      <c r="C243" s="19">
        <v>45863</v>
      </c>
      <c r="D243" t="s">
        <v>1544</v>
      </c>
      <c r="G243" s="64">
        <v>0</v>
      </c>
      <c r="H243" s="64">
        <v>50000000</v>
      </c>
      <c r="I243" s="218">
        <f t="shared" si="16"/>
        <v>50000000</v>
      </c>
      <c r="J243" s="64">
        <v>93689302.599999994</v>
      </c>
      <c r="L243" s="4" t="s">
        <v>3723</v>
      </c>
      <c r="M243" s="235" t="s">
        <v>1011</v>
      </c>
      <c r="N243" s="4" t="s">
        <v>3917</v>
      </c>
    </row>
    <row r="244" spans="1:14" ht="15.75">
      <c r="A244" s="17">
        <f t="shared" si="17"/>
        <v>243</v>
      </c>
      <c r="B244" s="19">
        <v>45863</v>
      </c>
      <c r="C244" s="19">
        <v>45863</v>
      </c>
      <c r="D244" t="s">
        <v>197</v>
      </c>
      <c r="G244" s="64">
        <v>0</v>
      </c>
      <c r="H244" s="64">
        <v>2200000</v>
      </c>
      <c r="I244" s="218">
        <f t="shared" si="16"/>
        <v>2200000</v>
      </c>
      <c r="J244" s="64">
        <v>95889302.599999994</v>
      </c>
      <c r="L244" s="4" t="s">
        <v>3723</v>
      </c>
      <c r="M244" s="235" t="s">
        <v>1549</v>
      </c>
      <c r="N244" s="4" t="s">
        <v>3917</v>
      </c>
    </row>
    <row r="245" spans="1:14" ht="15.75">
      <c r="A245" s="17">
        <f t="shared" si="17"/>
        <v>244</v>
      </c>
      <c r="B245" s="19">
        <v>45863</v>
      </c>
      <c r="C245" s="19">
        <v>45863</v>
      </c>
      <c r="D245" t="s">
        <v>1545</v>
      </c>
      <c r="G245" s="64">
        <v>0</v>
      </c>
      <c r="H245" s="64">
        <v>30000000</v>
      </c>
      <c r="I245" s="218">
        <f t="shared" si="16"/>
        <v>30000000</v>
      </c>
      <c r="J245" s="64">
        <v>125889302.59999999</v>
      </c>
      <c r="L245" s="4" t="s">
        <v>3723</v>
      </c>
      <c r="M245" s="235" t="s">
        <v>1011</v>
      </c>
      <c r="N245" s="4" t="s">
        <v>3917</v>
      </c>
    </row>
    <row r="246" spans="1:14" ht="15.75">
      <c r="A246" s="17">
        <f t="shared" si="17"/>
        <v>245</v>
      </c>
      <c r="B246" s="19">
        <v>45863</v>
      </c>
      <c r="C246" s="19">
        <v>45863</v>
      </c>
      <c r="D246" t="s">
        <v>1546</v>
      </c>
      <c r="G246" s="64">
        <v>50000000</v>
      </c>
      <c r="H246" s="64">
        <v>0</v>
      </c>
      <c r="I246" s="218">
        <f t="shared" si="16"/>
        <v>-50000000</v>
      </c>
      <c r="J246" s="64">
        <v>75889302.599999994</v>
      </c>
      <c r="L246" s="4" t="s">
        <v>542</v>
      </c>
      <c r="M246" s="235" t="s">
        <v>1017</v>
      </c>
      <c r="N246" s="4" t="s">
        <v>3917</v>
      </c>
    </row>
    <row r="247" spans="1:14" ht="15.75">
      <c r="A247" s="17">
        <f t="shared" si="17"/>
        <v>246</v>
      </c>
      <c r="B247" s="19">
        <v>45863</v>
      </c>
      <c r="C247" s="19">
        <v>45863</v>
      </c>
      <c r="D247" t="s">
        <v>1547</v>
      </c>
      <c r="G247" s="64">
        <v>29959264</v>
      </c>
      <c r="H247" s="64">
        <v>0</v>
      </c>
      <c r="I247" s="218">
        <f t="shared" si="16"/>
        <v>-29959264</v>
      </c>
      <c r="J247" s="64">
        <v>45930038.600000001</v>
      </c>
      <c r="L247" s="4" t="s">
        <v>3719</v>
      </c>
      <c r="M247" s="235" t="s">
        <v>1017</v>
      </c>
      <c r="N247" s="4" t="s">
        <v>3917</v>
      </c>
    </row>
    <row r="248" spans="1:14" ht="15.75">
      <c r="A248" s="17">
        <f t="shared" si="17"/>
        <v>247</v>
      </c>
      <c r="B248" s="19">
        <v>45863</v>
      </c>
      <c r="C248" s="19">
        <v>45863</v>
      </c>
      <c r="D248" t="s">
        <v>173</v>
      </c>
      <c r="G248" s="64">
        <v>101240</v>
      </c>
      <c r="H248" s="64">
        <v>0</v>
      </c>
      <c r="I248" s="218">
        <f t="shared" si="16"/>
        <v>-101240</v>
      </c>
      <c r="J248" s="64">
        <v>45828798.600000001</v>
      </c>
      <c r="L248" s="4" t="s">
        <v>3719</v>
      </c>
      <c r="M248" s="235"/>
      <c r="N248" s="4" t="s">
        <v>3917</v>
      </c>
    </row>
    <row r="249" spans="1:14" ht="15.75">
      <c r="A249" s="17">
        <f t="shared" si="17"/>
        <v>248</v>
      </c>
      <c r="B249" s="19">
        <v>45863</v>
      </c>
      <c r="C249" s="19">
        <v>45863</v>
      </c>
      <c r="D249" t="s">
        <v>537</v>
      </c>
      <c r="G249" s="64">
        <v>1449706</v>
      </c>
      <c r="H249" s="64">
        <v>0</v>
      </c>
      <c r="I249" s="218">
        <f t="shared" si="16"/>
        <v>-1449706</v>
      </c>
      <c r="J249" s="64">
        <v>44379092.600000001</v>
      </c>
      <c r="L249" s="4" t="s">
        <v>3719</v>
      </c>
      <c r="M249" s="235"/>
      <c r="N249" s="4" t="s">
        <v>3917</v>
      </c>
    </row>
    <row r="250" spans="1:14" ht="15.75">
      <c r="A250" s="17">
        <f t="shared" si="17"/>
        <v>249</v>
      </c>
      <c r="C250" s="1108">
        <v>45864</v>
      </c>
      <c r="D250" s="1114" t="s">
        <v>1363</v>
      </c>
      <c r="G250" s="1123">
        <v>1500000</v>
      </c>
      <c r="H250" s="1124">
        <v>0</v>
      </c>
      <c r="I250" s="218">
        <f t="shared" si="16"/>
        <v>-1500000</v>
      </c>
      <c r="J250" s="1124">
        <v>42879092.600000001</v>
      </c>
      <c r="L250" s="1125" t="s">
        <v>542</v>
      </c>
      <c r="M250" s="1114" t="s">
        <v>3564</v>
      </c>
      <c r="N250" s="4" t="s">
        <v>3917</v>
      </c>
    </row>
    <row r="251" spans="1:14" ht="15.75">
      <c r="A251" s="17">
        <f t="shared" si="17"/>
        <v>250</v>
      </c>
      <c r="C251" s="1108">
        <v>45864</v>
      </c>
      <c r="D251" s="1114" t="s">
        <v>3311</v>
      </c>
      <c r="G251" s="1123">
        <v>600000</v>
      </c>
      <c r="H251" s="1124">
        <v>0</v>
      </c>
      <c r="I251" s="218">
        <f t="shared" si="16"/>
        <v>-600000</v>
      </c>
      <c r="J251" s="1124">
        <v>42279092.600000001</v>
      </c>
      <c r="L251" s="1125" t="s">
        <v>3719</v>
      </c>
      <c r="M251" s="1114" t="s">
        <v>1499</v>
      </c>
      <c r="N251" s="4" t="s">
        <v>3917</v>
      </c>
    </row>
    <row r="252" spans="1:14" ht="15.75">
      <c r="A252" s="17">
        <f t="shared" si="17"/>
        <v>251</v>
      </c>
      <c r="C252" s="1108">
        <v>45864</v>
      </c>
      <c r="D252" s="1114" t="s">
        <v>1037</v>
      </c>
      <c r="G252" s="1123">
        <v>0</v>
      </c>
      <c r="H252" s="1124">
        <v>1500000</v>
      </c>
      <c r="I252" s="218">
        <f t="shared" si="16"/>
        <v>1500000</v>
      </c>
      <c r="J252" s="1124">
        <v>43779092.600000001</v>
      </c>
      <c r="L252" s="1125" t="s">
        <v>3723</v>
      </c>
      <c r="M252" s="1114" t="s">
        <v>3564</v>
      </c>
      <c r="N252" s="4" t="s">
        <v>3917</v>
      </c>
    </row>
    <row r="253" spans="1:14" ht="15.75">
      <c r="A253" s="17">
        <f t="shared" si="17"/>
        <v>252</v>
      </c>
      <c r="C253" s="1108">
        <v>45864</v>
      </c>
      <c r="D253" s="1114" t="s">
        <v>3312</v>
      </c>
      <c r="G253" s="1123">
        <v>1500000</v>
      </c>
      <c r="H253" s="1124">
        <v>0</v>
      </c>
      <c r="I253" s="218">
        <f t="shared" si="16"/>
        <v>-1500000</v>
      </c>
      <c r="J253" s="1124">
        <v>42279092.600000001</v>
      </c>
      <c r="L253" s="1125" t="s">
        <v>3719</v>
      </c>
      <c r="M253" s="1114" t="s">
        <v>3565</v>
      </c>
      <c r="N253" s="4" t="s">
        <v>3917</v>
      </c>
    </row>
    <row r="254" spans="1:14" ht="15.75">
      <c r="A254" s="17">
        <f t="shared" si="17"/>
        <v>253</v>
      </c>
      <c r="C254" s="1108">
        <v>45864</v>
      </c>
      <c r="D254" s="1114" t="s">
        <v>552</v>
      </c>
      <c r="G254" s="1123">
        <v>369800</v>
      </c>
      <c r="H254" s="1124">
        <v>0</v>
      </c>
      <c r="I254" s="218">
        <f t="shared" si="16"/>
        <v>-369800</v>
      </c>
      <c r="J254" s="1124">
        <v>41909292.600000001</v>
      </c>
      <c r="L254" s="1125" t="s">
        <v>3719</v>
      </c>
      <c r="M254" s="1114" t="s">
        <v>3566</v>
      </c>
      <c r="N254" s="4" t="s">
        <v>3917</v>
      </c>
    </row>
    <row r="255" spans="1:14" ht="15.75">
      <c r="A255" s="17">
        <f t="shared" si="17"/>
        <v>254</v>
      </c>
      <c r="C255" s="1108">
        <v>45864</v>
      </c>
      <c r="D255" s="1114" t="s">
        <v>3313</v>
      </c>
      <c r="G255" s="1123">
        <v>821421</v>
      </c>
      <c r="H255" s="1124">
        <v>0</v>
      </c>
      <c r="I255" s="218">
        <f t="shared" si="16"/>
        <v>-821421</v>
      </c>
      <c r="J255" s="1124">
        <v>41087871.600000001</v>
      </c>
      <c r="L255" s="1125" t="s">
        <v>3719</v>
      </c>
      <c r="M255" s="1114" t="s">
        <v>3567</v>
      </c>
      <c r="N255" s="4" t="s">
        <v>3917</v>
      </c>
    </row>
    <row r="256" spans="1:14" ht="15.75">
      <c r="A256" s="17">
        <f t="shared" si="17"/>
        <v>255</v>
      </c>
      <c r="C256" s="1108">
        <v>45864</v>
      </c>
      <c r="D256" s="1114" t="s">
        <v>173</v>
      </c>
      <c r="G256" s="1123">
        <v>650430</v>
      </c>
      <c r="H256" s="1124">
        <v>0</v>
      </c>
      <c r="I256" s="218">
        <f t="shared" si="16"/>
        <v>-650430</v>
      </c>
      <c r="J256" s="1124">
        <v>40437441.600000001</v>
      </c>
      <c r="L256" s="1125" t="s">
        <v>3719</v>
      </c>
      <c r="M256" s="1114"/>
      <c r="N256" s="4" t="s">
        <v>3917</v>
      </c>
    </row>
    <row r="257" spans="1:14" ht="15.75">
      <c r="A257" s="17">
        <f t="shared" si="17"/>
        <v>256</v>
      </c>
      <c r="C257" s="1109">
        <f>C256+1</f>
        <v>45865</v>
      </c>
      <c r="D257" s="55">
        <v>0</v>
      </c>
      <c r="G257" s="1126">
        <v>0</v>
      </c>
      <c r="H257" s="1127">
        <v>0</v>
      </c>
      <c r="I257" s="218">
        <f t="shared" si="16"/>
        <v>0</v>
      </c>
      <c r="J257" s="1124">
        <v>40437441.600000001</v>
      </c>
      <c r="L257" s="1128" t="s">
        <v>3719</v>
      </c>
      <c r="M257" s="55"/>
      <c r="N257" s="4" t="s">
        <v>3917</v>
      </c>
    </row>
    <row r="258" spans="1:14" ht="15.75">
      <c r="A258" s="17">
        <f t="shared" si="17"/>
        <v>257</v>
      </c>
      <c r="C258" s="1109">
        <v>45866</v>
      </c>
      <c r="D258" s="55" t="s">
        <v>490</v>
      </c>
      <c r="G258" s="1129">
        <v>0</v>
      </c>
      <c r="H258" s="22">
        <v>400000</v>
      </c>
      <c r="I258" s="218">
        <f t="shared" ref="I258:I321" si="19">H258-G258</f>
        <v>400000</v>
      </c>
      <c r="J258" s="22">
        <v>40837441.600000001</v>
      </c>
      <c r="L258" s="15" t="s">
        <v>3723</v>
      </c>
      <c r="M258" s="15" t="s">
        <v>3568</v>
      </c>
      <c r="N258" s="4" t="s">
        <v>3917</v>
      </c>
    </row>
    <row r="259" spans="1:14" ht="15.75">
      <c r="A259" s="17">
        <f t="shared" si="17"/>
        <v>258</v>
      </c>
      <c r="C259" s="1109">
        <v>45866</v>
      </c>
      <c r="D259" s="55" t="s">
        <v>197</v>
      </c>
      <c r="G259" s="1129">
        <v>0</v>
      </c>
      <c r="H259" s="22">
        <v>250000</v>
      </c>
      <c r="I259" s="218">
        <f t="shared" si="19"/>
        <v>250000</v>
      </c>
      <c r="J259" s="22">
        <v>41087441.600000001</v>
      </c>
      <c r="L259" s="15" t="s">
        <v>3723</v>
      </c>
      <c r="M259" s="15" t="s">
        <v>1549</v>
      </c>
      <c r="N259" s="4" t="s">
        <v>3917</v>
      </c>
    </row>
    <row r="260" spans="1:14" ht="15.75">
      <c r="A260" s="17">
        <f t="shared" ref="A260:A323" si="20">A259+1</f>
        <v>259</v>
      </c>
      <c r="C260" s="1109">
        <v>45866</v>
      </c>
      <c r="D260" s="55" t="s">
        <v>197</v>
      </c>
      <c r="G260" s="1129">
        <v>0</v>
      </c>
      <c r="H260" s="22">
        <v>500000</v>
      </c>
      <c r="I260" s="218">
        <f t="shared" si="19"/>
        <v>500000</v>
      </c>
      <c r="J260" s="22">
        <v>41587441.600000001</v>
      </c>
      <c r="L260" s="15" t="s">
        <v>3723</v>
      </c>
      <c r="M260" s="15" t="s">
        <v>3569</v>
      </c>
      <c r="N260" s="4" t="s">
        <v>3917</v>
      </c>
    </row>
    <row r="261" spans="1:14" ht="15.75">
      <c r="A261" s="17">
        <f t="shared" si="20"/>
        <v>260</v>
      </c>
      <c r="C261" s="1109">
        <v>45866</v>
      </c>
      <c r="D261" s="55" t="s">
        <v>197</v>
      </c>
      <c r="G261" s="1129">
        <v>0</v>
      </c>
      <c r="H261" s="22">
        <v>1200000</v>
      </c>
      <c r="I261" s="218">
        <f t="shared" si="19"/>
        <v>1200000</v>
      </c>
      <c r="J261" s="22">
        <v>42787441.600000001</v>
      </c>
      <c r="L261" s="15" t="s">
        <v>3723</v>
      </c>
      <c r="M261" s="15" t="s">
        <v>3570</v>
      </c>
      <c r="N261" s="4" t="s">
        <v>3917</v>
      </c>
    </row>
    <row r="262" spans="1:14" ht="15.75">
      <c r="A262" s="17">
        <f t="shared" si="20"/>
        <v>261</v>
      </c>
      <c r="C262" s="1109">
        <v>45866</v>
      </c>
      <c r="D262" s="55" t="s">
        <v>3314</v>
      </c>
      <c r="G262" s="1129">
        <v>596371</v>
      </c>
      <c r="H262" s="22">
        <v>0</v>
      </c>
      <c r="I262" s="218">
        <f t="shared" si="19"/>
        <v>-596371</v>
      </c>
      <c r="J262" s="22">
        <v>42191070.600000001</v>
      </c>
      <c r="L262" s="15" t="s">
        <v>3724</v>
      </c>
      <c r="M262" s="15" t="s">
        <v>3571</v>
      </c>
      <c r="N262" s="4" t="s">
        <v>3917</v>
      </c>
    </row>
    <row r="263" spans="1:14" ht="15.75">
      <c r="A263" s="17">
        <f t="shared" si="20"/>
        <v>262</v>
      </c>
      <c r="C263" s="1109">
        <v>45866</v>
      </c>
      <c r="D263" s="55" t="s">
        <v>3315</v>
      </c>
      <c r="G263" s="1129">
        <v>0</v>
      </c>
      <c r="H263" s="22">
        <v>500000</v>
      </c>
      <c r="I263" s="218">
        <f t="shared" si="19"/>
        <v>500000</v>
      </c>
      <c r="J263" s="22">
        <v>42691070.600000001</v>
      </c>
      <c r="L263" s="15" t="s">
        <v>3723</v>
      </c>
      <c r="M263" s="15" t="s">
        <v>3572</v>
      </c>
      <c r="N263" s="4" t="s">
        <v>3917</v>
      </c>
    </row>
    <row r="264" spans="1:14" ht="16.5">
      <c r="A264" s="17">
        <f t="shared" si="20"/>
        <v>263</v>
      </c>
      <c r="C264" s="1109">
        <v>45867</v>
      </c>
      <c r="D264" s="1115" t="s">
        <v>3316</v>
      </c>
      <c r="G264" s="1130">
        <v>510000</v>
      </c>
      <c r="H264" s="1131">
        <v>0</v>
      </c>
      <c r="I264" s="218">
        <f t="shared" si="19"/>
        <v>-510000</v>
      </c>
      <c r="J264" s="64">
        <f t="shared" ref="J264:J269" si="21">J263-G264</f>
        <v>42181070.600000001</v>
      </c>
      <c r="L264" s="4" t="s">
        <v>3719</v>
      </c>
      <c r="M264" s="10" t="s">
        <v>3573</v>
      </c>
      <c r="N264" s="4" t="s">
        <v>3917</v>
      </c>
    </row>
    <row r="265" spans="1:14" ht="16.5">
      <c r="A265" s="17">
        <f t="shared" si="20"/>
        <v>264</v>
      </c>
      <c r="C265" s="1109">
        <v>45867</v>
      </c>
      <c r="D265" s="1115" t="s">
        <v>3316</v>
      </c>
      <c r="G265" s="1130">
        <v>510000</v>
      </c>
      <c r="H265" s="1131">
        <v>0</v>
      </c>
      <c r="I265" s="218">
        <f t="shared" si="19"/>
        <v>-510000</v>
      </c>
      <c r="J265" s="64">
        <f t="shared" si="21"/>
        <v>41671070.600000001</v>
      </c>
      <c r="L265" s="4" t="s">
        <v>3724</v>
      </c>
      <c r="M265" s="10" t="s">
        <v>3573</v>
      </c>
      <c r="N265" s="4" t="s">
        <v>3917</v>
      </c>
    </row>
    <row r="266" spans="1:14" ht="16.5">
      <c r="A266" s="17">
        <f t="shared" si="20"/>
        <v>265</v>
      </c>
      <c r="C266" s="1109">
        <v>45867</v>
      </c>
      <c r="D266" s="1115" t="s">
        <v>634</v>
      </c>
      <c r="G266" s="1130">
        <v>700000</v>
      </c>
      <c r="H266" s="1131">
        <v>0</v>
      </c>
      <c r="I266" s="218">
        <f t="shared" si="19"/>
        <v>-700000</v>
      </c>
      <c r="J266" s="64">
        <f t="shared" si="21"/>
        <v>40971070.600000001</v>
      </c>
      <c r="L266" s="4" t="s">
        <v>3719</v>
      </c>
      <c r="M266" s="10" t="s">
        <v>630</v>
      </c>
      <c r="N266" s="4" t="s">
        <v>3917</v>
      </c>
    </row>
    <row r="267" spans="1:14" ht="16.5">
      <c r="A267" s="17">
        <f t="shared" si="20"/>
        <v>266</v>
      </c>
      <c r="C267" s="1109">
        <v>45867</v>
      </c>
      <c r="D267" s="1115" t="s">
        <v>631</v>
      </c>
      <c r="G267" s="1130">
        <v>600000</v>
      </c>
      <c r="H267" s="1131">
        <v>0</v>
      </c>
      <c r="I267" s="218">
        <f t="shared" si="19"/>
        <v>-600000</v>
      </c>
      <c r="J267" s="64">
        <f t="shared" si="21"/>
        <v>40371070.600000001</v>
      </c>
      <c r="L267" s="4" t="s">
        <v>3719</v>
      </c>
      <c r="M267" s="10" t="s">
        <v>630</v>
      </c>
      <c r="N267" s="4" t="s">
        <v>3917</v>
      </c>
    </row>
    <row r="268" spans="1:14" ht="16.5">
      <c r="A268" s="17">
        <f t="shared" si="20"/>
        <v>267</v>
      </c>
      <c r="C268" s="1109">
        <v>45867</v>
      </c>
      <c r="D268" s="1115" t="s">
        <v>633</v>
      </c>
      <c r="G268" s="1130">
        <v>1300000</v>
      </c>
      <c r="H268" s="1131">
        <v>0</v>
      </c>
      <c r="I268" s="218">
        <f t="shared" si="19"/>
        <v>-1300000</v>
      </c>
      <c r="J268" s="64">
        <f t="shared" si="21"/>
        <v>39071070.600000001</v>
      </c>
      <c r="L268" s="4" t="s">
        <v>3719</v>
      </c>
      <c r="M268" s="10" t="s">
        <v>630</v>
      </c>
      <c r="N268" s="4" t="s">
        <v>3917</v>
      </c>
    </row>
    <row r="269" spans="1:14" ht="16.5">
      <c r="A269" s="17">
        <f t="shared" si="20"/>
        <v>268</v>
      </c>
      <c r="C269" s="1109">
        <v>45867</v>
      </c>
      <c r="D269" s="1115" t="s">
        <v>632</v>
      </c>
      <c r="G269" s="1130">
        <v>250000</v>
      </c>
      <c r="H269" s="1131">
        <v>0</v>
      </c>
      <c r="I269" s="218">
        <f t="shared" si="19"/>
        <v>-250000</v>
      </c>
      <c r="J269" s="64">
        <f t="shared" si="21"/>
        <v>38821070.600000001</v>
      </c>
      <c r="L269" s="4" t="s">
        <v>3719</v>
      </c>
      <c r="M269" s="10" t="s">
        <v>630</v>
      </c>
      <c r="N269" s="4" t="s">
        <v>3917</v>
      </c>
    </row>
    <row r="270" spans="1:14" ht="14.25">
      <c r="A270" s="17">
        <f t="shared" si="20"/>
        <v>269</v>
      </c>
      <c r="C270" s="1110">
        <v>45868</v>
      </c>
      <c r="D270" s="15" t="s">
        <v>197</v>
      </c>
      <c r="G270" s="1132">
        <v>0</v>
      </c>
      <c r="H270" s="1133">
        <v>550000</v>
      </c>
      <c r="I270" s="218">
        <f t="shared" si="19"/>
        <v>550000</v>
      </c>
      <c r="J270" s="1134">
        <v>39371070.600000001</v>
      </c>
      <c r="L270" s="4" t="s">
        <v>3723</v>
      </c>
      <c r="M270" s="10"/>
      <c r="N270" s="4" t="s">
        <v>3917</v>
      </c>
    </row>
    <row r="271" spans="1:14" ht="14.25">
      <c r="A271" s="17">
        <f t="shared" si="20"/>
        <v>270</v>
      </c>
      <c r="C271" s="1110">
        <v>45868</v>
      </c>
      <c r="D271" s="15" t="s">
        <v>537</v>
      </c>
      <c r="G271" s="1132">
        <v>3394790</v>
      </c>
      <c r="H271" s="1133">
        <v>0</v>
      </c>
      <c r="I271" s="218">
        <f t="shared" si="19"/>
        <v>-3394790</v>
      </c>
      <c r="J271" s="1134">
        <v>35976280.600000001</v>
      </c>
      <c r="L271" s="4" t="s">
        <v>3719</v>
      </c>
      <c r="M271" s="10"/>
      <c r="N271" s="4" t="s">
        <v>3917</v>
      </c>
    </row>
    <row r="272" spans="1:14" ht="14.25">
      <c r="A272" s="17">
        <f t="shared" si="20"/>
        <v>271</v>
      </c>
      <c r="C272" s="1110">
        <v>45868</v>
      </c>
      <c r="D272" s="15" t="s">
        <v>173</v>
      </c>
      <c r="G272" s="1132">
        <v>129149</v>
      </c>
      <c r="H272" s="1133">
        <v>0</v>
      </c>
      <c r="I272" s="218">
        <f t="shared" si="19"/>
        <v>-129149</v>
      </c>
      <c r="J272" s="1134">
        <v>35847131.600000001</v>
      </c>
      <c r="L272" s="4" t="s">
        <v>3724</v>
      </c>
      <c r="M272" s="10"/>
      <c r="N272" s="4" t="s">
        <v>3917</v>
      </c>
    </row>
    <row r="273" spans="1:14" ht="14.25">
      <c r="A273" s="17">
        <f t="shared" si="20"/>
        <v>272</v>
      </c>
      <c r="C273" s="1110">
        <v>45868</v>
      </c>
      <c r="D273" s="15" t="s">
        <v>197</v>
      </c>
      <c r="G273" s="1132">
        <v>0</v>
      </c>
      <c r="H273" s="1133">
        <v>400000</v>
      </c>
      <c r="I273" s="218">
        <f t="shared" si="19"/>
        <v>400000</v>
      </c>
      <c r="J273" s="1134">
        <v>36247131.600000001</v>
      </c>
      <c r="L273" s="4" t="s">
        <v>3723</v>
      </c>
      <c r="M273" s="10"/>
      <c r="N273" s="4" t="s">
        <v>3917</v>
      </c>
    </row>
    <row r="274" spans="1:14" ht="14.25">
      <c r="A274" s="17">
        <f t="shared" si="20"/>
        <v>273</v>
      </c>
      <c r="C274" s="1110">
        <v>45868</v>
      </c>
      <c r="D274" s="15" t="s">
        <v>3317</v>
      </c>
      <c r="G274" s="1132">
        <v>20000</v>
      </c>
      <c r="H274" s="1133">
        <v>0</v>
      </c>
      <c r="I274" s="218">
        <f t="shared" si="19"/>
        <v>-20000</v>
      </c>
      <c r="J274" s="1134">
        <v>36227131.600000001</v>
      </c>
      <c r="L274" s="4" t="s">
        <v>3724</v>
      </c>
      <c r="M274" s="10"/>
      <c r="N274" s="4" t="s">
        <v>3917</v>
      </c>
    </row>
    <row r="275" spans="1:14" ht="14.25">
      <c r="A275" s="17">
        <f t="shared" si="20"/>
        <v>274</v>
      </c>
      <c r="C275" s="1110">
        <v>45868</v>
      </c>
      <c r="D275" s="15" t="s">
        <v>197</v>
      </c>
      <c r="G275" s="1132">
        <v>0</v>
      </c>
      <c r="H275" s="1133">
        <v>500000</v>
      </c>
      <c r="I275" s="218">
        <f t="shared" si="19"/>
        <v>500000</v>
      </c>
      <c r="J275" s="1134">
        <v>36727131.600000001</v>
      </c>
      <c r="L275" s="4" t="s">
        <v>3723</v>
      </c>
      <c r="M275" s="10"/>
      <c r="N275" s="4" t="s">
        <v>3917</v>
      </c>
    </row>
    <row r="276" spans="1:14" ht="14.25">
      <c r="A276" s="17">
        <f t="shared" si="20"/>
        <v>275</v>
      </c>
      <c r="C276" s="1110">
        <v>45868</v>
      </c>
      <c r="D276" s="15" t="s">
        <v>197</v>
      </c>
      <c r="G276" s="1132">
        <v>0</v>
      </c>
      <c r="H276" s="1133">
        <v>650000</v>
      </c>
      <c r="I276" s="218">
        <f t="shared" si="19"/>
        <v>650000</v>
      </c>
      <c r="J276" s="1134">
        <v>37377131.600000001</v>
      </c>
      <c r="L276" s="4" t="s">
        <v>3723</v>
      </c>
      <c r="M276" s="10"/>
      <c r="N276" s="4" t="s">
        <v>3917</v>
      </c>
    </row>
    <row r="277" spans="1:14" ht="14.25">
      <c r="A277" s="17">
        <f t="shared" si="20"/>
        <v>276</v>
      </c>
      <c r="C277" s="1110">
        <v>45868</v>
      </c>
      <c r="D277" s="15" t="s">
        <v>197</v>
      </c>
      <c r="G277" s="1132">
        <v>0</v>
      </c>
      <c r="H277" s="1133">
        <v>3500000</v>
      </c>
      <c r="I277" s="218">
        <f t="shared" si="19"/>
        <v>3500000</v>
      </c>
      <c r="J277" s="1134">
        <v>40877131.600000001</v>
      </c>
      <c r="L277" s="4" t="s">
        <v>3723</v>
      </c>
      <c r="M277" s="10"/>
      <c r="N277" s="4" t="s">
        <v>3917</v>
      </c>
    </row>
    <row r="278" spans="1:14" ht="14.25">
      <c r="A278" s="17">
        <f t="shared" si="20"/>
        <v>277</v>
      </c>
      <c r="C278" s="1110">
        <v>45868</v>
      </c>
      <c r="D278" s="15" t="s">
        <v>537</v>
      </c>
      <c r="G278" s="1132">
        <v>1500000</v>
      </c>
      <c r="H278" s="1133">
        <v>0</v>
      </c>
      <c r="I278" s="218">
        <f t="shared" si="19"/>
        <v>-1500000</v>
      </c>
      <c r="J278" s="1134">
        <v>39377131.600000001</v>
      </c>
      <c r="L278" s="4" t="s">
        <v>3719</v>
      </c>
      <c r="M278" s="10"/>
      <c r="N278" s="4" t="s">
        <v>3917</v>
      </c>
    </row>
    <row r="279" spans="1:14" ht="14.25">
      <c r="A279" s="17">
        <f t="shared" si="20"/>
        <v>278</v>
      </c>
      <c r="C279" s="1110">
        <v>45868</v>
      </c>
      <c r="D279" s="15" t="s">
        <v>537</v>
      </c>
      <c r="G279" s="1132">
        <v>122450</v>
      </c>
      <c r="H279" s="1133">
        <v>0</v>
      </c>
      <c r="I279" s="218">
        <f t="shared" si="19"/>
        <v>-122450</v>
      </c>
      <c r="J279" s="1134">
        <v>39254681.600000001</v>
      </c>
      <c r="L279" s="4" t="s">
        <v>542</v>
      </c>
      <c r="M279" s="10"/>
      <c r="N279" s="4" t="s">
        <v>3917</v>
      </c>
    </row>
    <row r="280" spans="1:14" ht="14.25">
      <c r="A280" s="17">
        <f t="shared" si="20"/>
        <v>279</v>
      </c>
      <c r="C280" s="1110">
        <v>45868</v>
      </c>
      <c r="D280" s="15" t="s">
        <v>173</v>
      </c>
      <c r="G280" s="1132">
        <v>4600000</v>
      </c>
      <c r="H280" s="1133">
        <v>0</v>
      </c>
      <c r="I280" s="218">
        <f t="shared" si="19"/>
        <v>-4600000</v>
      </c>
      <c r="J280" s="1134">
        <v>34654681.600000001</v>
      </c>
      <c r="L280" s="4" t="s">
        <v>3720</v>
      </c>
      <c r="M280" s="10"/>
      <c r="N280" s="4" t="s">
        <v>3917</v>
      </c>
    </row>
    <row r="281" spans="1:14" ht="15.75">
      <c r="A281" s="17">
        <f t="shared" si="20"/>
        <v>280</v>
      </c>
      <c r="C281" s="1109">
        <v>45869</v>
      </c>
      <c r="D281" s="55" t="s">
        <v>3318</v>
      </c>
      <c r="G281" s="1135">
        <v>0</v>
      </c>
      <c r="H281" s="20">
        <v>604500.81000000006</v>
      </c>
      <c r="I281" s="218">
        <f t="shared" si="19"/>
        <v>604500.81000000006</v>
      </c>
      <c r="J281" s="22">
        <v>35259182.409999996</v>
      </c>
      <c r="L281" s="4" t="s">
        <v>3723</v>
      </c>
      <c r="M281" s="10" t="s">
        <v>3574</v>
      </c>
      <c r="N281" s="4" t="s">
        <v>3917</v>
      </c>
    </row>
    <row r="282" spans="1:14" ht="16.5">
      <c r="A282" s="17">
        <f t="shared" si="20"/>
        <v>281</v>
      </c>
      <c r="C282" s="1109">
        <v>45869</v>
      </c>
      <c r="D282" s="1116" t="s">
        <v>3319</v>
      </c>
      <c r="G282" s="1136">
        <v>62626</v>
      </c>
      <c r="H282" s="64">
        <v>0</v>
      </c>
      <c r="I282" s="218">
        <f t="shared" si="19"/>
        <v>-62626</v>
      </c>
      <c r="J282" s="64">
        <f t="shared" ref="J282:J293" si="22">J281-G282+H282</f>
        <v>35196556.409999996</v>
      </c>
      <c r="L282" s="4" t="s">
        <v>542</v>
      </c>
      <c r="M282" s="1117" t="s">
        <v>3575</v>
      </c>
      <c r="N282" s="4" t="s">
        <v>3917</v>
      </c>
    </row>
    <row r="283" spans="1:14" ht="16.5">
      <c r="A283" s="17">
        <f t="shared" si="20"/>
        <v>282</v>
      </c>
      <c r="C283" s="1109">
        <v>45869</v>
      </c>
      <c r="D283" s="1116" t="s">
        <v>3320</v>
      </c>
      <c r="G283" s="1136">
        <v>23600</v>
      </c>
      <c r="H283" s="64">
        <v>0</v>
      </c>
      <c r="I283" s="218">
        <f t="shared" si="19"/>
        <v>-23600</v>
      </c>
      <c r="J283" s="64">
        <f t="shared" si="22"/>
        <v>35172956.409999996</v>
      </c>
      <c r="L283" s="4" t="s">
        <v>542</v>
      </c>
      <c r="M283" s="1117" t="s">
        <v>3576</v>
      </c>
      <c r="N283" s="4" t="s">
        <v>3917</v>
      </c>
    </row>
    <row r="284" spans="1:14" ht="16.5">
      <c r="A284" s="17">
        <f t="shared" si="20"/>
        <v>283</v>
      </c>
      <c r="C284" s="1109">
        <v>45869</v>
      </c>
      <c r="D284" s="1116" t="s">
        <v>3321</v>
      </c>
      <c r="G284" s="1136">
        <v>110895</v>
      </c>
      <c r="H284" s="64">
        <v>0</v>
      </c>
      <c r="I284" s="218">
        <f t="shared" si="19"/>
        <v>-110895</v>
      </c>
      <c r="J284" s="64">
        <f t="shared" si="22"/>
        <v>35062061.409999996</v>
      </c>
      <c r="L284" s="4" t="s">
        <v>542</v>
      </c>
      <c r="M284" s="1117" t="s">
        <v>3577</v>
      </c>
      <c r="N284" s="4" t="s">
        <v>3917</v>
      </c>
    </row>
    <row r="285" spans="1:14" ht="16.5">
      <c r="A285" s="17">
        <f t="shared" si="20"/>
        <v>284</v>
      </c>
      <c r="C285" s="1109">
        <v>45869</v>
      </c>
      <c r="D285" s="1116" t="s">
        <v>3322</v>
      </c>
      <c r="G285" s="1137">
        <v>51932</v>
      </c>
      <c r="H285" s="64">
        <v>0</v>
      </c>
      <c r="I285" s="218">
        <f t="shared" si="19"/>
        <v>-51932</v>
      </c>
      <c r="J285" s="64">
        <f t="shared" si="22"/>
        <v>35010129.409999996</v>
      </c>
      <c r="L285" s="4" t="s">
        <v>542</v>
      </c>
      <c r="M285" s="1117" t="s">
        <v>3578</v>
      </c>
      <c r="N285" s="4" t="s">
        <v>3917</v>
      </c>
    </row>
    <row r="286" spans="1:14" ht="16.5">
      <c r="A286" s="17">
        <f t="shared" si="20"/>
        <v>285</v>
      </c>
      <c r="C286" s="1109">
        <v>45869</v>
      </c>
      <c r="D286" s="1116" t="s">
        <v>3323</v>
      </c>
      <c r="G286" s="1137">
        <v>457873</v>
      </c>
      <c r="H286" s="64">
        <v>0</v>
      </c>
      <c r="I286" s="218">
        <f t="shared" si="19"/>
        <v>-457873</v>
      </c>
      <c r="J286" s="64">
        <f t="shared" si="22"/>
        <v>34552256.409999996</v>
      </c>
      <c r="L286" s="4" t="s">
        <v>542</v>
      </c>
      <c r="M286" s="1117" t="s">
        <v>3579</v>
      </c>
      <c r="N286" s="4" t="s">
        <v>3917</v>
      </c>
    </row>
    <row r="287" spans="1:14" ht="15.75">
      <c r="A287" s="17">
        <f t="shared" si="20"/>
        <v>286</v>
      </c>
      <c r="C287" s="1109">
        <v>45869</v>
      </c>
      <c r="D287" s="1116" t="s">
        <v>3324</v>
      </c>
      <c r="G287" s="1129">
        <v>6250</v>
      </c>
      <c r="H287" s="64">
        <v>0</v>
      </c>
      <c r="I287" s="218">
        <f t="shared" si="19"/>
        <v>-6250</v>
      </c>
      <c r="J287" s="64">
        <f t="shared" si="22"/>
        <v>34546006.409999996</v>
      </c>
      <c r="L287" s="4" t="s">
        <v>542</v>
      </c>
      <c r="M287" s="1117" t="s">
        <v>3580</v>
      </c>
      <c r="N287" s="4" t="s">
        <v>3917</v>
      </c>
    </row>
    <row r="288" spans="1:14" ht="15">
      <c r="A288" s="17">
        <f t="shared" si="20"/>
        <v>287</v>
      </c>
      <c r="C288" s="1109">
        <v>45869</v>
      </c>
      <c r="D288" s="10" t="s">
        <v>3325</v>
      </c>
      <c r="G288" s="1129">
        <v>11272</v>
      </c>
      <c r="H288" s="64">
        <v>0</v>
      </c>
      <c r="I288" s="218">
        <f t="shared" si="19"/>
        <v>-11272</v>
      </c>
      <c r="J288" s="64">
        <f t="shared" si="22"/>
        <v>34534734.409999996</v>
      </c>
      <c r="L288" s="4" t="s">
        <v>542</v>
      </c>
      <c r="M288" s="10" t="s">
        <v>3581</v>
      </c>
      <c r="N288" s="4" t="s">
        <v>3917</v>
      </c>
    </row>
    <row r="289" spans="1:14" ht="15">
      <c r="A289" s="17">
        <f t="shared" si="20"/>
        <v>288</v>
      </c>
      <c r="C289" s="1109">
        <v>45869</v>
      </c>
      <c r="D289" s="10" t="s">
        <v>3325</v>
      </c>
      <c r="G289" s="1129">
        <v>22543</v>
      </c>
      <c r="H289" s="64">
        <v>0</v>
      </c>
      <c r="I289" s="218">
        <f t="shared" si="19"/>
        <v>-22543</v>
      </c>
      <c r="J289" s="64">
        <f t="shared" si="22"/>
        <v>34512191.409999996</v>
      </c>
      <c r="L289" s="4" t="s">
        <v>542</v>
      </c>
      <c r="M289" s="10" t="s">
        <v>3582</v>
      </c>
      <c r="N289" s="4" t="s">
        <v>3917</v>
      </c>
    </row>
    <row r="290" spans="1:14" ht="15">
      <c r="A290" s="17">
        <f t="shared" si="20"/>
        <v>289</v>
      </c>
      <c r="C290" s="1109">
        <v>45869</v>
      </c>
      <c r="D290" s="10" t="s">
        <v>3325</v>
      </c>
      <c r="G290" s="1129">
        <v>22543</v>
      </c>
      <c r="H290" s="64">
        <v>0</v>
      </c>
      <c r="I290" s="218">
        <f t="shared" si="19"/>
        <v>-22543</v>
      </c>
      <c r="J290" s="64">
        <f t="shared" si="22"/>
        <v>34489648.409999996</v>
      </c>
      <c r="L290" s="4" t="s">
        <v>542</v>
      </c>
      <c r="M290" s="10" t="s">
        <v>3583</v>
      </c>
      <c r="N290" s="4" t="s">
        <v>3917</v>
      </c>
    </row>
    <row r="291" spans="1:14" ht="15">
      <c r="A291" s="17">
        <f t="shared" si="20"/>
        <v>290</v>
      </c>
      <c r="C291" s="1109">
        <v>45869</v>
      </c>
      <c r="D291" s="10" t="s">
        <v>3325</v>
      </c>
      <c r="G291" s="1129">
        <v>38658</v>
      </c>
      <c r="H291" s="64">
        <v>0</v>
      </c>
      <c r="I291" s="218">
        <f t="shared" si="19"/>
        <v>-38658</v>
      </c>
      <c r="J291" s="64">
        <f t="shared" si="22"/>
        <v>34450990.409999996</v>
      </c>
      <c r="L291" s="4" t="s">
        <v>542</v>
      </c>
      <c r="M291" s="10" t="s">
        <v>3584</v>
      </c>
      <c r="N291" s="4" t="s">
        <v>3917</v>
      </c>
    </row>
    <row r="292" spans="1:14" ht="15">
      <c r="A292" s="17">
        <f t="shared" si="20"/>
        <v>291</v>
      </c>
      <c r="C292" s="1109">
        <v>45869</v>
      </c>
      <c r="D292" s="10" t="s">
        <v>3326</v>
      </c>
      <c r="G292" s="1129">
        <v>9810</v>
      </c>
      <c r="H292" s="64">
        <v>0</v>
      </c>
      <c r="I292" s="218">
        <f t="shared" si="19"/>
        <v>-9810</v>
      </c>
      <c r="J292" s="64">
        <f t="shared" si="22"/>
        <v>34441180.409999996</v>
      </c>
      <c r="L292" s="4" t="s">
        <v>542</v>
      </c>
      <c r="M292" s="10" t="s">
        <v>3585</v>
      </c>
      <c r="N292" s="4" t="s">
        <v>3917</v>
      </c>
    </row>
    <row r="293" spans="1:14" ht="15">
      <c r="A293" s="17">
        <f t="shared" si="20"/>
        <v>292</v>
      </c>
      <c r="C293" s="1109">
        <v>45869</v>
      </c>
      <c r="D293" s="10" t="s">
        <v>3327</v>
      </c>
      <c r="G293" s="1129">
        <v>257400</v>
      </c>
      <c r="H293" s="64">
        <v>0</v>
      </c>
      <c r="I293" s="218">
        <f t="shared" si="19"/>
        <v>-257400</v>
      </c>
      <c r="J293" s="64">
        <f t="shared" si="22"/>
        <v>34183780.409999996</v>
      </c>
      <c r="L293" s="4" t="s">
        <v>542</v>
      </c>
      <c r="M293" s="10" t="s">
        <v>3586</v>
      </c>
      <c r="N293" s="4" t="s">
        <v>3917</v>
      </c>
    </row>
    <row r="294" spans="1:14" ht="15.75">
      <c r="A294" s="17">
        <f t="shared" si="20"/>
        <v>293</v>
      </c>
      <c r="C294" s="1109">
        <v>45869</v>
      </c>
      <c r="D294" s="55" t="s">
        <v>3328</v>
      </c>
      <c r="G294" s="1045">
        <v>5000000</v>
      </c>
      <c r="H294" s="22">
        <v>0</v>
      </c>
      <c r="I294" s="218">
        <f t="shared" si="19"/>
        <v>-5000000</v>
      </c>
      <c r="J294" s="22">
        <v>29183780.41</v>
      </c>
      <c r="L294" s="250" t="s">
        <v>542</v>
      </c>
      <c r="M294" s="10" t="s">
        <v>3587</v>
      </c>
      <c r="N294" s="4" t="s">
        <v>3917</v>
      </c>
    </row>
    <row r="295" spans="1:14" ht="15.75">
      <c r="A295" s="17">
        <f t="shared" si="20"/>
        <v>294</v>
      </c>
      <c r="C295" s="1109">
        <v>45869</v>
      </c>
      <c r="D295" s="55" t="s">
        <v>3329</v>
      </c>
      <c r="G295" s="1045">
        <v>1080000</v>
      </c>
      <c r="H295" s="22">
        <v>0</v>
      </c>
      <c r="I295" s="218">
        <f t="shared" si="19"/>
        <v>-1080000</v>
      </c>
      <c r="J295" s="22">
        <v>28103780.41</v>
      </c>
      <c r="L295" s="250" t="s">
        <v>542</v>
      </c>
      <c r="M295" s="10" t="s">
        <v>3587</v>
      </c>
      <c r="N295" s="4" t="s">
        <v>3917</v>
      </c>
    </row>
    <row r="296" spans="1:14" ht="15.75">
      <c r="A296" s="17">
        <f t="shared" si="20"/>
        <v>295</v>
      </c>
      <c r="C296" s="1109">
        <v>45869</v>
      </c>
      <c r="D296" s="55" t="s">
        <v>197</v>
      </c>
      <c r="G296" s="1135">
        <v>0</v>
      </c>
      <c r="H296" s="22">
        <v>20000000</v>
      </c>
      <c r="I296" s="218">
        <f t="shared" si="19"/>
        <v>20000000</v>
      </c>
      <c r="J296" s="22">
        <v>48103780.409999996</v>
      </c>
      <c r="L296" s="4" t="s">
        <v>3723</v>
      </c>
      <c r="M296" s="10" t="s">
        <v>3588</v>
      </c>
      <c r="N296" s="4" t="s">
        <v>3917</v>
      </c>
    </row>
    <row r="297" spans="1:14" ht="15.75">
      <c r="A297" s="17">
        <f t="shared" si="20"/>
        <v>296</v>
      </c>
      <c r="C297" s="1109">
        <v>45869</v>
      </c>
      <c r="D297" s="55" t="s">
        <v>197</v>
      </c>
      <c r="G297" s="1135">
        <v>0</v>
      </c>
      <c r="H297" s="22">
        <v>20000000</v>
      </c>
      <c r="I297" s="218">
        <f t="shared" si="19"/>
        <v>20000000</v>
      </c>
      <c r="J297" s="22">
        <v>68103780.409999996</v>
      </c>
      <c r="L297" s="4" t="s">
        <v>3723</v>
      </c>
      <c r="M297" s="10" t="s">
        <v>3588</v>
      </c>
      <c r="N297" s="4" t="s">
        <v>3917</v>
      </c>
    </row>
    <row r="298" spans="1:14" ht="15.75">
      <c r="A298" s="17">
        <f t="shared" si="20"/>
        <v>297</v>
      </c>
      <c r="C298" s="1109">
        <v>45869</v>
      </c>
      <c r="D298" s="55" t="s">
        <v>1037</v>
      </c>
      <c r="G298" s="1135">
        <v>0</v>
      </c>
      <c r="H298" s="22">
        <v>1000000</v>
      </c>
      <c r="I298" s="218">
        <f t="shared" si="19"/>
        <v>1000000</v>
      </c>
      <c r="J298" s="22">
        <v>69103780.409999996</v>
      </c>
      <c r="L298" s="4" t="s">
        <v>3723</v>
      </c>
      <c r="M298" s="10" t="s">
        <v>508</v>
      </c>
      <c r="N298" s="4" t="s">
        <v>3917</v>
      </c>
    </row>
    <row r="299" spans="1:14" ht="15.75">
      <c r="A299" s="17">
        <f t="shared" si="20"/>
        <v>298</v>
      </c>
      <c r="C299" s="1109">
        <v>45869</v>
      </c>
      <c r="D299" s="55" t="s">
        <v>3330</v>
      </c>
      <c r="G299" s="1135">
        <v>740873</v>
      </c>
      <c r="H299" s="22">
        <v>0</v>
      </c>
      <c r="I299" s="218">
        <f t="shared" si="19"/>
        <v>-740873</v>
      </c>
      <c r="J299" s="22">
        <v>68362907.409999996</v>
      </c>
      <c r="L299" s="4" t="s">
        <v>542</v>
      </c>
      <c r="M299" s="10" t="s">
        <v>3589</v>
      </c>
      <c r="N299" s="4" t="s">
        <v>3917</v>
      </c>
    </row>
    <row r="300" spans="1:14" ht="15.75">
      <c r="A300" s="17">
        <f t="shared" si="20"/>
        <v>299</v>
      </c>
      <c r="C300" s="1109">
        <v>45869</v>
      </c>
      <c r="D300" s="55" t="s">
        <v>3331</v>
      </c>
      <c r="G300" s="1135">
        <v>100000</v>
      </c>
      <c r="H300" s="22">
        <v>0</v>
      </c>
      <c r="I300" s="218">
        <f t="shared" si="19"/>
        <v>-100000</v>
      </c>
      <c r="J300" s="22">
        <v>68262907.409999996</v>
      </c>
      <c r="L300" s="4" t="s">
        <v>542</v>
      </c>
      <c r="M300" s="10" t="s">
        <v>548</v>
      </c>
      <c r="N300" s="4" t="s">
        <v>3917</v>
      </c>
    </row>
    <row r="301" spans="1:14" ht="16.5">
      <c r="A301" s="17">
        <f t="shared" si="20"/>
        <v>300</v>
      </c>
      <c r="C301" s="1109">
        <v>45869</v>
      </c>
      <c r="D301" s="1116" t="s">
        <v>3332</v>
      </c>
      <c r="G301" s="1136">
        <v>50000</v>
      </c>
      <c r="H301" s="1138">
        <v>0</v>
      </c>
      <c r="I301" s="218">
        <f t="shared" si="19"/>
        <v>-50000</v>
      </c>
      <c r="J301" s="64">
        <v>68212907.409999996</v>
      </c>
      <c r="L301" s="4" t="s">
        <v>3719</v>
      </c>
      <c r="M301" s="1117" t="s">
        <v>3590</v>
      </c>
      <c r="N301" s="4" t="s">
        <v>3917</v>
      </c>
    </row>
    <row r="302" spans="1:14" ht="16.5">
      <c r="A302" s="17">
        <f t="shared" si="20"/>
        <v>301</v>
      </c>
      <c r="C302" s="1109">
        <v>45869</v>
      </c>
      <c r="D302" s="1117" t="s">
        <v>3333</v>
      </c>
      <c r="G302" s="1136">
        <v>199966</v>
      </c>
      <c r="H302" s="1138">
        <v>0</v>
      </c>
      <c r="I302" s="218">
        <f t="shared" si="19"/>
        <v>-199966</v>
      </c>
      <c r="J302" s="64">
        <v>68012941.409999996</v>
      </c>
      <c r="L302" s="4" t="s">
        <v>542</v>
      </c>
      <c r="M302" s="1117" t="s">
        <v>3591</v>
      </c>
      <c r="N302" s="4" t="s">
        <v>3917</v>
      </c>
    </row>
    <row r="303" spans="1:14" ht="16.5">
      <c r="A303" s="17">
        <f t="shared" si="20"/>
        <v>302</v>
      </c>
      <c r="C303" s="1109">
        <v>45869</v>
      </c>
      <c r="D303" s="1117" t="s">
        <v>3333</v>
      </c>
      <c r="G303" s="1136">
        <v>63264</v>
      </c>
      <c r="H303" s="1138">
        <v>0</v>
      </c>
      <c r="I303" s="218">
        <f t="shared" si="19"/>
        <v>-63264</v>
      </c>
      <c r="J303" s="64">
        <v>67949677.409999996</v>
      </c>
      <c r="L303" s="4" t="s">
        <v>542</v>
      </c>
      <c r="M303" s="1117" t="s">
        <v>3592</v>
      </c>
      <c r="N303" s="4" t="s">
        <v>3917</v>
      </c>
    </row>
    <row r="304" spans="1:14" ht="15.75">
      <c r="A304" s="17">
        <f t="shared" si="20"/>
        <v>303</v>
      </c>
      <c r="C304" s="1109">
        <v>45869</v>
      </c>
      <c r="D304" s="55" t="s">
        <v>3334</v>
      </c>
      <c r="G304" s="1135">
        <v>0</v>
      </c>
      <c r="H304" s="1139">
        <v>50000000</v>
      </c>
      <c r="I304" s="218">
        <f t="shared" si="19"/>
        <v>50000000</v>
      </c>
      <c r="J304" s="22">
        <v>117949677.41</v>
      </c>
      <c r="L304" s="250" t="s">
        <v>3723</v>
      </c>
      <c r="M304" s="10" t="s">
        <v>3587</v>
      </c>
      <c r="N304" s="4" t="s">
        <v>3917</v>
      </c>
    </row>
    <row r="305" spans="1:14" ht="15.75">
      <c r="A305" s="17">
        <f t="shared" si="20"/>
        <v>304</v>
      </c>
      <c r="C305" s="1109">
        <v>45869</v>
      </c>
      <c r="D305" s="55" t="s">
        <v>3334</v>
      </c>
      <c r="G305" s="1135">
        <v>0</v>
      </c>
      <c r="H305" s="1139">
        <v>50000000</v>
      </c>
      <c r="I305" s="218">
        <f t="shared" si="19"/>
        <v>50000000</v>
      </c>
      <c r="J305" s="22">
        <v>167949677.41</v>
      </c>
      <c r="L305" t="s">
        <v>3725</v>
      </c>
      <c r="M305" s="10" t="s">
        <v>3587</v>
      </c>
      <c r="N305" s="4" t="s">
        <v>3918</v>
      </c>
    </row>
    <row r="306" spans="1:14" ht="15.75">
      <c r="A306" s="17">
        <f t="shared" si="20"/>
        <v>305</v>
      </c>
      <c r="C306" s="1109">
        <v>45869</v>
      </c>
      <c r="D306" s="55" t="s">
        <v>537</v>
      </c>
      <c r="G306" s="1129">
        <f>4100000</f>
        <v>4100000</v>
      </c>
      <c r="H306" s="64">
        <v>0</v>
      </c>
      <c r="I306" s="218">
        <f t="shared" si="19"/>
        <v>-4100000</v>
      </c>
      <c r="J306" s="64">
        <f>J305-G306</f>
        <v>163849677.41</v>
      </c>
      <c r="L306" s="4" t="s">
        <v>3719</v>
      </c>
      <c r="M306" s="10" t="s">
        <v>3593</v>
      </c>
      <c r="N306" s="4" t="s">
        <v>3917</v>
      </c>
    </row>
    <row r="307" spans="1:14" ht="15.75">
      <c r="A307" s="17">
        <f t="shared" si="20"/>
        <v>306</v>
      </c>
      <c r="C307" s="1109">
        <v>45869</v>
      </c>
      <c r="D307" s="55" t="s">
        <v>537</v>
      </c>
      <c r="G307" s="1129">
        <v>2900000</v>
      </c>
      <c r="H307" s="64">
        <v>0</v>
      </c>
      <c r="I307" s="218">
        <f t="shared" si="19"/>
        <v>-2900000</v>
      </c>
      <c r="J307" s="64">
        <f>J306-G307</f>
        <v>160949677.41</v>
      </c>
      <c r="L307" s="4" t="s">
        <v>3719</v>
      </c>
      <c r="M307" s="10" t="s">
        <v>3594</v>
      </c>
      <c r="N307" s="4" t="s">
        <v>3917</v>
      </c>
    </row>
    <row r="308" spans="1:14" ht="15.75">
      <c r="A308" s="17">
        <f t="shared" si="20"/>
        <v>307</v>
      </c>
      <c r="C308" s="1109">
        <v>45869</v>
      </c>
      <c r="D308" s="55" t="s">
        <v>3335</v>
      </c>
      <c r="G308" s="1140">
        <v>250000</v>
      </c>
      <c r="H308" s="22">
        <v>0</v>
      </c>
      <c r="I308" s="218">
        <f t="shared" si="19"/>
        <v>-250000</v>
      </c>
      <c r="J308" s="22">
        <v>160699677.41</v>
      </c>
      <c r="L308" s="4" t="s">
        <v>3719</v>
      </c>
      <c r="M308" s="10" t="s">
        <v>3589</v>
      </c>
      <c r="N308" s="4" t="s">
        <v>3917</v>
      </c>
    </row>
    <row r="309" spans="1:14" ht="15.75">
      <c r="A309" s="17">
        <f t="shared" si="20"/>
        <v>308</v>
      </c>
      <c r="C309" s="1109">
        <v>45869</v>
      </c>
      <c r="D309" s="55" t="s">
        <v>197</v>
      </c>
      <c r="G309" s="1135">
        <v>0</v>
      </c>
      <c r="H309" s="22">
        <v>15500000</v>
      </c>
      <c r="I309" s="218">
        <f t="shared" si="19"/>
        <v>15500000</v>
      </c>
      <c r="J309" s="22">
        <v>176199677.41</v>
      </c>
      <c r="L309" s="4" t="s">
        <v>3723</v>
      </c>
      <c r="M309" s="10" t="s">
        <v>3588</v>
      </c>
      <c r="N309" s="4" t="s">
        <v>3917</v>
      </c>
    </row>
    <row r="310" spans="1:14" ht="15.75">
      <c r="A310" s="17">
        <f t="shared" si="20"/>
        <v>309</v>
      </c>
      <c r="C310" s="1109">
        <v>45869</v>
      </c>
      <c r="D310" s="55" t="s">
        <v>197</v>
      </c>
      <c r="G310" s="1135">
        <v>0</v>
      </c>
      <c r="H310" s="22">
        <v>20000000</v>
      </c>
      <c r="I310" s="218">
        <f t="shared" si="19"/>
        <v>20000000</v>
      </c>
      <c r="J310" s="22">
        <v>196199677.41</v>
      </c>
      <c r="L310" s="4" t="s">
        <v>3723</v>
      </c>
      <c r="M310" s="10" t="s">
        <v>3588</v>
      </c>
      <c r="N310" s="4" t="s">
        <v>3917</v>
      </c>
    </row>
    <row r="311" spans="1:14" ht="15.75">
      <c r="A311" s="17">
        <f t="shared" si="20"/>
        <v>310</v>
      </c>
      <c r="C311" s="1109">
        <v>45869</v>
      </c>
      <c r="D311" s="55" t="s">
        <v>3336</v>
      </c>
      <c r="G311" s="1135">
        <v>50000000</v>
      </c>
      <c r="H311" s="22">
        <v>0</v>
      </c>
      <c r="I311" s="218">
        <f t="shared" si="19"/>
        <v>-50000000</v>
      </c>
      <c r="J311" s="22">
        <v>146199677.41</v>
      </c>
      <c r="L311" s="4" t="s">
        <v>3719</v>
      </c>
      <c r="M311" s="10" t="s">
        <v>3593</v>
      </c>
      <c r="N311" s="4" t="s">
        <v>3917</v>
      </c>
    </row>
    <row r="312" spans="1:14" ht="15.75">
      <c r="A312" s="17">
        <f t="shared" si="20"/>
        <v>311</v>
      </c>
      <c r="C312" s="1109">
        <v>45869</v>
      </c>
      <c r="D312" s="55" t="s">
        <v>3337</v>
      </c>
      <c r="G312" s="1135">
        <v>50000000</v>
      </c>
      <c r="H312" s="22">
        <v>0</v>
      </c>
      <c r="I312" s="218">
        <f t="shared" si="19"/>
        <v>-50000000</v>
      </c>
      <c r="J312" s="22">
        <v>96199677.409999996</v>
      </c>
      <c r="L312" s="4" t="s">
        <v>3719</v>
      </c>
      <c r="M312" s="10" t="s">
        <v>3593</v>
      </c>
      <c r="N312" s="4" t="s">
        <v>3917</v>
      </c>
    </row>
    <row r="313" spans="1:14" ht="15.75">
      <c r="A313" s="17">
        <f t="shared" si="20"/>
        <v>312</v>
      </c>
      <c r="C313" s="1109">
        <v>45869</v>
      </c>
      <c r="D313" s="55" t="s">
        <v>3338</v>
      </c>
      <c r="G313" s="1135">
        <v>0</v>
      </c>
      <c r="H313" s="20">
        <v>69587000</v>
      </c>
      <c r="I313" s="218">
        <f t="shared" si="19"/>
        <v>69587000</v>
      </c>
      <c r="J313" s="22">
        <v>165786677.41</v>
      </c>
      <c r="L313" s="4" t="s">
        <v>3725</v>
      </c>
      <c r="M313" s="10" t="s">
        <v>3595</v>
      </c>
      <c r="N313" s="4" t="s">
        <v>3918</v>
      </c>
    </row>
    <row r="314" spans="1:14" ht="15.75">
      <c r="A314" s="17">
        <f t="shared" si="20"/>
        <v>313</v>
      </c>
      <c r="C314" s="1109">
        <v>45869</v>
      </c>
      <c r="D314" s="55" t="s">
        <v>3339</v>
      </c>
      <c r="G314" s="1141">
        <v>50000000</v>
      </c>
      <c r="H314" s="22">
        <v>0</v>
      </c>
      <c r="I314" s="218">
        <f t="shared" si="19"/>
        <v>-50000000</v>
      </c>
      <c r="J314" s="22">
        <v>115786677.41</v>
      </c>
      <c r="L314" s="4" t="s">
        <v>3719</v>
      </c>
      <c r="M314" s="10" t="s">
        <v>1017</v>
      </c>
      <c r="N314" s="4" t="s">
        <v>3917</v>
      </c>
    </row>
    <row r="315" spans="1:14" ht="15.75">
      <c r="A315" s="17">
        <f t="shared" si="20"/>
        <v>314</v>
      </c>
      <c r="C315" s="1109">
        <v>45869</v>
      </c>
      <c r="D315" s="55" t="s">
        <v>3340</v>
      </c>
      <c r="G315" s="1141">
        <v>25232608</v>
      </c>
      <c r="H315" s="22">
        <v>0</v>
      </c>
      <c r="I315" s="218">
        <f t="shared" si="19"/>
        <v>-25232608</v>
      </c>
      <c r="J315" s="22">
        <v>90554069.409999996</v>
      </c>
      <c r="L315" s="4" t="s">
        <v>3719</v>
      </c>
      <c r="M315" s="10" t="s">
        <v>1017</v>
      </c>
      <c r="N315" s="4" t="s">
        <v>3917</v>
      </c>
    </row>
    <row r="316" spans="1:14" ht="15.75">
      <c r="A316" s="17">
        <f t="shared" si="20"/>
        <v>315</v>
      </c>
      <c r="C316" s="1109">
        <v>45869</v>
      </c>
      <c r="D316" s="55" t="s">
        <v>3341</v>
      </c>
      <c r="G316" s="1135">
        <v>50000000</v>
      </c>
      <c r="H316" s="22">
        <v>0</v>
      </c>
      <c r="I316" s="218">
        <f t="shared" si="19"/>
        <v>-50000000</v>
      </c>
      <c r="J316" s="22">
        <v>40554069.409999996</v>
      </c>
      <c r="L316" t="s">
        <v>3717</v>
      </c>
      <c r="M316" s="10" t="s">
        <v>3593</v>
      </c>
      <c r="N316" s="4" t="s">
        <v>3918</v>
      </c>
    </row>
    <row r="317" spans="1:14" ht="15.75">
      <c r="A317" s="17">
        <f t="shared" si="20"/>
        <v>316</v>
      </c>
      <c r="C317" s="1109">
        <v>45869</v>
      </c>
      <c r="D317" s="55" t="s">
        <v>3342</v>
      </c>
      <c r="G317" s="1135">
        <v>20000000</v>
      </c>
      <c r="H317" s="22">
        <v>0</v>
      </c>
      <c r="I317" s="218">
        <f t="shared" si="19"/>
        <v>-20000000</v>
      </c>
      <c r="J317" s="22">
        <v>20554069.41</v>
      </c>
      <c r="L317" s="4" t="s">
        <v>3719</v>
      </c>
      <c r="M317" s="10" t="s">
        <v>1014</v>
      </c>
      <c r="N317" s="4" t="s">
        <v>3917</v>
      </c>
    </row>
    <row r="318" spans="1:14" ht="15.75">
      <c r="A318" s="17">
        <f t="shared" si="20"/>
        <v>317</v>
      </c>
      <c r="C318" s="1109">
        <v>45869</v>
      </c>
      <c r="D318" s="55" t="s">
        <v>3343</v>
      </c>
      <c r="G318" s="1135">
        <v>40000000</v>
      </c>
      <c r="H318" s="22">
        <v>0</v>
      </c>
      <c r="I318" s="218">
        <f t="shared" si="19"/>
        <v>-40000000</v>
      </c>
      <c r="J318" s="22">
        <v>-19445930.59</v>
      </c>
      <c r="L318" s="4" t="s">
        <v>3719</v>
      </c>
      <c r="M318" s="10" t="s">
        <v>548</v>
      </c>
      <c r="N318" s="4" t="s">
        <v>3917</v>
      </c>
    </row>
    <row r="319" spans="1:14" ht="15.75">
      <c r="A319" s="17">
        <f t="shared" si="20"/>
        <v>318</v>
      </c>
      <c r="C319" s="1109">
        <v>45869</v>
      </c>
      <c r="D319" s="55" t="s">
        <v>3344</v>
      </c>
      <c r="G319" s="1135">
        <v>40000000</v>
      </c>
      <c r="H319" s="22">
        <v>0</v>
      </c>
      <c r="I319" s="218">
        <f t="shared" si="19"/>
        <v>-40000000</v>
      </c>
      <c r="J319" s="22">
        <v>-59445930.590000004</v>
      </c>
      <c r="L319" s="4" t="s">
        <v>542</v>
      </c>
      <c r="M319" s="10" t="s">
        <v>1014</v>
      </c>
      <c r="N319" s="4" t="s">
        <v>3917</v>
      </c>
    </row>
    <row r="320" spans="1:14" ht="15.75">
      <c r="A320" s="17">
        <f t="shared" si="20"/>
        <v>319</v>
      </c>
      <c r="C320" s="1109">
        <v>45869</v>
      </c>
      <c r="D320" s="55" t="s">
        <v>3345</v>
      </c>
      <c r="G320" s="1135">
        <v>375291</v>
      </c>
      <c r="H320" s="22">
        <v>0</v>
      </c>
      <c r="I320" s="218">
        <f t="shared" si="19"/>
        <v>-375291</v>
      </c>
      <c r="J320" s="22">
        <v>-59821221.590000004</v>
      </c>
      <c r="L320" s="4" t="s">
        <v>542</v>
      </c>
      <c r="M320" s="10"/>
      <c r="N320" s="4" t="s">
        <v>3917</v>
      </c>
    </row>
    <row r="321" spans="1:14" ht="15.75">
      <c r="A321" s="17">
        <f t="shared" si="20"/>
        <v>320</v>
      </c>
      <c r="C321" s="1109">
        <v>45870</v>
      </c>
      <c r="D321" s="55" t="s">
        <v>3346</v>
      </c>
      <c r="G321" s="1140">
        <v>98157</v>
      </c>
      <c r="H321" s="22">
        <v>0</v>
      </c>
      <c r="I321" s="218">
        <f t="shared" si="19"/>
        <v>-98157</v>
      </c>
      <c r="J321" s="22">
        <v>-59919378.590000004</v>
      </c>
      <c r="L321" s="64" t="s">
        <v>3717</v>
      </c>
      <c r="M321" s="10" t="s">
        <v>473</v>
      </c>
      <c r="N321" s="4" t="s">
        <v>3918</v>
      </c>
    </row>
    <row r="322" spans="1:14" ht="15.75">
      <c r="A322" s="17">
        <f t="shared" si="20"/>
        <v>321</v>
      </c>
      <c r="C322" s="1109">
        <v>45870</v>
      </c>
      <c r="D322" s="55" t="s">
        <v>474</v>
      </c>
      <c r="G322" s="1135">
        <v>259990</v>
      </c>
      <c r="H322" s="22">
        <v>0</v>
      </c>
      <c r="I322" s="218">
        <f t="shared" ref="I322:I385" si="23">H322-G322</f>
        <v>-259990</v>
      </c>
      <c r="J322" s="22">
        <v>-60179368.590000004</v>
      </c>
      <c r="L322" s="64" t="s">
        <v>3717</v>
      </c>
      <c r="M322" s="10" t="s">
        <v>475</v>
      </c>
      <c r="N322" s="4" t="s">
        <v>3918</v>
      </c>
    </row>
    <row r="323" spans="1:14" ht="15.75">
      <c r="A323" s="17">
        <f t="shared" si="20"/>
        <v>322</v>
      </c>
      <c r="C323" s="1109">
        <v>45870</v>
      </c>
      <c r="D323" s="55" t="s">
        <v>3347</v>
      </c>
      <c r="G323" s="1135">
        <v>0</v>
      </c>
      <c r="H323" s="20">
        <v>40000000</v>
      </c>
      <c r="I323" s="218">
        <f t="shared" si="23"/>
        <v>40000000</v>
      </c>
      <c r="J323" s="22">
        <v>-20179368.59</v>
      </c>
      <c r="L323" s="64" t="s">
        <v>3718</v>
      </c>
      <c r="M323" s="10" t="s">
        <v>3593</v>
      </c>
      <c r="N323" s="4" t="s">
        <v>3917</v>
      </c>
    </row>
    <row r="324" spans="1:14" ht="15.75">
      <c r="A324" s="17">
        <f t="shared" ref="A324:A387" si="24">A323+1</f>
        <v>323</v>
      </c>
      <c r="C324" s="1109">
        <v>45870</v>
      </c>
      <c r="D324" s="1118" t="s">
        <v>3348</v>
      </c>
      <c r="G324" s="1135">
        <v>1700000</v>
      </c>
      <c r="H324" s="22">
        <v>0</v>
      </c>
      <c r="I324" s="218">
        <f t="shared" si="23"/>
        <v>-1700000</v>
      </c>
      <c r="J324" s="22">
        <f>J323-G324+H324</f>
        <v>-21879368.59</v>
      </c>
      <c r="L324" s="64" t="s">
        <v>3718</v>
      </c>
      <c r="M324" s="10" t="s">
        <v>3348</v>
      </c>
      <c r="N324" s="4" t="s">
        <v>3917</v>
      </c>
    </row>
    <row r="325" spans="1:14" ht="15.75">
      <c r="A325" s="17">
        <f t="shared" si="24"/>
        <v>324</v>
      </c>
      <c r="C325" s="1109">
        <v>45870</v>
      </c>
      <c r="D325" s="1118" t="s">
        <v>3348</v>
      </c>
      <c r="G325" s="1135">
        <v>500000</v>
      </c>
      <c r="H325" s="22">
        <v>0</v>
      </c>
      <c r="I325" s="218">
        <f t="shared" si="23"/>
        <v>-500000</v>
      </c>
      <c r="J325" s="22">
        <f>J324-G325</f>
        <v>-22379368.59</v>
      </c>
      <c r="L325" s="64" t="s">
        <v>3718</v>
      </c>
      <c r="M325" s="10" t="s">
        <v>3348</v>
      </c>
      <c r="N325" s="4" t="s">
        <v>3917</v>
      </c>
    </row>
    <row r="326" spans="1:14" ht="15.75">
      <c r="A326" s="17">
        <f t="shared" si="24"/>
        <v>325</v>
      </c>
      <c r="C326" s="1109">
        <v>45870</v>
      </c>
      <c r="D326" s="1118" t="s">
        <v>3348</v>
      </c>
      <c r="G326" s="1135">
        <v>500000</v>
      </c>
      <c r="H326" s="22">
        <v>0</v>
      </c>
      <c r="I326" s="218">
        <f t="shared" si="23"/>
        <v>-500000</v>
      </c>
      <c r="J326" s="22">
        <f>J325-G326</f>
        <v>-22879368.59</v>
      </c>
      <c r="L326" s="64" t="s">
        <v>3718</v>
      </c>
      <c r="M326" s="10" t="s">
        <v>3348</v>
      </c>
      <c r="N326" s="4" t="s">
        <v>3917</v>
      </c>
    </row>
    <row r="327" spans="1:14" ht="15.75">
      <c r="A327" s="17">
        <f t="shared" si="24"/>
        <v>326</v>
      </c>
      <c r="C327" s="1109">
        <v>45870</v>
      </c>
      <c r="D327" s="1118" t="s">
        <v>3348</v>
      </c>
      <c r="G327" s="1135">
        <v>1000000</v>
      </c>
      <c r="H327" s="22">
        <v>0</v>
      </c>
      <c r="I327" s="218">
        <f t="shared" si="23"/>
        <v>-1000000</v>
      </c>
      <c r="J327" s="22">
        <f>J326-G327</f>
        <v>-23879368.59</v>
      </c>
      <c r="L327" s="64" t="s">
        <v>3718</v>
      </c>
      <c r="M327" s="10" t="s">
        <v>3348</v>
      </c>
      <c r="N327" s="4" t="s">
        <v>3917</v>
      </c>
    </row>
    <row r="328" spans="1:14" ht="15.75">
      <c r="A328" s="17">
        <f t="shared" si="24"/>
        <v>327</v>
      </c>
      <c r="C328" s="1109">
        <v>45870</v>
      </c>
      <c r="D328" s="1118" t="s">
        <v>3349</v>
      </c>
      <c r="G328" s="1135">
        <v>500000</v>
      </c>
      <c r="H328" s="22">
        <v>0</v>
      </c>
      <c r="I328" s="218">
        <f t="shared" si="23"/>
        <v>-500000</v>
      </c>
      <c r="J328" s="22">
        <f>J327-G328</f>
        <v>-24379368.59</v>
      </c>
      <c r="L328" s="64" t="s">
        <v>542</v>
      </c>
      <c r="M328" s="10" t="s">
        <v>3349</v>
      </c>
      <c r="N328" s="4" t="s">
        <v>3917</v>
      </c>
    </row>
    <row r="329" spans="1:14" ht="15.75">
      <c r="A329" s="17">
        <f t="shared" si="24"/>
        <v>328</v>
      </c>
      <c r="C329" s="1109">
        <v>45870</v>
      </c>
      <c r="D329" s="55" t="s">
        <v>3350</v>
      </c>
      <c r="G329" s="1140">
        <v>27808</v>
      </c>
      <c r="H329" s="22">
        <v>0</v>
      </c>
      <c r="I329" s="218">
        <f t="shared" si="23"/>
        <v>-27808</v>
      </c>
      <c r="J329" s="22">
        <v>-24407176.59</v>
      </c>
      <c r="L329" s="64" t="s">
        <v>542</v>
      </c>
      <c r="M329" s="10" t="s">
        <v>3596</v>
      </c>
      <c r="N329" s="4" t="s">
        <v>3917</v>
      </c>
    </row>
    <row r="330" spans="1:14" ht="15.75">
      <c r="A330" s="17">
        <f t="shared" si="24"/>
        <v>329</v>
      </c>
      <c r="C330" s="1111">
        <f>C329+1</f>
        <v>45871</v>
      </c>
      <c r="D330" s="1119">
        <v>0</v>
      </c>
      <c r="G330" s="1135">
        <v>0</v>
      </c>
      <c r="H330" s="22">
        <v>0</v>
      </c>
      <c r="I330" s="218">
        <f t="shared" si="23"/>
        <v>0</v>
      </c>
      <c r="J330" s="22">
        <v>-24407176.59</v>
      </c>
      <c r="L330" s="64" t="s">
        <v>542</v>
      </c>
      <c r="M330" s="10"/>
      <c r="N330" s="4" t="s">
        <v>3917</v>
      </c>
    </row>
    <row r="331" spans="1:14" ht="15.75">
      <c r="A331" s="17">
        <f t="shared" si="24"/>
        <v>330</v>
      </c>
      <c r="C331" s="1109">
        <v>45871</v>
      </c>
      <c r="D331" s="55" t="s">
        <v>505</v>
      </c>
      <c r="G331" s="1135">
        <v>89202</v>
      </c>
      <c r="H331" s="22">
        <v>0</v>
      </c>
      <c r="I331" s="218">
        <f t="shared" si="23"/>
        <v>-89202</v>
      </c>
      <c r="J331" s="22">
        <v>-24496378.59</v>
      </c>
      <c r="L331" s="64" t="s">
        <v>3717</v>
      </c>
      <c r="M331" s="10" t="s">
        <v>511</v>
      </c>
      <c r="N331" s="4" t="s">
        <v>3918</v>
      </c>
    </row>
    <row r="332" spans="1:14" ht="15.75">
      <c r="A332" s="17">
        <f t="shared" si="24"/>
        <v>331</v>
      </c>
      <c r="C332" s="1109">
        <v>45871</v>
      </c>
      <c r="D332" s="55" t="s">
        <v>3351</v>
      </c>
      <c r="G332" s="1135">
        <v>161000</v>
      </c>
      <c r="H332" s="22">
        <v>0</v>
      </c>
      <c r="I332" s="218">
        <f t="shared" si="23"/>
        <v>-161000</v>
      </c>
      <c r="J332" s="22">
        <v>-24657378.59</v>
      </c>
      <c r="L332" s="64" t="s">
        <v>542</v>
      </c>
      <c r="M332" s="40" t="s">
        <v>3914</v>
      </c>
      <c r="N332" s="4" t="s">
        <v>3917</v>
      </c>
    </row>
    <row r="333" spans="1:14" ht="15.75">
      <c r="A333" s="17">
        <f t="shared" si="24"/>
        <v>332</v>
      </c>
      <c r="C333" s="1109">
        <v>45871</v>
      </c>
      <c r="D333" s="55" t="s">
        <v>3351</v>
      </c>
      <c r="G333" s="1135">
        <v>2200</v>
      </c>
      <c r="H333" s="22">
        <v>0</v>
      </c>
      <c r="I333" s="218">
        <f t="shared" si="23"/>
        <v>-2200</v>
      </c>
      <c r="J333" s="22">
        <v>-24659578.59</v>
      </c>
      <c r="L333" s="64" t="s">
        <v>542</v>
      </c>
      <c r="M333" s="40" t="s">
        <v>3914</v>
      </c>
      <c r="N333" s="4" t="s">
        <v>3917</v>
      </c>
    </row>
    <row r="334" spans="1:14" ht="15.75">
      <c r="A334" s="17">
        <f t="shared" si="24"/>
        <v>333</v>
      </c>
      <c r="C334" s="1109">
        <v>45871</v>
      </c>
      <c r="D334" s="55" t="s">
        <v>3351</v>
      </c>
      <c r="G334" s="1135">
        <v>24400</v>
      </c>
      <c r="H334" s="22">
        <v>0</v>
      </c>
      <c r="I334" s="218">
        <f t="shared" si="23"/>
        <v>-24400</v>
      </c>
      <c r="J334" s="22">
        <v>-24683978.59</v>
      </c>
      <c r="L334" s="64" t="s">
        <v>542</v>
      </c>
      <c r="M334" s="40" t="s">
        <v>3914</v>
      </c>
      <c r="N334" s="4" t="s">
        <v>3917</v>
      </c>
    </row>
    <row r="335" spans="1:14" ht="15.75">
      <c r="A335" s="17">
        <f t="shared" si="24"/>
        <v>334</v>
      </c>
      <c r="C335" s="1109">
        <v>45871</v>
      </c>
      <c r="D335" s="55" t="s">
        <v>3351</v>
      </c>
      <c r="G335" s="1046">
        <v>50000</v>
      </c>
      <c r="H335" s="22">
        <v>0</v>
      </c>
      <c r="I335" s="218">
        <f t="shared" si="23"/>
        <v>-50000</v>
      </c>
      <c r="J335" s="22">
        <v>-24733978.59</v>
      </c>
      <c r="L335" s="64" t="s">
        <v>542</v>
      </c>
      <c r="M335" s="10"/>
      <c r="N335" s="4" t="s">
        <v>3917</v>
      </c>
    </row>
    <row r="336" spans="1:14" ht="15.75">
      <c r="A336" s="17">
        <f t="shared" si="24"/>
        <v>335</v>
      </c>
      <c r="C336" s="1109">
        <v>45871</v>
      </c>
      <c r="D336" s="55" t="s">
        <v>3352</v>
      </c>
      <c r="G336" s="1046">
        <v>108987</v>
      </c>
      <c r="H336" s="22">
        <v>0</v>
      </c>
      <c r="I336" s="218">
        <f t="shared" si="23"/>
        <v>-108987</v>
      </c>
      <c r="J336" s="22">
        <v>-24842965.59</v>
      </c>
      <c r="L336" s="64" t="s">
        <v>542</v>
      </c>
      <c r="M336" s="10"/>
      <c r="N336" s="4" t="s">
        <v>3917</v>
      </c>
    </row>
    <row r="337" spans="1:17" ht="15.75">
      <c r="A337" s="17">
        <f t="shared" si="24"/>
        <v>336</v>
      </c>
      <c r="C337" s="1109">
        <v>45872</v>
      </c>
      <c r="D337" s="55" t="s">
        <v>3353</v>
      </c>
      <c r="G337" s="1140">
        <v>20000000</v>
      </c>
      <c r="H337" s="22">
        <v>0</v>
      </c>
      <c r="I337" s="218">
        <f t="shared" si="23"/>
        <v>-20000000</v>
      </c>
      <c r="J337" s="22">
        <v>-44842965.590000004</v>
      </c>
      <c r="L337" s="64" t="s">
        <v>3719</v>
      </c>
      <c r="M337" s="10" t="s">
        <v>3597</v>
      </c>
      <c r="N337" s="4" t="s">
        <v>3917</v>
      </c>
    </row>
    <row r="338" spans="1:17" ht="15.75">
      <c r="A338" s="17">
        <f t="shared" si="24"/>
        <v>337</v>
      </c>
      <c r="C338" s="1109">
        <v>45873</v>
      </c>
      <c r="D338" s="55" t="s">
        <v>3354</v>
      </c>
      <c r="G338" s="1135">
        <v>180563</v>
      </c>
      <c r="H338" s="22">
        <v>0</v>
      </c>
      <c r="I338" s="218">
        <f t="shared" si="23"/>
        <v>-180563</v>
      </c>
      <c r="J338" s="22">
        <v>-45023528.590000004</v>
      </c>
      <c r="L338" s="64" t="s">
        <v>3717</v>
      </c>
      <c r="M338" s="10"/>
      <c r="N338" s="4" t="s">
        <v>3918</v>
      </c>
    </row>
    <row r="339" spans="1:17" ht="15.75">
      <c r="A339" s="17">
        <f t="shared" si="24"/>
        <v>338</v>
      </c>
      <c r="C339" s="1109">
        <v>45873</v>
      </c>
      <c r="D339" s="55" t="s">
        <v>552</v>
      </c>
      <c r="G339" s="1135">
        <v>16166339</v>
      </c>
      <c r="H339" s="22">
        <v>0</v>
      </c>
      <c r="I339" s="218">
        <f t="shared" si="23"/>
        <v>-16166339</v>
      </c>
      <c r="J339" s="22">
        <v>-61189867.590000004</v>
      </c>
      <c r="L339" s="64" t="s">
        <v>3720</v>
      </c>
      <c r="M339" s="10"/>
      <c r="N339" s="4" t="s">
        <v>3917</v>
      </c>
    </row>
    <row r="340" spans="1:17" ht="15.75">
      <c r="A340" s="17">
        <f t="shared" si="24"/>
        <v>339</v>
      </c>
      <c r="C340" s="1109">
        <v>45873</v>
      </c>
      <c r="D340" s="55" t="s">
        <v>552</v>
      </c>
      <c r="G340" s="1135">
        <v>613765</v>
      </c>
      <c r="H340" s="22">
        <v>0</v>
      </c>
      <c r="I340" s="218">
        <f t="shared" si="23"/>
        <v>-613765</v>
      </c>
      <c r="J340" s="22">
        <v>-61803632.590000004</v>
      </c>
      <c r="L340" s="64" t="s">
        <v>3720</v>
      </c>
      <c r="M340" s="10"/>
      <c r="N340" s="4" t="s">
        <v>3917</v>
      </c>
    </row>
    <row r="341" spans="1:17" ht="15.75">
      <c r="A341" s="17">
        <f t="shared" si="24"/>
        <v>340</v>
      </c>
      <c r="C341" s="1109">
        <v>45873</v>
      </c>
      <c r="D341" s="55" t="s">
        <v>552</v>
      </c>
      <c r="G341" s="1135">
        <v>580896</v>
      </c>
      <c r="H341" s="22">
        <v>0</v>
      </c>
      <c r="I341" s="218">
        <f t="shared" si="23"/>
        <v>-580896</v>
      </c>
      <c r="J341" s="22">
        <v>-62384528.590000004</v>
      </c>
      <c r="L341" s="64" t="s">
        <v>3720</v>
      </c>
      <c r="M341" s="10"/>
      <c r="N341" s="4" t="s">
        <v>3917</v>
      </c>
      <c r="O341" s="12"/>
      <c r="P341" s="12"/>
    </row>
    <row r="342" spans="1:17" ht="15.75">
      <c r="A342" s="17">
        <f t="shared" si="24"/>
        <v>341</v>
      </c>
      <c r="C342" s="1109">
        <v>45873</v>
      </c>
      <c r="D342" s="55" t="s">
        <v>552</v>
      </c>
      <c r="G342" s="1135">
        <v>1522740</v>
      </c>
      <c r="H342" s="22">
        <v>0</v>
      </c>
      <c r="I342" s="218">
        <f t="shared" si="23"/>
        <v>-1522740</v>
      </c>
      <c r="J342" s="22">
        <v>-63907268.590000004</v>
      </c>
      <c r="L342" s="64" t="s">
        <v>3720</v>
      </c>
      <c r="M342" s="10"/>
      <c r="N342" s="4" t="s">
        <v>3917</v>
      </c>
      <c r="O342" s="7"/>
      <c r="P342" s="7"/>
    </row>
    <row r="343" spans="1:17" ht="15.75">
      <c r="A343" s="17">
        <f t="shared" si="24"/>
        <v>342</v>
      </c>
      <c r="C343" s="1109">
        <v>45873</v>
      </c>
      <c r="D343" s="55" t="s">
        <v>552</v>
      </c>
      <c r="G343" s="1135">
        <v>2034590</v>
      </c>
      <c r="H343" s="22">
        <v>0</v>
      </c>
      <c r="I343" s="218">
        <f t="shared" si="23"/>
        <v>-2034590</v>
      </c>
      <c r="J343" s="22">
        <v>-65941858.590000004</v>
      </c>
      <c r="L343" s="64" t="s">
        <v>3720</v>
      </c>
      <c r="M343" s="10"/>
      <c r="N343" s="4" t="s">
        <v>3917</v>
      </c>
      <c r="O343" s="7"/>
      <c r="P343" s="7"/>
      <c r="Q343" s="6"/>
    </row>
    <row r="344" spans="1:17" ht="15.75">
      <c r="A344" s="17">
        <f t="shared" si="24"/>
        <v>343</v>
      </c>
      <c r="C344" s="1109">
        <v>45873</v>
      </c>
      <c r="D344" s="55" t="s">
        <v>552</v>
      </c>
      <c r="G344" s="1135">
        <v>1001374</v>
      </c>
      <c r="H344" s="22">
        <v>0</v>
      </c>
      <c r="I344" s="218">
        <f t="shared" si="23"/>
        <v>-1001374</v>
      </c>
      <c r="J344" s="22">
        <v>-66943232.590000004</v>
      </c>
      <c r="L344" s="64" t="s">
        <v>3720</v>
      </c>
      <c r="M344" s="10"/>
      <c r="N344" s="4" t="s">
        <v>3917</v>
      </c>
      <c r="O344" s="7"/>
      <c r="P344" s="7"/>
      <c r="Q344" s="6"/>
    </row>
    <row r="345" spans="1:17" ht="15.75">
      <c r="A345" s="17">
        <f t="shared" si="24"/>
        <v>344</v>
      </c>
      <c r="C345" s="1109">
        <v>45873</v>
      </c>
      <c r="D345" s="55" t="s">
        <v>552</v>
      </c>
      <c r="G345" s="1135">
        <v>561191</v>
      </c>
      <c r="H345" s="22">
        <v>0</v>
      </c>
      <c r="I345" s="218">
        <f t="shared" si="23"/>
        <v>-561191</v>
      </c>
      <c r="J345" s="22">
        <v>-67504423.590000004</v>
      </c>
      <c r="L345" s="64" t="s">
        <v>3720</v>
      </c>
      <c r="M345" s="10"/>
      <c r="N345" s="4" t="s">
        <v>3917</v>
      </c>
      <c r="O345" s="7"/>
      <c r="P345" s="7"/>
      <c r="Q345" s="6"/>
    </row>
    <row r="346" spans="1:17" ht="15.75">
      <c r="A346" s="17">
        <f t="shared" si="24"/>
        <v>345</v>
      </c>
      <c r="C346" s="1109">
        <v>45873</v>
      </c>
      <c r="D346" s="55" t="s">
        <v>3355</v>
      </c>
      <c r="G346" s="1135">
        <v>0</v>
      </c>
      <c r="H346" s="20">
        <v>5000000</v>
      </c>
      <c r="I346" s="218">
        <f t="shared" si="23"/>
        <v>5000000</v>
      </c>
      <c r="J346" s="22">
        <v>-62504423.590000004</v>
      </c>
      <c r="L346" s="64" t="s">
        <v>3718</v>
      </c>
      <c r="M346" s="10" t="s">
        <v>3593</v>
      </c>
      <c r="N346" s="4" t="s">
        <v>3917</v>
      </c>
      <c r="O346" s="7"/>
      <c r="P346" s="7"/>
      <c r="Q346" s="6"/>
    </row>
    <row r="347" spans="1:17" ht="15.75">
      <c r="A347" s="17">
        <f t="shared" si="24"/>
        <v>346</v>
      </c>
      <c r="C347" s="1109">
        <v>45873</v>
      </c>
      <c r="D347" s="55" t="s">
        <v>552</v>
      </c>
      <c r="G347" s="1135">
        <v>2041892</v>
      </c>
      <c r="H347" s="20">
        <v>0</v>
      </c>
      <c r="I347" s="218">
        <f t="shared" si="23"/>
        <v>-2041892</v>
      </c>
      <c r="J347" s="22">
        <v>-64546315.590000004</v>
      </c>
      <c r="L347" s="64" t="s">
        <v>3720</v>
      </c>
      <c r="M347" s="10"/>
      <c r="N347" s="4" t="s">
        <v>3917</v>
      </c>
      <c r="O347" s="7"/>
      <c r="P347" s="7"/>
      <c r="Q347" s="6"/>
    </row>
    <row r="348" spans="1:17" ht="16.5">
      <c r="A348" s="17">
        <f t="shared" si="24"/>
        <v>347</v>
      </c>
      <c r="C348" s="1109">
        <v>45873</v>
      </c>
      <c r="D348" s="55" t="s">
        <v>3356</v>
      </c>
      <c r="G348" s="1142">
        <v>32877</v>
      </c>
      <c r="H348" s="20">
        <v>0</v>
      </c>
      <c r="I348" s="218">
        <f t="shared" si="23"/>
        <v>-32877</v>
      </c>
      <c r="J348" s="64">
        <f>J347-G348</f>
        <v>-64579192.590000004</v>
      </c>
      <c r="L348" s="64" t="s">
        <v>3717</v>
      </c>
      <c r="M348" s="10" t="s">
        <v>3587</v>
      </c>
      <c r="N348" s="4" t="s">
        <v>3918</v>
      </c>
    </row>
    <row r="349" spans="1:17" ht="16.5">
      <c r="A349" s="17">
        <f t="shared" si="24"/>
        <v>348</v>
      </c>
      <c r="C349" s="1109">
        <v>45873</v>
      </c>
      <c r="D349" s="55" t="s">
        <v>3357</v>
      </c>
      <c r="G349" s="1142">
        <v>540000</v>
      </c>
      <c r="H349" s="20">
        <v>0</v>
      </c>
      <c r="I349" s="218">
        <f t="shared" si="23"/>
        <v>-540000</v>
      </c>
      <c r="J349" s="64">
        <f>J348-G349</f>
        <v>-65119192.590000004</v>
      </c>
      <c r="L349" s="64" t="s">
        <v>542</v>
      </c>
      <c r="M349" s="10"/>
      <c r="N349" s="4" t="s">
        <v>3917</v>
      </c>
    </row>
    <row r="350" spans="1:17" ht="16.5">
      <c r="A350" s="17">
        <f t="shared" si="24"/>
        <v>349</v>
      </c>
      <c r="C350" s="1109">
        <v>45873</v>
      </c>
      <c r="D350" s="55" t="s">
        <v>3358</v>
      </c>
      <c r="G350" s="1142">
        <v>231436</v>
      </c>
      <c r="H350" s="20">
        <v>0</v>
      </c>
      <c r="I350" s="218">
        <f t="shared" si="23"/>
        <v>-231436</v>
      </c>
      <c r="J350" s="64">
        <f>J349-G350</f>
        <v>-65350628.590000004</v>
      </c>
      <c r="L350" s="64" t="s">
        <v>542</v>
      </c>
      <c r="M350" s="10" t="s">
        <v>3238</v>
      </c>
      <c r="N350" s="4" t="s">
        <v>3917</v>
      </c>
    </row>
    <row r="351" spans="1:17" ht="15.75">
      <c r="A351" s="17">
        <f t="shared" si="24"/>
        <v>350</v>
      </c>
      <c r="C351" s="1109">
        <v>45874</v>
      </c>
      <c r="D351" s="55" t="s">
        <v>541</v>
      </c>
      <c r="G351" s="1135">
        <v>231347</v>
      </c>
      <c r="H351"/>
      <c r="I351" s="218">
        <f t="shared" si="23"/>
        <v>-231347</v>
      </c>
      <c r="J351">
        <v>-65581975.590000004</v>
      </c>
      <c r="L351" s="64" t="s">
        <v>542</v>
      </c>
      <c r="M351" s="10"/>
      <c r="N351" s="4" t="s">
        <v>3917</v>
      </c>
      <c r="O351" s="5"/>
      <c r="P351" s="7"/>
      <c r="Q351" s="8"/>
    </row>
    <row r="352" spans="1:17" ht="15.75">
      <c r="A352" s="17">
        <f t="shared" si="24"/>
        <v>351</v>
      </c>
      <c r="C352" s="1109">
        <v>45874</v>
      </c>
      <c r="D352" s="55" t="s">
        <v>3359</v>
      </c>
      <c r="G352" s="1135"/>
      <c r="H352" s="20">
        <v>3287.96</v>
      </c>
      <c r="I352" s="218">
        <f t="shared" si="23"/>
        <v>3287.96</v>
      </c>
      <c r="J352">
        <v>-65578687.630000003</v>
      </c>
      <c r="L352" s="64" t="s">
        <v>3721</v>
      </c>
      <c r="M352" s="10" t="s">
        <v>3587</v>
      </c>
      <c r="N352" s="4" t="s">
        <v>3918</v>
      </c>
    </row>
    <row r="353" spans="1:14" ht="15.75">
      <c r="A353" s="17">
        <f t="shared" si="24"/>
        <v>352</v>
      </c>
      <c r="C353" s="1109">
        <v>45874</v>
      </c>
      <c r="D353" s="55" t="s">
        <v>3360</v>
      </c>
      <c r="G353" s="1135"/>
      <c r="H353" s="20">
        <v>40000000</v>
      </c>
      <c r="I353" s="218">
        <f t="shared" si="23"/>
        <v>40000000</v>
      </c>
      <c r="J353">
        <v>-25578687.629999999</v>
      </c>
      <c r="L353" s="64" t="s">
        <v>3718</v>
      </c>
      <c r="M353" s="10"/>
      <c r="N353" s="4" t="s">
        <v>3917</v>
      </c>
    </row>
    <row r="354" spans="1:14" ht="15.75">
      <c r="A354" s="17">
        <f t="shared" si="24"/>
        <v>353</v>
      </c>
      <c r="C354" s="1109">
        <v>45874</v>
      </c>
      <c r="D354" s="55" t="s">
        <v>3361</v>
      </c>
      <c r="G354" s="1135"/>
      <c r="H354" s="20">
        <v>613765</v>
      </c>
      <c r="I354" s="218">
        <f t="shared" si="23"/>
        <v>613765</v>
      </c>
      <c r="J354">
        <v>-24964922.629999999</v>
      </c>
      <c r="L354" s="64" t="s">
        <v>3721</v>
      </c>
      <c r="M354" s="10"/>
      <c r="N354" s="4" t="s">
        <v>3917</v>
      </c>
    </row>
    <row r="355" spans="1:14" ht="15.75">
      <c r="A355" s="17">
        <f t="shared" si="24"/>
        <v>354</v>
      </c>
      <c r="C355" s="1109">
        <v>45874</v>
      </c>
      <c r="D355" s="55" t="s">
        <v>3362</v>
      </c>
      <c r="G355" s="1135"/>
      <c r="H355" s="20">
        <v>16166339</v>
      </c>
      <c r="I355" s="218">
        <f t="shared" si="23"/>
        <v>16166339</v>
      </c>
      <c r="J355">
        <v>-8798583.6300000008</v>
      </c>
      <c r="L355" s="64" t="s">
        <v>3721</v>
      </c>
      <c r="M355" s="10"/>
      <c r="N355" s="4" t="s">
        <v>3917</v>
      </c>
    </row>
    <row r="356" spans="1:14" ht="15.75">
      <c r="A356" s="17">
        <f t="shared" si="24"/>
        <v>355</v>
      </c>
      <c r="C356" s="1109">
        <v>45874</v>
      </c>
      <c r="D356" s="55" t="s">
        <v>173</v>
      </c>
      <c r="G356" s="1135">
        <v>434110</v>
      </c>
      <c r="H356"/>
      <c r="I356" s="218">
        <f t="shared" si="23"/>
        <v>-434110</v>
      </c>
      <c r="J356">
        <v>-9232693.6300000008</v>
      </c>
      <c r="L356" s="64" t="s">
        <v>542</v>
      </c>
      <c r="M356" s="10"/>
      <c r="N356" s="4" t="s">
        <v>3917</v>
      </c>
    </row>
    <row r="357" spans="1:14" ht="15.75">
      <c r="A357" s="17">
        <f t="shared" si="24"/>
        <v>356</v>
      </c>
      <c r="C357" s="1109">
        <v>45874</v>
      </c>
      <c r="D357" s="55" t="s">
        <v>173</v>
      </c>
      <c r="G357" s="1135">
        <v>167351</v>
      </c>
      <c r="H357"/>
      <c r="I357" s="218">
        <f t="shared" si="23"/>
        <v>-167351</v>
      </c>
      <c r="J357">
        <v>-9400044.6300000008</v>
      </c>
      <c r="L357" s="64" t="s">
        <v>542</v>
      </c>
      <c r="M357" s="10"/>
      <c r="N357" s="4" t="s">
        <v>3917</v>
      </c>
    </row>
    <row r="358" spans="1:14" ht="15.75">
      <c r="A358" s="17">
        <f t="shared" si="24"/>
        <v>357</v>
      </c>
      <c r="C358" s="1109">
        <v>45874</v>
      </c>
      <c r="D358" s="55" t="s">
        <v>537</v>
      </c>
      <c r="G358" s="1143">
        <v>9221338</v>
      </c>
      <c r="H358"/>
      <c r="I358" s="218">
        <f t="shared" si="23"/>
        <v>-9221338</v>
      </c>
      <c r="J358">
        <v>-18621382.629999999</v>
      </c>
      <c r="L358" s="64" t="s">
        <v>542</v>
      </c>
      <c r="M358" s="10"/>
      <c r="N358" s="4" t="s">
        <v>3917</v>
      </c>
    </row>
    <row r="359" spans="1:14" ht="15.75">
      <c r="A359" s="17">
        <f t="shared" si="24"/>
        <v>358</v>
      </c>
      <c r="C359" s="1109">
        <v>45874</v>
      </c>
      <c r="D359" s="55" t="s">
        <v>537</v>
      </c>
      <c r="G359" s="1143">
        <v>5960886</v>
      </c>
      <c r="H359"/>
      <c r="I359" s="218">
        <f t="shared" si="23"/>
        <v>-5960886</v>
      </c>
      <c r="J359">
        <v>-24582268.629999999</v>
      </c>
      <c r="L359" s="64" t="s">
        <v>542</v>
      </c>
      <c r="M359" s="10"/>
      <c r="N359" s="4" t="s">
        <v>3917</v>
      </c>
    </row>
    <row r="360" spans="1:14" ht="15.75">
      <c r="A360" s="17">
        <f t="shared" si="24"/>
        <v>359</v>
      </c>
      <c r="C360" s="1109">
        <v>45874</v>
      </c>
      <c r="D360" s="55" t="s">
        <v>537</v>
      </c>
      <c r="G360" s="1135">
        <v>255192</v>
      </c>
      <c r="H360"/>
      <c r="I360" s="218">
        <f t="shared" si="23"/>
        <v>-255192</v>
      </c>
      <c r="J360">
        <v>-24837460.629999999</v>
      </c>
      <c r="L360" s="64" t="s">
        <v>542</v>
      </c>
      <c r="M360" s="10"/>
      <c r="N360" s="4" t="s">
        <v>3917</v>
      </c>
    </row>
    <row r="361" spans="1:14" ht="15.75">
      <c r="A361" s="17">
        <f t="shared" si="24"/>
        <v>360</v>
      </c>
      <c r="C361" s="1109">
        <v>45874</v>
      </c>
      <c r="D361" s="55" t="s">
        <v>3363</v>
      </c>
      <c r="G361" s="1135"/>
      <c r="H361">
        <v>849193</v>
      </c>
      <c r="I361" s="218">
        <f t="shared" si="23"/>
        <v>849193</v>
      </c>
      <c r="J361">
        <v>-23988267.629999999</v>
      </c>
      <c r="L361" s="64" t="s">
        <v>3721</v>
      </c>
      <c r="M361" s="10"/>
      <c r="N361" s="4" t="s">
        <v>3917</v>
      </c>
    </row>
    <row r="362" spans="1:14" ht="15.75">
      <c r="A362" s="17">
        <f t="shared" si="24"/>
        <v>361</v>
      </c>
      <c r="C362" s="1109">
        <v>45874</v>
      </c>
      <c r="D362" s="55" t="s">
        <v>3364</v>
      </c>
      <c r="G362" s="1135"/>
      <c r="H362">
        <v>159626</v>
      </c>
      <c r="I362" s="218">
        <f t="shared" si="23"/>
        <v>159626</v>
      </c>
      <c r="J362">
        <v>-23828641.629999999</v>
      </c>
      <c r="L362" s="64" t="s">
        <v>3721</v>
      </c>
      <c r="M362" s="10"/>
      <c r="N362" s="4" t="s">
        <v>3917</v>
      </c>
    </row>
    <row r="363" spans="1:14" ht="15.75">
      <c r="A363" s="17">
        <f t="shared" si="24"/>
        <v>362</v>
      </c>
      <c r="C363" s="1109">
        <v>45875</v>
      </c>
      <c r="D363" s="55" t="s">
        <v>3365</v>
      </c>
      <c r="G363" s="1135">
        <v>250000</v>
      </c>
      <c r="H363"/>
      <c r="I363" s="218">
        <f t="shared" si="23"/>
        <v>-250000</v>
      </c>
      <c r="J363">
        <v>-24078641.629999999</v>
      </c>
      <c r="L363" s="64" t="s">
        <v>542</v>
      </c>
      <c r="M363" s="10"/>
      <c r="N363" s="4" t="s">
        <v>3917</v>
      </c>
    </row>
    <row r="364" spans="1:14" ht="15.75">
      <c r="A364" s="17">
        <f t="shared" si="24"/>
        <v>363</v>
      </c>
      <c r="C364" s="1109">
        <v>45875</v>
      </c>
      <c r="D364" s="55" t="s">
        <v>1500</v>
      </c>
      <c r="G364" s="1135">
        <v>5200000</v>
      </c>
      <c r="H364"/>
      <c r="I364" s="218">
        <f t="shared" si="23"/>
        <v>-5200000</v>
      </c>
      <c r="J364">
        <v>-29278641.629999999</v>
      </c>
      <c r="L364" s="64" t="s">
        <v>3722</v>
      </c>
      <c r="M364" s="10"/>
      <c r="N364" s="4" t="s">
        <v>3917</v>
      </c>
    </row>
    <row r="365" spans="1:14" ht="15.75">
      <c r="A365" s="17">
        <f t="shared" si="24"/>
        <v>364</v>
      </c>
      <c r="C365" s="1109">
        <v>45875</v>
      </c>
      <c r="D365" s="55" t="s">
        <v>537</v>
      </c>
      <c r="G365" s="1135">
        <v>1331311</v>
      </c>
      <c r="H365"/>
      <c r="I365" s="218">
        <f t="shared" si="23"/>
        <v>-1331311</v>
      </c>
      <c r="J365">
        <v>-30609952.629999999</v>
      </c>
      <c r="L365" s="64" t="s">
        <v>3719</v>
      </c>
      <c r="M365" s="10"/>
      <c r="N365" s="4" t="s">
        <v>3917</v>
      </c>
    </row>
    <row r="366" spans="1:14" ht="15.75">
      <c r="A366" s="17">
        <f t="shared" si="24"/>
        <v>365</v>
      </c>
      <c r="C366" s="1109">
        <v>45875</v>
      </c>
      <c r="D366" s="55" t="s">
        <v>537</v>
      </c>
      <c r="G366" s="1135">
        <v>1360752</v>
      </c>
      <c r="H366"/>
      <c r="I366" s="218">
        <f t="shared" si="23"/>
        <v>-1360752</v>
      </c>
      <c r="J366">
        <v>-31970704.629999999</v>
      </c>
      <c r="L366" s="64" t="s">
        <v>3719</v>
      </c>
      <c r="M366" s="10"/>
      <c r="N366" s="4" t="s">
        <v>3917</v>
      </c>
    </row>
    <row r="367" spans="1:14" ht="15.75">
      <c r="A367" s="17">
        <f t="shared" si="24"/>
        <v>366</v>
      </c>
      <c r="C367" s="1109">
        <v>45876</v>
      </c>
      <c r="D367" s="55" t="s">
        <v>3366</v>
      </c>
      <c r="G367" s="1135">
        <v>14750000</v>
      </c>
      <c r="H367" s="20">
        <v>0</v>
      </c>
      <c r="I367" s="218">
        <f t="shared" si="23"/>
        <v>-14750000</v>
      </c>
      <c r="J367" s="22">
        <v>-46720704.630000003</v>
      </c>
      <c r="L367" s="64" t="s">
        <v>3720</v>
      </c>
      <c r="M367" s="233" t="s">
        <v>641</v>
      </c>
      <c r="N367" s="4" t="s">
        <v>3917</v>
      </c>
    </row>
    <row r="368" spans="1:14" ht="15.75">
      <c r="A368" s="17">
        <f t="shared" si="24"/>
        <v>367</v>
      </c>
      <c r="C368" s="1109">
        <v>45876</v>
      </c>
      <c r="D368" s="55" t="s">
        <v>3367</v>
      </c>
      <c r="G368" s="1135">
        <v>0</v>
      </c>
      <c r="H368" s="20">
        <v>1551485</v>
      </c>
      <c r="I368" s="218">
        <f t="shared" si="23"/>
        <v>1551485</v>
      </c>
      <c r="J368" s="22">
        <v>-45169219.630000003</v>
      </c>
      <c r="L368" s="64" t="s">
        <v>3723</v>
      </c>
      <c r="M368" s="233" t="s">
        <v>3598</v>
      </c>
      <c r="N368" s="4" t="s">
        <v>3917</v>
      </c>
    </row>
    <row r="369" spans="1:14" ht="15.75">
      <c r="A369" s="17">
        <f t="shared" si="24"/>
        <v>368</v>
      </c>
      <c r="C369" s="1109">
        <v>45876</v>
      </c>
      <c r="D369" s="55" t="s">
        <v>197</v>
      </c>
      <c r="G369" s="1135">
        <v>0</v>
      </c>
      <c r="H369" s="20">
        <v>1300000</v>
      </c>
      <c r="I369" s="218">
        <f t="shared" si="23"/>
        <v>1300000</v>
      </c>
      <c r="J369" s="22">
        <v>-43869219.630000003</v>
      </c>
      <c r="L369" s="64" t="s">
        <v>3723</v>
      </c>
      <c r="M369" s="233" t="s">
        <v>3599</v>
      </c>
      <c r="N369" s="4" t="s">
        <v>3917</v>
      </c>
    </row>
    <row r="370" spans="1:14" ht="15.75">
      <c r="A370" s="17">
        <f t="shared" si="24"/>
        <v>369</v>
      </c>
      <c r="C370" s="1109">
        <v>45876</v>
      </c>
      <c r="D370" s="55" t="s">
        <v>197</v>
      </c>
      <c r="G370" s="1135">
        <v>0</v>
      </c>
      <c r="H370" s="20">
        <v>600000</v>
      </c>
      <c r="I370" s="218">
        <f t="shared" si="23"/>
        <v>600000</v>
      </c>
      <c r="J370" s="22">
        <v>-43269219.630000003</v>
      </c>
      <c r="L370" s="64" t="s">
        <v>3723</v>
      </c>
      <c r="M370" s="233" t="s">
        <v>1549</v>
      </c>
      <c r="N370" s="4" t="s">
        <v>3917</v>
      </c>
    </row>
    <row r="371" spans="1:14" ht="15.75">
      <c r="A371" s="17">
        <f t="shared" si="24"/>
        <v>370</v>
      </c>
      <c r="C371" s="1109">
        <v>45876</v>
      </c>
      <c r="D371" s="55" t="s">
        <v>197</v>
      </c>
      <c r="G371" s="1135">
        <v>0</v>
      </c>
      <c r="H371" s="20">
        <v>800000</v>
      </c>
      <c r="I371" s="218">
        <f t="shared" si="23"/>
        <v>800000</v>
      </c>
      <c r="J371" s="22">
        <v>-42469219.630000003</v>
      </c>
      <c r="L371" s="64" t="s">
        <v>3723</v>
      </c>
      <c r="M371" s="233" t="s">
        <v>3600</v>
      </c>
      <c r="N371" s="4" t="s">
        <v>3917</v>
      </c>
    </row>
    <row r="372" spans="1:14" ht="15.75">
      <c r="A372" s="17">
        <f t="shared" si="24"/>
        <v>371</v>
      </c>
      <c r="C372" s="1109">
        <v>45876</v>
      </c>
      <c r="D372" s="55" t="s">
        <v>3368</v>
      </c>
      <c r="G372" s="1135">
        <v>0</v>
      </c>
      <c r="H372" s="20">
        <v>20000000</v>
      </c>
      <c r="I372" s="218">
        <f t="shared" si="23"/>
        <v>20000000</v>
      </c>
      <c r="J372" s="22">
        <v>-22469219.629999999</v>
      </c>
      <c r="L372" s="64" t="s">
        <v>3718</v>
      </c>
      <c r="M372" s="233" t="s">
        <v>377</v>
      </c>
      <c r="N372" s="4" t="s">
        <v>3917</v>
      </c>
    </row>
    <row r="373" spans="1:14" ht="15.75">
      <c r="A373" s="17">
        <f t="shared" si="24"/>
        <v>372</v>
      </c>
      <c r="C373" s="1109">
        <v>45876</v>
      </c>
      <c r="D373" s="55" t="s">
        <v>537</v>
      </c>
      <c r="G373" s="1135">
        <v>1043993</v>
      </c>
      <c r="H373" s="20">
        <v>0</v>
      </c>
      <c r="I373" s="218">
        <f t="shared" si="23"/>
        <v>-1043993</v>
      </c>
      <c r="J373" s="22">
        <v>-23513212.629999999</v>
      </c>
      <c r="L373" s="64" t="s">
        <v>3719</v>
      </c>
      <c r="M373" s="233"/>
      <c r="N373" s="4" t="s">
        <v>3917</v>
      </c>
    </row>
    <row r="374" spans="1:14" ht="15.75">
      <c r="A374" s="17">
        <f t="shared" si="24"/>
        <v>373</v>
      </c>
      <c r="C374" s="1109">
        <v>45876</v>
      </c>
      <c r="D374" s="55" t="s">
        <v>537</v>
      </c>
      <c r="G374" s="1135">
        <v>2000000</v>
      </c>
      <c r="H374" s="20">
        <v>0</v>
      </c>
      <c r="I374" s="218">
        <f t="shared" si="23"/>
        <v>-2000000</v>
      </c>
      <c r="J374" s="22">
        <v>-25513212.629999999</v>
      </c>
      <c r="L374" s="64" t="s">
        <v>3719</v>
      </c>
      <c r="M374" s="233"/>
      <c r="N374" s="4" t="s">
        <v>3917</v>
      </c>
    </row>
    <row r="375" spans="1:14" ht="15.75">
      <c r="A375" s="17">
        <f t="shared" si="24"/>
        <v>374</v>
      </c>
      <c r="C375" s="1109">
        <v>45876</v>
      </c>
      <c r="D375" s="55" t="s">
        <v>173</v>
      </c>
      <c r="G375" s="1135">
        <v>1000000</v>
      </c>
      <c r="H375" s="20">
        <v>0</v>
      </c>
      <c r="I375" s="218">
        <f t="shared" si="23"/>
        <v>-1000000</v>
      </c>
      <c r="J375" s="22">
        <v>-26513212.629999999</v>
      </c>
      <c r="L375" s="64" t="s">
        <v>3719</v>
      </c>
      <c r="M375" s="233"/>
      <c r="N375" s="4" t="s">
        <v>3917</v>
      </c>
    </row>
    <row r="376" spans="1:14" ht="15.75">
      <c r="A376" s="17">
        <f t="shared" si="24"/>
        <v>375</v>
      </c>
      <c r="C376" s="1109">
        <v>45876</v>
      </c>
      <c r="D376" s="55" t="s">
        <v>552</v>
      </c>
      <c r="G376" s="1135">
        <v>2342956</v>
      </c>
      <c r="H376" s="20">
        <v>0</v>
      </c>
      <c r="I376" s="218">
        <f t="shared" si="23"/>
        <v>-2342956</v>
      </c>
      <c r="J376" s="22">
        <v>-28856168.629999999</v>
      </c>
      <c r="L376" s="64" t="s">
        <v>542</v>
      </c>
      <c r="M376" s="233" t="s">
        <v>3914</v>
      </c>
      <c r="N376" s="4" t="s">
        <v>3917</v>
      </c>
    </row>
    <row r="377" spans="1:14" ht="15.75">
      <c r="A377" s="17">
        <f t="shared" si="24"/>
        <v>376</v>
      </c>
      <c r="C377" s="1109">
        <v>45876</v>
      </c>
      <c r="D377" s="55" t="s">
        <v>552</v>
      </c>
      <c r="G377" s="1135">
        <v>2039899</v>
      </c>
      <c r="H377" s="20">
        <v>0</v>
      </c>
      <c r="I377" s="218">
        <f t="shared" si="23"/>
        <v>-2039899</v>
      </c>
      <c r="J377" s="22">
        <v>-30896067.629999999</v>
      </c>
      <c r="L377" s="64" t="s">
        <v>542</v>
      </c>
      <c r="M377" s="233" t="s">
        <v>3914</v>
      </c>
      <c r="N377" s="4" t="s">
        <v>3917</v>
      </c>
    </row>
    <row r="378" spans="1:14" ht="15.75">
      <c r="A378" s="17">
        <f t="shared" si="24"/>
        <v>377</v>
      </c>
      <c r="C378" s="1109">
        <v>45876</v>
      </c>
      <c r="D378" s="55" t="s">
        <v>197</v>
      </c>
      <c r="G378" s="1135">
        <v>0</v>
      </c>
      <c r="H378" s="20">
        <v>700000</v>
      </c>
      <c r="I378" s="218">
        <f t="shared" si="23"/>
        <v>700000</v>
      </c>
      <c r="J378" s="22">
        <v>-30196067.629999999</v>
      </c>
      <c r="L378" s="64" t="s">
        <v>3723</v>
      </c>
      <c r="M378" s="233" t="s">
        <v>3564</v>
      </c>
      <c r="N378" s="4" t="s">
        <v>3917</v>
      </c>
    </row>
    <row r="379" spans="1:14" ht="15.75">
      <c r="A379" s="17">
        <f t="shared" si="24"/>
        <v>378</v>
      </c>
      <c r="C379" s="1109">
        <v>45876</v>
      </c>
      <c r="D379" s="55" t="s">
        <v>567</v>
      </c>
      <c r="G379" s="1135">
        <v>3136794</v>
      </c>
      <c r="H379" s="20">
        <v>0</v>
      </c>
      <c r="I379" s="218">
        <f t="shared" si="23"/>
        <v>-3136794</v>
      </c>
      <c r="J379" s="22">
        <v>-33332861.629999999</v>
      </c>
      <c r="L379" s="64" t="s">
        <v>3724</v>
      </c>
      <c r="M379" s="233"/>
      <c r="N379" s="4" t="s">
        <v>3917</v>
      </c>
    </row>
    <row r="380" spans="1:14" ht="15.75">
      <c r="A380" s="17">
        <f t="shared" si="24"/>
        <v>379</v>
      </c>
      <c r="C380" s="1109">
        <v>45876</v>
      </c>
      <c r="D380" s="55" t="s">
        <v>3369</v>
      </c>
      <c r="G380" s="1135">
        <v>37000</v>
      </c>
      <c r="H380" s="20">
        <v>0</v>
      </c>
      <c r="I380" s="218">
        <f t="shared" si="23"/>
        <v>-37000</v>
      </c>
      <c r="J380" s="22">
        <v>-33369861.629999999</v>
      </c>
      <c r="L380" s="64" t="s">
        <v>3724</v>
      </c>
      <c r="M380" s="233"/>
      <c r="N380" s="4" t="s">
        <v>3917</v>
      </c>
    </row>
    <row r="381" spans="1:14" ht="15.75">
      <c r="A381" s="17">
        <f t="shared" si="24"/>
        <v>380</v>
      </c>
      <c r="C381" s="1109">
        <v>45876</v>
      </c>
      <c r="D381" s="55" t="s">
        <v>565</v>
      </c>
      <c r="G381" s="1135">
        <v>2037317</v>
      </c>
      <c r="H381" s="20">
        <v>0</v>
      </c>
      <c r="I381" s="218">
        <f t="shared" si="23"/>
        <v>-2037317</v>
      </c>
      <c r="J381" s="22">
        <v>-35407178.630000003</v>
      </c>
      <c r="L381" s="64" t="s">
        <v>3724</v>
      </c>
      <c r="M381" s="233"/>
      <c r="N381" s="4" t="s">
        <v>3917</v>
      </c>
    </row>
    <row r="382" spans="1:14" ht="15.75">
      <c r="A382" s="17">
        <f t="shared" si="24"/>
        <v>381</v>
      </c>
      <c r="C382" s="1109">
        <v>45876</v>
      </c>
      <c r="D382" s="55" t="s">
        <v>562</v>
      </c>
      <c r="G382" s="1135">
        <v>11967480</v>
      </c>
      <c r="H382" s="20">
        <v>0</v>
      </c>
      <c r="I382" s="218">
        <f t="shared" si="23"/>
        <v>-11967480</v>
      </c>
      <c r="J382" s="22">
        <v>-47374658.630000003</v>
      </c>
      <c r="L382" s="64" t="s">
        <v>3724</v>
      </c>
      <c r="M382" s="233"/>
      <c r="N382" s="4" t="s">
        <v>3917</v>
      </c>
    </row>
    <row r="383" spans="1:14" ht="15.75">
      <c r="A383" s="17">
        <f t="shared" si="24"/>
        <v>382</v>
      </c>
      <c r="C383" s="1109">
        <v>45876</v>
      </c>
      <c r="D383" s="55" t="s">
        <v>3370</v>
      </c>
      <c r="G383" s="1135">
        <v>14644</v>
      </c>
      <c r="H383" s="20">
        <v>0</v>
      </c>
      <c r="I383" s="218">
        <f t="shared" si="23"/>
        <v>-14644</v>
      </c>
      <c r="J383" s="22">
        <v>-47389302.630000003</v>
      </c>
      <c r="L383" s="64" t="s">
        <v>3724</v>
      </c>
      <c r="M383" s="233"/>
      <c r="N383" s="4" t="s">
        <v>3917</v>
      </c>
    </row>
    <row r="384" spans="1:14" ht="15.75">
      <c r="A384" s="17">
        <f t="shared" si="24"/>
        <v>383</v>
      </c>
      <c r="C384" s="1109">
        <v>45876</v>
      </c>
      <c r="D384" s="55" t="s">
        <v>3371</v>
      </c>
      <c r="G384" s="1135">
        <v>0</v>
      </c>
      <c r="H384" s="20">
        <v>129520.8</v>
      </c>
      <c r="I384" s="218">
        <f t="shared" si="23"/>
        <v>129520.8</v>
      </c>
      <c r="J384" s="22">
        <v>-47259781.829999998</v>
      </c>
      <c r="L384" s="64" t="s">
        <v>3723</v>
      </c>
      <c r="M384" s="233" t="s">
        <v>3601</v>
      </c>
      <c r="N384" s="4" t="s">
        <v>3917</v>
      </c>
    </row>
    <row r="385" spans="1:14" ht="15.75">
      <c r="A385" s="17">
        <f t="shared" si="24"/>
        <v>384</v>
      </c>
      <c r="C385" s="1109">
        <v>45877</v>
      </c>
      <c r="D385" s="55" t="s">
        <v>3372</v>
      </c>
      <c r="G385" s="1135">
        <v>0</v>
      </c>
      <c r="H385" s="20">
        <v>1</v>
      </c>
      <c r="I385" s="218">
        <f t="shared" si="23"/>
        <v>1</v>
      </c>
      <c r="J385" s="22">
        <v>-47259780.829999998</v>
      </c>
      <c r="L385" s="64" t="s">
        <v>3721</v>
      </c>
      <c r="M385" s="10"/>
      <c r="N385" s="4" t="s">
        <v>3917</v>
      </c>
    </row>
    <row r="386" spans="1:14" ht="15.75">
      <c r="A386" s="17">
        <f t="shared" si="24"/>
        <v>385</v>
      </c>
      <c r="C386" s="1109">
        <v>45877</v>
      </c>
      <c r="D386" s="55" t="s">
        <v>197</v>
      </c>
      <c r="G386" s="1135">
        <v>0</v>
      </c>
      <c r="H386" s="20">
        <v>6600000</v>
      </c>
      <c r="I386" s="218">
        <f t="shared" ref="I386:I449" si="25">H386-G386</f>
        <v>6600000</v>
      </c>
      <c r="J386" s="22">
        <v>-40659780.829999998</v>
      </c>
      <c r="L386" s="64" t="s">
        <v>3723</v>
      </c>
      <c r="M386" s="10" t="s">
        <v>3602</v>
      </c>
      <c r="N386" s="4" t="s">
        <v>3917</v>
      </c>
    </row>
    <row r="387" spans="1:14" ht="15.75">
      <c r="A387" s="17">
        <f t="shared" si="24"/>
        <v>386</v>
      </c>
      <c r="C387" s="1109">
        <v>45877</v>
      </c>
      <c r="D387" s="55" t="s">
        <v>1037</v>
      </c>
      <c r="G387" s="1135">
        <v>0</v>
      </c>
      <c r="H387" s="20">
        <v>800000</v>
      </c>
      <c r="I387" s="218">
        <f t="shared" si="25"/>
        <v>800000</v>
      </c>
      <c r="J387" s="22">
        <v>-39859780.829999998</v>
      </c>
      <c r="L387" s="64" t="s">
        <v>3723</v>
      </c>
      <c r="M387" s="10" t="s">
        <v>3603</v>
      </c>
      <c r="N387" s="4" t="s">
        <v>3917</v>
      </c>
    </row>
    <row r="388" spans="1:14" ht="15.75">
      <c r="A388" s="17">
        <f t="shared" ref="A388:A451" si="26">A387+1</f>
        <v>387</v>
      </c>
      <c r="C388" s="1109">
        <f>C387+1</f>
        <v>45878</v>
      </c>
      <c r="D388" s="55"/>
      <c r="G388" s="1135">
        <v>0</v>
      </c>
      <c r="H388" s="20">
        <v>0</v>
      </c>
      <c r="I388" s="218">
        <f t="shared" si="25"/>
        <v>0</v>
      </c>
      <c r="J388" s="22">
        <v>-39859780.829999998</v>
      </c>
      <c r="L388" s="64" t="s">
        <v>3723</v>
      </c>
      <c r="M388" s="10"/>
      <c r="N388" s="4" t="s">
        <v>3917</v>
      </c>
    </row>
    <row r="389" spans="1:14" ht="15.75">
      <c r="A389" s="17">
        <f t="shared" si="26"/>
        <v>388</v>
      </c>
      <c r="C389" s="1109">
        <v>45879</v>
      </c>
      <c r="D389" s="55" t="s">
        <v>3373</v>
      </c>
      <c r="G389" s="1135">
        <v>0</v>
      </c>
      <c r="H389" s="20">
        <v>10000</v>
      </c>
      <c r="I389" s="218">
        <f t="shared" si="25"/>
        <v>10000</v>
      </c>
      <c r="J389" s="22">
        <v>-39849780.829999998</v>
      </c>
      <c r="L389" s="64" t="s">
        <v>3721</v>
      </c>
      <c r="M389" s="10" t="s">
        <v>638</v>
      </c>
      <c r="N389" s="4" t="s">
        <v>3917</v>
      </c>
    </row>
    <row r="390" spans="1:14" ht="15.75">
      <c r="A390" s="17">
        <f t="shared" si="26"/>
        <v>389</v>
      </c>
      <c r="C390" s="1109">
        <v>45880</v>
      </c>
      <c r="D390" s="55" t="s">
        <v>3374</v>
      </c>
      <c r="G390" s="1135">
        <v>0</v>
      </c>
      <c r="H390" s="20">
        <v>76304.100000000006</v>
      </c>
      <c r="I390" s="218">
        <f t="shared" si="25"/>
        <v>76304.100000000006</v>
      </c>
      <c r="J390" s="22">
        <v>-39773476.729999997</v>
      </c>
      <c r="L390" s="64" t="s">
        <v>3723</v>
      </c>
      <c r="M390" s="10" t="s">
        <v>3604</v>
      </c>
      <c r="N390" s="4" t="s">
        <v>3917</v>
      </c>
    </row>
    <row r="391" spans="1:14" ht="15.75">
      <c r="A391" s="17">
        <f t="shared" si="26"/>
        <v>390</v>
      </c>
      <c r="C391" s="1109">
        <v>45880</v>
      </c>
      <c r="D391" s="55" t="s">
        <v>3375</v>
      </c>
      <c r="G391" s="1135">
        <v>0</v>
      </c>
      <c r="H391" s="20">
        <v>1248411</v>
      </c>
      <c r="I391" s="218">
        <f t="shared" si="25"/>
        <v>1248411</v>
      </c>
      <c r="J391" s="22">
        <v>-38525065.729999997</v>
      </c>
      <c r="L391" s="64" t="s">
        <v>3723</v>
      </c>
      <c r="M391" s="10" t="s">
        <v>3598</v>
      </c>
      <c r="N391" s="4" t="s">
        <v>3917</v>
      </c>
    </row>
    <row r="392" spans="1:14" ht="15.75">
      <c r="A392" s="17">
        <f t="shared" si="26"/>
        <v>391</v>
      </c>
      <c r="C392" s="1109">
        <v>45880</v>
      </c>
      <c r="D392" s="55" t="s">
        <v>3376</v>
      </c>
      <c r="G392" s="1135">
        <v>0</v>
      </c>
      <c r="H392" s="20">
        <v>4942567</v>
      </c>
      <c r="I392" s="218">
        <f t="shared" si="25"/>
        <v>4942567</v>
      </c>
      <c r="J392" s="22">
        <v>-33582498.729999997</v>
      </c>
      <c r="L392" s="64" t="s">
        <v>3723</v>
      </c>
      <c r="M392" s="10" t="s">
        <v>3598</v>
      </c>
      <c r="N392" s="4" t="s">
        <v>3917</v>
      </c>
    </row>
    <row r="393" spans="1:14" ht="15.75">
      <c r="A393" s="17">
        <f t="shared" si="26"/>
        <v>392</v>
      </c>
      <c r="C393" s="1109">
        <v>45880</v>
      </c>
      <c r="D393" s="55" t="s">
        <v>3377</v>
      </c>
      <c r="G393" s="1135">
        <v>0</v>
      </c>
      <c r="H393" s="20">
        <v>20000000</v>
      </c>
      <c r="I393" s="218">
        <f t="shared" si="25"/>
        <v>20000000</v>
      </c>
      <c r="J393" s="22">
        <v>-13582498.73</v>
      </c>
      <c r="L393" s="64" t="s">
        <v>3723</v>
      </c>
      <c r="M393" s="10" t="s">
        <v>1371</v>
      </c>
      <c r="N393" s="4" t="s">
        <v>3917</v>
      </c>
    </row>
    <row r="394" spans="1:14" ht="15.75">
      <c r="A394" s="17">
        <f t="shared" si="26"/>
        <v>393</v>
      </c>
      <c r="C394" s="1109">
        <v>45880</v>
      </c>
      <c r="D394" s="55" t="s">
        <v>3378</v>
      </c>
      <c r="G394" s="1135">
        <v>0</v>
      </c>
      <c r="H394" s="20">
        <v>2000000</v>
      </c>
      <c r="I394" s="218">
        <f t="shared" si="25"/>
        <v>2000000</v>
      </c>
      <c r="J394" s="22">
        <v>-11582498.73</v>
      </c>
      <c r="L394" s="64" t="s">
        <v>3723</v>
      </c>
      <c r="M394" s="10" t="s">
        <v>1371</v>
      </c>
      <c r="N394" s="4" t="s">
        <v>3917</v>
      </c>
    </row>
    <row r="395" spans="1:14" ht="15.75">
      <c r="A395" s="17">
        <f t="shared" si="26"/>
        <v>394</v>
      </c>
      <c r="C395" s="1109">
        <v>45880</v>
      </c>
      <c r="D395" s="55" t="s">
        <v>3379</v>
      </c>
      <c r="G395" s="1135">
        <v>0</v>
      </c>
      <c r="H395" s="20">
        <v>200000</v>
      </c>
      <c r="I395" s="218">
        <f t="shared" si="25"/>
        <v>200000</v>
      </c>
      <c r="J395" s="22">
        <v>-11382498.73</v>
      </c>
      <c r="L395" s="64" t="s">
        <v>3723</v>
      </c>
      <c r="M395" s="10" t="s">
        <v>1371</v>
      </c>
      <c r="N395" s="4" t="s">
        <v>3917</v>
      </c>
    </row>
    <row r="396" spans="1:14" ht="15.75">
      <c r="A396" s="17">
        <f t="shared" si="26"/>
        <v>395</v>
      </c>
      <c r="C396" s="1109">
        <v>45880</v>
      </c>
      <c r="D396" s="55" t="s">
        <v>3380</v>
      </c>
      <c r="G396" s="1135">
        <v>50000000</v>
      </c>
      <c r="H396" s="20">
        <v>0</v>
      </c>
      <c r="I396" s="218">
        <f t="shared" si="25"/>
        <v>-50000000</v>
      </c>
      <c r="J396" s="22">
        <v>-61382498.729999997</v>
      </c>
      <c r="L396" s="64" t="s">
        <v>3718</v>
      </c>
      <c r="M396" s="10" t="s">
        <v>548</v>
      </c>
      <c r="N396" s="4" t="s">
        <v>3917</v>
      </c>
    </row>
    <row r="397" spans="1:14" ht="15.75">
      <c r="A397" s="17">
        <f t="shared" si="26"/>
        <v>396</v>
      </c>
      <c r="C397" s="1109">
        <v>45880</v>
      </c>
      <c r="D397" s="55" t="s">
        <v>3381</v>
      </c>
      <c r="G397" s="1135">
        <v>7000000</v>
      </c>
      <c r="H397" s="20">
        <v>0</v>
      </c>
      <c r="I397" s="218">
        <f t="shared" si="25"/>
        <v>-7000000</v>
      </c>
      <c r="J397" s="22">
        <v>-68382498.730000004</v>
      </c>
      <c r="L397" s="64" t="s">
        <v>3718</v>
      </c>
      <c r="M397" s="10" t="s">
        <v>548</v>
      </c>
      <c r="N397" s="4" t="s">
        <v>3917</v>
      </c>
    </row>
    <row r="398" spans="1:14" ht="15.75">
      <c r="A398" s="17">
        <f t="shared" si="26"/>
        <v>397</v>
      </c>
      <c r="C398" s="1109">
        <v>45881</v>
      </c>
      <c r="D398" s="55" t="s">
        <v>3382</v>
      </c>
      <c r="G398" s="1135"/>
      <c r="H398" s="20">
        <v>20000000</v>
      </c>
      <c r="I398" s="218">
        <f t="shared" si="25"/>
        <v>20000000</v>
      </c>
      <c r="J398" s="22">
        <v>-48382498.729999997</v>
      </c>
      <c r="L398" s="64" t="s">
        <v>3723</v>
      </c>
      <c r="M398" s="10" t="s">
        <v>1371</v>
      </c>
      <c r="N398" s="4" t="s">
        <v>3917</v>
      </c>
    </row>
    <row r="399" spans="1:14" ht="15.75">
      <c r="A399" s="17">
        <f t="shared" si="26"/>
        <v>398</v>
      </c>
      <c r="C399" s="1109">
        <v>45881</v>
      </c>
      <c r="D399" s="55" t="s">
        <v>3383</v>
      </c>
      <c r="G399" s="1135"/>
      <c r="H399" s="20">
        <v>20000000</v>
      </c>
      <c r="I399" s="218">
        <f t="shared" si="25"/>
        <v>20000000</v>
      </c>
      <c r="J399" s="22">
        <v>-28382498.73</v>
      </c>
      <c r="L399" s="64" t="s">
        <v>3723</v>
      </c>
      <c r="M399" s="10" t="s">
        <v>1371</v>
      </c>
      <c r="N399" s="4" t="s">
        <v>3917</v>
      </c>
    </row>
    <row r="400" spans="1:14" ht="14.25">
      <c r="A400" s="17">
        <f t="shared" si="26"/>
        <v>399</v>
      </c>
      <c r="C400" s="1111">
        <v>45882</v>
      </c>
      <c r="D400" s="10" t="s">
        <v>3384</v>
      </c>
      <c r="G400" s="1129"/>
      <c r="H400" s="1144">
        <v>19850000</v>
      </c>
      <c r="I400" s="218">
        <f t="shared" si="25"/>
        <v>19850000</v>
      </c>
      <c r="J400" s="64">
        <v>-8532498.7300000004</v>
      </c>
      <c r="L400" s="64" t="s">
        <v>3723</v>
      </c>
      <c r="M400" s="10" t="s">
        <v>1371</v>
      </c>
      <c r="N400" s="4" t="s">
        <v>3917</v>
      </c>
    </row>
    <row r="401" spans="1:14" ht="14.25">
      <c r="A401" s="17">
        <f t="shared" si="26"/>
        <v>400</v>
      </c>
      <c r="C401" s="1111">
        <v>45882</v>
      </c>
      <c r="D401" s="10" t="s">
        <v>3385</v>
      </c>
      <c r="G401" s="1129">
        <v>820601</v>
      </c>
      <c r="H401" s="1144"/>
      <c r="I401" s="218">
        <f t="shared" si="25"/>
        <v>-820601</v>
      </c>
      <c r="J401" s="64">
        <v>-9353099.7300000004</v>
      </c>
      <c r="L401" s="64" t="s">
        <v>542</v>
      </c>
      <c r="M401" s="10" t="s">
        <v>3914</v>
      </c>
      <c r="N401" s="4" t="s">
        <v>3917</v>
      </c>
    </row>
    <row r="402" spans="1:14" ht="14.25">
      <c r="A402" s="17">
        <f t="shared" si="26"/>
        <v>401</v>
      </c>
      <c r="C402" s="1111">
        <v>45882</v>
      </c>
      <c r="D402" s="10" t="s">
        <v>552</v>
      </c>
      <c r="G402" s="1129">
        <v>10815</v>
      </c>
      <c r="H402" s="1144"/>
      <c r="I402" s="218">
        <f t="shared" si="25"/>
        <v>-10815</v>
      </c>
      <c r="J402" s="64">
        <v>-9363914.7300000004</v>
      </c>
      <c r="L402" s="64" t="s">
        <v>542</v>
      </c>
      <c r="M402" s="10" t="s">
        <v>3914</v>
      </c>
      <c r="N402" s="4" t="s">
        <v>3917</v>
      </c>
    </row>
    <row r="403" spans="1:14" ht="16.5">
      <c r="A403" s="17">
        <f t="shared" si="26"/>
        <v>402</v>
      </c>
      <c r="C403" s="1111">
        <v>45882</v>
      </c>
      <c r="D403" s="1115" t="s">
        <v>635</v>
      </c>
      <c r="G403" s="1145">
        <v>1250000</v>
      </c>
      <c r="H403" s="1144"/>
      <c r="I403" s="218">
        <f t="shared" si="25"/>
        <v>-1250000</v>
      </c>
      <c r="J403" s="64">
        <f t="shared" ref="J403:J419" si="27">J402-G403</f>
        <v>-10613914.73</v>
      </c>
      <c r="L403" s="64" t="s">
        <v>3722</v>
      </c>
      <c r="M403" s="1121" t="s">
        <v>3605</v>
      </c>
      <c r="N403" s="4" t="s">
        <v>3917</v>
      </c>
    </row>
    <row r="404" spans="1:14" ht="16.5">
      <c r="A404" s="17">
        <f t="shared" si="26"/>
        <v>403</v>
      </c>
      <c r="C404" s="1111">
        <v>45882</v>
      </c>
      <c r="D404" s="1115" t="s">
        <v>1499</v>
      </c>
      <c r="G404" s="1145">
        <v>2000000</v>
      </c>
      <c r="H404" s="1144"/>
      <c r="I404" s="218">
        <f t="shared" si="25"/>
        <v>-2000000</v>
      </c>
      <c r="J404" s="64">
        <f t="shared" si="27"/>
        <v>-12613914.73</v>
      </c>
      <c r="L404" s="64" t="s">
        <v>3722</v>
      </c>
      <c r="M404" s="1121" t="s">
        <v>3605</v>
      </c>
      <c r="N404" s="4" t="s">
        <v>3917</v>
      </c>
    </row>
    <row r="405" spans="1:14" ht="16.5">
      <c r="A405" s="17">
        <f t="shared" si="26"/>
        <v>404</v>
      </c>
      <c r="C405" s="1111">
        <v>45882</v>
      </c>
      <c r="D405" s="1115" t="s">
        <v>627</v>
      </c>
      <c r="G405" s="1145">
        <v>1050000</v>
      </c>
      <c r="H405" s="1144"/>
      <c r="I405" s="218">
        <f t="shared" si="25"/>
        <v>-1050000</v>
      </c>
      <c r="J405" s="64">
        <f t="shared" si="27"/>
        <v>-13663914.73</v>
      </c>
      <c r="L405" s="64" t="s">
        <v>3722</v>
      </c>
      <c r="M405" s="1121" t="s">
        <v>3605</v>
      </c>
      <c r="N405" s="4" t="s">
        <v>3917</v>
      </c>
    </row>
    <row r="406" spans="1:14" ht="16.5">
      <c r="A406" s="17">
        <f t="shared" si="26"/>
        <v>405</v>
      </c>
      <c r="C406" s="1111">
        <v>45882</v>
      </c>
      <c r="D406" s="1115" t="s">
        <v>521</v>
      </c>
      <c r="G406" s="1145">
        <v>150000</v>
      </c>
      <c r="H406" s="1144"/>
      <c r="I406" s="218">
        <f t="shared" si="25"/>
        <v>-150000</v>
      </c>
      <c r="J406" s="64">
        <f t="shared" si="27"/>
        <v>-13813914.73</v>
      </c>
      <c r="L406" s="64" t="s">
        <v>3722</v>
      </c>
      <c r="M406" s="1121" t="s">
        <v>3605</v>
      </c>
      <c r="N406" s="4" t="s">
        <v>3917</v>
      </c>
    </row>
    <row r="407" spans="1:14" ht="16.5">
      <c r="A407" s="17">
        <f t="shared" si="26"/>
        <v>406</v>
      </c>
      <c r="C407" s="1111">
        <v>45882</v>
      </c>
      <c r="D407" s="1115" t="s">
        <v>632</v>
      </c>
      <c r="G407" s="1145">
        <v>100000</v>
      </c>
      <c r="H407" s="1144"/>
      <c r="I407" s="218">
        <f t="shared" si="25"/>
        <v>-100000</v>
      </c>
      <c r="J407" s="64">
        <f t="shared" si="27"/>
        <v>-13913914.73</v>
      </c>
      <c r="L407" s="64" t="s">
        <v>3722</v>
      </c>
      <c r="M407" s="1121" t="s">
        <v>3605</v>
      </c>
      <c r="N407" s="4" t="s">
        <v>3917</v>
      </c>
    </row>
    <row r="408" spans="1:14" ht="16.5">
      <c r="A408" s="17">
        <f t="shared" si="26"/>
        <v>407</v>
      </c>
      <c r="C408" s="1111">
        <v>45882</v>
      </c>
      <c r="D408" s="1115" t="s">
        <v>633</v>
      </c>
      <c r="G408" s="1145">
        <v>250000</v>
      </c>
      <c r="H408" s="1144"/>
      <c r="I408" s="218">
        <f t="shared" si="25"/>
        <v>-250000</v>
      </c>
      <c r="J408" s="64">
        <f t="shared" si="27"/>
        <v>-14163914.73</v>
      </c>
      <c r="L408" s="64" t="s">
        <v>3722</v>
      </c>
      <c r="M408" s="1121" t="s">
        <v>3605</v>
      </c>
      <c r="N408" s="4" t="s">
        <v>3917</v>
      </c>
    </row>
    <row r="409" spans="1:14" ht="16.5">
      <c r="A409" s="17">
        <f t="shared" si="26"/>
        <v>408</v>
      </c>
      <c r="C409" s="1111">
        <v>45882</v>
      </c>
      <c r="D409" s="1115" t="s">
        <v>631</v>
      </c>
      <c r="G409" s="1145">
        <v>100000</v>
      </c>
      <c r="H409" s="1144"/>
      <c r="I409" s="218">
        <f t="shared" si="25"/>
        <v>-100000</v>
      </c>
      <c r="J409" s="64">
        <f t="shared" si="27"/>
        <v>-14263914.73</v>
      </c>
      <c r="L409" s="64" t="s">
        <v>3722</v>
      </c>
      <c r="M409" s="1121" t="s">
        <v>3605</v>
      </c>
      <c r="N409" s="4" t="s">
        <v>3917</v>
      </c>
    </row>
    <row r="410" spans="1:14" ht="16.5">
      <c r="A410" s="17">
        <f t="shared" si="26"/>
        <v>409</v>
      </c>
      <c r="C410" s="1111">
        <v>45882</v>
      </c>
      <c r="D410" s="1115" t="s">
        <v>634</v>
      </c>
      <c r="G410" s="1145">
        <v>100000</v>
      </c>
      <c r="H410" s="1144"/>
      <c r="I410" s="218">
        <f t="shared" si="25"/>
        <v>-100000</v>
      </c>
      <c r="J410" s="64">
        <f t="shared" si="27"/>
        <v>-14363914.73</v>
      </c>
      <c r="L410" s="64" t="s">
        <v>3722</v>
      </c>
      <c r="M410" s="1121" t="s">
        <v>3605</v>
      </c>
      <c r="N410" s="4" t="s">
        <v>3917</v>
      </c>
    </row>
    <row r="411" spans="1:14" ht="16.5">
      <c r="A411" s="17">
        <f t="shared" si="26"/>
        <v>410</v>
      </c>
      <c r="C411" s="1111">
        <v>45882</v>
      </c>
      <c r="D411" s="1115" t="s">
        <v>628</v>
      </c>
      <c r="G411" s="1145">
        <v>100000</v>
      </c>
      <c r="H411" s="1144"/>
      <c r="I411" s="218">
        <f t="shared" si="25"/>
        <v>-100000</v>
      </c>
      <c r="J411" s="64">
        <f t="shared" si="27"/>
        <v>-14463914.73</v>
      </c>
      <c r="L411" s="64" t="s">
        <v>3722</v>
      </c>
      <c r="M411" s="1121" t="s">
        <v>3605</v>
      </c>
      <c r="N411" s="4" t="s">
        <v>3917</v>
      </c>
    </row>
    <row r="412" spans="1:14" ht="16.5">
      <c r="A412" s="17">
        <f t="shared" si="26"/>
        <v>411</v>
      </c>
      <c r="C412" s="1111">
        <v>45882</v>
      </c>
      <c r="D412" s="1115" t="s">
        <v>3386</v>
      </c>
      <c r="G412" s="1145">
        <v>100000</v>
      </c>
      <c r="H412" s="1144"/>
      <c r="I412" s="218">
        <f t="shared" si="25"/>
        <v>-100000</v>
      </c>
      <c r="J412" s="64">
        <f t="shared" si="27"/>
        <v>-14563914.73</v>
      </c>
      <c r="L412" s="64" t="s">
        <v>3722</v>
      </c>
      <c r="M412" s="1121" t="s">
        <v>3605</v>
      </c>
      <c r="N412" s="4" t="s">
        <v>3917</v>
      </c>
    </row>
    <row r="413" spans="1:14" ht="16.5">
      <c r="A413" s="17">
        <f t="shared" si="26"/>
        <v>412</v>
      </c>
      <c r="C413" s="1111">
        <v>45882</v>
      </c>
      <c r="D413" s="1115" t="s">
        <v>3387</v>
      </c>
      <c r="G413" s="1145">
        <v>100000</v>
      </c>
      <c r="H413" s="1144"/>
      <c r="I413" s="218">
        <f t="shared" si="25"/>
        <v>-100000</v>
      </c>
      <c r="J413" s="64">
        <f t="shared" si="27"/>
        <v>-14663914.73</v>
      </c>
      <c r="L413" s="64" t="s">
        <v>3722</v>
      </c>
      <c r="M413" s="1121" t="s">
        <v>3605</v>
      </c>
      <c r="N413" s="4" t="s">
        <v>3917</v>
      </c>
    </row>
    <row r="414" spans="1:14" ht="16.5">
      <c r="A414" s="17">
        <f t="shared" si="26"/>
        <v>413</v>
      </c>
      <c r="C414" s="1111">
        <v>45882</v>
      </c>
      <c r="D414" s="1115" t="s">
        <v>3388</v>
      </c>
      <c r="G414" s="1145">
        <v>19743</v>
      </c>
      <c r="H414" s="1144"/>
      <c r="I414" s="218">
        <f t="shared" si="25"/>
        <v>-19743</v>
      </c>
      <c r="J414" s="64">
        <f t="shared" si="27"/>
        <v>-14683657.73</v>
      </c>
      <c r="L414" s="64" t="s">
        <v>3719</v>
      </c>
      <c r="M414" s="1121" t="s">
        <v>3606</v>
      </c>
      <c r="N414" s="4" t="s">
        <v>3917</v>
      </c>
    </row>
    <row r="415" spans="1:14" ht="16.5">
      <c r="A415" s="17">
        <f t="shared" si="26"/>
        <v>414</v>
      </c>
      <c r="C415" s="1111">
        <v>45882</v>
      </c>
      <c r="D415" s="1115" t="s">
        <v>3389</v>
      </c>
      <c r="G415" s="1145">
        <v>4000</v>
      </c>
      <c r="H415" s="1144"/>
      <c r="I415" s="218">
        <f t="shared" si="25"/>
        <v>-4000</v>
      </c>
      <c r="J415" s="64">
        <f t="shared" si="27"/>
        <v>-14687657.73</v>
      </c>
      <c r="L415" s="64" t="s">
        <v>542</v>
      </c>
      <c r="M415" s="1121" t="s">
        <v>3607</v>
      </c>
      <c r="N415" s="4" t="s">
        <v>3917</v>
      </c>
    </row>
    <row r="416" spans="1:14" ht="16.5">
      <c r="A416" s="17">
        <f t="shared" si="26"/>
        <v>415</v>
      </c>
      <c r="C416" s="1111">
        <v>45882</v>
      </c>
      <c r="D416" s="1115" t="s">
        <v>3390</v>
      </c>
      <c r="G416" s="1145">
        <v>30000</v>
      </c>
      <c r="H416" s="1144"/>
      <c r="I416" s="218">
        <f t="shared" si="25"/>
        <v>-30000</v>
      </c>
      <c r="J416" s="64">
        <f t="shared" si="27"/>
        <v>-14717657.73</v>
      </c>
      <c r="L416" s="64" t="s">
        <v>3724</v>
      </c>
      <c r="M416" s="1121" t="s">
        <v>3608</v>
      </c>
      <c r="N416" s="4" t="s">
        <v>3917</v>
      </c>
    </row>
    <row r="417" spans="1:14" ht="16.5">
      <c r="A417" s="17">
        <f t="shared" si="26"/>
        <v>416</v>
      </c>
      <c r="C417" s="1111">
        <v>45882</v>
      </c>
      <c r="D417" s="1115" t="s">
        <v>3391</v>
      </c>
      <c r="G417" s="1145">
        <v>50000</v>
      </c>
      <c r="H417" s="1144"/>
      <c r="I417" s="218">
        <f t="shared" si="25"/>
        <v>-50000</v>
      </c>
      <c r="J417" s="64">
        <f t="shared" si="27"/>
        <v>-14767657.73</v>
      </c>
      <c r="L417" s="64" t="s">
        <v>3719</v>
      </c>
      <c r="M417" s="1121" t="s">
        <v>3609</v>
      </c>
      <c r="N417" s="4" t="s">
        <v>3917</v>
      </c>
    </row>
    <row r="418" spans="1:14" ht="14.25">
      <c r="A418" s="17">
        <f t="shared" si="26"/>
        <v>417</v>
      </c>
      <c r="C418" s="1111">
        <v>45882</v>
      </c>
      <c r="D418" s="10"/>
      <c r="G418" s="1146">
        <v>20000000</v>
      </c>
      <c r="H418" s="1144"/>
      <c r="I418" s="218">
        <f t="shared" si="25"/>
        <v>-20000000</v>
      </c>
      <c r="J418" s="64">
        <f t="shared" si="27"/>
        <v>-34767657.730000004</v>
      </c>
      <c r="L418" s="64" t="s">
        <v>3718</v>
      </c>
      <c r="M418" s="10"/>
      <c r="N418" s="4" t="s">
        <v>3917</v>
      </c>
    </row>
    <row r="419" spans="1:14" ht="15.75">
      <c r="A419" s="17">
        <f t="shared" si="26"/>
        <v>418</v>
      </c>
      <c r="C419" s="1111">
        <v>45882</v>
      </c>
      <c r="D419" s="55" t="s">
        <v>197</v>
      </c>
      <c r="G419" s="1129">
        <v>10000000</v>
      </c>
      <c r="H419" s="4">
        <v>0</v>
      </c>
      <c r="I419" s="218">
        <f t="shared" si="25"/>
        <v>-10000000</v>
      </c>
      <c r="J419" s="64">
        <f t="shared" si="27"/>
        <v>-44767657.730000004</v>
      </c>
      <c r="L419" s="64" t="s">
        <v>3718</v>
      </c>
      <c r="M419" s="10"/>
      <c r="N419" s="4" t="s">
        <v>3917</v>
      </c>
    </row>
    <row r="420" spans="1:14" ht="15.75">
      <c r="A420" s="17">
        <f t="shared" si="26"/>
        <v>419</v>
      </c>
      <c r="C420" s="1109">
        <v>45883</v>
      </c>
      <c r="D420" s="55" t="s">
        <v>3392</v>
      </c>
      <c r="G420" s="1135"/>
      <c r="H420">
        <v>4900000</v>
      </c>
      <c r="I420" s="218">
        <f t="shared" si="25"/>
        <v>4900000</v>
      </c>
      <c r="J420">
        <v>-39867657.729999997</v>
      </c>
      <c r="L420" s="64" t="s">
        <v>3723</v>
      </c>
      <c r="M420" s="10"/>
      <c r="N420" s="4" t="s">
        <v>3917</v>
      </c>
    </row>
    <row r="421" spans="1:14" ht="15.75">
      <c r="A421" s="17">
        <f t="shared" si="26"/>
        <v>420</v>
      </c>
      <c r="C421" s="1109">
        <v>45883</v>
      </c>
      <c r="D421" s="55" t="s">
        <v>197</v>
      </c>
      <c r="G421" s="1135"/>
      <c r="H421">
        <v>800000</v>
      </c>
      <c r="I421" s="218">
        <f t="shared" si="25"/>
        <v>800000</v>
      </c>
      <c r="J421">
        <v>-39067657.729999997</v>
      </c>
      <c r="L421" s="64" t="s">
        <v>3723</v>
      </c>
      <c r="M421" s="10"/>
      <c r="N421" s="4" t="s">
        <v>3917</v>
      </c>
    </row>
    <row r="422" spans="1:14" ht="15.75">
      <c r="A422" s="17">
        <f t="shared" si="26"/>
        <v>421</v>
      </c>
      <c r="C422" s="1109">
        <v>45883</v>
      </c>
      <c r="D422" s="55" t="s">
        <v>1037</v>
      </c>
      <c r="G422" s="1135"/>
      <c r="H422">
        <v>300000</v>
      </c>
      <c r="I422" s="218">
        <f t="shared" si="25"/>
        <v>300000</v>
      </c>
      <c r="J422">
        <v>-38767657.729999997</v>
      </c>
      <c r="L422" s="64" t="s">
        <v>3723</v>
      </c>
      <c r="M422" s="10"/>
      <c r="N422" s="4" t="s">
        <v>3917</v>
      </c>
    </row>
    <row r="423" spans="1:14" ht="15.75">
      <c r="A423" s="17">
        <f t="shared" si="26"/>
        <v>422</v>
      </c>
      <c r="C423" s="1109">
        <v>45883</v>
      </c>
      <c r="D423" s="55" t="s">
        <v>197</v>
      </c>
      <c r="G423" s="1135"/>
      <c r="H423">
        <v>400000</v>
      </c>
      <c r="I423" s="218">
        <f t="shared" si="25"/>
        <v>400000</v>
      </c>
      <c r="J423">
        <v>-38367657.729999997</v>
      </c>
      <c r="L423" s="64" t="s">
        <v>3723</v>
      </c>
      <c r="M423" s="10"/>
      <c r="N423" s="4" t="s">
        <v>3917</v>
      </c>
    </row>
    <row r="424" spans="1:14" ht="15.75">
      <c r="A424" s="17">
        <f t="shared" si="26"/>
        <v>423</v>
      </c>
      <c r="C424" s="1109">
        <v>45883</v>
      </c>
      <c r="D424" s="55" t="s">
        <v>3393</v>
      </c>
      <c r="G424" s="1135"/>
      <c r="H424">
        <v>300000</v>
      </c>
      <c r="I424" s="218">
        <f t="shared" si="25"/>
        <v>300000</v>
      </c>
      <c r="J424">
        <v>-38067657.729999997</v>
      </c>
      <c r="L424" s="64" t="s">
        <v>3723</v>
      </c>
      <c r="M424" s="10"/>
      <c r="N424" s="4" t="s">
        <v>3917</v>
      </c>
    </row>
    <row r="425" spans="1:14" ht="15.75">
      <c r="A425" s="17">
        <f t="shared" si="26"/>
        <v>424</v>
      </c>
      <c r="C425" s="1109">
        <f>C424+1</f>
        <v>45884</v>
      </c>
      <c r="D425" s="55"/>
      <c r="G425" s="1135"/>
      <c r="H425" s="22">
        <v>300000</v>
      </c>
      <c r="I425" s="218">
        <f t="shared" si="25"/>
        <v>300000</v>
      </c>
      <c r="J425">
        <v>-37767657.729999997</v>
      </c>
      <c r="L425" s="64" t="s">
        <v>3723</v>
      </c>
      <c r="M425" s="10"/>
      <c r="N425" s="4" t="s">
        <v>3917</v>
      </c>
    </row>
    <row r="426" spans="1:14" ht="15.75">
      <c r="A426" s="17">
        <f t="shared" si="26"/>
        <v>425</v>
      </c>
      <c r="C426" s="1109">
        <v>45883</v>
      </c>
      <c r="D426" s="55" t="s">
        <v>3393</v>
      </c>
      <c r="G426" s="1135">
        <v>20000000</v>
      </c>
      <c r="H426"/>
      <c r="I426" s="218">
        <f t="shared" si="25"/>
        <v>-20000000</v>
      </c>
      <c r="J426">
        <v>-57767657.729999997</v>
      </c>
      <c r="L426" s="64" t="s">
        <v>3718</v>
      </c>
      <c r="M426" s="10" t="s">
        <v>1014</v>
      </c>
      <c r="N426" s="4" t="s">
        <v>3917</v>
      </c>
    </row>
    <row r="427" spans="1:14" ht="15.75">
      <c r="A427" s="17">
        <f t="shared" si="26"/>
        <v>426</v>
      </c>
      <c r="C427" s="1109">
        <f>C426+1</f>
        <v>45884</v>
      </c>
      <c r="D427" s="55" t="s">
        <v>3394</v>
      </c>
      <c r="G427" s="1135">
        <v>0</v>
      </c>
      <c r="H427">
        <v>0</v>
      </c>
      <c r="I427" s="218">
        <f t="shared" si="25"/>
        <v>0</v>
      </c>
      <c r="J427">
        <v>-57767657.729999997</v>
      </c>
      <c r="L427" s="64" t="s">
        <v>3718</v>
      </c>
      <c r="M427" s="10" t="s">
        <v>1371</v>
      </c>
      <c r="N427" s="4" t="s">
        <v>3917</v>
      </c>
    </row>
    <row r="428" spans="1:14" ht="15.75">
      <c r="A428" s="17">
        <f t="shared" si="26"/>
        <v>427</v>
      </c>
      <c r="C428" s="1109">
        <v>45885</v>
      </c>
      <c r="D428" s="55" t="s">
        <v>3395</v>
      </c>
      <c r="G428" s="1135"/>
      <c r="H428" s="242">
        <v>150000000</v>
      </c>
      <c r="I428" s="218">
        <f t="shared" si="25"/>
        <v>150000000</v>
      </c>
      <c r="J428">
        <v>92232342.269999996</v>
      </c>
      <c r="L428" s="64" t="s">
        <v>3723</v>
      </c>
      <c r="M428" s="10" t="s">
        <v>1371</v>
      </c>
      <c r="N428" s="4" t="s">
        <v>3917</v>
      </c>
    </row>
    <row r="429" spans="1:14" ht="15.75">
      <c r="A429" s="17">
        <f t="shared" si="26"/>
        <v>428</v>
      </c>
      <c r="C429" s="1109">
        <v>45885</v>
      </c>
      <c r="D429" s="55" t="s">
        <v>3394</v>
      </c>
      <c r="G429" s="1135">
        <v>20000000</v>
      </c>
      <c r="H429"/>
      <c r="I429" s="218">
        <f t="shared" si="25"/>
        <v>-20000000</v>
      </c>
      <c r="J429">
        <v>72232342.269999996</v>
      </c>
      <c r="L429" s="64" t="s">
        <v>3719</v>
      </c>
      <c r="M429" s="10" t="s">
        <v>1371</v>
      </c>
      <c r="N429" s="4" t="s">
        <v>3917</v>
      </c>
    </row>
    <row r="430" spans="1:14" ht="15.75">
      <c r="A430" s="17">
        <f t="shared" si="26"/>
        <v>429</v>
      </c>
      <c r="C430" s="1109">
        <v>45885</v>
      </c>
      <c r="D430" s="55" t="s">
        <v>3396</v>
      </c>
      <c r="G430" s="1135">
        <v>20000000</v>
      </c>
      <c r="H430"/>
      <c r="I430" s="218">
        <f t="shared" si="25"/>
        <v>-20000000</v>
      </c>
      <c r="J430">
        <v>52232342.270000003</v>
      </c>
      <c r="L430" s="64" t="s">
        <v>3719</v>
      </c>
      <c r="M430" s="10"/>
      <c r="N430" s="4" t="s">
        <v>3917</v>
      </c>
    </row>
    <row r="431" spans="1:14" ht="15.75">
      <c r="A431" s="17">
        <f t="shared" si="26"/>
        <v>430</v>
      </c>
      <c r="C431" s="1109">
        <v>45885</v>
      </c>
      <c r="D431" s="55" t="s">
        <v>3397</v>
      </c>
      <c r="G431" s="1135">
        <v>19850000</v>
      </c>
      <c r="H431"/>
      <c r="I431" s="218">
        <f t="shared" si="25"/>
        <v>-19850000</v>
      </c>
      <c r="J431">
        <v>32382342.27</v>
      </c>
      <c r="L431" s="64" t="s">
        <v>3719</v>
      </c>
      <c r="M431" s="10" t="s">
        <v>3610</v>
      </c>
      <c r="N431" s="4" t="s">
        <v>3917</v>
      </c>
    </row>
    <row r="432" spans="1:14" ht="15.75">
      <c r="A432" s="17">
        <f t="shared" si="26"/>
        <v>431</v>
      </c>
      <c r="C432" s="1109">
        <v>45886</v>
      </c>
      <c r="D432" s="55"/>
      <c r="G432" s="1135"/>
      <c r="H432"/>
      <c r="I432" s="218">
        <f t="shared" si="25"/>
        <v>0</v>
      </c>
      <c r="J432">
        <v>32382342.27</v>
      </c>
      <c r="L432" s="64" t="s">
        <v>3719</v>
      </c>
      <c r="M432" s="10"/>
      <c r="N432" s="4" t="s">
        <v>3917</v>
      </c>
    </row>
    <row r="433" spans="1:14" ht="15.75">
      <c r="A433" s="17">
        <f t="shared" si="26"/>
        <v>432</v>
      </c>
      <c r="C433" s="1109">
        <v>45887</v>
      </c>
      <c r="D433" s="55" t="s">
        <v>3398</v>
      </c>
      <c r="G433" s="1135">
        <v>16166339</v>
      </c>
      <c r="H433"/>
      <c r="I433" s="218">
        <f t="shared" si="25"/>
        <v>-16166339</v>
      </c>
      <c r="J433" s="20">
        <v>16216003.27</v>
      </c>
      <c r="L433" s="64" t="s">
        <v>542</v>
      </c>
      <c r="M433" s="10"/>
      <c r="N433" s="4" t="s">
        <v>3917</v>
      </c>
    </row>
    <row r="434" spans="1:14" ht="15.75">
      <c r="A434" s="17">
        <f t="shared" si="26"/>
        <v>433</v>
      </c>
      <c r="C434" s="1109">
        <v>45888</v>
      </c>
      <c r="D434" s="55" t="s">
        <v>3399</v>
      </c>
      <c r="G434" s="1135">
        <v>100</v>
      </c>
      <c r="H434"/>
      <c r="I434" s="218">
        <f t="shared" si="25"/>
        <v>-100</v>
      </c>
      <c r="J434">
        <v>16215903.27</v>
      </c>
      <c r="L434" s="64" t="s">
        <v>542</v>
      </c>
      <c r="M434" s="10"/>
      <c r="N434" s="4" t="s">
        <v>3917</v>
      </c>
    </row>
    <row r="435" spans="1:14" ht="15.75">
      <c r="A435" s="17">
        <f t="shared" si="26"/>
        <v>434</v>
      </c>
      <c r="C435" s="1109">
        <v>45888</v>
      </c>
      <c r="D435" s="55" t="s">
        <v>3400</v>
      </c>
      <c r="G435" s="1135">
        <v>100</v>
      </c>
      <c r="H435"/>
      <c r="I435" s="218">
        <f t="shared" si="25"/>
        <v>-100</v>
      </c>
      <c r="J435" s="20">
        <v>16215803.27</v>
      </c>
      <c r="L435" s="64" t="s">
        <v>542</v>
      </c>
      <c r="M435" s="10"/>
      <c r="N435" s="4" t="s">
        <v>3917</v>
      </c>
    </row>
    <row r="436" spans="1:14" ht="15.75">
      <c r="A436" s="17">
        <f t="shared" si="26"/>
        <v>435</v>
      </c>
      <c r="C436" s="1109">
        <v>45888</v>
      </c>
      <c r="D436" s="1116" t="s">
        <v>1434</v>
      </c>
      <c r="G436" s="1129">
        <v>21287</v>
      </c>
      <c r="H436" s="4"/>
      <c r="I436" s="218">
        <f t="shared" si="25"/>
        <v>-21287</v>
      </c>
      <c r="J436" s="1144">
        <f t="shared" ref="J436:J466" si="28">J435-G436</f>
        <v>16194516.27</v>
      </c>
      <c r="L436" s="64" t="s">
        <v>3724</v>
      </c>
      <c r="M436" s="1121" t="s">
        <v>3611</v>
      </c>
      <c r="N436" s="4" t="s">
        <v>3917</v>
      </c>
    </row>
    <row r="437" spans="1:14" ht="15.75">
      <c r="A437" s="17">
        <f t="shared" si="26"/>
        <v>436</v>
      </c>
      <c r="C437" s="1109">
        <v>45888</v>
      </c>
      <c r="D437" s="1116" t="s">
        <v>3401</v>
      </c>
      <c r="G437" s="1129">
        <v>2422</v>
      </c>
      <c r="H437" s="4"/>
      <c r="I437" s="218">
        <f t="shared" si="25"/>
        <v>-2422</v>
      </c>
      <c r="J437" s="1144">
        <f t="shared" si="28"/>
        <v>16192094.27</v>
      </c>
      <c r="L437" s="64" t="s">
        <v>542</v>
      </c>
      <c r="M437" s="1121" t="s">
        <v>3612</v>
      </c>
      <c r="N437" s="4" t="s">
        <v>3917</v>
      </c>
    </row>
    <row r="438" spans="1:14" ht="15.75">
      <c r="A438" s="17">
        <f t="shared" si="26"/>
        <v>437</v>
      </c>
      <c r="C438" s="1109">
        <v>45888</v>
      </c>
      <c r="D438" s="1116" t="s">
        <v>3402</v>
      </c>
      <c r="G438" s="1129">
        <v>65423</v>
      </c>
      <c r="H438" s="4"/>
      <c r="I438" s="218">
        <f t="shared" si="25"/>
        <v>-65423</v>
      </c>
      <c r="J438" s="1144">
        <f t="shared" si="28"/>
        <v>16126671.27</v>
      </c>
      <c r="L438" s="64" t="s">
        <v>542</v>
      </c>
      <c r="M438" s="1121" t="s">
        <v>3612</v>
      </c>
      <c r="N438" s="4" t="s">
        <v>3917</v>
      </c>
    </row>
    <row r="439" spans="1:14" ht="15.75">
      <c r="A439" s="17">
        <f t="shared" si="26"/>
        <v>438</v>
      </c>
      <c r="C439" s="1109">
        <v>45888</v>
      </c>
      <c r="D439" s="1116" t="s">
        <v>3403</v>
      </c>
      <c r="G439" s="1129">
        <v>5723</v>
      </c>
      <c r="H439" s="4"/>
      <c r="I439" s="218">
        <f t="shared" si="25"/>
        <v>-5723</v>
      </c>
      <c r="J439" s="1144">
        <f t="shared" si="28"/>
        <v>16120948.27</v>
      </c>
      <c r="L439" s="64" t="s">
        <v>542</v>
      </c>
      <c r="M439" s="1121" t="s">
        <v>3612</v>
      </c>
      <c r="N439" s="4" t="s">
        <v>3917</v>
      </c>
    </row>
    <row r="440" spans="1:14" ht="15.75">
      <c r="A440" s="17">
        <f t="shared" si="26"/>
        <v>439</v>
      </c>
      <c r="C440" s="1109">
        <v>45888</v>
      </c>
      <c r="D440" s="1116" t="s">
        <v>3404</v>
      </c>
      <c r="G440" s="1129">
        <v>1472762</v>
      </c>
      <c r="H440" s="4"/>
      <c r="I440" s="218">
        <f t="shared" si="25"/>
        <v>-1472762</v>
      </c>
      <c r="J440" s="1144">
        <f t="shared" si="28"/>
        <v>14648186.27</v>
      </c>
      <c r="L440" s="64" t="s">
        <v>542</v>
      </c>
      <c r="M440" s="1121" t="s">
        <v>591</v>
      </c>
      <c r="N440" s="4" t="s">
        <v>3917</v>
      </c>
    </row>
    <row r="441" spans="1:14" ht="15.75">
      <c r="A441" s="17">
        <f t="shared" si="26"/>
        <v>440</v>
      </c>
      <c r="C441" s="1109">
        <v>45888</v>
      </c>
      <c r="D441" s="1116" t="s">
        <v>3405</v>
      </c>
      <c r="G441" s="1129">
        <v>25000</v>
      </c>
      <c r="H441" s="4"/>
      <c r="I441" s="218">
        <f t="shared" si="25"/>
        <v>-25000</v>
      </c>
      <c r="J441" s="1144">
        <f t="shared" si="28"/>
        <v>14623186.27</v>
      </c>
      <c r="L441" s="64" t="s">
        <v>3724</v>
      </c>
      <c r="M441" s="1121" t="s">
        <v>3613</v>
      </c>
      <c r="N441" s="4" t="s">
        <v>3917</v>
      </c>
    </row>
    <row r="442" spans="1:14" ht="15.75">
      <c r="A442" s="17">
        <f t="shared" si="26"/>
        <v>441</v>
      </c>
      <c r="C442" s="1109">
        <v>45888</v>
      </c>
      <c r="D442" s="1116" t="s">
        <v>3406</v>
      </c>
      <c r="G442" s="1129">
        <v>30000</v>
      </c>
      <c r="H442" s="4"/>
      <c r="I442" s="218">
        <f t="shared" si="25"/>
        <v>-30000</v>
      </c>
      <c r="J442" s="1144">
        <f t="shared" si="28"/>
        <v>14593186.27</v>
      </c>
      <c r="L442" s="64" t="s">
        <v>3724</v>
      </c>
      <c r="M442" s="1121" t="s">
        <v>3613</v>
      </c>
      <c r="N442" s="4" t="s">
        <v>3917</v>
      </c>
    </row>
    <row r="443" spans="1:14" ht="15.75">
      <c r="A443" s="17">
        <f t="shared" si="26"/>
        <v>442</v>
      </c>
      <c r="C443" s="1109">
        <v>45888</v>
      </c>
      <c r="D443" s="1116" t="s">
        <v>1452</v>
      </c>
      <c r="G443" s="1129">
        <v>55000</v>
      </c>
      <c r="H443" s="4"/>
      <c r="I443" s="218">
        <f t="shared" si="25"/>
        <v>-55000</v>
      </c>
      <c r="J443" s="1144">
        <f t="shared" si="28"/>
        <v>14538186.27</v>
      </c>
      <c r="L443" s="64" t="s">
        <v>3724</v>
      </c>
      <c r="M443" s="1121" t="s">
        <v>3613</v>
      </c>
      <c r="N443" s="4" t="s">
        <v>3917</v>
      </c>
    </row>
    <row r="444" spans="1:14" ht="15.75">
      <c r="A444" s="17">
        <f t="shared" si="26"/>
        <v>443</v>
      </c>
      <c r="C444" s="1109">
        <v>45888</v>
      </c>
      <c r="D444" s="1116" t="s">
        <v>3407</v>
      </c>
      <c r="G444" s="1129">
        <v>35000</v>
      </c>
      <c r="H444" s="4"/>
      <c r="I444" s="218">
        <f t="shared" si="25"/>
        <v>-35000</v>
      </c>
      <c r="J444" s="1144">
        <f t="shared" si="28"/>
        <v>14503186.27</v>
      </c>
      <c r="L444" s="64" t="s">
        <v>3724</v>
      </c>
      <c r="M444" s="1121" t="s">
        <v>3613</v>
      </c>
      <c r="N444" s="4" t="s">
        <v>3917</v>
      </c>
    </row>
    <row r="445" spans="1:14" ht="15.75">
      <c r="A445" s="17">
        <f t="shared" si="26"/>
        <v>444</v>
      </c>
      <c r="C445" s="1109">
        <v>45888</v>
      </c>
      <c r="D445" s="1116" t="s">
        <v>3408</v>
      </c>
      <c r="G445" s="1129">
        <v>25000</v>
      </c>
      <c r="H445" s="4"/>
      <c r="I445" s="218">
        <f t="shared" si="25"/>
        <v>-25000</v>
      </c>
      <c r="J445" s="1144">
        <f t="shared" si="28"/>
        <v>14478186.27</v>
      </c>
      <c r="L445" s="64" t="s">
        <v>3724</v>
      </c>
      <c r="M445" s="1121" t="s">
        <v>3613</v>
      </c>
      <c r="N445" s="4" t="s">
        <v>3917</v>
      </c>
    </row>
    <row r="446" spans="1:14" ht="15.75">
      <c r="A446" s="17">
        <f t="shared" si="26"/>
        <v>445</v>
      </c>
      <c r="C446" s="1109">
        <v>45888</v>
      </c>
      <c r="D446" s="1116" t="s">
        <v>3409</v>
      </c>
      <c r="G446" s="1129">
        <v>10000</v>
      </c>
      <c r="H446" s="4"/>
      <c r="I446" s="218">
        <f t="shared" si="25"/>
        <v>-10000</v>
      </c>
      <c r="J446" s="1144">
        <f t="shared" si="28"/>
        <v>14468186.27</v>
      </c>
      <c r="L446" s="64" t="s">
        <v>3724</v>
      </c>
      <c r="M446" s="1121" t="s">
        <v>3613</v>
      </c>
      <c r="N446" s="4" t="s">
        <v>3917</v>
      </c>
    </row>
    <row r="447" spans="1:14" ht="15.75">
      <c r="A447" s="17">
        <f t="shared" si="26"/>
        <v>446</v>
      </c>
      <c r="C447" s="1109">
        <v>45888</v>
      </c>
      <c r="D447" s="1116" t="s">
        <v>604</v>
      </c>
      <c r="G447" s="1129">
        <v>12000</v>
      </c>
      <c r="H447" s="4"/>
      <c r="I447" s="218">
        <f t="shared" si="25"/>
        <v>-12000</v>
      </c>
      <c r="J447" s="1144">
        <f t="shared" si="28"/>
        <v>14456186.27</v>
      </c>
      <c r="L447" s="64" t="s">
        <v>3724</v>
      </c>
      <c r="M447" s="1121" t="s">
        <v>3613</v>
      </c>
      <c r="N447" s="4" t="s">
        <v>3917</v>
      </c>
    </row>
    <row r="448" spans="1:14" ht="15.75">
      <c r="A448" s="17">
        <f t="shared" si="26"/>
        <v>447</v>
      </c>
      <c r="C448" s="1109">
        <v>45888</v>
      </c>
      <c r="D448" s="1116" t="s">
        <v>1455</v>
      </c>
      <c r="G448" s="1129">
        <v>1647</v>
      </c>
      <c r="H448" s="4"/>
      <c r="I448" s="218">
        <f t="shared" si="25"/>
        <v>-1647</v>
      </c>
      <c r="J448" s="1144">
        <f t="shared" si="28"/>
        <v>14454539.27</v>
      </c>
      <c r="L448" s="64" t="s">
        <v>542</v>
      </c>
      <c r="M448" s="1121" t="s">
        <v>3612</v>
      </c>
      <c r="N448" s="4" t="s">
        <v>3917</v>
      </c>
    </row>
    <row r="449" spans="1:14" ht="15.75">
      <c r="A449" s="17">
        <f t="shared" si="26"/>
        <v>448</v>
      </c>
      <c r="C449" s="1109">
        <v>45888</v>
      </c>
      <c r="D449" s="1116" t="s">
        <v>3410</v>
      </c>
      <c r="G449" s="1129">
        <v>5000</v>
      </c>
      <c r="H449" s="4"/>
      <c r="I449" s="218">
        <f t="shared" si="25"/>
        <v>-5000</v>
      </c>
      <c r="J449" s="1144">
        <f t="shared" si="28"/>
        <v>14449539.27</v>
      </c>
      <c r="L449" s="64" t="s">
        <v>542</v>
      </c>
      <c r="M449" s="1121" t="s">
        <v>3614</v>
      </c>
      <c r="N449" s="4" t="s">
        <v>3917</v>
      </c>
    </row>
    <row r="450" spans="1:14" ht="15.75">
      <c r="A450" s="17">
        <f t="shared" si="26"/>
        <v>449</v>
      </c>
      <c r="C450" s="1109">
        <v>45888</v>
      </c>
      <c r="D450" s="1116" t="s">
        <v>3411</v>
      </c>
      <c r="G450" s="1129">
        <v>46100</v>
      </c>
      <c r="H450" s="4"/>
      <c r="I450" s="218">
        <f t="shared" ref="I450:I513" si="29">H450-G450</f>
        <v>-46100</v>
      </c>
      <c r="J450" s="1144">
        <f t="shared" si="28"/>
        <v>14403439.27</v>
      </c>
      <c r="L450" s="64" t="s">
        <v>542</v>
      </c>
      <c r="M450" s="1121" t="s">
        <v>3612</v>
      </c>
      <c r="N450" s="4" t="s">
        <v>3917</v>
      </c>
    </row>
    <row r="451" spans="1:14" ht="15.75">
      <c r="A451" s="17">
        <f t="shared" si="26"/>
        <v>450</v>
      </c>
      <c r="C451" s="1109">
        <v>45888</v>
      </c>
      <c r="D451" s="1116" t="s">
        <v>3412</v>
      </c>
      <c r="G451" s="1129">
        <v>2500</v>
      </c>
      <c r="H451" s="4"/>
      <c r="I451" s="218">
        <f t="shared" si="29"/>
        <v>-2500</v>
      </c>
      <c r="J451" s="1144">
        <f t="shared" si="28"/>
        <v>14400939.27</v>
      </c>
      <c r="L451" s="64" t="s">
        <v>542</v>
      </c>
      <c r="M451" s="1121" t="s">
        <v>3612</v>
      </c>
      <c r="N451" s="4" t="s">
        <v>3917</v>
      </c>
    </row>
    <row r="452" spans="1:14" ht="15.75">
      <c r="A452" s="17">
        <f t="shared" ref="A452:A515" si="30">A451+1</f>
        <v>451</v>
      </c>
      <c r="C452" s="1109">
        <v>45888</v>
      </c>
      <c r="D452" s="1116" t="s">
        <v>3413</v>
      </c>
      <c r="G452" s="1129">
        <v>30194</v>
      </c>
      <c r="H452" s="4"/>
      <c r="I452" s="218">
        <f t="shared" si="29"/>
        <v>-30194</v>
      </c>
      <c r="J452" s="1144">
        <f t="shared" si="28"/>
        <v>14370745.27</v>
      </c>
      <c r="L452" s="64" t="s">
        <v>542</v>
      </c>
      <c r="M452" s="1121" t="s">
        <v>3612</v>
      </c>
      <c r="N452" s="4" t="s">
        <v>3917</v>
      </c>
    </row>
    <row r="453" spans="1:14" ht="15.75">
      <c r="A453" s="17">
        <f t="shared" si="30"/>
        <v>452</v>
      </c>
      <c r="C453" s="1109">
        <v>45888</v>
      </c>
      <c r="D453" s="1116" t="s">
        <v>3414</v>
      </c>
      <c r="G453" s="1129">
        <v>33283</v>
      </c>
      <c r="H453" s="4"/>
      <c r="I453" s="218">
        <f t="shared" si="29"/>
        <v>-33283</v>
      </c>
      <c r="J453" s="1144">
        <f t="shared" si="28"/>
        <v>14337462.27</v>
      </c>
      <c r="L453" s="64" t="s">
        <v>542</v>
      </c>
      <c r="M453" s="1121" t="s">
        <v>3612</v>
      </c>
      <c r="N453" s="4" t="s">
        <v>3917</v>
      </c>
    </row>
    <row r="454" spans="1:14" ht="15.75">
      <c r="A454" s="17">
        <f t="shared" si="30"/>
        <v>453</v>
      </c>
      <c r="C454" s="1109">
        <v>45888</v>
      </c>
      <c r="D454" s="1116" t="s">
        <v>592</v>
      </c>
      <c r="G454" s="1129">
        <v>13852</v>
      </c>
      <c r="H454" s="4"/>
      <c r="I454" s="218">
        <f t="shared" si="29"/>
        <v>-13852</v>
      </c>
      <c r="J454" s="1144">
        <f t="shared" si="28"/>
        <v>14323610.27</v>
      </c>
      <c r="L454" s="64" t="s">
        <v>542</v>
      </c>
      <c r="M454" s="1121" t="s">
        <v>3612</v>
      </c>
      <c r="N454" s="4" t="s">
        <v>3917</v>
      </c>
    </row>
    <row r="455" spans="1:14" ht="15.75">
      <c r="A455" s="17">
        <f t="shared" si="30"/>
        <v>454</v>
      </c>
      <c r="C455" s="1109">
        <v>45888</v>
      </c>
      <c r="D455" s="1116" t="s">
        <v>3415</v>
      </c>
      <c r="G455" s="1129">
        <v>167151</v>
      </c>
      <c r="H455" s="4"/>
      <c r="I455" s="218">
        <f t="shared" si="29"/>
        <v>-167151</v>
      </c>
      <c r="J455" s="1144">
        <f t="shared" si="28"/>
        <v>14156459.27</v>
      </c>
      <c r="L455" s="64" t="s">
        <v>542</v>
      </c>
      <c r="M455" s="1121" t="s">
        <v>591</v>
      </c>
      <c r="N455" s="4" t="s">
        <v>3917</v>
      </c>
    </row>
    <row r="456" spans="1:14" ht="15.75">
      <c r="A456" s="17">
        <f t="shared" si="30"/>
        <v>455</v>
      </c>
      <c r="C456" s="1109">
        <v>45888</v>
      </c>
      <c r="D456" s="1116" t="s">
        <v>3416</v>
      </c>
      <c r="G456" s="1129">
        <v>2112</v>
      </c>
      <c r="H456" s="4"/>
      <c r="I456" s="218">
        <f t="shared" si="29"/>
        <v>-2112</v>
      </c>
      <c r="J456" s="1144">
        <f t="shared" si="28"/>
        <v>14154347.27</v>
      </c>
      <c r="L456" s="64" t="s">
        <v>542</v>
      </c>
      <c r="M456" s="1121" t="s">
        <v>3612</v>
      </c>
      <c r="N456" s="4" t="s">
        <v>3917</v>
      </c>
    </row>
    <row r="457" spans="1:14" ht="15.75">
      <c r="A457" s="17">
        <f t="shared" si="30"/>
        <v>456</v>
      </c>
      <c r="C457" s="1109">
        <v>45888</v>
      </c>
      <c r="D457" s="1116" t="s">
        <v>3417</v>
      </c>
      <c r="G457" s="1129">
        <v>154790</v>
      </c>
      <c r="H457" s="4"/>
      <c r="I457" s="218">
        <f t="shared" si="29"/>
        <v>-154790</v>
      </c>
      <c r="J457" s="1144">
        <f t="shared" si="28"/>
        <v>13999557.27</v>
      </c>
      <c r="L457" s="64" t="s">
        <v>542</v>
      </c>
      <c r="M457" s="1121" t="s">
        <v>3615</v>
      </c>
      <c r="N457" s="4" t="s">
        <v>3917</v>
      </c>
    </row>
    <row r="458" spans="1:14" ht="15.75">
      <c r="A458" s="17">
        <f t="shared" si="30"/>
        <v>457</v>
      </c>
      <c r="C458" s="1109">
        <v>45888</v>
      </c>
      <c r="D458" s="1116" t="s">
        <v>3418</v>
      </c>
      <c r="G458" s="1129">
        <v>7046</v>
      </c>
      <c r="H458" s="4"/>
      <c r="I458" s="218">
        <f t="shared" si="29"/>
        <v>-7046</v>
      </c>
      <c r="J458" s="1144">
        <f t="shared" si="28"/>
        <v>13992511.27</v>
      </c>
      <c r="L458" s="64" t="s">
        <v>542</v>
      </c>
      <c r="M458" s="1121" t="s">
        <v>3612</v>
      </c>
      <c r="N458" s="4" t="s">
        <v>3917</v>
      </c>
    </row>
    <row r="459" spans="1:14" ht="15.75">
      <c r="A459" s="17">
        <f t="shared" si="30"/>
        <v>458</v>
      </c>
      <c r="C459" s="1109">
        <v>45888</v>
      </c>
      <c r="D459" s="1116" t="s">
        <v>1475</v>
      </c>
      <c r="G459" s="1129">
        <v>50000</v>
      </c>
      <c r="H459" s="4"/>
      <c r="I459" s="218">
        <f t="shared" si="29"/>
        <v>-50000</v>
      </c>
      <c r="J459" s="1144">
        <f t="shared" si="28"/>
        <v>13942511.27</v>
      </c>
      <c r="L459" s="64" t="s">
        <v>542</v>
      </c>
      <c r="M459" s="1121" t="s">
        <v>3616</v>
      </c>
      <c r="N459" s="4" t="s">
        <v>3917</v>
      </c>
    </row>
    <row r="460" spans="1:14" ht="15.75">
      <c r="A460" s="17">
        <f t="shared" si="30"/>
        <v>459</v>
      </c>
      <c r="C460" s="1109">
        <v>45888</v>
      </c>
      <c r="D460" s="1116" t="s">
        <v>1029</v>
      </c>
      <c r="G460" s="1129">
        <v>3429</v>
      </c>
      <c r="H460" s="4"/>
      <c r="I460" s="218">
        <f t="shared" si="29"/>
        <v>-3429</v>
      </c>
      <c r="J460" s="1144">
        <f t="shared" si="28"/>
        <v>13939082.27</v>
      </c>
      <c r="L460" s="64" t="s">
        <v>542</v>
      </c>
      <c r="M460" s="1121" t="s">
        <v>3612</v>
      </c>
      <c r="N460" s="4" t="s">
        <v>3917</v>
      </c>
    </row>
    <row r="461" spans="1:14" ht="15.75">
      <c r="A461" s="17">
        <f t="shared" si="30"/>
        <v>460</v>
      </c>
      <c r="C461" s="1109">
        <v>45888</v>
      </c>
      <c r="D461" s="1116" t="s">
        <v>3419</v>
      </c>
      <c r="G461" s="1129">
        <v>22790</v>
      </c>
      <c r="H461" s="4"/>
      <c r="I461" s="218">
        <f t="shared" si="29"/>
        <v>-22790</v>
      </c>
      <c r="J461" s="1144">
        <f t="shared" si="28"/>
        <v>13916292.27</v>
      </c>
      <c r="L461" s="64" t="s">
        <v>542</v>
      </c>
      <c r="M461" s="1121" t="s">
        <v>3612</v>
      </c>
      <c r="N461" s="4" t="s">
        <v>3917</v>
      </c>
    </row>
    <row r="462" spans="1:14" ht="15.75">
      <c r="A462" s="17">
        <f t="shared" si="30"/>
        <v>461</v>
      </c>
      <c r="C462" s="1109">
        <v>45888</v>
      </c>
      <c r="D462" s="1116" t="s">
        <v>3420</v>
      </c>
      <c r="G462" s="1129">
        <v>3831</v>
      </c>
      <c r="H462" s="4"/>
      <c r="I462" s="218">
        <f t="shared" si="29"/>
        <v>-3831</v>
      </c>
      <c r="J462" s="1144">
        <f t="shared" si="28"/>
        <v>13912461.27</v>
      </c>
      <c r="L462" s="64" t="s">
        <v>542</v>
      </c>
      <c r="M462" s="1121" t="s">
        <v>3612</v>
      </c>
      <c r="N462" s="4" t="s">
        <v>3917</v>
      </c>
    </row>
    <row r="463" spans="1:14" ht="15.75">
      <c r="A463" s="17">
        <f t="shared" si="30"/>
        <v>462</v>
      </c>
      <c r="C463" s="1109">
        <v>45888</v>
      </c>
      <c r="D463" s="1116" t="s">
        <v>3421</v>
      </c>
      <c r="G463" s="1129">
        <v>36414</v>
      </c>
      <c r="H463" s="4"/>
      <c r="I463" s="218">
        <f t="shared" si="29"/>
        <v>-36414</v>
      </c>
      <c r="J463" s="1144">
        <f t="shared" si="28"/>
        <v>13876047.27</v>
      </c>
      <c r="L463" s="64" t="s">
        <v>542</v>
      </c>
      <c r="M463" s="1121" t="s">
        <v>3612</v>
      </c>
      <c r="N463" s="4" t="s">
        <v>3917</v>
      </c>
    </row>
    <row r="464" spans="1:14" ht="15.75">
      <c r="A464" s="17">
        <f t="shared" si="30"/>
        <v>463</v>
      </c>
      <c r="C464" s="1109">
        <v>45888</v>
      </c>
      <c r="D464" s="1116" t="s">
        <v>3422</v>
      </c>
      <c r="G464" s="1129">
        <v>29389</v>
      </c>
      <c r="H464" s="4"/>
      <c r="I464" s="218">
        <f t="shared" si="29"/>
        <v>-29389</v>
      </c>
      <c r="J464" s="1144">
        <f t="shared" si="28"/>
        <v>13846658.27</v>
      </c>
      <c r="L464" s="64" t="s">
        <v>542</v>
      </c>
      <c r="M464" s="1121" t="s">
        <v>3612</v>
      </c>
      <c r="N464" s="4" t="s">
        <v>3917</v>
      </c>
    </row>
    <row r="465" spans="1:14" ht="15.75">
      <c r="A465" s="17">
        <f t="shared" si="30"/>
        <v>464</v>
      </c>
      <c r="C465" s="1109">
        <v>45888</v>
      </c>
      <c r="D465" s="1116" t="s">
        <v>3391</v>
      </c>
      <c r="G465" s="1129">
        <v>57904</v>
      </c>
      <c r="H465" s="4"/>
      <c r="I465" s="218">
        <f t="shared" si="29"/>
        <v>-57904</v>
      </c>
      <c r="J465" s="1144">
        <f t="shared" si="28"/>
        <v>13788754.27</v>
      </c>
      <c r="L465" s="64" t="s">
        <v>542</v>
      </c>
      <c r="M465" s="1121" t="s">
        <v>3612</v>
      </c>
      <c r="N465" s="4" t="s">
        <v>3917</v>
      </c>
    </row>
    <row r="466" spans="1:14" ht="15.75">
      <c r="A466" s="17">
        <f t="shared" si="30"/>
        <v>465</v>
      </c>
      <c r="C466" s="1109">
        <v>45888</v>
      </c>
      <c r="D466" s="1116" t="s">
        <v>3423</v>
      </c>
      <c r="G466" s="1129">
        <v>3075</v>
      </c>
      <c r="H466" s="4"/>
      <c r="I466" s="218">
        <f t="shared" si="29"/>
        <v>-3075</v>
      </c>
      <c r="J466" s="1144">
        <f t="shared" si="28"/>
        <v>13785679.27</v>
      </c>
      <c r="L466" s="64" t="s">
        <v>542</v>
      </c>
      <c r="M466" s="1121" t="s">
        <v>3617</v>
      </c>
      <c r="N466" s="4" t="s">
        <v>3917</v>
      </c>
    </row>
    <row r="467" spans="1:14" ht="15.75">
      <c r="A467" s="17">
        <f t="shared" si="30"/>
        <v>466</v>
      </c>
      <c r="C467" s="1109">
        <v>45889</v>
      </c>
      <c r="D467" s="55" t="s">
        <v>3424</v>
      </c>
      <c r="G467" s="1135">
        <v>99990</v>
      </c>
      <c r="H467"/>
      <c r="I467" s="218">
        <f t="shared" si="29"/>
        <v>-99990</v>
      </c>
      <c r="J467">
        <v>13685689.27</v>
      </c>
      <c r="L467" s="64" t="s">
        <v>3719</v>
      </c>
      <c r="M467" s="10" t="s">
        <v>3618</v>
      </c>
      <c r="N467" s="4" t="s">
        <v>3917</v>
      </c>
    </row>
    <row r="468" spans="1:14" ht="15.75">
      <c r="A468" s="17">
        <f t="shared" si="30"/>
        <v>467</v>
      </c>
      <c r="C468" s="1109">
        <v>45889</v>
      </c>
      <c r="D468" s="55" t="s">
        <v>3425</v>
      </c>
      <c r="G468" s="1135"/>
      <c r="H468" s="20">
        <v>871658</v>
      </c>
      <c r="I468" s="218">
        <f t="shared" si="29"/>
        <v>871658</v>
      </c>
      <c r="J468">
        <v>14557347.27</v>
      </c>
      <c r="L468" s="64" t="s">
        <v>3723</v>
      </c>
      <c r="M468" s="10" t="s">
        <v>551</v>
      </c>
      <c r="N468" s="4" t="s">
        <v>3917</v>
      </c>
    </row>
    <row r="469" spans="1:14" ht="15.75">
      <c r="A469" s="17">
        <f t="shared" si="30"/>
        <v>468</v>
      </c>
      <c r="C469" s="1109">
        <v>45889</v>
      </c>
      <c r="D469" s="55" t="s">
        <v>3426</v>
      </c>
      <c r="G469" s="1135">
        <v>1085400</v>
      </c>
      <c r="H469"/>
      <c r="I469" s="218">
        <f t="shared" si="29"/>
        <v>-1085400</v>
      </c>
      <c r="J469">
        <v>13471947.27</v>
      </c>
      <c r="L469" s="64" t="s">
        <v>542</v>
      </c>
      <c r="M469" s="10" t="s">
        <v>3619</v>
      </c>
      <c r="N469" s="4" t="s">
        <v>3917</v>
      </c>
    </row>
    <row r="470" spans="1:14" ht="15.75">
      <c r="A470" s="17">
        <f t="shared" si="30"/>
        <v>469</v>
      </c>
      <c r="C470" s="1109">
        <v>45889</v>
      </c>
      <c r="D470" s="55" t="s">
        <v>537</v>
      </c>
      <c r="G470" s="1135">
        <v>7147345.4000000004</v>
      </c>
      <c r="H470"/>
      <c r="I470" s="218">
        <f t="shared" si="29"/>
        <v>-7147345.4000000004</v>
      </c>
      <c r="J470">
        <v>6324601.8700000001</v>
      </c>
      <c r="L470" s="64" t="s">
        <v>3719</v>
      </c>
      <c r="M470" s="10"/>
      <c r="N470" s="4" t="s">
        <v>3917</v>
      </c>
    </row>
    <row r="471" spans="1:14" ht="15.75">
      <c r="A471" s="17">
        <f t="shared" si="30"/>
        <v>470</v>
      </c>
      <c r="C471" s="1109">
        <v>45889</v>
      </c>
      <c r="D471" s="55" t="s">
        <v>3427</v>
      </c>
      <c r="G471" s="1135">
        <v>608760</v>
      </c>
      <c r="H471"/>
      <c r="I471" s="218">
        <f t="shared" si="29"/>
        <v>-608760</v>
      </c>
      <c r="J471" s="20">
        <v>5715841.8700000001</v>
      </c>
      <c r="L471" s="64" t="s">
        <v>3719</v>
      </c>
      <c r="M471" s="10"/>
      <c r="N471" s="4" t="s">
        <v>3917</v>
      </c>
    </row>
    <row r="472" spans="1:14" ht="15.75">
      <c r="A472" s="17">
        <f t="shared" si="30"/>
        <v>471</v>
      </c>
      <c r="C472" s="1109">
        <v>45889</v>
      </c>
      <c r="D472" s="55" t="s">
        <v>3428</v>
      </c>
      <c r="G472" s="1135">
        <v>416136</v>
      </c>
      <c r="H472"/>
      <c r="I472" s="218">
        <f t="shared" si="29"/>
        <v>-416136</v>
      </c>
      <c r="J472" s="20">
        <v>5299705.87</v>
      </c>
      <c r="L472" s="64" t="s">
        <v>3719</v>
      </c>
      <c r="M472" s="10"/>
      <c r="N472" s="4" t="s">
        <v>3917</v>
      </c>
    </row>
    <row r="473" spans="1:14" ht="15.75">
      <c r="A473" s="17">
        <f t="shared" si="30"/>
        <v>472</v>
      </c>
      <c r="C473" s="1109">
        <v>45889</v>
      </c>
      <c r="D473" s="55" t="s">
        <v>3428</v>
      </c>
      <c r="G473" s="1135">
        <v>192910</v>
      </c>
      <c r="H473"/>
      <c r="I473" s="218">
        <f t="shared" si="29"/>
        <v>-192910</v>
      </c>
      <c r="J473" s="20">
        <v>5106795.87</v>
      </c>
      <c r="L473" s="64" t="s">
        <v>3719</v>
      </c>
      <c r="M473" s="10"/>
      <c r="N473" s="4" t="s">
        <v>3917</v>
      </c>
    </row>
    <row r="474" spans="1:14" ht="15.75">
      <c r="A474" s="17">
        <f t="shared" si="30"/>
        <v>473</v>
      </c>
      <c r="C474" s="1109">
        <v>45889</v>
      </c>
      <c r="D474" s="55" t="s">
        <v>537</v>
      </c>
      <c r="G474" s="1135">
        <v>532548</v>
      </c>
      <c r="H474"/>
      <c r="I474" s="218">
        <f t="shared" si="29"/>
        <v>-532548</v>
      </c>
      <c r="J474" s="20">
        <v>4574247.87</v>
      </c>
      <c r="L474" s="64" t="s">
        <v>3719</v>
      </c>
      <c r="M474" s="10"/>
      <c r="N474" s="4" t="s">
        <v>3917</v>
      </c>
    </row>
    <row r="475" spans="1:14" ht="15.75">
      <c r="A475" s="17">
        <f t="shared" si="30"/>
        <v>474</v>
      </c>
      <c r="C475" s="1109">
        <v>45889</v>
      </c>
      <c r="D475" s="55" t="s">
        <v>3429</v>
      </c>
      <c r="G475" s="1147">
        <v>5000000</v>
      </c>
      <c r="H475"/>
      <c r="I475" s="218">
        <f t="shared" si="29"/>
        <v>-5000000</v>
      </c>
      <c r="J475" s="20">
        <v>-425752.13</v>
      </c>
      <c r="L475" s="64" t="s">
        <v>542</v>
      </c>
      <c r="M475" s="1118" t="s">
        <v>3620</v>
      </c>
      <c r="N475" s="4" t="s">
        <v>3917</v>
      </c>
    </row>
    <row r="476" spans="1:14" ht="15.75">
      <c r="A476" s="17">
        <f t="shared" si="30"/>
        <v>475</v>
      </c>
      <c r="C476" s="1109">
        <v>45889</v>
      </c>
      <c r="D476" s="55" t="s">
        <v>197</v>
      </c>
      <c r="G476" s="1135"/>
      <c r="H476" s="20">
        <v>99539726</v>
      </c>
      <c r="I476" s="218">
        <f t="shared" si="29"/>
        <v>99539726</v>
      </c>
      <c r="J476" s="20">
        <v>99113973.870000005</v>
      </c>
      <c r="L476" s="64" t="s">
        <v>3725</v>
      </c>
      <c r="M476" s="10" t="s">
        <v>3619</v>
      </c>
      <c r="N476" s="4" t="s">
        <v>3918</v>
      </c>
    </row>
    <row r="477" spans="1:14" ht="15.75">
      <c r="A477" s="17">
        <f t="shared" si="30"/>
        <v>476</v>
      </c>
      <c r="C477" s="1109">
        <v>45889</v>
      </c>
      <c r="D477" s="55" t="s">
        <v>3430</v>
      </c>
      <c r="G477" s="1148">
        <v>89595</v>
      </c>
      <c r="H477"/>
      <c r="I477" s="218">
        <f t="shared" si="29"/>
        <v>-89595</v>
      </c>
      <c r="J477" s="20">
        <v>99024378.870000005</v>
      </c>
      <c r="L477" s="64" t="s">
        <v>3719</v>
      </c>
      <c r="M477" s="10" t="s">
        <v>3559</v>
      </c>
      <c r="N477" s="4" t="s">
        <v>3917</v>
      </c>
    </row>
    <row r="478" spans="1:14" ht="16.5">
      <c r="A478" s="17">
        <f t="shared" si="30"/>
        <v>477</v>
      </c>
      <c r="C478" s="1109">
        <v>45889</v>
      </c>
      <c r="D478" s="1120" t="s">
        <v>3431</v>
      </c>
      <c r="G478" s="1149">
        <v>19998</v>
      </c>
      <c r="H478"/>
      <c r="I478" s="218">
        <f t="shared" si="29"/>
        <v>-19998</v>
      </c>
      <c r="J478" s="20">
        <f>J477-G478+H478</f>
        <v>99004380.870000005</v>
      </c>
      <c r="L478" s="64" t="s">
        <v>3724</v>
      </c>
      <c r="M478" s="1118" t="s">
        <v>3621</v>
      </c>
      <c r="N478" s="4" t="s">
        <v>3917</v>
      </c>
    </row>
    <row r="479" spans="1:14" ht="16.5">
      <c r="A479" s="17">
        <f t="shared" si="30"/>
        <v>478</v>
      </c>
      <c r="C479" s="1109">
        <v>45889</v>
      </c>
      <c r="D479" s="1120" t="s">
        <v>3432</v>
      </c>
      <c r="G479" s="1149">
        <v>125000</v>
      </c>
      <c r="H479"/>
      <c r="I479" s="218">
        <f t="shared" si="29"/>
        <v>-125000</v>
      </c>
      <c r="J479" s="20">
        <f>J478-G479+H479</f>
        <v>98879380.870000005</v>
      </c>
      <c r="L479" s="64" t="s">
        <v>542</v>
      </c>
      <c r="M479" s="1118" t="s">
        <v>3622</v>
      </c>
      <c r="N479" s="4" t="s">
        <v>3917</v>
      </c>
    </row>
    <row r="480" spans="1:14" ht="15.75">
      <c r="A480" s="17">
        <f t="shared" si="30"/>
        <v>479</v>
      </c>
      <c r="C480" s="1109">
        <v>45889</v>
      </c>
      <c r="D480" s="55" t="s">
        <v>3433</v>
      </c>
      <c r="G480" s="1148">
        <v>815563</v>
      </c>
      <c r="H480"/>
      <c r="I480" s="218">
        <f t="shared" si="29"/>
        <v>-815563</v>
      </c>
      <c r="J480" s="20">
        <v>98063817.870000005</v>
      </c>
      <c r="L480" s="64" t="s">
        <v>3719</v>
      </c>
      <c r="M480" s="1118" t="s">
        <v>3623</v>
      </c>
      <c r="N480" s="4" t="s">
        <v>3917</v>
      </c>
    </row>
    <row r="481" spans="1:14" ht="15.75">
      <c r="A481" s="17">
        <f t="shared" si="30"/>
        <v>480</v>
      </c>
      <c r="C481" s="1111">
        <v>45889</v>
      </c>
      <c r="D481" s="55" t="s">
        <v>3434</v>
      </c>
      <c r="G481" s="1135">
        <v>700000</v>
      </c>
      <c r="H481"/>
      <c r="I481" s="218">
        <f t="shared" si="29"/>
        <v>-700000</v>
      </c>
      <c r="J481" s="20">
        <v>97363817.870000005</v>
      </c>
      <c r="L481" s="64" t="s">
        <v>3722</v>
      </c>
      <c r="M481" s="10" t="s">
        <v>1499</v>
      </c>
      <c r="N481" s="4" t="s">
        <v>3917</v>
      </c>
    </row>
    <row r="482" spans="1:14" ht="15.75">
      <c r="A482" s="17">
        <f t="shared" si="30"/>
        <v>481</v>
      </c>
      <c r="C482" s="1111">
        <f>C481+1</f>
        <v>45890</v>
      </c>
      <c r="D482" s="10"/>
      <c r="G482" s="1129"/>
      <c r="H482" s="4"/>
      <c r="I482" s="218">
        <f t="shared" si="29"/>
        <v>0</v>
      </c>
      <c r="J482" s="20">
        <v>97363817.870000005</v>
      </c>
      <c r="L482" s="64" t="s">
        <v>3722</v>
      </c>
      <c r="M482" s="10"/>
      <c r="N482" s="4" t="s">
        <v>3917</v>
      </c>
    </row>
    <row r="483" spans="1:14" ht="15.75">
      <c r="A483" s="17">
        <f t="shared" si="30"/>
        <v>482</v>
      </c>
      <c r="C483" s="1111">
        <v>45891</v>
      </c>
      <c r="D483" s="55" t="s">
        <v>223</v>
      </c>
      <c r="G483" s="1143">
        <v>218094.77</v>
      </c>
      <c r="H483"/>
      <c r="I483" s="218">
        <f t="shared" si="29"/>
        <v>-218094.77</v>
      </c>
      <c r="J483" s="20">
        <v>97145723.099999994</v>
      </c>
      <c r="L483" s="64" t="s">
        <v>3717</v>
      </c>
      <c r="M483" s="10"/>
      <c r="N483" s="4" t="s">
        <v>3918</v>
      </c>
    </row>
    <row r="484" spans="1:14" ht="15.75">
      <c r="A484" s="17">
        <f t="shared" si="30"/>
        <v>483</v>
      </c>
      <c r="C484" s="1109">
        <v>45891</v>
      </c>
      <c r="D484" s="55" t="s">
        <v>3435</v>
      </c>
      <c r="G484" s="1135"/>
      <c r="H484" s="1150">
        <v>218094.77</v>
      </c>
      <c r="I484" s="218">
        <f t="shared" si="29"/>
        <v>218094.77</v>
      </c>
      <c r="J484" s="20">
        <v>97363817.870000005</v>
      </c>
      <c r="L484" s="64" t="s">
        <v>3722</v>
      </c>
      <c r="M484" s="10"/>
      <c r="N484" s="4" t="s">
        <v>3917</v>
      </c>
    </row>
    <row r="485" spans="1:14" ht="15.75">
      <c r="A485" s="17">
        <f t="shared" si="30"/>
        <v>484</v>
      </c>
      <c r="C485" s="1109">
        <v>45891</v>
      </c>
      <c r="D485" s="55" t="s">
        <v>3436</v>
      </c>
      <c r="G485" s="1143">
        <v>1116933</v>
      </c>
      <c r="H485"/>
      <c r="I485" s="218">
        <f t="shared" si="29"/>
        <v>-1116933</v>
      </c>
      <c r="J485" s="20">
        <v>96246884.870000005</v>
      </c>
      <c r="L485" s="64" t="s">
        <v>542</v>
      </c>
      <c r="M485" s="10"/>
      <c r="N485" s="4" t="s">
        <v>3917</v>
      </c>
    </row>
    <row r="486" spans="1:14" ht="15.75">
      <c r="A486" s="17">
        <f t="shared" si="30"/>
        <v>485</v>
      </c>
      <c r="C486" s="1109">
        <v>45891</v>
      </c>
      <c r="D486" s="55" t="s">
        <v>3437</v>
      </c>
      <c r="G486" s="1135">
        <v>500000</v>
      </c>
      <c r="H486"/>
      <c r="I486" s="218">
        <f t="shared" si="29"/>
        <v>-500000</v>
      </c>
      <c r="J486" s="20">
        <v>95746884.870000005</v>
      </c>
      <c r="L486" s="64" t="s">
        <v>3722</v>
      </c>
      <c r="M486" s="10" t="s">
        <v>3624</v>
      </c>
      <c r="N486" s="4" t="s">
        <v>3917</v>
      </c>
    </row>
    <row r="487" spans="1:14" ht="15.75">
      <c r="A487" s="17">
        <f t="shared" si="30"/>
        <v>486</v>
      </c>
      <c r="C487" s="1112">
        <v>45891</v>
      </c>
      <c r="D487" s="55" t="s">
        <v>3438</v>
      </c>
      <c r="G487" s="1135"/>
      <c r="H487" s="1150">
        <v>1116933</v>
      </c>
      <c r="I487" s="218">
        <f t="shared" si="29"/>
        <v>1116933</v>
      </c>
      <c r="J487" s="20">
        <v>96863817.870000005</v>
      </c>
      <c r="L487" s="64" t="s">
        <v>3721</v>
      </c>
      <c r="M487" s="10"/>
      <c r="N487" s="4" t="s">
        <v>3917</v>
      </c>
    </row>
    <row r="488" spans="1:14" ht="15.75">
      <c r="A488" s="17">
        <f t="shared" si="30"/>
        <v>487</v>
      </c>
      <c r="C488" s="1109">
        <v>45892</v>
      </c>
      <c r="D488" s="55" t="s">
        <v>3439</v>
      </c>
      <c r="G488" s="1148">
        <v>545676</v>
      </c>
      <c r="H488"/>
      <c r="I488" s="218">
        <f t="shared" si="29"/>
        <v>-545676</v>
      </c>
      <c r="J488" s="20">
        <v>96318141.870000005</v>
      </c>
      <c r="L488" s="64" t="s">
        <v>3719</v>
      </c>
      <c r="M488" s="10" t="s">
        <v>601</v>
      </c>
      <c r="N488" s="4" t="s">
        <v>3917</v>
      </c>
    </row>
    <row r="489" spans="1:14" ht="16.5">
      <c r="A489" s="17">
        <f t="shared" si="30"/>
        <v>488</v>
      </c>
      <c r="C489" s="1109">
        <v>45892</v>
      </c>
      <c r="D489" s="1116" t="s">
        <v>3440</v>
      </c>
      <c r="G489" s="1151">
        <v>33560</v>
      </c>
      <c r="H489"/>
      <c r="I489" s="218">
        <f t="shared" si="29"/>
        <v>-33560</v>
      </c>
      <c r="J489" s="20">
        <f t="shared" ref="J489:J520" si="31">J488-G489+H489</f>
        <v>96284581.870000005</v>
      </c>
      <c r="L489" s="64" t="s">
        <v>542</v>
      </c>
      <c r="M489" s="1121" t="s">
        <v>3625</v>
      </c>
      <c r="N489" s="4" t="s">
        <v>3917</v>
      </c>
    </row>
    <row r="490" spans="1:14" ht="16.5">
      <c r="A490" s="17">
        <f t="shared" si="30"/>
        <v>489</v>
      </c>
      <c r="C490" s="1109">
        <v>45892</v>
      </c>
      <c r="D490" s="1116" t="s">
        <v>3440</v>
      </c>
      <c r="G490" s="1136">
        <v>17893</v>
      </c>
      <c r="H490"/>
      <c r="I490" s="218">
        <f t="shared" si="29"/>
        <v>-17893</v>
      </c>
      <c r="J490" s="20">
        <f t="shared" si="31"/>
        <v>96266688.870000005</v>
      </c>
      <c r="L490" s="64" t="s">
        <v>542</v>
      </c>
      <c r="M490" s="1121" t="s">
        <v>3626</v>
      </c>
      <c r="N490" s="4" t="s">
        <v>3917</v>
      </c>
    </row>
    <row r="491" spans="1:14" ht="16.5">
      <c r="A491" s="17">
        <f t="shared" si="30"/>
        <v>490</v>
      </c>
      <c r="C491" s="1109">
        <v>45892</v>
      </c>
      <c r="D491" s="1116" t="s">
        <v>3440</v>
      </c>
      <c r="G491" s="1136">
        <v>11600</v>
      </c>
      <c r="H491"/>
      <c r="I491" s="218">
        <f t="shared" si="29"/>
        <v>-11600</v>
      </c>
      <c r="J491" s="20">
        <f t="shared" si="31"/>
        <v>96255088.870000005</v>
      </c>
      <c r="L491" s="64" t="s">
        <v>542</v>
      </c>
      <c r="M491" s="1121" t="s">
        <v>3627</v>
      </c>
      <c r="N491" s="4" t="s">
        <v>3917</v>
      </c>
    </row>
    <row r="492" spans="1:14" ht="16.5">
      <c r="A492" s="17">
        <f t="shared" si="30"/>
        <v>491</v>
      </c>
      <c r="C492" s="1109">
        <v>45892</v>
      </c>
      <c r="D492" s="1116" t="s">
        <v>3440</v>
      </c>
      <c r="G492" s="1136">
        <v>33570</v>
      </c>
      <c r="H492"/>
      <c r="I492" s="218">
        <f t="shared" si="29"/>
        <v>-33570</v>
      </c>
      <c r="J492" s="20">
        <f t="shared" si="31"/>
        <v>96221518.870000005</v>
      </c>
      <c r="L492" s="64" t="s">
        <v>542</v>
      </c>
      <c r="M492" s="1121" t="s">
        <v>3628</v>
      </c>
      <c r="N492" s="4" t="s">
        <v>3917</v>
      </c>
    </row>
    <row r="493" spans="1:14" ht="16.5">
      <c r="A493" s="17">
        <f t="shared" si="30"/>
        <v>492</v>
      </c>
      <c r="C493" s="1109">
        <v>45892</v>
      </c>
      <c r="D493" s="1116" t="s">
        <v>3440</v>
      </c>
      <c r="G493" s="1136">
        <v>11600</v>
      </c>
      <c r="H493"/>
      <c r="I493" s="218">
        <f t="shared" si="29"/>
        <v>-11600</v>
      </c>
      <c r="J493" s="20">
        <f t="shared" si="31"/>
        <v>96209918.870000005</v>
      </c>
      <c r="L493" s="64" t="s">
        <v>542</v>
      </c>
      <c r="M493" s="1121" t="s">
        <v>3629</v>
      </c>
      <c r="N493" s="4" t="s">
        <v>3917</v>
      </c>
    </row>
    <row r="494" spans="1:14" ht="16.5">
      <c r="A494" s="17">
        <f t="shared" si="30"/>
        <v>493</v>
      </c>
      <c r="C494" s="1109">
        <v>45892</v>
      </c>
      <c r="D494" s="1116" t="s">
        <v>3440</v>
      </c>
      <c r="G494" s="1136">
        <v>17893</v>
      </c>
      <c r="H494"/>
      <c r="I494" s="218">
        <f t="shared" si="29"/>
        <v>-17893</v>
      </c>
      <c r="J494" s="20">
        <f t="shared" si="31"/>
        <v>96192025.870000005</v>
      </c>
      <c r="L494" s="64" t="s">
        <v>542</v>
      </c>
      <c r="M494" s="1121" t="s">
        <v>3630</v>
      </c>
      <c r="N494" s="4" t="s">
        <v>3917</v>
      </c>
    </row>
    <row r="495" spans="1:14" ht="16.5">
      <c r="A495" s="17">
        <f t="shared" si="30"/>
        <v>494</v>
      </c>
      <c r="C495" s="1109">
        <v>45892</v>
      </c>
      <c r="D495" s="1116" t="s">
        <v>3441</v>
      </c>
      <c r="G495" s="1136">
        <v>6682</v>
      </c>
      <c r="H495"/>
      <c r="I495" s="218">
        <f t="shared" si="29"/>
        <v>-6682</v>
      </c>
      <c r="J495" s="20">
        <f t="shared" si="31"/>
        <v>96185343.870000005</v>
      </c>
      <c r="L495" s="64" t="s">
        <v>3719</v>
      </c>
      <c r="M495" s="1121" t="s">
        <v>3631</v>
      </c>
      <c r="N495" s="4" t="s">
        <v>3917</v>
      </c>
    </row>
    <row r="496" spans="1:14" ht="16.5">
      <c r="A496" s="17">
        <f t="shared" si="30"/>
        <v>495</v>
      </c>
      <c r="C496" s="1109">
        <v>45892</v>
      </c>
      <c r="D496" s="1116" t="s">
        <v>3441</v>
      </c>
      <c r="G496" s="1136">
        <v>5654</v>
      </c>
      <c r="H496"/>
      <c r="I496" s="218">
        <f t="shared" si="29"/>
        <v>-5654</v>
      </c>
      <c r="J496" s="20">
        <f t="shared" si="31"/>
        <v>96179689.870000005</v>
      </c>
      <c r="L496" s="64" t="s">
        <v>3719</v>
      </c>
      <c r="M496" s="1121" t="s">
        <v>3632</v>
      </c>
      <c r="N496" s="4" t="s">
        <v>3917</v>
      </c>
    </row>
    <row r="497" spans="1:14" ht="16.5">
      <c r="A497" s="17">
        <f t="shared" si="30"/>
        <v>496</v>
      </c>
      <c r="C497" s="1109">
        <v>45892</v>
      </c>
      <c r="D497" s="1116" t="s">
        <v>3441</v>
      </c>
      <c r="G497" s="1136">
        <v>5688</v>
      </c>
      <c r="H497"/>
      <c r="I497" s="218">
        <f t="shared" si="29"/>
        <v>-5688</v>
      </c>
      <c r="J497" s="20">
        <f t="shared" si="31"/>
        <v>96174001.870000005</v>
      </c>
      <c r="L497" s="64" t="s">
        <v>3719</v>
      </c>
      <c r="M497" s="1121" t="s">
        <v>3633</v>
      </c>
      <c r="N497" s="4" t="s">
        <v>3917</v>
      </c>
    </row>
    <row r="498" spans="1:14" ht="16.5">
      <c r="A498" s="17">
        <f t="shared" si="30"/>
        <v>497</v>
      </c>
      <c r="C498" s="1109">
        <v>45892</v>
      </c>
      <c r="D498" s="1116" t="s">
        <v>3441</v>
      </c>
      <c r="G498" s="1136">
        <v>6094</v>
      </c>
      <c r="H498"/>
      <c r="I498" s="218">
        <f t="shared" si="29"/>
        <v>-6094</v>
      </c>
      <c r="J498" s="20">
        <f t="shared" si="31"/>
        <v>96167907.870000005</v>
      </c>
      <c r="L498" s="64" t="s">
        <v>3719</v>
      </c>
      <c r="M498" s="1121" t="s">
        <v>3634</v>
      </c>
      <c r="N498" s="4" t="s">
        <v>3917</v>
      </c>
    </row>
    <row r="499" spans="1:14" ht="16.5">
      <c r="A499" s="17">
        <f t="shared" si="30"/>
        <v>498</v>
      </c>
      <c r="C499" s="1109">
        <v>45892</v>
      </c>
      <c r="D499" s="1116" t="s">
        <v>3441</v>
      </c>
      <c r="G499" s="1136">
        <v>6094</v>
      </c>
      <c r="H499"/>
      <c r="I499" s="218">
        <f t="shared" si="29"/>
        <v>-6094</v>
      </c>
      <c r="J499" s="20">
        <f t="shared" si="31"/>
        <v>96161813.870000005</v>
      </c>
      <c r="L499" s="64" t="s">
        <v>3719</v>
      </c>
      <c r="M499" s="1121" t="s">
        <v>3635</v>
      </c>
      <c r="N499" s="4" t="s">
        <v>3917</v>
      </c>
    </row>
    <row r="500" spans="1:14" ht="16.5">
      <c r="A500" s="17">
        <f t="shared" si="30"/>
        <v>499</v>
      </c>
      <c r="C500" s="1109">
        <v>45892</v>
      </c>
      <c r="D500" s="1116" t="s">
        <v>3441</v>
      </c>
      <c r="G500" s="1136">
        <v>7449</v>
      </c>
      <c r="H500"/>
      <c r="I500" s="218">
        <f t="shared" si="29"/>
        <v>-7449</v>
      </c>
      <c r="J500" s="20">
        <f t="shared" si="31"/>
        <v>96154364.870000005</v>
      </c>
      <c r="L500" s="64" t="s">
        <v>3719</v>
      </c>
      <c r="M500" s="1121" t="s">
        <v>3636</v>
      </c>
      <c r="N500" s="4" t="s">
        <v>3917</v>
      </c>
    </row>
    <row r="501" spans="1:14" ht="16.5">
      <c r="A501" s="17">
        <f t="shared" si="30"/>
        <v>500</v>
      </c>
      <c r="C501" s="1109">
        <v>45892</v>
      </c>
      <c r="D501" s="1116" t="s">
        <v>3441</v>
      </c>
      <c r="G501" s="1136">
        <v>5759</v>
      </c>
      <c r="H501"/>
      <c r="I501" s="218">
        <f t="shared" si="29"/>
        <v>-5759</v>
      </c>
      <c r="J501" s="20">
        <f t="shared" si="31"/>
        <v>96148605.870000005</v>
      </c>
      <c r="L501" s="64" t="s">
        <v>3719</v>
      </c>
      <c r="M501" s="1121" t="s">
        <v>3637</v>
      </c>
      <c r="N501" s="4" t="s">
        <v>3917</v>
      </c>
    </row>
    <row r="502" spans="1:14" ht="16.5">
      <c r="A502" s="17">
        <f t="shared" si="30"/>
        <v>501</v>
      </c>
      <c r="C502" s="1109">
        <v>45892</v>
      </c>
      <c r="D502" s="1116" t="s">
        <v>3441</v>
      </c>
      <c r="G502" s="1136">
        <v>57011</v>
      </c>
      <c r="H502"/>
      <c r="I502" s="218">
        <f t="shared" si="29"/>
        <v>-57011</v>
      </c>
      <c r="J502" s="20">
        <f t="shared" si="31"/>
        <v>96091594.870000005</v>
      </c>
      <c r="L502" s="64" t="s">
        <v>3719</v>
      </c>
      <c r="M502" s="1121" t="s">
        <v>3638</v>
      </c>
      <c r="N502" s="4" t="s">
        <v>3917</v>
      </c>
    </row>
    <row r="503" spans="1:14" ht="16.5">
      <c r="A503" s="17">
        <f t="shared" si="30"/>
        <v>502</v>
      </c>
      <c r="C503" s="1109">
        <v>45892</v>
      </c>
      <c r="D503" s="1116" t="s">
        <v>3441</v>
      </c>
      <c r="G503" s="1136">
        <v>8465</v>
      </c>
      <c r="H503"/>
      <c r="I503" s="218">
        <f t="shared" si="29"/>
        <v>-8465</v>
      </c>
      <c r="J503" s="20">
        <f t="shared" si="31"/>
        <v>96083129.870000005</v>
      </c>
      <c r="L503" s="64" t="s">
        <v>3719</v>
      </c>
      <c r="M503" s="1121" t="s">
        <v>3639</v>
      </c>
      <c r="N503" s="4" t="s">
        <v>3917</v>
      </c>
    </row>
    <row r="504" spans="1:14" ht="16.5">
      <c r="A504" s="17">
        <f t="shared" si="30"/>
        <v>503</v>
      </c>
      <c r="C504" s="1109">
        <v>45892</v>
      </c>
      <c r="D504" s="1116" t="s">
        <v>3441</v>
      </c>
      <c r="G504" s="1136">
        <v>34772</v>
      </c>
      <c r="H504"/>
      <c r="I504" s="218">
        <f t="shared" si="29"/>
        <v>-34772</v>
      </c>
      <c r="J504" s="20">
        <f t="shared" si="31"/>
        <v>96048357.870000005</v>
      </c>
      <c r="L504" s="64" t="s">
        <v>3719</v>
      </c>
      <c r="M504" s="1121" t="s">
        <v>3640</v>
      </c>
      <c r="N504" s="4" t="s">
        <v>3917</v>
      </c>
    </row>
    <row r="505" spans="1:14" ht="16.5">
      <c r="A505" s="17">
        <f t="shared" si="30"/>
        <v>504</v>
      </c>
      <c r="C505" s="1109">
        <v>45892</v>
      </c>
      <c r="D505" s="1116" t="s">
        <v>3441</v>
      </c>
      <c r="G505" s="1136">
        <v>84523</v>
      </c>
      <c r="H505"/>
      <c r="I505" s="218">
        <f t="shared" si="29"/>
        <v>-84523</v>
      </c>
      <c r="J505" s="20">
        <f t="shared" si="31"/>
        <v>95963834.870000005</v>
      </c>
      <c r="L505" s="64" t="s">
        <v>3719</v>
      </c>
      <c r="M505" s="1121" t="s">
        <v>3641</v>
      </c>
      <c r="N505" s="4" t="s">
        <v>3917</v>
      </c>
    </row>
    <row r="506" spans="1:14" ht="16.5">
      <c r="A506" s="17">
        <f t="shared" si="30"/>
        <v>505</v>
      </c>
      <c r="C506" s="1109">
        <v>45892</v>
      </c>
      <c r="D506" s="1116" t="s">
        <v>3441</v>
      </c>
      <c r="G506" s="1136">
        <v>12020</v>
      </c>
      <c r="H506"/>
      <c r="I506" s="218">
        <f t="shared" si="29"/>
        <v>-12020</v>
      </c>
      <c r="J506" s="20">
        <f t="shared" si="31"/>
        <v>95951814.870000005</v>
      </c>
      <c r="L506" s="64" t="s">
        <v>3719</v>
      </c>
      <c r="M506" s="1121" t="s">
        <v>3642</v>
      </c>
      <c r="N506" s="4" t="s">
        <v>3917</v>
      </c>
    </row>
    <row r="507" spans="1:14" ht="16.5">
      <c r="A507" s="17">
        <f t="shared" si="30"/>
        <v>506</v>
      </c>
      <c r="C507" s="1109">
        <v>45892</v>
      </c>
      <c r="D507" s="1116" t="s">
        <v>3441</v>
      </c>
      <c r="G507" s="1136">
        <v>15174</v>
      </c>
      <c r="H507"/>
      <c r="I507" s="218">
        <f t="shared" si="29"/>
        <v>-15174</v>
      </c>
      <c r="J507" s="20">
        <f t="shared" si="31"/>
        <v>95936640.870000005</v>
      </c>
      <c r="L507" s="64" t="s">
        <v>3719</v>
      </c>
      <c r="M507" s="1121" t="s">
        <v>3643</v>
      </c>
      <c r="N507" s="4" t="s">
        <v>3917</v>
      </c>
    </row>
    <row r="508" spans="1:14" ht="16.5">
      <c r="A508" s="17">
        <f t="shared" si="30"/>
        <v>507</v>
      </c>
      <c r="C508" s="1109">
        <v>45892</v>
      </c>
      <c r="D508" s="1116" t="s">
        <v>3441</v>
      </c>
      <c r="G508" s="1136">
        <v>17219</v>
      </c>
      <c r="H508"/>
      <c r="I508" s="218">
        <f t="shared" si="29"/>
        <v>-17219</v>
      </c>
      <c r="J508" s="20">
        <f t="shared" si="31"/>
        <v>95919421.870000005</v>
      </c>
      <c r="L508" s="64" t="s">
        <v>3719</v>
      </c>
      <c r="M508" s="1121" t="s">
        <v>3644</v>
      </c>
      <c r="N508" s="4" t="s">
        <v>3917</v>
      </c>
    </row>
    <row r="509" spans="1:14" ht="16.5">
      <c r="A509" s="17">
        <f t="shared" si="30"/>
        <v>508</v>
      </c>
      <c r="C509" s="1109">
        <v>45892</v>
      </c>
      <c r="D509" s="1116" t="s">
        <v>3441</v>
      </c>
      <c r="G509" s="1136">
        <v>16963</v>
      </c>
      <c r="H509"/>
      <c r="I509" s="218">
        <f t="shared" si="29"/>
        <v>-16963</v>
      </c>
      <c r="J509" s="20">
        <f t="shared" si="31"/>
        <v>95902458.870000005</v>
      </c>
      <c r="L509" s="64" t="s">
        <v>3719</v>
      </c>
      <c r="M509" s="1121" t="s">
        <v>3645</v>
      </c>
      <c r="N509" s="4" t="s">
        <v>3917</v>
      </c>
    </row>
    <row r="510" spans="1:14" ht="16.5">
      <c r="A510" s="17">
        <f t="shared" si="30"/>
        <v>509</v>
      </c>
      <c r="C510" s="1109">
        <v>45892</v>
      </c>
      <c r="D510" s="1116" t="s">
        <v>3441</v>
      </c>
      <c r="G510" s="1136">
        <v>175500</v>
      </c>
      <c r="H510"/>
      <c r="I510" s="218">
        <f t="shared" si="29"/>
        <v>-175500</v>
      </c>
      <c r="J510" s="20">
        <f t="shared" si="31"/>
        <v>95726958.870000005</v>
      </c>
      <c r="L510" s="64" t="s">
        <v>3719</v>
      </c>
      <c r="M510" s="1121" t="s">
        <v>3646</v>
      </c>
      <c r="N510" s="4" t="s">
        <v>3917</v>
      </c>
    </row>
    <row r="511" spans="1:14" ht="16.5">
      <c r="A511" s="17">
        <f t="shared" si="30"/>
        <v>510</v>
      </c>
      <c r="C511" s="1109">
        <v>45892</v>
      </c>
      <c r="D511" s="1116" t="s">
        <v>3441</v>
      </c>
      <c r="G511" s="1136">
        <v>19163</v>
      </c>
      <c r="H511"/>
      <c r="I511" s="218">
        <f t="shared" si="29"/>
        <v>-19163</v>
      </c>
      <c r="J511" s="20">
        <f t="shared" si="31"/>
        <v>95707795.870000005</v>
      </c>
      <c r="L511" s="64" t="s">
        <v>3719</v>
      </c>
      <c r="M511" s="1121" t="s">
        <v>3647</v>
      </c>
      <c r="N511" s="4" t="s">
        <v>3917</v>
      </c>
    </row>
    <row r="512" spans="1:14" ht="16.5">
      <c r="A512" s="17">
        <f t="shared" si="30"/>
        <v>511</v>
      </c>
      <c r="C512" s="1109">
        <v>45892</v>
      </c>
      <c r="D512" s="1116" t="s">
        <v>3441</v>
      </c>
      <c r="G512" s="1152">
        <v>180409</v>
      </c>
      <c r="H512"/>
      <c r="I512" s="218">
        <f t="shared" si="29"/>
        <v>-180409</v>
      </c>
      <c r="J512" s="20">
        <f t="shared" si="31"/>
        <v>95527386.870000005</v>
      </c>
      <c r="L512" s="64" t="s">
        <v>3719</v>
      </c>
      <c r="M512" s="1121" t="s">
        <v>3648</v>
      </c>
      <c r="N512" s="4" t="s">
        <v>3917</v>
      </c>
    </row>
    <row r="513" spans="1:14" ht="16.5">
      <c r="A513" s="17">
        <f t="shared" si="30"/>
        <v>512</v>
      </c>
      <c r="C513" s="1109">
        <v>45892</v>
      </c>
      <c r="D513" s="1116" t="s">
        <v>3441</v>
      </c>
      <c r="G513" s="1152">
        <v>3035</v>
      </c>
      <c r="H513"/>
      <c r="I513" s="218">
        <f t="shared" si="29"/>
        <v>-3035</v>
      </c>
      <c r="J513" s="20">
        <f t="shared" si="31"/>
        <v>95524351.870000005</v>
      </c>
      <c r="L513" s="64" t="s">
        <v>3719</v>
      </c>
      <c r="M513" s="1121" t="s">
        <v>3649</v>
      </c>
      <c r="N513" s="4" t="s">
        <v>3917</v>
      </c>
    </row>
    <row r="514" spans="1:14" ht="16.5">
      <c r="A514" s="17">
        <f t="shared" si="30"/>
        <v>513</v>
      </c>
      <c r="C514" s="1109">
        <v>45892</v>
      </c>
      <c r="D514" s="1116" t="s">
        <v>3442</v>
      </c>
      <c r="G514" s="1136">
        <v>25700</v>
      </c>
      <c r="H514"/>
      <c r="I514" s="218">
        <f t="shared" ref="I514:I577" si="32">H514-G514</f>
        <v>-25700</v>
      </c>
      <c r="J514" s="20">
        <f t="shared" si="31"/>
        <v>95498651.870000005</v>
      </c>
      <c r="L514" s="64" t="s">
        <v>542</v>
      </c>
      <c r="M514" s="1121" t="s">
        <v>3650</v>
      </c>
      <c r="N514" s="4" t="s">
        <v>3917</v>
      </c>
    </row>
    <row r="515" spans="1:14" ht="16.5">
      <c r="A515" s="17">
        <f t="shared" si="30"/>
        <v>514</v>
      </c>
      <c r="C515" s="1109">
        <v>45892</v>
      </c>
      <c r="D515" s="1116" t="s">
        <v>3443</v>
      </c>
      <c r="G515" s="1136">
        <v>416000</v>
      </c>
      <c r="H515"/>
      <c r="I515" s="218">
        <f t="shared" si="32"/>
        <v>-416000</v>
      </c>
      <c r="J515" s="20">
        <f t="shared" si="31"/>
        <v>95082651.870000005</v>
      </c>
      <c r="L515" s="64" t="s">
        <v>3719</v>
      </c>
      <c r="M515" s="1121" t="s">
        <v>3651</v>
      </c>
      <c r="N515" s="4" t="s">
        <v>3917</v>
      </c>
    </row>
    <row r="516" spans="1:14" ht="16.5">
      <c r="A516" s="17">
        <f t="shared" ref="A516:A579" si="33">A515+1</f>
        <v>515</v>
      </c>
      <c r="C516" s="1109">
        <v>45892</v>
      </c>
      <c r="D516" s="1116" t="s">
        <v>3444</v>
      </c>
      <c r="G516" s="1136">
        <v>108780</v>
      </c>
      <c r="H516"/>
      <c r="I516" s="218">
        <f t="shared" si="32"/>
        <v>-108780</v>
      </c>
      <c r="J516" s="20">
        <f t="shared" si="31"/>
        <v>94973871.870000005</v>
      </c>
      <c r="L516" s="64" t="s">
        <v>3719</v>
      </c>
      <c r="M516" s="1121" t="s">
        <v>3652</v>
      </c>
      <c r="N516" s="4" t="s">
        <v>3917</v>
      </c>
    </row>
    <row r="517" spans="1:14" ht="16.5">
      <c r="A517" s="17">
        <f t="shared" si="33"/>
        <v>516</v>
      </c>
      <c r="C517" s="1109">
        <v>45892</v>
      </c>
      <c r="D517" s="1116" t="s">
        <v>3445</v>
      </c>
      <c r="G517" s="1136">
        <v>2000</v>
      </c>
      <c r="H517"/>
      <c r="I517" s="218">
        <f t="shared" si="32"/>
        <v>-2000</v>
      </c>
      <c r="J517" s="20">
        <f t="shared" si="31"/>
        <v>94971871.870000005</v>
      </c>
      <c r="L517" s="64" t="s">
        <v>542</v>
      </c>
      <c r="M517" s="1121" t="s">
        <v>3653</v>
      </c>
      <c r="N517" s="4" t="s">
        <v>3917</v>
      </c>
    </row>
    <row r="518" spans="1:14" ht="16.5">
      <c r="A518" s="17">
        <f t="shared" si="33"/>
        <v>517</v>
      </c>
      <c r="C518" s="1109">
        <v>45892</v>
      </c>
      <c r="D518" s="1116" t="s">
        <v>3446</v>
      </c>
      <c r="G518" s="1136">
        <v>3500</v>
      </c>
      <c r="H518"/>
      <c r="I518" s="218">
        <f t="shared" si="32"/>
        <v>-3500</v>
      </c>
      <c r="J518" s="20">
        <f t="shared" si="31"/>
        <v>94968371.870000005</v>
      </c>
      <c r="L518" s="64" t="s">
        <v>542</v>
      </c>
      <c r="M518" s="1121" t="s">
        <v>3654</v>
      </c>
      <c r="N518" s="4" t="s">
        <v>3917</v>
      </c>
    </row>
    <row r="519" spans="1:14" ht="16.5">
      <c r="A519" s="17">
        <f t="shared" si="33"/>
        <v>518</v>
      </c>
      <c r="C519" s="1109">
        <v>45892</v>
      </c>
      <c r="D519" s="1116" t="s">
        <v>3447</v>
      </c>
      <c r="G519" s="1136">
        <v>182700</v>
      </c>
      <c r="H519"/>
      <c r="I519" s="218">
        <f t="shared" si="32"/>
        <v>-182700</v>
      </c>
      <c r="J519" s="20">
        <f t="shared" si="31"/>
        <v>94785671.870000005</v>
      </c>
      <c r="L519" s="64" t="s">
        <v>3719</v>
      </c>
      <c r="M519" s="1154" t="s">
        <v>591</v>
      </c>
      <c r="N519" s="4" t="s">
        <v>3917</v>
      </c>
    </row>
    <row r="520" spans="1:14" ht="16.5">
      <c r="A520" s="17">
        <f t="shared" si="33"/>
        <v>519</v>
      </c>
      <c r="C520" s="1109">
        <v>45892</v>
      </c>
      <c r="D520" s="1116" t="s">
        <v>3448</v>
      </c>
      <c r="G520" s="1136">
        <v>11883</v>
      </c>
      <c r="H520"/>
      <c r="I520" s="218">
        <f t="shared" si="32"/>
        <v>-11883</v>
      </c>
      <c r="J520" s="20">
        <f t="shared" si="31"/>
        <v>94773788.870000005</v>
      </c>
      <c r="L520" s="64" t="s">
        <v>542</v>
      </c>
      <c r="M520" s="1121" t="s">
        <v>3655</v>
      </c>
      <c r="N520" s="4" t="s">
        <v>3917</v>
      </c>
    </row>
    <row r="521" spans="1:14" ht="16.5">
      <c r="A521" s="17">
        <f t="shared" si="33"/>
        <v>520</v>
      </c>
      <c r="C521" s="1109">
        <v>45892</v>
      </c>
      <c r="D521" s="1116" t="s">
        <v>3449</v>
      </c>
      <c r="G521" s="1136">
        <v>21311</v>
      </c>
      <c r="H521"/>
      <c r="I521" s="218">
        <f t="shared" si="32"/>
        <v>-21311</v>
      </c>
      <c r="J521" s="20">
        <f t="shared" ref="J521:J552" si="34">J520-G521+H521</f>
        <v>94752477.870000005</v>
      </c>
      <c r="L521" s="64" t="s">
        <v>3724</v>
      </c>
      <c r="M521" s="1121" t="s">
        <v>3656</v>
      </c>
      <c r="N521" s="4" t="s">
        <v>3917</v>
      </c>
    </row>
    <row r="522" spans="1:14" ht="16.5">
      <c r="A522" s="17">
        <f t="shared" si="33"/>
        <v>521</v>
      </c>
      <c r="C522" s="1109">
        <v>45892</v>
      </c>
      <c r="D522" s="1116" t="s">
        <v>1506</v>
      </c>
      <c r="G522" s="1136">
        <v>38756</v>
      </c>
      <c r="H522"/>
      <c r="I522" s="218">
        <f t="shared" si="32"/>
        <v>-38756</v>
      </c>
      <c r="J522" s="20">
        <f t="shared" si="34"/>
        <v>94713721.870000005</v>
      </c>
      <c r="L522" s="64" t="s">
        <v>542</v>
      </c>
      <c r="M522" s="1121" t="s">
        <v>3657</v>
      </c>
      <c r="N522" s="4" t="s">
        <v>3917</v>
      </c>
    </row>
    <row r="523" spans="1:14" ht="16.5">
      <c r="A523" s="17">
        <f t="shared" si="33"/>
        <v>522</v>
      </c>
      <c r="C523" s="1109">
        <v>45892</v>
      </c>
      <c r="D523" s="1116" t="s">
        <v>3450</v>
      </c>
      <c r="G523" s="1136">
        <v>32760</v>
      </c>
      <c r="H523"/>
      <c r="I523" s="218">
        <f t="shared" si="32"/>
        <v>-32760</v>
      </c>
      <c r="J523" s="20">
        <f t="shared" si="34"/>
        <v>94680961.870000005</v>
      </c>
      <c r="L523" s="64" t="s">
        <v>3719</v>
      </c>
      <c r="M523" s="1121" t="s">
        <v>3658</v>
      </c>
      <c r="N523" s="4" t="s">
        <v>3917</v>
      </c>
    </row>
    <row r="524" spans="1:14" ht="16.5">
      <c r="A524" s="17">
        <f t="shared" si="33"/>
        <v>523</v>
      </c>
      <c r="C524" s="1109">
        <v>45892</v>
      </c>
      <c r="D524" s="1116" t="s">
        <v>3451</v>
      </c>
      <c r="G524" s="1136">
        <v>53674</v>
      </c>
      <c r="H524"/>
      <c r="I524" s="218">
        <f t="shared" si="32"/>
        <v>-53674</v>
      </c>
      <c r="J524" s="20">
        <f t="shared" si="34"/>
        <v>94627287.870000005</v>
      </c>
      <c r="L524" s="64" t="s">
        <v>3724</v>
      </c>
      <c r="M524" s="1121" t="s">
        <v>3659</v>
      </c>
      <c r="N524" s="4" t="s">
        <v>3917</v>
      </c>
    </row>
    <row r="525" spans="1:14" ht="16.5">
      <c r="A525" s="17">
        <f t="shared" si="33"/>
        <v>524</v>
      </c>
      <c r="C525" s="1109">
        <v>45892</v>
      </c>
      <c r="D525" s="1116" t="s">
        <v>3452</v>
      </c>
      <c r="G525" s="1136">
        <v>70389</v>
      </c>
      <c r="H525"/>
      <c r="I525" s="218">
        <f t="shared" si="32"/>
        <v>-70389</v>
      </c>
      <c r="J525" s="20">
        <f t="shared" si="34"/>
        <v>94556898.870000005</v>
      </c>
      <c r="L525" s="64" t="s">
        <v>3724</v>
      </c>
      <c r="M525" s="1121" t="s">
        <v>3660</v>
      </c>
      <c r="N525" s="4" t="s">
        <v>3917</v>
      </c>
    </row>
    <row r="526" spans="1:14" ht="16.5">
      <c r="A526" s="17">
        <f t="shared" si="33"/>
        <v>525</v>
      </c>
      <c r="C526" s="1109">
        <v>45892</v>
      </c>
      <c r="D526" s="1116" t="s">
        <v>1021</v>
      </c>
      <c r="G526" s="1136">
        <v>65623</v>
      </c>
      <c r="H526"/>
      <c r="I526" s="218">
        <f t="shared" si="32"/>
        <v>-65623</v>
      </c>
      <c r="J526" s="20">
        <f t="shared" si="34"/>
        <v>94491275.870000005</v>
      </c>
      <c r="L526" s="64" t="s">
        <v>3724</v>
      </c>
      <c r="M526" s="1121" t="s">
        <v>3661</v>
      </c>
      <c r="N526" s="4" t="s">
        <v>3917</v>
      </c>
    </row>
    <row r="527" spans="1:14" ht="16.5">
      <c r="A527" s="17">
        <f t="shared" si="33"/>
        <v>526</v>
      </c>
      <c r="C527" s="1109">
        <v>45892</v>
      </c>
      <c r="D527" s="1116" t="s">
        <v>3453</v>
      </c>
      <c r="G527" s="1136">
        <v>3645</v>
      </c>
      <c r="H527"/>
      <c r="I527" s="218">
        <f t="shared" si="32"/>
        <v>-3645</v>
      </c>
      <c r="J527" s="20">
        <f t="shared" si="34"/>
        <v>94487630.870000005</v>
      </c>
      <c r="L527" s="64" t="s">
        <v>3719</v>
      </c>
      <c r="M527" s="1121" t="s">
        <v>3662</v>
      </c>
      <c r="N527" s="4" t="s">
        <v>3917</v>
      </c>
    </row>
    <row r="528" spans="1:14" ht="16.5">
      <c r="A528" s="17">
        <f t="shared" si="33"/>
        <v>527</v>
      </c>
      <c r="C528" s="1109">
        <v>45892</v>
      </c>
      <c r="D528" s="1116" t="s">
        <v>3453</v>
      </c>
      <c r="G528" s="1136">
        <v>7864</v>
      </c>
      <c r="H528"/>
      <c r="I528" s="218">
        <f t="shared" si="32"/>
        <v>-7864</v>
      </c>
      <c r="J528" s="20">
        <f t="shared" si="34"/>
        <v>94479766.870000005</v>
      </c>
      <c r="L528" s="64" t="s">
        <v>3719</v>
      </c>
      <c r="M528" s="1121" t="s">
        <v>3663</v>
      </c>
      <c r="N528" s="4" t="s">
        <v>3917</v>
      </c>
    </row>
    <row r="529" spans="1:14" ht="16.5">
      <c r="A529" s="17">
        <f t="shared" si="33"/>
        <v>528</v>
      </c>
      <c r="C529" s="1109">
        <v>45892</v>
      </c>
      <c r="D529" s="1116" t="s">
        <v>3453</v>
      </c>
      <c r="G529" s="1136">
        <v>3645</v>
      </c>
      <c r="H529"/>
      <c r="I529" s="218">
        <f t="shared" si="32"/>
        <v>-3645</v>
      </c>
      <c r="J529" s="20">
        <f t="shared" si="34"/>
        <v>94476121.870000005</v>
      </c>
      <c r="L529" s="64" t="s">
        <v>3719</v>
      </c>
      <c r="M529" s="1121" t="s">
        <v>3664</v>
      </c>
      <c r="N529" s="4" t="s">
        <v>3917</v>
      </c>
    </row>
    <row r="530" spans="1:14" ht="16.5">
      <c r="A530" s="17">
        <f t="shared" si="33"/>
        <v>529</v>
      </c>
      <c r="C530" s="1109">
        <v>45892</v>
      </c>
      <c r="D530" s="1116" t="s">
        <v>3453</v>
      </c>
      <c r="G530" s="1136">
        <v>7863</v>
      </c>
      <c r="H530"/>
      <c r="I530" s="218">
        <f t="shared" si="32"/>
        <v>-7863</v>
      </c>
      <c r="J530" s="20">
        <f t="shared" si="34"/>
        <v>94468258.870000005</v>
      </c>
      <c r="L530" s="64" t="s">
        <v>3719</v>
      </c>
      <c r="M530" s="1121" t="s">
        <v>3665</v>
      </c>
      <c r="N530" s="4" t="s">
        <v>3917</v>
      </c>
    </row>
    <row r="531" spans="1:14" ht="16.5">
      <c r="A531" s="17">
        <f t="shared" si="33"/>
        <v>530</v>
      </c>
      <c r="C531" s="1109">
        <v>45892</v>
      </c>
      <c r="D531" s="1116" t="s">
        <v>3454</v>
      </c>
      <c r="G531" s="1136">
        <v>54450</v>
      </c>
      <c r="H531"/>
      <c r="I531" s="218">
        <f t="shared" si="32"/>
        <v>-54450</v>
      </c>
      <c r="J531" s="20">
        <f t="shared" si="34"/>
        <v>94413808.870000005</v>
      </c>
      <c r="L531" s="64" t="s">
        <v>3724</v>
      </c>
      <c r="M531" s="1121" t="s">
        <v>3666</v>
      </c>
      <c r="N531" s="4" t="s">
        <v>3917</v>
      </c>
    </row>
    <row r="532" spans="1:14" ht="16.5">
      <c r="A532" s="17">
        <f t="shared" si="33"/>
        <v>531</v>
      </c>
      <c r="C532" s="1109">
        <v>45892</v>
      </c>
      <c r="D532" s="1116" t="s">
        <v>3389</v>
      </c>
      <c r="G532" s="1136">
        <v>15000</v>
      </c>
      <c r="H532"/>
      <c r="I532" s="218">
        <f t="shared" si="32"/>
        <v>-15000</v>
      </c>
      <c r="J532" s="20">
        <f t="shared" si="34"/>
        <v>94398808.870000005</v>
      </c>
      <c r="L532" s="64" t="s">
        <v>542</v>
      </c>
      <c r="M532" s="1121" t="s">
        <v>3667</v>
      </c>
      <c r="N532" s="4" t="s">
        <v>3917</v>
      </c>
    </row>
    <row r="533" spans="1:14" ht="16.5">
      <c r="A533" s="17">
        <f t="shared" si="33"/>
        <v>532</v>
      </c>
      <c r="C533" s="1109">
        <v>45892</v>
      </c>
      <c r="D533" s="1121" t="s">
        <v>3455</v>
      </c>
      <c r="G533" s="1155">
        <v>27092</v>
      </c>
      <c r="H533"/>
      <c r="I533" s="218">
        <f t="shared" si="32"/>
        <v>-27092</v>
      </c>
      <c r="J533" s="20">
        <f t="shared" si="34"/>
        <v>94371716.870000005</v>
      </c>
      <c r="L533" s="64" t="s">
        <v>3719</v>
      </c>
      <c r="M533" s="1121" t="s">
        <v>591</v>
      </c>
      <c r="N533" s="4" t="s">
        <v>3917</v>
      </c>
    </row>
    <row r="534" spans="1:14" ht="16.5">
      <c r="A534" s="17">
        <f t="shared" si="33"/>
        <v>533</v>
      </c>
      <c r="C534" s="1109">
        <v>45892</v>
      </c>
      <c r="D534" s="1116" t="s">
        <v>3456</v>
      </c>
      <c r="G534" s="1156">
        <v>1514484</v>
      </c>
      <c r="H534"/>
      <c r="I534" s="218">
        <f t="shared" si="32"/>
        <v>-1514484</v>
      </c>
      <c r="J534" s="20">
        <f t="shared" si="34"/>
        <v>92857232.870000005</v>
      </c>
      <c r="L534" s="64" t="s">
        <v>3719</v>
      </c>
      <c r="M534" s="1121" t="s">
        <v>3668</v>
      </c>
      <c r="N534" s="4" t="s">
        <v>3917</v>
      </c>
    </row>
    <row r="535" spans="1:14" ht="16.5">
      <c r="A535" s="17">
        <f t="shared" si="33"/>
        <v>534</v>
      </c>
      <c r="C535" s="1109">
        <v>45892</v>
      </c>
      <c r="D535" s="1116" t="s">
        <v>3357</v>
      </c>
      <c r="G535" s="1157">
        <v>540000</v>
      </c>
      <c r="H535"/>
      <c r="I535" s="218">
        <f t="shared" si="32"/>
        <v>-540000</v>
      </c>
      <c r="J535" s="20">
        <f t="shared" si="34"/>
        <v>92317232.870000005</v>
      </c>
      <c r="L535" s="64" t="s">
        <v>542</v>
      </c>
      <c r="M535" s="1121" t="s">
        <v>3669</v>
      </c>
      <c r="N535" s="4" t="s">
        <v>3917</v>
      </c>
    </row>
    <row r="536" spans="1:14" ht="16.5">
      <c r="A536" s="17">
        <f t="shared" si="33"/>
        <v>535</v>
      </c>
      <c r="C536" s="1109">
        <v>45892</v>
      </c>
      <c r="D536" s="1116" t="s">
        <v>871</v>
      </c>
      <c r="G536" s="1156">
        <v>2530000</v>
      </c>
      <c r="H536"/>
      <c r="I536" s="218">
        <f t="shared" si="32"/>
        <v>-2530000</v>
      </c>
      <c r="J536" s="20">
        <f t="shared" si="34"/>
        <v>89787232.870000005</v>
      </c>
      <c r="L536" s="64" t="s">
        <v>3719</v>
      </c>
      <c r="M536" s="1121" t="s">
        <v>3670</v>
      </c>
      <c r="N536" s="4" t="s">
        <v>3917</v>
      </c>
    </row>
    <row r="537" spans="1:14" ht="16.5">
      <c r="A537" s="17">
        <f t="shared" si="33"/>
        <v>536</v>
      </c>
      <c r="C537" s="1109">
        <v>45892</v>
      </c>
      <c r="D537" s="1116" t="s">
        <v>1432</v>
      </c>
      <c r="G537" s="1151">
        <v>532</v>
      </c>
      <c r="H537"/>
      <c r="I537" s="218">
        <f t="shared" si="32"/>
        <v>-532</v>
      </c>
      <c r="J537" s="20">
        <f t="shared" si="34"/>
        <v>89786700.870000005</v>
      </c>
      <c r="L537" s="64" t="s">
        <v>542</v>
      </c>
      <c r="M537" s="1121" t="s">
        <v>3671</v>
      </c>
      <c r="N537" s="4" t="s">
        <v>3917</v>
      </c>
    </row>
    <row r="538" spans="1:14" ht="16.5">
      <c r="A538" s="17">
        <f t="shared" si="33"/>
        <v>537</v>
      </c>
      <c r="C538" s="1109">
        <v>45892</v>
      </c>
      <c r="D538" s="1116" t="s">
        <v>3457</v>
      </c>
      <c r="G538" s="1136">
        <v>9900</v>
      </c>
      <c r="H538"/>
      <c r="I538" s="218">
        <f t="shared" si="32"/>
        <v>-9900</v>
      </c>
      <c r="J538" s="20">
        <f t="shared" si="34"/>
        <v>89776800.870000005</v>
      </c>
      <c r="L538" s="64" t="s">
        <v>542</v>
      </c>
      <c r="M538" s="1121" t="s">
        <v>3671</v>
      </c>
      <c r="N538" s="4" t="s">
        <v>3917</v>
      </c>
    </row>
    <row r="539" spans="1:14" ht="16.5">
      <c r="A539" s="17">
        <f t="shared" si="33"/>
        <v>538</v>
      </c>
      <c r="C539" s="1109">
        <v>45892</v>
      </c>
      <c r="D539" s="1116" t="s">
        <v>3458</v>
      </c>
      <c r="G539" s="1136">
        <v>21147</v>
      </c>
      <c r="H539"/>
      <c r="I539" s="218">
        <f t="shared" si="32"/>
        <v>-21147</v>
      </c>
      <c r="J539" s="20">
        <f t="shared" si="34"/>
        <v>89755653.870000005</v>
      </c>
      <c r="L539" s="64" t="s">
        <v>542</v>
      </c>
      <c r="M539" s="1121" t="s">
        <v>3671</v>
      </c>
      <c r="N539" s="4" t="s">
        <v>3917</v>
      </c>
    </row>
    <row r="540" spans="1:14" ht="16.5">
      <c r="A540" s="17">
        <f t="shared" si="33"/>
        <v>539</v>
      </c>
      <c r="C540" s="1109">
        <v>45892</v>
      </c>
      <c r="D540" s="1116" t="s">
        <v>3459</v>
      </c>
      <c r="G540" s="1136">
        <v>6199</v>
      </c>
      <c r="H540"/>
      <c r="I540" s="218">
        <f t="shared" si="32"/>
        <v>-6199</v>
      </c>
      <c r="J540" s="20">
        <f t="shared" si="34"/>
        <v>89749454.870000005</v>
      </c>
      <c r="L540" s="64" t="s">
        <v>542</v>
      </c>
      <c r="M540" s="1121" t="s">
        <v>3671</v>
      </c>
      <c r="N540" s="4" t="s">
        <v>3917</v>
      </c>
    </row>
    <row r="541" spans="1:14" ht="16.5">
      <c r="A541" s="17">
        <f t="shared" si="33"/>
        <v>540</v>
      </c>
      <c r="C541" s="1109">
        <v>45892</v>
      </c>
      <c r="D541" s="1116" t="s">
        <v>3460</v>
      </c>
      <c r="G541" s="1136">
        <v>1400</v>
      </c>
      <c r="H541"/>
      <c r="I541" s="218">
        <f t="shared" si="32"/>
        <v>-1400</v>
      </c>
      <c r="J541" s="20">
        <f t="shared" si="34"/>
        <v>89748054.870000005</v>
      </c>
      <c r="L541" s="64" t="s">
        <v>542</v>
      </c>
      <c r="M541" s="1121" t="s">
        <v>3671</v>
      </c>
      <c r="N541" s="4" t="s">
        <v>3917</v>
      </c>
    </row>
    <row r="542" spans="1:14" ht="16.5">
      <c r="A542" s="17">
        <f t="shared" si="33"/>
        <v>541</v>
      </c>
      <c r="C542" s="1109">
        <v>45892</v>
      </c>
      <c r="D542" s="1116" t="s">
        <v>3461</v>
      </c>
      <c r="G542" s="1136">
        <v>10396</v>
      </c>
      <c r="H542"/>
      <c r="I542" s="218">
        <f t="shared" si="32"/>
        <v>-10396</v>
      </c>
      <c r="J542" s="20">
        <f t="shared" si="34"/>
        <v>89737658.870000005</v>
      </c>
      <c r="L542" s="64" t="s">
        <v>542</v>
      </c>
      <c r="M542" s="1121" t="s">
        <v>3671</v>
      </c>
      <c r="N542" s="4" t="s">
        <v>3917</v>
      </c>
    </row>
    <row r="543" spans="1:14" ht="16.5">
      <c r="A543" s="17">
        <f t="shared" si="33"/>
        <v>542</v>
      </c>
      <c r="C543" s="1109">
        <v>45892</v>
      </c>
      <c r="D543" s="1116" t="s">
        <v>3462</v>
      </c>
      <c r="G543" s="1136">
        <v>10455</v>
      </c>
      <c r="H543"/>
      <c r="I543" s="218">
        <f t="shared" si="32"/>
        <v>-10455</v>
      </c>
      <c r="J543" s="20">
        <f t="shared" si="34"/>
        <v>89727203.870000005</v>
      </c>
      <c r="L543" s="64" t="s">
        <v>542</v>
      </c>
      <c r="M543" s="1121" t="s">
        <v>3671</v>
      </c>
      <c r="N543" s="4" t="s">
        <v>3917</v>
      </c>
    </row>
    <row r="544" spans="1:14" ht="16.5">
      <c r="A544" s="17">
        <f t="shared" si="33"/>
        <v>543</v>
      </c>
      <c r="C544" s="1109">
        <v>45892</v>
      </c>
      <c r="D544" s="1116" t="s">
        <v>3463</v>
      </c>
      <c r="G544" s="1136">
        <v>2995</v>
      </c>
      <c r="H544"/>
      <c r="I544" s="218">
        <f t="shared" si="32"/>
        <v>-2995</v>
      </c>
      <c r="J544" s="20">
        <f t="shared" si="34"/>
        <v>89724208.870000005</v>
      </c>
      <c r="L544" s="64" t="s">
        <v>542</v>
      </c>
      <c r="M544" s="1121" t="s">
        <v>3671</v>
      </c>
      <c r="N544" s="4" t="s">
        <v>3917</v>
      </c>
    </row>
    <row r="545" spans="1:14" ht="16.5">
      <c r="A545" s="17">
        <f t="shared" si="33"/>
        <v>544</v>
      </c>
      <c r="C545" s="1109">
        <v>45892</v>
      </c>
      <c r="D545" s="1116" t="s">
        <v>3464</v>
      </c>
      <c r="G545" s="1136">
        <v>17052</v>
      </c>
      <c r="H545"/>
      <c r="I545" s="218">
        <f t="shared" si="32"/>
        <v>-17052</v>
      </c>
      <c r="J545" s="20">
        <f t="shared" si="34"/>
        <v>89707156.870000005</v>
      </c>
      <c r="L545" s="64" t="s">
        <v>542</v>
      </c>
      <c r="M545" s="1121" t="s">
        <v>3671</v>
      </c>
      <c r="N545" s="4" t="s">
        <v>3917</v>
      </c>
    </row>
    <row r="546" spans="1:14" ht="16.5">
      <c r="A546" s="17">
        <f t="shared" si="33"/>
        <v>545</v>
      </c>
      <c r="C546" s="1109">
        <v>45892</v>
      </c>
      <c r="D546" s="1116" t="s">
        <v>3465</v>
      </c>
      <c r="G546" s="1136">
        <v>19665</v>
      </c>
      <c r="H546"/>
      <c r="I546" s="218">
        <f t="shared" si="32"/>
        <v>-19665</v>
      </c>
      <c r="J546" s="20">
        <f t="shared" si="34"/>
        <v>89687491.870000005</v>
      </c>
      <c r="L546" s="64" t="s">
        <v>542</v>
      </c>
      <c r="M546" s="1121" t="s">
        <v>3671</v>
      </c>
      <c r="N546" s="4" t="s">
        <v>3917</v>
      </c>
    </row>
    <row r="547" spans="1:14" ht="16.5">
      <c r="A547" s="17">
        <f t="shared" si="33"/>
        <v>546</v>
      </c>
      <c r="C547" s="1109">
        <v>45892</v>
      </c>
      <c r="D547" s="1116" t="s">
        <v>3466</v>
      </c>
      <c r="G547" s="1136">
        <v>13200</v>
      </c>
      <c r="H547"/>
      <c r="I547" s="218">
        <f t="shared" si="32"/>
        <v>-13200</v>
      </c>
      <c r="J547" s="20">
        <f t="shared" si="34"/>
        <v>89674291.870000005</v>
      </c>
      <c r="L547" s="64" t="s">
        <v>542</v>
      </c>
      <c r="M547" s="1121" t="s">
        <v>3671</v>
      </c>
      <c r="N547" s="4" t="s">
        <v>3917</v>
      </c>
    </row>
    <row r="548" spans="1:14" ht="16.5">
      <c r="A548" s="17">
        <f t="shared" si="33"/>
        <v>547</v>
      </c>
      <c r="C548" s="1109">
        <v>45892</v>
      </c>
      <c r="D548" s="1116" t="s">
        <v>1029</v>
      </c>
      <c r="G548" s="1136">
        <v>16841</v>
      </c>
      <c r="H548"/>
      <c r="I548" s="218">
        <f t="shared" si="32"/>
        <v>-16841</v>
      </c>
      <c r="J548" s="20">
        <f t="shared" si="34"/>
        <v>89657450.870000005</v>
      </c>
      <c r="L548" s="64" t="s">
        <v>542</v>
      </c>
      <c r="M548" s="1121" t="s">
        <v>3671</v>
      </c>
      <c r="N548" s="4" t="s">
        <v>3917</v>
      </c>
    </row>
    <row r="549" spans="1:14" ht="16.5">
      <c r="A549" s="17">
        <f t="shared" si="33"/>
        <v>548</v>
      </c>
      <c r="C549" s="1109">
        <v>45892</v>
      </c>
      <c r="D549" s="1116" t="s">
        <v>3467</v>
      </c>
      <c r="G549" s="1136">
        <v>9283</v>
      </c>
      <c r="H549"/>
      <c r="I549" s="218">
        <f t="shared" si="32"/>
        <v>-9283</v>
      </c>
      <c r="J549" s="20">
        <f t="shared" si="34"/>
        <v>89648167.870000005</v>
      </c>
      <c r="L549" s="64" t="s">
        <v>542</v>
      </c>
      <c r="M549" s="1121" t="s">
        <v>3671</v>
      </c>
      <c r="N549" s="4" t="s">
        <v>3917</v>
      </c>
    </row>
    <row r="550" spans="1:14" ht="16.5">
      <c r="A550" s="17">
        <f t="shared" si="33"/>
        <v>549</v>
      </c>
      <c r="C550" s="1109">
        <v>45892</v>
      </c>
      <c r="D550" s="1116" t="s">
        <v>3468</v>
      </c>
      <c r="G550" s="1136">
        <v>1713</v>
      </c>
      <c r="H550"/>
      <c r="I550" s="218">
        <f t="shared" si="32"/>
        <v>-1713</v>
      </c>
      <c r="J550" s="20">
        <f t="shared" si="34"/>
        <v>89646454.870000005</v>
      </c>
      <c r="L550" s="64" t="s">
        <v>542</v>
      </c>
      <c r="M550" s="1121" t="s">
        <v>3671</v>
      </c>
      <c r="N550" s="4" t="s">
        <v>3917</v>
      </c>
    </row>
    <row r="551" spans="1:14" ht="16.5">
      <c r="A551" s="17">
        <f t="shared" si="33"/>
        <v>550</v>
      </c>
      <c r="C551" s="1109">
        <v>45892</v>
      </c>
      <c r="D551" s="1116" t="s">
        <v>3469</v>
      </c>
      <c r="G551" s="1136">
        <v>4513</v>
      </c>
      <c r="H551"/>
      <c r="I551" s="218">
        <f t="shared" si="32"/>
        <v>-4513</v>
      </c>
      <c r="J551" s="20">
        <f t="shared" si="34"/>
        <v>89641941.870000005</v>
      </c>
      <c r="L551" s="64" t="s">
        <v>542</v>
      </c>
      <c r="M551" s="1121" t="s">
        <v>3671</v>
      </c>
      <c r="N551" s="4" t="s">
        <v>3917</v>
      </c>
    </row>
    <row r="552" spans="1:14" ht="16.5">
      <c r="A552" s="17">
        <f t="shared" si="33"/>
        <v>551</v>
      </c>
      <c r="C552" s="1109">
        <v>45892</v>
      </c>
      <c r="D552" s="1116" t="s">
        <v>3470</v>
      </c>
      <c r="G552" s="1136">
        <v>1920</v>
      </c>
      <c r="H552"/>
      <c r="I552" s="218">
        <f t="shared" si="32"/>
        <v>-1920</v>
      </c>
      <c r="J552" s="20">
        <f t="shared" si="34"/>
        <v>89640021.870000005</v>
      </c>
      <c r="L552" s="64" t="s">
        <v>542</v>
      </c>
      <c r="M552" s="1121" t="s">
        <v>3671</v>
      </c>
      <c r="N552" s="4" t="s">
        <v>3917</v>
      </c>
    </row>
    <row r="553" spans="1:14" ht="16.5">
      <c r="A553" s="17">
        <f t="shared" si="33"/>
        <v>552</v>
      </c>
      <c r="C553" s="1109">
        <v>45892</v>
      </c>
      <c r="D553" s="1116" t="s">
        <v>3471</v>
      </c>
      <c r="G553" s="1136">
        <v>18528</v>
      </c>
      <c r="H553"/>
      <c r="I553" s="218">
        <f t="shared" si="32"/>
        <v>-18528</v>
      </c>
      <c r="J553" s="20">
        <f t="shared" ref="J553:J559" si="35">J552-G553+H553</f>
        <v>89621493.870000005</v>
      </c>
      <c r="L553" s="64" t="s">
        <v>542</v>
      </c>
      <c r="M553" s="1121" t="s">
        <v>3671</v>
      </c>
      <c r="N553" s="4" t="s">
        <v>3917</v>
      </c>
    </row>
    <row r="554" spans="1:14" ht="16.5">
      <c r="A554" s="17">
        <f t="shared" si="33"/>
        <v>553</v>
      </c>
      <c r="C554" s="1109">
        <v>45892</v>
      </c>
      <c r="D554" s="1116" t="s">
        <v>3472</v>
      </c>
      <c r="G554" s="1136">
        <v>4844</v>
      </c>
      <c r="H554"/>
      <c r="I554" s="218">
        <f t="shared" si="32"/>
        <v>-4844</v>
      </c>
      <c r="J554" s="20">
        <f t="shared" si="35"/>
        <v>89616649.870000005</v>
      </c>
      <c r="L554" s="64" t="s">
        <v>542</v>
      </c>
      <c r="M554" s="1121" t="s">
        <v>3671</v>
      </c>
      <c r="N554" s="4" t="s">
        <v>3917</v>
      </c>
    </row>
    <row r="555" spans="1:14" ht="16.5">
      <c r="A555" s="17">
        <f t="shared" si="33"/>
        <v>554</v>
      </c>
      <c r="C555" s="1109">
        <v>45892</v>
      </c>
      <c r="D555" s="1116" t="s">
        <v>3473</v>
      </c>
      <c r="G555" s="1136">
        <v>78164</v>
      </c>
      <c r="H555"/>
      <c r="I555" s="218">
        <f t="shared" si="32"/>
        <v>-78164</v>
      </c>
      <c r="J555" s="20">
        <f t="shared" si="35"/>
        <v>89538485.870000005</v>
      </c>
      <c r="L555" s="64" t="s">
        <v>542</v>
      </c>
      <c r="M555" s="1121" t="s">
        <v>3671</v>
      </c>
      <c r="N555" s="4" t="s">
        <v>3917</v>
      </c>
    </row>
    <row r="556" spans="1:14" ht="16.5">
      <c r="A556" s="17">
        <f t="shared" si="33"/>
        <v>555</v>
      </c>
      <c r="C556" s="1109">
        <v>45892</v>
      </c>
      <c r="D556" s="1116" t="s">
        <v>3391</v>
      </c>
      <c r="G556" s="1136">
        <v>34410</v>
      </c>
      <c r="H556"/>
      <c r="I556" s="218">
        <f t="shared" si="32"/>
        <v>-34410</v>
      </c>
      <c r="J556" s="20">
        <f t="shared" si="35"/>
        <v>89504075.870000005</v>
      </c>
      <c r="L556" s="64" t="s">
        <v>542</v>
      </c>
      <c r="M556" s="1121" t="s">
        <v>3671</v>
      </c>
      <c r="N556" s="4" t="s">
        <v>3917</v>
      </c>
    </row>
    <row r="557" spans="1:14" ht="16.5">
      <c r="A557" s="17">
        <f t="shared" si="33"/>
        <v>556</v>
      </c>
      <c r="C557" s="1109">
        <v>45892</v>
      </c>
      <c r="D557" s="1116" t="s">
        <v>3474</v>
      </c>
      <c r="G557" s="1155">
        <v>37786</v>
      </c>
      <c r="H557"/>
      <c r="I557" s="218">
        <f t="shared" si="32"/>
        <v>-37786</v>
      </c>
      <c r="J557" s="20">
        <f t="shared" si="35"/>
        <v>89466289.870000005</v>
      </c>
      <c r="L557" s="64" t="s">
        <v>542</v>
      </c>
      <c r="M557" s="1121" t="s">
        <v>3671</v>
      </c>
      <c r="N557" s="4" t="s">
        <v>3917</v>
      </c>
    </row>
    <row r="558" spans="1:14" ht="15.75">
      <c r="A558" s="17">
        <f t="shared" si="33"/>
        <v>557</v>
      </c>
      <c r="C558" s="1109">
        <v>45892</v>
      </c>
      <c r="D558" s="55" t="s">
        <v>3475</v>
      </c>
      <c r="G558" s="1158">
        <v>1116933</v>
      </c>
      <c r="H558"/>
      <c r="I558" s="218">
        <f t="shared" si="32"/>
        <v>-1116933</v>
      </c>
      <c r="J558" s="20">
        <f t="shared" si="35"/>
        <v>88349356.870000005</v>
      </c>
      <c r="L558" s="64" t="s">
        <v>542</v>
      </c>
      <c r="M558" s="10" t="s">
        <v>3238</v>
      </c>
      <c r="N558" s="4" t="s">
        <v>3917</v>
      </c>
    </row>
    <row r="559" spans="1:14" ht="15.75">
      <c r="A559" s="17">
        <f t="shared" si="33"/>
        <v>558</v>
      </c>
      <c r="C559" s="1109">
        <f>C558+1</f>
        <v>45893</v>
      </c>
      <c r="D559" s="55"/>
      <c r="G559" s="1159">
        <v>0</v>
      </c>
      <c r="H559"/>
      <c r="I559" s="218">
        <f t="shared" si="32"/>
        <v>0</v>
      </c>
      <c r="J559" s="20">
        <f t="shared" si="35"/>
        <v>88349356.870000005</v>
      </c>
      <c r="L559" s="64" t="s">
        <v>542</v>
      </c>
      <c r="M559" s="10" t="s">
        <v>3238</v>
      </c>
      <c r="N559" s="4" t="s">
        <v>3917</v>
      </c>
    </row>
    <row r="560" spans="1:14" ht="15.75">
      <c r="A560" s="17">
        <f t="shared" si="33"/>
        <v>559</v>
      </c>
      <c r="C560" s="1109">
        <v>45894</v>
      </c>
      <c r="D560" s="55" t="s">
        <v>3476</v>
      </c>
      <c r="G560" s="1135">
        <v>19200</v>
      </c>
      <c r="H560"/>
      <c r="I560" s="218">
        <f t="shared" si="32"/>
        <v>-19200</v>
      </c>
      <c r="J560" s="22">
        <v>88330156.870000005</v>
      </c>
      <c r="L560" s="64" t="s">
        <v>542</v>
      </c>
      <c r="M560" s="10"/>
      <c r="N560" s="4" t="s">
        <v>3917</v>
      </c>
    </row>
    <row r="561" spans="1:14" ht="15.75">
      <c r="A561" s="17">
        <f t="shared" si="33"/>
        <v>560</v>
      </c>
      <c r="C561" s="1109">
        <v>45895</v>
      </c>
      <c r="D561" s="55" t="s">
        <v>3477</v>
      </c>
      <c r="G561" s="1148">
        <v>50000000</v>
      </c>
      <c r="H561"/>
      <c r="I561" s="218">
        <f t="shared" si="32"/>
        <v>-50000000</v>
      </c>
      <c r="J561" s="22">
        <v>38330156.869999997</v>
      </c>
      <c r="L561" s="64" t="s">
        <v>3719</v>
      </c>
      <c r="M561" s="10" t="s">
        <v>908</v>
      </c>
      <c r="N561" s="4" t="s">
        <v>3917</v>
      </c>
    </row>
    <row r="562" spans="1:14" ht="15.75">
      <c r="A562" s="17">
        <f t="shared" si="33"/>
        <v>561</v>
      </c>
      <c r="C562" s="1109">
        <v>45895</v>
      </c>
      <c r="D562" s="55" t="s">
        <v>3478</v>
      </c>
      <c r="G562" s="1148">
        <v>38918097</v>
      </c>
      <c r="H562"/>
      <c r="I562" s="218">
        <f t="shared" si="32"/>
        <v>-38918097</v>
      </c>
      <c r="J562" s="22">
        <v>-587940.13</v>
      </c>
      <c r="L562" s="64" t="s">
        <v>3719</v>
      </c>
      <c r="M562" s="10" t="s">
        <v>908</v>
      </c>
      <c r="N562" s="4" t="s">
        <v>3917</v>
      </c>
    </row>
    <row r="563" spans="1:14" ht="16.5">
      <c r="A563" s="17">
        <f t="shared" si="33"/>
        <v>562</v>
      </c>
      <c r="C563" s="1113">
        <v>45896</v>
      </c>
      <c r="D563" s="1116" t="s">
        <v>3441</v>
      </c>
      <c r="G563" s="1160">
        <v>118058</v>
      </c>
      <c r="H563" s="4"/>
      <c r="I563" s="218">
        <f t="shared" si="32"/>
        <v>-118058</v>
      </c>
      <c r="J563" s="64">
        <f t="shared" ref="J563:J594" si="36">J562-G563+H563</f>
        <v>-705998.13</v>
      </c>
      <c r="L563" s="64" t="s">
        <v>3719</v>
      </c>
      <c r="M563" s="1161" t="s">
        <v>3672</v>
      </c>
      <c r="N563" s="4" t="s">
        <v>3917</v>
      </c>
    </row>
    <row r="564" spans="1:14" ht="16.5">
      <c r="A564" s="17">
        <f t="shared" si="33"/>
        <v>563</v>
      </c>
      <c r="C564" s="1113">
        <v>45896</v>
      </c>
      <c r="D564" s="1116" t="s">
        <v>3479</v>
      </c>
      <c r="G564" s="1162">
        <v>64350</v>
      </c>
      <c r="H564" s="4"/>
      <c r="I564" s="218">
        <f t="shared" si="32"/>
        <v>-64350</v>
      </c>
      <c r="J564" s="64">
        <f t="shared" si="36"/>
        <v>-770348.13</v>
      </c>
      <c r="L564" s="64" t="s">
        <v>3719</v>
      </c>
      <c r="M564" s="1161" t="s">
        <v>3673</v>
      </c>
      <c r="N564" s="4" t="s">
        <v>3917</v>
      </c>
    </row>
    <row r="565" spans="1:14" ht="16.5">
      <c r="A565" s="17">
        <f t="shared" si="33"/>
        <v>564</v>
      </c>
      <c r="C565" s="1113">
        <v>45896</v>
      </c>
      <c r="D565" s="1116" t="s">
        <v>3480</v>
      </c>
      <c r="G565" s="1163">
        <v>1161</v>
      </c>
      <c r="H565" s="4"/>
      <c r="I565" s="218">
        <f t="shared" si="32"/>
        <v>-1161</v>
      </c>
      <c r="J565" s="64">
        <f t="shared" si="36"/>
        <v>-771509.13</v>
      </c>
      <c r="L565" s="64" t="s">
        <v>542</v>
      </c>
      <c r="M565" s="1161" t="s">
        <v>3674</v>
      </c>
      <c r="N565" s="4" t="s">
        <v>3917</v>
      </c>
    </row>
    <row r="566" spans="1:14" ht="16.5">
      <c r="A566" s="17">
        <f t="shared" si="33"/>
        <v>565</v>
      </c>
      <c r="C566" s="1113">
        <v>45896</v>
      </c>
      <c r="D566" s="1116" t="s">
        <v>3481</v>
      </c>
      <c r="G566" s="1162">
        <v>11540</v>
      </c>
      <c r="H566" s="4"/>
      <c r="I566" s="218">
        <f t="shared" si="32"/>
        <v>-11540</v>
      </c>
      <c r="J566" s="64">
        <f t="shared" si="36"/>
        <v>-783049.13</v>
      </c>
      <c r="L566" s="64" t="s">
        <v>3719</v>
      </c>
      <c r="M566" s="1161" t="s">
        <v>3675</v>
      </c>
      <c r="N566" s="4" t="s">
        <v>3917</v>
      </c>
    </row>
    <row r="567" spans="1:14" ht="16.5">
      <c r="A567" s="17">
        <f t="shared" si="33"/>
        <v>566</v>
      </c>
      <c r="C567" s="1113">
        <v>45896</v>
      </c>
      <c r="D567" s="1116" t="s">
        <v>3482</v>
      </c>
      <c r="G567" s="1162">
        <v>450000</v>
      </c>
      <c r="H567" s="4"/>
      <c r="I567" s="218">
        <f t="shared" si="32"/>
        <v>-450000</v>
      </c>
      <c r="J567" s="64">
        <f t="shared" si="36"/>
        <v>-1233049.1299999999</v>
      </c>
      <c r="L567" s="64" t="s">
        <v>3719</v>
      </c>
      <c r="M567" s="1161" t="s">
        <v>3676</v>
      </c>
      <c r="N567" s="4" t="s">
        <v>3917</v>
      </c>
    </row>
    <row r="568" spans="1:14" ht="16.5">
      <c r="A568" s="17">
        <f t="shared" si="33"/>
        <v>567</v>
      </c>
      <c r="C568" s="1113">
        <v>45896</v>
      </c>
      <c r="D568" s="1116" t="s">
        <v>3482</v>
      </c>
      <c r="G568" s="1162">
        <v>251850</v>
      </c>
      <c r="H568" s="4"/>
      <c r="I568" s="218">
        <f t="shared" si="32"/>
        <v>-251850</v>
      </c>
      <c r="J568" s="64">
        <f t="shared" si="36"/>
        <v>-1484899.13</v>
      </c>
      <c r="L568" s="64" t="s">
        <v>3719</v>
      </c>
      <c r="M568" s="1161" t="s">
        <v>3677</v>
      </c>
      <c r="N568" s="4" t="s">
        <v>3917</v>
      </c>
    </row>
    <row r="569" spans="1:14" ht="16.5">
      <c r="A569" s="17">
        <f t="shared" si="33"/>
        <v>568</v>
      </c>
      <c r="C569" s="1113">
        <v>45896</v>
      </c>
      <c r="D569" s="1116" t="s">
        <v>3483</v>
      </c>
      <c r="G569" s="1163">
        <v>404150</v>
      </c>
      <c r="H569" s="4"/>
      <c r="I569" s="218">
        <f t="shared" si="32"/>
        <v>-404150</v>
      </c>
      <c r="J569" s="64">
        <f t="shared" si="36"/>
        <v>-1889049.13</v>
      </c>
      <c r="L569" s="64" t="s">
        <v>542</v>
      </c>
      <c r="M569" s="1161" t="s">
        <v>3678</v>
      </c>
      <c r="N569" s="4" t="s">
        <v>3917</v>
      </c>
    </row>
    <row r="570" spans="1:14" ht="16.5">
      <c r="A570" s="17">
        <f t="shared" si="33"/>
        <v>569</v>
      </c>
      <c r="C570" s="1113">
        <v>45896</v>
      </c>
      <c r="D570" s="1116" t="s">
        <v>3484</v>
      </c>
      <c r="G570" s="1162">
        <v>11897</v>
      </c>
      <c r="H570" s="4"/>
      <c r="I570" s="218">
        <f t="shared" si="32"/>
        <v>-11897</v>
      </c>
      <c r="J570" s="64">
        <f t="shared" si="36"/>
        <v>-1900946.13</v>
      </c>
      <c r="L570" s="64" t="s">
        <v>3719</v>
      </c>
      <c r="M570" s="1161" t="s">
        <v>3679</v>
      </c>
      <c r="N570" s="4" t="s">
        <v>3917</v>
      </c>
    </row>
    <row r="571" spans="1:14" ht="16.5">
      <c r="A571" s="17">
        <f t="shared" si="33"/>
        <v>570</v>
      </c>
      <c r="C571" s="1113">
        <v>45896</v>
      </c>
      <c r="D571" s="1116" t="s">
        <v>3484</v>
      </c>
      <c r="G571" s="1162">
        <v>25667</v>
      </c>
      <c r="H571" s="4"/>
      <c r="I571" s="218">
        <f t="shared" si="32"/>
        <v>-25667</v>
      </c>
      <c r="J571" s="64">
        <f t="shared" si="36"/>
        <v>-1926613.13</v>
      </c>
      <c r="L571" s="64" t="s">
        <v>3719</v>
      </c>
      <c r="M571" s="1161" t="s">
        <v>3680</v>
      </c>
      <c r="N571" s="4" t="s">
        <v>3917</v>
      </c>
    </row>
    <row r="572" spans="1:14" ht="16.5">
      <c r="A572" s="17">
        <f t="shared" si="33"/>
        <v>571</v>
      </c>
      <c r="C572" s="1113">
        <v>45896</v>
      </c>
      <c r="D572" s="1116" t="s">
        <v>3484</v>
      </c>
      <c r="G572" s="1162">
        <v>22028</v>
      </c>
      <c r="H572" s="4"/>
      <c r="I572" s="218">
        <f t="shared" si="32"/>
        <v>-22028</v>
      </c>
      <c r="J572" s="64">
        <f t="shared" si="36"/>
        <v>-1948641.13</v>
      </c>
      <c r="L572" s="64" t="s">
        <v>3719</v>
      </c>
      <c r="M572" s="1161" t="s">
        <v>3681</v>
      </c>
      <c r="N572" s="4" t="s">
        <v>3917</v>
      </c>
    </row>
    <row r="573" spans="1:14" ht="16.5">
      <c r="A573" s="17">
        <f t="shared" si="33"/>
        <v>572</v>
      </c>
      <c r="C573" s="1113">
        <v>45896</v>
      </c>
      <c r="D573" s="1116" t="s">
        <v>3484</v>
      </c>
      <c r="G573" s="1162">
        <v>22028</v>
      </c>
      <c r="H573" s="4"/>
      <c r="I573" s="218">
        <f t="shared" si="32"/>
        <v>-22028</v>
      </c>
      <c r="J573" s="64">
        <f t="shared" si="36"/>
        <v>-1970669.13</v>
      </c>
      <c r="L573" s="64" t="s">
        <v>3719</v>
      </c>
      <c r="M573" s="1161" t="s">
        <v>3682</v>
      </c>
      <c r="N573" s="4" t="s">
        <v>3917</v>
      </c>
    </row>
    <row r="574" spans="1:14" ht="16.5">
      <c r="A574" s="17">
        <f t="shared" si="33"/>
        <v>573</v>
      </c>
      <c r="C574" s="1113">
        <v>45896</v>
      </c>
      <c r="D574" s="1116" t="s">
        <v>3484</v>
      </c>
      <c r="G574" s="1162">
        <v>22028</v>
      </c>
      <c r="H574" s="4"/>
      <c r="I574" s="218">
        <f t="shared" si="32"/>
        <v>-22028</v>
      </c>
      <c r="J574" s="64">
        <f t="shared" si="36"/>
        <v>-1992697.13</v>
      </c>
      <c r="L574" s="64" t="s">
        <v>3719</v>
      </c>
      <c r="M574" s="1161" t="s">
        <v>3683</v>
      </c>
      <c r="N574" s="4" t="s">
        <v>3917</v>
      </c>
    </row>
    <row r="575" spans="1:14" ht="16.5">
      <c r="A575" s="17">
        <f t="shared" si="33"/>
        <v>574</v>
      </c>
      <c r="C575" s="1113">
        <v>45896</v>
      </c>
      <c r="D575" s="1116" t="s">
        <v>3485</v>
      </c>
      <c r="G575" s="1162">
        <v>79380</v>
      </c>
      <c r="H575" s="4"/>
      <c r="I575" s="218">
        <f t="shared" si="32"/>
        <v>-79380</v>
      </c>
      <c r="J575" s="64">
        <f t="shared" si="36"/>
        <v>-2072077.13</v>
      </c>
      <c r="L575" s="64" t="s">
        <v>3719</v>
      </c>
      <c r="M575" s="1161" t="s">
        <v>3684</v>
      </c>
      <c r="N575" s="4" t="s">
        <v>3917</v>
      </c>
    </row>
    <row r="576" spans="1:14" ht="16.5">
      <c r="A576" s="17">
        <f t="shared" si="33"/>
        <v>575</v>
      </c>
      <c r="C576" s="1113">
        <v>45896</v>
      </c>
      <c r="D576" s="1116" t="s">
        <v>3486</v>
      </c>
      <c r="G576" s="1162">
        <v>17820</v>
      </c>
      <c r="H576" s="4"/>
      <c r="I576" s="218">
        <f t="shared" si="32"/>
        <v>-17820</v>
      </c>
      <c r="J576" s="64">
        <f t="shared" si="36"/>
        <v>-2089897.13</v>
      </c>
      <c r="L576" s="64" t="s">
        <v>3719</v>
      </c>
      <c r="M576" s="1161" t="s">
        <v>3685</v>
      </c>
      <c r="N576" s="4" t="s">
        <v>3917</v>
      </c>
    </row>
    <row r="577" spans="1:14" ht="16.5">
      <c r="A577" s="17">
        <f t="shared" si="33"/>
        <v>576</v>
      </c>
      <c r="C577" s="1113">
        <v>45896</v>
      </c>
      <c r="D577" s="1116" t="s">
        <v>1458</v>
      </c>
      <c r="G577" s="1163">
        <v>5700</v>
      </c>
      <c r="H577" s="4"/>
      <c r="I577" s="218">
        <f t="shared" si="32"/>
        <v>-5700</v>
      </c>
      <c r="J577" s="64">
        <f t="shared" si="36"/>
        <v>-2095597.13</v>
      </c>
      <c r="L577" s="64" t="s">
        <v>542</v>
      </c>
      <c r="M577" s="1161" t="s">
        <v>3686</v>
      </c>
      <c r="N577" s="4" t="s">
        <v>3917</v>
      </c>
    </row>
    <row r="578" spans="1:14" ht="16.5">
      <c r="A578" s="17">
        <f t="shared" si="33"/>
        <v>577</v>
      </c>
      <c r="C578" s="1113">
        <v>45896</v>
      </c>
      <c r="D578" s="1116" t="s">
        <v>1460</v>
      </c>
      <c r="G578" s="1163">
        <v>17836</v>
      </c>
      <c r="H578" s="4"/>
      <c r="I578" s="218">
        <f t="shared" ref="I578:I641" si="37">H578-G578</f>
        <v>-17836</v>
      </c>
      <c r="J578" s="64">
        <f t="shared" si="36"/>
        <v>-2113433.13</v>
      </c>
      <c r="L578" s="64" t="s">
        <v>542</v>
      </c>
      <c r="M578" s="1161" t="s">
        <v>3687</v>
      </c>
      <c r="N578" s="4" t="s">
        <v>3917</v>
      </c>
    </row>
    <row r="579" spans="1:14" ht="16.5">
      <c r="A579" s="17">
        <f t="shared" si="33"/>
        <v>578</v>
      </c>
      <c r="C579" s="1113">
        <v>45896</v>
      </c>
      <c r="D579" s="1116" t="s">
        <v>1460</v>
      </c>
      <c r="G579" s="1163">
        <v>3438</v>
      </c>
      <c r="H579" s="4"/>
      <c r="I579" s="218">
        <f t="shared" si="37"/>
        <v>-3438</v>
      </c>
      <c r="J579" s="64">
        <f t="shared" si="36"/>
        <v>-2116871.13</v>
      </c>
      <c r="L579" s="64" t="s">
        <v>542</v>
      </c>
      <c r="M579" s="1161" t="s">
        <v>3688</v>
      </c>
      <c r="N579" s="4" t="s">
        <v>3917</v>
      </c>
    </row>
    <row r="580" spans="1:14" ht="16.5">
      <c r="A580" s="17">
        <f t="shared" ref="A580:A643" si="38">A579+1</f>
        <v>579</v>
      </c>
      <c r="C580" s="1113">
        <v>45896</v>
      </c>
      <c r="D580" s="1116" t="s">
        <v>3487</v>
      </c>
      <c r="G580" s="1162">
        <v>75530</v>
      </c>
      <c r="H580" s="4"/>
      <c r="I580" s="218">
        <f t="shared" si="37"/>
        <v>-75530</v>
      </c>
      <c r="J580" s="64">
        <f t="shared" si="36"/>
        <v>-2192401.13</v>
      </c>
      <c r="L580" s="64" t="s">
        <v>3719</v>
      </c>
      <c r="M580" s="1161" t="s">
        <v>3689</v>
      </c>
      <c r="N580" s="4" t="s">
        <v>3917</v>
      </c>
    </row>
    <row r="581" spans="1:14" ht="16.5">
      <c r="A581" s="17">
        <f t="shared" si="38"/>
        <v>580</v>
      </c>
      <c r="C581" s="1113">
        <v>45896</v>
      </c>
      <c r="D581" s="1116" t="s">
        <v>3488</v>
      </c>
      <c r="G581" s="1163">
        <v>24500</v>
      </c>
      <c r="H581" s="4"/>
      <c r="I581" s="218">
        <f t="shared" si="37"/>
        <v>-24500</v>
      </c>
      <c r="J581" s="64">
        <f t="shared" si="36"/>
        <v>-2216901.13</v>
      </c>
      <c r="L581" s="64" t="s">
        <v>3724</v>
      </c>
      <c r="M581" s="1161" t="s">
        <v>3690</v>
      </c>
      <c r="N581" s="4" t="s">
        <v>3917</v>
      </c>
    </row>
    <row r="582" spans="1:14" ht="16.5">
      <c r="A582" s="17">
        <f t="shared" si="38"/>
        <v>581</v>
      </c>
      <c r="C582" s="1113">
        <v>45896</v>
      </c>
      <c r="D582" s="1116" t="s">
        <v>3489</v>
      </c>
      <c r="G582" s="1163">
        <v>53820</v>
      </c>
      <c r="H582" s="4"/>
      <c r="I582" s="218">
        <f t="shared" si="37"/>
        <v>-53820</v>
      </c>
      <c r="J582" s="64">
        <f t="shared" si="36"/>
        <v>-2270721.13</v>
      </c>
      <c r="L582" s="64" t="s">
        <v>3724</v>
      </c>
      <c r="M582" s="1161" t="s">
        <v>3691</v>
      </c>
      <c r="N582" s="4" t="s">
        <v>3917</v>
      </c>
    </row>
    <row r="583" spans="1:14" ht="16.5">
      <c r="A583" s="17">
        <f t="shared" si="38"/>
        <v>582</v>
      </c>
      <c r="C583" s="1113">
        <v>45896</v>
      </c>
      <c r="D583" s="1116" t="s">
        <v>3490</v>
      </c>
      <c r="G583" s="1162">
        <v>652329</v>
      </c>
      <c r="H583" s="4"/>
      <c r="I583" s="218">
        <f t="shared" si="37"/>
        <v>-652329</v>
      </c>
      <c r="J583" s="64">
        <f t="shared" si="36"/>
        <v>-2923050.13</v>
      </c>
      <c r="L583" s="64" t="s">
        <v>3719</v>
      </c>
      <c r="M583" s="1161" t="s">
        <v>3692</v>
      </c>
      <c r="N583" s="4" t="s">
        <v>3917</v>
      </c>
    </row>
    <row r="584" spans="1:14" ht="16.5">
      <c r="A584" s="17">
        <f t="shared" si="38"/>
        <v>583</v>
      </c>
      <c r="C584" s="1113">
        <v>45896</v>
      </c>
      <c r="D584" s="1116" t="s">
        <v>3432</v>
      </c>
      <c r="G584" s="1164">
        <v>147500</v>
      </c>
      <c r="H584" s="4"/>
      <c r="I584" s="218">
        <f t="shared" si="37"/>
        <v>-147500</v>
      </c>
      <c r="J584" s="64">
        <f t="shared" si="36"/>
        <v>-3070550.13</v>
      </c>
      <c r="L584" s="64" t="s">
        <v>3724</v>
      </c>
      <c r="M584" s="1161" t="s">
        <v>3693</v>
      </c>
      <c r="N584" s="4" t="s">
        <v>3917</v>
      </c>
    </row>
    <row r="585" spans="1:14" ht="16.5">
      <c r="A585" s="17">
        <f t="shared" si="38"/>
        <v>584</v>
      </c>
      <c r="C585" s="1113">
        <v>45896</v>
      </c>
      <c r="D585" s="1116" t="s">
        <v>3491</v>
      </c>
      <c r="G585" s="1165">
        <v>1360706</v>
      </c>
      <c r="H585" s="4"/>
      <c r="I585" s="218">
        <f t="shared" si="37"/>
        <v>-1360706</v>
      </c>
      <c r="J585" s="64">
        <f t="shared" si="36"/>
        <v>-4431256.13</v>
      </c>
      <c r="L585" s="64" t="s">
        <v>3719</v>
      </c>
      <c r="M585" s="1161" t="s">
        <v>3694</v>
      </c>
      <c r="N585" s="4" t="s">
        <v>3917</v>
      </c>
    </row>
    <row r="586" spans="1:14" ht="16.5">
      <c r="A586" s="17">
        <f t="shared" si="38"/>
        <v>585</v>
      </c>
      <c r="C586" s="1113">
        <v>45896</v>
      </c>
      <c r="D586" s="1116" t="s">
        <v>3492</v>
      </c>
      <c r="G586" s="1165">
        <v>1165349</v>
      </c>
      <c r="H586" s="4"/>
      <c r="I586" s="218">
        <f t="shared" si="37"/>
        <v>-1165349</v>
      </c>
      <c r="J586" s="64">
        <f t="shared" si="36"/>
        <v>-5596605.1299999999</v>
      </c>
      <c r="L586" s="64" t="s">
        <v>3719</v>
      </c>
      <c r="M586" s="1161" t="s">
        <v>3695</v>
      </c>
      <c r="N586" s="4" t="s">
        <v>3917</v>
      </c>
    </row>
    <row r="587" spans="1:14" ht="16.5">
      <c r="A587" s="17">
        <f t="shared" si="38"/>
        <v>586</v>
      </c>
      <c r="C587" s="1113">
        <v>45896</v>
      </c>
      <c r="D587" s="1116" t="s">
        <v>949</v>
      </c>
      <c r="G587" s="1160">
        <v>137576</v>
      </c>
      <c r="H587" s="4"/>
      <c r="I587" s="218">
        <f t="shared" si="37"/>
        <v>-137576</v>
      </c>
      <c r="J587" s="64">
        <f t="shared" si="36"/>
        <v>-5734181.1299999999</v>
      </c>
      <c r="L587" s="64" t="s">
        <v>3719</v>
      </c>
      <c r="M587" s="1161" t="s">
        <v>3696</v>
      </c>
      <c r="N587" s="4" t="s">
        <v>3917</v>
      </c>
    </row>
    <row r="588" spans="1:14" ht="16.5">
      <c r="A588" s="17">
        <f t="shared" si="38"/>
        <v>587</v>
      </c>
      <c r="C588" s="1113">
        <v>45896</v>
      </c>
      <c r="D588" s="1116" t="s">
        <v>3493</v>
      </c>
      <c r="G588" s="1162">
        <v>73750</v>
      </c>
      <c r="H588" s="4"/>
      <c r="I588" s="218">
        <f t="shared" si="37"/>
        <v>-73750</v>
      </c>
      <c r="J588" s="64">
        <f t="shared" si="36"/>
        <v>-5807931.1299999999</v>
      </c>
      <c r="L588" s="64" t="s">
        <v>3719</v>
      </c>
      <c r="M588" s="1161" t="s">
        <v>3697</v>
      </c>
      <c r="N588" s="4" t="s">
        <v>3917</v>
      </c>
    </row>
    <row r="589" spans="1:14" ht="16.5">
      <c r="A589" s="17">
        <f t="shared" si="38"/>
        <v>588</v>
      </c>
      <c r="C589" s="1113">
        <v>45896</v>
      </c>
      <c r="D589" s="1116" t="s">
        <v>980</v>
      </c>
      <c r="G589" s="1162">
        <v>1385</v>
      </c>
      <c r="H589" s="4"/>
      <c r="I589" s="218">
        <f t="shared" si="37"/>
        <v>-1385</v>
      </c>
      <c r="J589" s="64">
        <f t="shared" si="36"/>
        <v>-5809316.1299999999</v>
      </c>
      <c r="L589" s="64" t="s">
        <v>3719</v>
      </c>
      <c r="M589" s="1161" t="s">
        <v>3698</v>
      </c>
      <c r="N589" s="4" t="s">
        <v>3917</v>
      </c>
    </row>
    <row r="590" spans="1:14" ht="16.5">
      <c r="A590" s="17">
        <f t="shared" si="38"/>
        <v>589</v>
      </c>
      <c r="C590" s="1113">
        <v>45896</v>
      </c>
      <c r="D590" s="1116" t="s">
        <v>3494</v>
      </c>
      <c r="G590" s="1162">
        <v>21774</v>
      </c>
      <c r="H590" s="4"/>
      <c r="I590" s="218">
        <f t="shared" si="37"/>
        <v>-21774</v>
      </c>
      <c r="J590" s="64">
        <f t="shared" si="36"/>
        <v>-5831090.1299999999</v>
      </c>
      <c r="L590" s="64" t="s">
        <v>3719</v>
      </c>
      <c r="M590" s="1161" t="s">
        <v>3699</v>
      </c>
      <c r="N590" s="4" t="s">
        <v>3917</v>
      </c>
    </row>
    <row r="591" spans="1:14" ht="16.5">
      <c r="A591" s="17">
        <f t="shared" si="38"/>
        <v>590</v>
      </c>
      <c r="C591" s="1113">
        <v>45896</v>
      </c>
      <c r="D591" s="1116" t="s">
        <v>3494</v>
      </c>
      <c r="G591" s="1163">
        <v>2950</v>
      </c>
      <c r="H591" s="4"/>
      <c r="I591" s="218">
        <f t="shared" si="37"/>
        <v>-2950</v>
      </c>
      <c r="J591" s="64">
        <f t="shared" si="36"/>
        <v>-5834040.1299999999</v>
      </c>
      <c r="L591" s="64" t="s">
        <v>3724</v>
      </c>
      <c r="M591" s="1161" t="s">
        <v>3700</v>
      </c>
      <c r="N591" s="4" t="s">
        <v>3917</v>
      </c>
    </row>
    <row r="592" spans="1:14" ht="16.5">
      <c r="A592" s="17">
        <f t="shared" si="38"/>
        <v>591</v>
      </c>
      <c r="C592" s="1113">
        <v>45896</v>
      </c>
      <c r="D592" s="1116" t="s">
        <v>3494</v>
      </c>
      <c r="G592" s="1163">
        <v>2950</v>
      </c>
      <c r="H592" s="4"/>
      <c r="I592" s="218">
        <f t="shared" si="37"/>
        <v>-2950</v>
      </c>
      <c r="J592" s="64">
        <f t="shared" si="36"/>
        <v>-5836990.1299999999</v>
      </c>
      <c r="L592" s="64" t="s">
        <v>3724</v>
      </c>
      <c r="M592" s="1161" t="s">
        <v>3701</v>
      </c>
      <c r="N592" s="4" t="s">
        <v>3917</v>
      </c>
    </row>
    <row r="593" spans="1:14" ht="16.5">
      <c r="A593" s="17">
        <f t="shared" si="38"/>
        <v>592</v>
      </c>
      <c r="C593" s="1113">
        <v>45896</v>
      </c>
      <c r="D593" s="1116" t="s">
        <v>3494</v>
      </c>
      <c r="G593" s="1163">
        <v>2950</v>
      </c>
      <c r="H593" s="4"/>
      <c r="I593" s="218">
        <f t="shared" si="37"/>
        <v>-2950</v>
      </c>
      <c r="J593" s="64">
        <f t="shared" si="36"/>
        <v>-5839940.1299999999</v>
      </c>
      <c r="L593" s="64" t="s">
        <v>3724</v>
      </c>
      <c r="M593" s="1161" t="s">
        <v>3702</v>
      </c>
      <c r="N593" s="4" t="s">
        <v>3917</v>
      </c>
    </row>
    <row r="594" spans="1:14" ht="16.5">
      <c r="A594" s="17">
        <f t="shared" si="38"/>
        <v>593</v>
      </c>
      <c r="C594" s="1113">
        <v>45896</v>
      </c>
      <c r="D594" s="1116" t="s">
        <v>3494</v>
      </c>
      <c r="G594" s="1164">
        <v>2950</v>
      </c>
      <c r="H594" s="4"/>
      <c r="I594" s="218">
        <f t="shared" si="37"/>
        <v>-2950</v>
      </c>
      <c r="J594" s="64">
        <f t="shared" si="36"/>
        <v>-5842890.1299999999</v>
      </c>
      <c r="L594" s="64" t="s">
        <v>3724</v>
      </c>
      <c r="M594" s="1161" t="s">
        <v>3703</v>
      </c>
      <c r="N594" s="4" t="s">
        <v>3917</v>
      </c>
    </row>
    <row r="595" spans="1:14" ht="16.5">
      <c r="A595" s="17">
        <f t="shared" si="38"/>
        <v>594</v>
      </c>
      <c r="C595" s="1113">
        <v>45896</v>
      </c>
      <c r="D595" s="1116" t="s">
        <v>3495</v>
      </c>
      <c r="G595" s="1165">
        <v>1302008</v>
      </c>
      <c r="H595" s="4"/>
      <c r="I595" s="218">
        <f t="shared" si="37"/>
        <v>-1302008</v>
      </c>
      <c r="J595" s="64">
        <f t="shared" ref="J595:J618" si="39">J594-G595+H595</f>
        <v>-7144898.1299999999</v>
      </c>
      <c r="L595" s="64" t="s">
        <v>3719</v>
      </c>
      <c r="M595" s="1161" t="s">
        <v>3704</v>
      </c>
      <c r="N595" s="4" t="s">
        <v>3917</v>
      </c>
    </row>
    <row r="596" spans="1:14" ht="16.5">
      <c r="A596" s="17">
        <f t="shared" si="38"/>
        <v>595</v>
      </c>
      <c r="C596" s="1113">
        <v>45896</v>
      </c>
      <c r="D596" s="1116" t="s">
        <v>3496</v>
      </c>
      <c r="G596" s="1160">
        <v>110880</v>
      </c>
      <c r="H596" s="4"/>
      <c r="I596" s="218">
        <f t="shared" si="37"/>
        <v>-110880</v>
      </c>
      <c r="J596" s="64">
        <f t="shared" si="39"/>
        <v>-7255778.1299999999</v>
      </c>
      <c r="L596" s="64" t="s">
        <v>3719</v>
      </c>
      <c r="M596" s="1161" t="s">
        <v>3705</v>
      </c>
      <c r="N596" s="4" t="s">
        <v>3917</v>
      </c>
    </row>
    <row r="597" spans="1:14" ht="16.5">
      <c r="A597" s="17">
        <f t="shared" si="38"/>
        <v>596</v>
      </c>
      <c r="C597" s="1113">
        <v>45896</v>
      </c>
      <c r="D597" s="1116" t="s">
        <v>3497</v>
      </c>
      <c r="G597" s="1162">
        <v>149437</v>
      </c>
      <c r="H597" s="4"/>
      <c r="I597" s="218">
        <f t="shared" si="37"/>
        <v>-149437</v>
      </c>
      <c r="J597" s="64">
        <f t="shared" si="39"/>
        <v>-7405215.1299999999</v>
      </c>
      <c r="L597" s="64" t="s">
        <v>3719</v>
      </c>
      <c r="M597" s="1161" t="s">
        <v>3706</v>
      </c>
      <c r="N597" s="4" t="s">
        <v>3917</v>
      </c>
    </row>
    <row r="598" spans="1:14" ht="16.5">
      <c r="A598" s="17">
        <f t="shared" si="38"/>
        <v>597</v>
      </c>
      <c r="C598" s="1113">
        <v>45896</v>
      </c>
      <c r="D598" s="1116" t="s">
        <v>3498</v>
      </c>
      <c r="G598" s="1164">
        <v>10000</v>
      </c>
      <c r="H598" s="4"/>
      <c r="I598" s="218">
        <f t="shared" si="37"/>
        <v>-10000</v>
      </c>
      <c r="J598" s="64">
        <f t="shared" si="39"/>
        <v>-7415215.1299999999</v>
      </c>
      <c r="L598" s="64" t="s">
        <v>542</v>
      </c>
      <c r="M598" s="1161" t="s">
        <v>3609</v>
      </c>
      <c r="N598" s="4" t="s">
        <v>3917</v>
      </c>
    </row>
    <row r="599" spans="1:14" ht="16.5">
      <c r="A599" s="17">
        <f t="shared" si="38"/>
        <v>598</v>
      </c>
      <c r="C599" s="1113">
        <v>45896</v>
      </c>
      <c r="D599" s="1116" t="s">
        <v>624</v>
      </c>
      <c r="G599" s="1166">
        <v>1024175</v>
      </c>
      <c r="H599" s="4"/>
      <c r="I599" s="218">
        <f t="shared" si="37"/>
        <v>-1024175</v>
      </c>
      <c r="J599" s="64">
        <f t="shared" si="39"/>
        <v>-8439390.129999999</v>
      </c>
      <c r="L599" s="64" t="s">
        <v>3720</v>
      </c>
      <c r="M599" s="1161" t="s">
        <v>3707</v>
      </c>
      <c r="N599" s="4" t="s">
        <v>3917</v>
      </c>
    </row>
    <row r="600" spans="1:14" ht="16.5">
      <c r="A600" s="17">
        <f t="shared" si="38"/>
        <v>599</v>
      </c>
      <c r="C600" s="1113">
        <v>45896</v>
      </c>
      <c r="D600" s="1116" t="s">
        <v>3499</v>
      </c>
      <c r="G600" s="1167">
        <v>3542</v>
      </c>
      <c r="H600" s="4"/>
      <c r="I600" s="218">
        <f t="shared" si="37"/>
        <v>-3542</v>
      </c>
      <c r="J600" s="64">
        <f t="shared" si="39"/>
        <v>-8442932.129999999</v>
      </c>
      <c r="L600" s="64" t="s">
        <v>542</v>
      </c>
      <c r="M600" s="1161" t="s">
        <v>3617</v>
      </c>
      <c r="N600" s="4" t="s">
        <v>3917</v>
      </c>
    </row>
    <row r="601" spans="1:14" ht="16.5">
      <c r="A601" s="17">
        <f t="shared" si="38"/>
        <v>600</v>
      </c>
      <c r="C601" s="1113">
        <v>45896</v>
      </c>
      <c r="D601" s="1116" t="s">
        <v>3500</v>
      </c>
      <c r="G601" s="1163">
        <v>8782</v>
      </c>
      <c r="H601" s="4"/>
      <c r="I601" s="218">
        <f t="shared" si="37"/>
        <v>-8782</v>
      </c>
      <c r="J601" s="64">
        <f t="shared" si="39"/>
        <v>-8451714.129999999</v>
      </c>
      <c r="L601" s="64" t="s">
        <v>542</v>
      </c>
      <c r="M601" s="1161" t="s">
        <v>3617</v>
      </c>
      <c r="N601" s="4" t="s">
        <v>3917</v>
      </c>
    </row>
    <row r="602" spans="1:14" ht="16.5">
      <c r="A602" s="17">
        <f t="shared" si="38"/>
        <v>601</v>
      </c>
      <c r="C602" s="1113">
        <v>45896</v>
      </c>
      <c r="D602" s="1116" t="s">
        <v>3501</v>
      </c>
      <c r="G602" s="1163">
        <v>29479</v>
      </c>
      <c r="H602" s="4"/>
      <c r="I602" s="218">
        <f t="shared" si="37"/>
        <v>-29479</v>
      </c>
      <c r="J602" s="64">
        <f t="shared" si="39"/>
        <v>-8481193.129999999</v>
      </c>
      <c r="L602" s="64" t="s">
        <v>542</v>
      </c>
      <c r="M602" s="1161" t="s">
        <v>3617</v>
      </c>
      <c r="N602" s="4" t="s">
        <v>3917</v>
      </c>
    </row>
    <row r="603" spans="1:14" ht="16.5">
      <c r="A603" s="17">
        <f t="shared" si="38"/>
        <v>602</v>
      </c>
      <c r="C603" s="1113">
        <v>45896</v>
      </c>
      <c r="D603" s="1116" t="s">
        <v>3502</v>
      </c>
      <c r="G603" s="1163">
        <v>2006</v>
      </c>
      <c r="H603" s="4"/>
      <c r="I603" s="218">
        <f t="shared" si="37"/>
        <v>-2006</v>
      </c>
      <c r="J603" s="64">
        <f t="shared" si="39"/>
        <v>-8483199.129999999</v>
      </c>
      <c r="L603" s="64" t="s">
        <v>542</v>
      </c>
      <c r="M603" s="1161" t="s">
        <v>3617</v>
      </c>
      <c r="N603" s="4" t="s">
        <v>3917</v>
      </c>
    </row>
    <row r="604" spans="1:14" ht="16.5">
      <c r="A604" s="17">
        <f t="shared" si="38"/>
        <v>603</v>
      </c>
      <c r="C604" s="1113">
        <v>45896</v>
      </c>
      <c r="D604" s="1116" t="s">
        <v>3503</v>
      </c>
      <c r="G604" s="1163">
        <v>12824</v>
      </c>
      <c r="H604" s="4"/>
      <c r="I604" s="218">
        <f t="shared" si="37"/>
        <v>-12824</v>
      </c>
      <c r="J604" s="64">
        <f t="shared" si="39"/>
        <v>-8496023.129999999</v>
      </c>
      <c r="L604" s="64" t="s">
        <v>542</v>
      </c>
      <c r="M604" s="1161" t="s">
        <v>3617</v>
      </c>
      <c r="N604" s="4" t="s">
        <v>3917</v>
      </c>
    </row>
    <row r="605" spans="1:14" ht="16.5">
      <c r="A605" s="17">
        <f t="shared" si="38"/>
        <v>604</v>
      </c>
      <c r="C605" s="1113">
        <v>45896</v>
      </c>
      <c r="D605" s="1116" t="s">
        <v>3402</v>
      </c>
      <c r="G605" s="1163">
        <v>43890</v>
      </c>
      <c r="H605" s="4"/>
      <c r="I605" s="218">
        <f t="shared" si="37"/>
        <v>-43890</v>
      </c>
      <c r="J605" s="64">
        <f t="shared" si="39"/>
        <v>-8539913.129999999</v>
      </c>
      <c r="L605" s="64" t="s">
        <v>542</v>
      </c>
      <c r="M605" s="1161" t="s">
        <v>3617</v>
      </c>
      <c r="N605" s="4" t="s">
        <v>3917</v>
      </c>
    </row>
    <row r="606" spans="1:14" ht="16.5">
      <c r="A606" s="17">
        <f t="shared" si="38"/>
        <v>605</v>
      </c>
      <c r="C606" s="1113">
        <v>45896</v>
      </c>
      <c r="D606" s="1116" t="s">
        <v>3504</v>
      </c>
      <c r="G606" s="1163">
        <v>12450</v>
      </c>
      <c r="H606" s="4"/>
      <c r="I606" s="218">
        <f t="shared" si="37"/>
        <v>-12450</v>
      </c>
      <c r="J606" s="64">
        <f t="shared" si="39"/>
        <v>-8552363.129999999</v>
      </c>
      <c r="L606" s="64" t="s">
        <v>542</v>
      </c>
      <c r="M606" s="1161" t="s">
        <v>3617</v>
      </c>
      <c r="N606" s="4" t="s">
        <v>3917</v>
      </c>
    </row>
    <row r="607" spans="1:14" ht="16.5">
      <c r="A607" s="17">
        <f t="shared" si="38"/>
        <v>606</v>
      </c>
      <c r="C607" s="1113">
        <v>45896</v>
      </c>
      <c r="D607" s="1116" t="s">
        <v>3505</v>
      </c>
      <c r="G607" s="1163">
        <v>60524</v>
      </c>
      <c r="H607" s="4"/>
      <c r="I607" s="218">
        <f t="shared" si="37"/>
        <v>-60524</v>
      </c>
      <c r="J607" s="64">
        <f t="shared" si="39"/>
        <v>-8612887.129999999</v>
      </c>
      <c r="L607" s="64" t="s">
        <v>542</v>
      </c>
      <c r="M607" s="1161" t="s">
        <v>3617</v>
      </c>
      <c r="N607" s="4" t="s">
        <v>3917</v>
      </c>
    </row>
    <row r="608" spans="1:14" ht="16.5">
      <c r="A608" s="17">
        <f t="shared" si="38"/>
        <v>607</v>
      </c>
      <c r="C608" s="1113">
        <v>45896</v>
      </c>
      <c r="D608" s="1116" t="s">
        <v>3506</v>
      </c>
      <c r="G608" s="1163">
        <v>41905</v>
      </c>
      <c r="H608" s="4"/>
      <c r="I608" s="218">
        <f t="shared" si="37"/>
        <v>-41905</v>
      </c>
      <c r="J608" s="64">
        <f t="shared" si="39"/>
        <v>-8654792.129999999</v>
      </c>
      <c r="L608" s="64" t="s">
        <v>542</v>
      </c>
      <c r="M608" s="1161" t="s">
        <v>3617</v>
      </c>
      <c r="N608" s="4" t="s">
        <v>3917</v>
      </c>
    </row>
    <row r="609" spans="1:14" ht="16.5">
      <c r="A609" s="17">
        <f t="shared" si="38"/>
        <v>608</v>
      </c>
      <c r="C609" s="1113">
        <v>45896</v>
      </c>
      <c r="D609" s="1116" t="s">
        <v>3507</v>
      </c>
      <c r="G609" s="1163">
        <v>3445</v>
      </c>
      <c r="H609" s="4"/>
      <c r="I609" s="218">
        <f t="shared" si="37"/>
        <v>-3445</v>
      </c>
      <c r="J609" s="64">
        <f t="shared" si="39"/>
        <v>-8658237.129999999</v>
      </c>
      <c r="L609" s="64" t="s">
        <v>542</v>
      </c>
      <c r="M609" s="1161" t="s">
        <v>3617</v>
      </c>
      <c r="N609" s="4" t="s">
        <v>3917</v>
      </c>
    </row>
    <row r="610" spans="1:14" ht="16.5">
      <c r="A610" s="17">
        <f t="shared" si="38"/>
        <v>609</v>
      </c>
      <c r="C610" s="1113">
        <v>45896</v>
      </c>
      <c r="D610" s="1116" t="s">
        <v>3508</v>
      </c>
      <c r="G610" s="1163">
        <v>17564</v>
      </c>
      <c r="H610" s="4"/>
      <c r="I610" s="218">
        <f t="shared" si="37"/>
        <v>-17564</v>
      </c>
      <c r="J610" s="64">
        <f t="shared" si="39"/>
        <v>-8675801.129999999</v>
      </c>
      <c r="L610" s="64" t="s">
        <v>542</v>
      </c>
      <c r="M610" s="1161" t="s">
        <v>3617</v>
      </c>
      <c r="N610" s="4" t="s">
        <v>3917</v>
      </c>
    </row>
    <row r="611" spans="1:14" ht="16.5">
      <c r="A611" s="17">
        <f t="shared" si="38"/>
        <v>610</v>
      </c>
      <c r="C611" s="1113">
        <v>45896</v>
      </c>
      <c r="D611" s="1116" t="s">
        <v>3509</v>
      </c>
      <c r="G611" s="1163">
        <v>312</v>
      </c>
      <c r="H611" s="4"/>
      <c r="I611" s="218">
        <f t="shared" si="37"/>
        <v>-312</v>
      </c>
      <c r="J611" s="64">
        <f t="shared" si="39"/>
        <v>-8676113.129999999</v>
      </c>
      <c r="L611" s="64" t="s">
        <v>542</v>
      </c>
      <c r="M611" s="1161" t="s">
        <v>3617</v>
      </c>
      <c r="N611" s="4" t="s">
        <v>3917</v>
      </c>
    </row>
    <row r="612" spans="1:14" ht="16.5">
      <c r="A612" s="17">
        <f t="shared" si="38"/>
        <v>611</v>
      </c>
      <c r="C612" s="1113">
        <v>45896</v>
      </c>
      <c r="D612" s="1116" t="s">
        <v>3510</v>
      </c>
      <c r="G612" s="1168">
        <v>0</v>
      </c>
      <c r="H612" s="4"/>
      <c r="I612" s="218">
        <f t="shared" si="37"/>
        <v>0</v>
      </c>
      <c r="J612" s="64">
        <f t="shared" si="39"/>
        <v>-8676113.129999999</v>
      </c>
      <c r="L612" s="64" t="s">
        <v>542</v>
      </c>
      <c r="M612" s="1161" t="s">
        <v>3617</v>
      </c>
      <c r="N612" s="4" t="s">
        <v>3917</v>
      </c>
    </row>
    <row r="613" spans="1:14" ht="16.5">
      <c r="A613" s="17">
        <f t="shared" si="38"/>
        <v>612</v>
      </c>
      <c r="C613" s="1113">
        <v>45896</v>
      </c>
      <c r="D613" s="1116" t="s">
        <v>3511</v>
      </c>
      <c r="G613" s="1168">
        <v>0</v>
      </c>
      <c r="H613" s="4"/>
      <c r="I613" s="218">
        <f t="shared" si="37"/>
        <v>0</v>
      </c>
      <c r="J613" s="64">
        <f t="shared" si="39"/>
        <v>-8676113.129999999</v>
      </c>
      <c r="L613" s="64" t="s">
        <v>542</v>
      </c>
      <c r="M613" s="1161" t="s">
        <v>3617</v>
      </c>
      <c r="N613" s="4" t="s">
        <v>3917</v>
      </c>
    </row>
    <row r="614" spans="1:14" ht="16.5">
      <c r="A614" s="17">
        <f t="shared" si="38"/>
        <v>613</v>
      </c>
      <c r="C614" s="1113">
        <v>45896</v>
      </c>
      <c r="D614" s="1116" t="s">
        <v>3512</v>
      </c>
      <c r="G614" s="1163">
        <v>19691</v>
      </c>
      <c r="H614" s="4"/>
      <c r="I614" s="218">
        <f t="shared" si="37"/>
        <v>-19691</v>
      </c>
      <c r="J614" s="64">
        <f t="shared" si="39"/>
        <v>-8695804.129999999</v>
      </c>
      <c r="L614" s="64" t="s">
        <v>542</v>
      </c>
      <c r="M614" s="1161" t="s">
        <v>3617</v>
      </c>
      <c r="N614" s="4" t="s">
        <v>3917</v>
      </c>
    </row>
    <row r="615" spans="1:14" ht="16.5">
      <c r="A615" s="17">
        <f t="shared" si="38"/>
        <v>614</v>
      </c>
      <c r="C615" s="1113">
        <v>45896</v>
      </c>
      <c r="D615" s="1116" t="s">
        <v>3513</v>
      </c>
      <c r="G615" s="1163">
        <v>9499</v>
      </c>
      <c r="H615" s="4"/>
      <c r="I615" s="218">
        <f t="shared" si="37"/>
        <v>-9499</v>
      </c>
      <c r="J615" s="64">
        <f t="shared" si="39"/>
        <v>-8705303.129999999</v>
      </c>
      <c r="L615" s="64" t="s">
        <v>542</v>
      </c>
      <c r="M615" s="1161" t="s">
        <v>3617</v>
      </c>
      <c r="N615" s="4" t="s">
        <v>3917</v>
      </c>
    </row>
    <row r="616" spans="1:14" ht="16.5">
      <c r="A616" s="17">
        <f t="shared" si="38"/>
        <v>615</v>
      </c>
      <c r="C616" s="1113">
        <v>45896</v>
      </c>
      <c r="D616" s="1116" t="s">
        <v>3514</v>
      </c>
      <c r="G616" s="1163">
        <v>16835</v>
      </c>
      <c r="H616" s="4"/>
      <c r="I616" s="218">
        <f t="shared" si="37"/>
        <v>-16835</v>
      </c>
      <c r="J616" s="64">
        <f t="shared" si="39"/>
        <v>-8722138.129999999</v>
      </c>
      <c r="L616" s="64" t="s">
        <v>542</v>
      </c>
      <c r="M616" s="1161" t="s">
        <v>3617</v>
      </c>
      <c r="N616" s="4" t="s">
        <v>3917</v>
      </c>
    </row>
    <row r="617" spans="1:14" ht="16.5">
      <c r="A617" s="17">
        <f t="shared" si="38"/>
        <v>616</v>
      </c>
      <c r="C617" s="1113">
        <v>45896</v>
      </c>
      <c r="D617" s="1116" t="s">
        <v>3515</v>
      </c>
      <c r="G617" s="1163">
        <v>6501</v>
      </c>
      <c r="H617" s="4"/>
      <c r="I617" s="218">
        <f t="shared" si="37"/>
        <v>-6501</v>
      </c>
      <c r="J617" s="64">
        <f t="shared" si="39"/>
        <v>-8728639.129999999</v>
      </c>
      <c r="L617" s="64" t="s">
        <v>542</v>
      </c>
      <c r="M617" s="1161" t="s">
        <v>3617</v>
      </c>
      <c r="N617" s="4" t="s">
        <v>3917</v>
      </c>
    </row>
    <row r="618" spans="1:14" ht="14.25">
      <c r="A618" s="17">
        <f t="shared" si="38"/>
        <v>617</v>
      </c>
      <c r="C618" s="1111">
        <v>45897</v>
      </c>
      <c r="D618" s="10"/>
      <c r="G618" s="1129"/>
      <c r="H618" s="4"/>
      <c r="I618" s="218">
        <f t="shared" si="37"/>
        <v>0</v>
      </c>
      <c r="J618" s="64">
        <f t="shared" si="39"/>
        <v>-8728639.129999999</v>
      </c>
      <c r="L618" s="64" t="s">
        <v>542</v>
      </c>
      <c r="M618" s="10"/>
      <c r="N618" s="4" t="s">
        <v>3917</v>
      </c>
    </row>
    <row r="619" spans="1:14" ht="15.75">
      <c r="A619" s="17">
        <f t="shared" si="38"/>
        <v>618</v>
      </c>
      <c r="C619" s="68">
        <v>45897</v>
      </c>
      <c r="D619" s="277" t="s">
        <v>3516</v>
      </c>
      <c r="G619"/>
      <c r="H619">
        <v>121131</v>
      </c>
      <c r="I619" s="218">
        <f t="shared" si="37"/>
        <v>121131</v>
      </c>
      <c r="J619">
        <v>-8607508.1300000008</v>
      </c>
      <c r="L619" s="64" t="s">
        <v>3723</v>
      </c>
      <c r="M619" s="10" t="s">
        <v>3708</v>
      </c>
      <c r="N619" s="4" t="s">
        <v>3917</v>
      </c>
    </row>
    <row r="620" spans="1:14" ht="15.75">
      <c r="A620" s="17">
        <f t="shared" si="38"/>
        <v>619</v>
      </c>
      <c r="C620" s="68">
        <v>45897</v>
      </c>
      <c r="D620" s="277" t="s">
        <v>3517</v>
      </c>
      <c r="G620"/>
      <c r="H620">
        <v>38892045</v>
      </c>
      <c r="I620" s="218">
        <f t="shared" si="37"/>
        <v>38892045</v>
      </c>
      <c r="J620">
        <v>30284536.870000001</v>
      </c>
      <c r="L620" s="64" t="s">
        <v>3723</v>
      </c>
      <c r="M620" s="10" t="s">
        <v>948</v>
      </c>
      <c r="N620" s="4" t="s">
        <v>3917</v>
      </c>
    </row>
    <row r="621" spans="1:14" ht="15.75">
      <c r="A621" s="17">
        <f t="shared" si="38"/>
        <v>620</v>
      </c>
      <c r="C621" s="68">
        <v>45897</v>
      </c>
      <c r="D621" s="277" t="s">
        <v>3518</v>
      </c>
      <c r="G621">
        <v>38892045</v>
      </c>
      <c r="H621"/>
      <c r="I621" s="218">
        <f t="shared" si="37"/>
        <v>-38892045</v>
      </c>
      <c r="J621">
        <v>-8607508.1300000008</v>
      </c>
      <c r="L621" s="64" t="s">
        <v>3719</v>
      </c>
      <c r="M621" s="10"/>
      <c r="N621" s="4" t="s">
        <v>3917</v>
      </c>
    </row>
    <row r="622" spans="1:14" ht="15.75">
      <c r="A622" s="17">
        <f t="shared" si="38"/>
        <v>621</v>
      </c>
      <c r="C622" s="68">
        <v>45897</v>
      </c>
      <c r="D622" s="277" t="s">
        <v>3519</v>
      </c>
      <c r="G622"/>
      <c r="H622">
        <v>5000000</v>
      </c>
      <c r="I622" s="218">
        <f t="shared" si="37"/>
        <v>5000000</v>
      </c>
      <c r="J622">
        <v>-3607508.13</v>
      </c>
      <c r="L622" s="64" t="s">
        <v>3723</v>
      </c>
      <c r="M622" s="10" t="s">
        <v>3709</v>
      </c>
      <c r="N622" s="4" t="s">
        <v>3917</v>
      </c>
    </row>
    <row r="623" spans="1:14" ht="15.75">
      <c r="A623" s="17">
        <f t="shared" si="38"/>
        <v>622</v>
      </c>
      <c r="C623" s="68">
        <v>45897</v>
      </c>
      <c r="D623" s="277" t="s">
        <v>3520</v>
      </c>
      <c r="G623" s="20">
        <v>177</v>
      </c>
      <c r="H623" s="20"/>
      <c r="I623" s="218">
        <f t="shared" si="37"/>
        <v>-177</v>
      </c>
      <c r="J623">
        <v>-3607685.13</v>
      </c>
      <c r="L623" s="64" t="s">
        <v>542</v>
      </c>
      <c r="M623" s="10"/>
      <c r="N623" s="4" t="s">
        <v>3917</v>
      </c>
    </row>
    <row r="624" spans="1:14" ht="15.75">
      <c r="A624" s="17">
        <f t="shared" si="38"/>
        <v>623</v>
      </c>
      <c r="C624" s="68">
        <v>45897</v>
      </c>
      <c r="D624" s="277" t="s">
        <v>3521</v>
      </c>
      <c r="G624" s="20"/>
      <c r="H624" s="20">
        <v>7701974</v>
      </c>
      <c r="I624" s="218">
        <f t="shared" si="37"/>
        <v>7701974</v>
      </c>
      <c r="J624">
        <v>4094288.87</v>
      </c>
      <c r="L624" s="64" t="s">
        <v>3723</v>
      </c>
      <c r="M624" s="10"/>
      <c r="N624" s="4" t="s">
        <v>3917</v>
      </c>
    </row>
    <row r="625" spans="1:14" ht="15.75">
      <c r="A625" s="17">
        <f t="shared" si="38"/>
        <v>624</v>
      </c>
      <c r="C625" s="68">
        <v>45897</v>
      </c>
      <c r="D625" s="277" t="s">
        <v>3522</v>
      </c>
      <c r="G625" s="20"/>
      <c r="H625" s="20">
        <v>185582501</v>
      </c>
      <c r="I625" s="218">
        <f t="shared" si="37"/>
        <v>185582501</v>
      </c>
      <c r="J625">
        <v>189676789.87</v>
      </c>
      <c r="L625" s="64" t="s">
        <v>3723</v>
      </c>
      <c r="M625" s="10" t="s">
        <v>3710</v>
      </c>
      <c r="N625" s="4" t="s">
        <v>3917</v>
      </c>
    </row>
    <row r="626" spans="1:14" ht="15.75">
      <c r="A626" s="17">
        <f t="shared" si="38"/>
        <v>625</v>
      </c>
      <c r="C626" s="1109">
        <v>45898</v>
      </c>
      <c r="D626" s="277" t="s">
        <v>3523</v>
      </c>
      <c r="G626" s="20">
        <v>45000000</v>
      </c>
      <c r="H626" s="20"/>
      <c r="I626" s="218">
        <f t="shared" si="37"/>
        <v>-45000000</v>
      </c>
      <c r="J626">
        <v>144676789.87</v>
      </c>
      <c r="L626" s="64" t="s">
        <v>3719</v>
      </c>
      <c r="M626" s="10"/>
      <c r="N626" s="4" t="s">
        <v>3917</v>
      </c>
    </row>
    <row r="627" spans="1:14" ht="15.75">
      <c r="A627" s="17">
        <f t="shared" si="38"/>
        <v>626</v>
      </c>
      <c r="C627" s="1109">
        <v>45898</v>
      </c>
      <c r="D627" s="277" t="s">
        <v>3524</v>
      </c>
      <c r="G627" s="20"/>
      <c r="H627" s="20">
        <v>10000000</v>
      </c>
      <c r="I627" s="218">
        <f t="shared" si="37"/>
        <v>10000000</v>
      </c>
      <c r="J627">
        <v>154676789.87</v>
      </c>
      <c r="L627" s="64" t="s">
        <v>3723</v>
      </c>
      <c r="M627" s="10" t="s">
        <v>3709</v>
      </c>
      <c r="N627" s="4" t="s">
        <v>3917</v>
      </c>
    </row>
    <row r="628" spans="1:14" ht="15.75">
      <c r="A628" s="17">
        <f t="shared" si="38"/>
        <v>627</v>
      </c>
      <c r="C628" s="1109">
        <v>45898</v>
      </c>
      <c r="D628" s="277" t="s">
        <v>537</v>
      </c>
      <c r="G628" s="20">
        <v>8796000</v>
      </c>
      <c r="H628" s="20"/>
      <c r="I628" s="218">
        <f t="shared" si="37"/>
        <v>-8796000</v>
      </c>
      <c r="J628">
        <v>145880789.87</v>
      </c>
      <c r="L628" s="64" t="s">
        <v>542</v>
      </c>
      <c r="M628" s="10"/>
      <c r="N628" s="4" t="s">
        <v>3917</v>
      </c>
    </row>
    <row r="629" spans="1:14" ht="15.75">
      <c r="A629" s="17">
        <f t="shared" si="38"/>
        <v>628</v>
      </c>
      <c r="C629" s="19">
        <v>45899</v>
      </c>
      <c r="D629" s="277" t="s">
        <v>3428</v>
      </c>
      <c r="G629" s="20">
        <v>262705</v>
      </c>
      <c r="H629" s="20"/>
      <c r="I629" s="218">
        <f t="shared" si="37"/>
        <v>-262705</v>
      </c>
      <c r="J629">
        <v>145618084.87</v>
      </c>
      <c r="L629" s="64" t="s">
        <v>3719</v>
      </c>
      <c r="M629" s="10"/>
      <c r="N629" s="4" t="s">
        <v>3917</v>
      </c>
    </row>
    <row r="630" spans="1:14" ht="15.75">
      <c r="A630" s="17">
        <f t="shared" si="38"/>
        <v>629</v>
      </c>
      <c r="C630" s="19">
        <v>45899</v>
      </c>
      <c r="D630" s="277" t="s">
        <v>537</v>
      </c>
      <c r="G630" s="20">
        <v>10976470.460000001</v>
      </c>
      <c r="H630" s="20"/>
      <c r="I630" s="218">
        <f t="shared" si="37"/>
        <v>-10976470.460000001</v>
      </c>
      <c r="J630">
        <v>134641614.41</v>
      </c>
      <c r="L630" s="64" t="s">
        <v>3719</v>
      </c>
      <c r="M630" s="10"/>
      <c r="N630" s="4" t="s">
        <v>3917</v>
      </c>
    </row>
    <row r="631" spans="1:14" ht="15.75">
      <c r="A631" s="17">
        <f t="shared" si="38"/>
        <v>630</v>
      </c>
      <c r="C631" s="19">
        <v>45899</v>
      </c>
      <c r="D631" s="277" t="s">
        <v>537</v>
      </c>
      <c r="G631" s="20">
        <v>297248</v>
      </c>
      <c r="H631" s="20"/>
      <c r="I631" s="218">
        <f t="shared" si="37"/>
        <v>-297248</v>
      </c>
      <c r="J631">
        <v>134344366.41</v>
      </c>
      <c r="L631" s="64" t="s">
        <v>3719</v>
      </c>
      <c r="M631" s="10"/>
      <c r="N631" s="4" t="s">
        <v>3917</v>
      </c>
    </row>
    <row r="632" spans="1:14" ht="15.75">
      <c r="A632" s="17">
        <f t="shared" si="38"/>
        <v>631</v>
      </c>
      <c r="C632" s="19">
        <v>45899</v>
      </c>
      <c r="D632" s="277" t="s">
        <v>3428</v>
      </c>
      <c r="G632" s="20">
        <v>216571</v>
      </c>
      <c r="H632" s="20"/>
      <c r="I632" s="218">
        <f t="shared" si="37"/>
        <v>-216571</v>
      </c>
      <c r="J632">
        <v>134127795.41</v>
      </c>
      <c r="L632" s="64" t="s">
        <v>3719</v>
      </c>
      <c r="M632" s="10"/>
      <c r="N632" s="4" t="s">
        <v>3917</v>
      </c>
    </row>
    <row r="633" spans="1:14" ht="15.75">
      <c r="A633" s="17">
        <f t="shared" si="38"/>
        <v>632</v>
      </c>
      <c r="C633" s="19">
        <v>45899</v>
      </c>
      <c r="D633" s="277" t="s">
        <v>3525</v>
      </c>
      <c r="G633" s="20"/>
      <c r="H633" s="20">
        <v>40500</v>
      </c>
      <c r="I633" s="218">
        <f t="shared" si="37"/>
        <v>40500</v>
      </c>
      <c r="J633">
        <v>134168295.41</v>
      </c>
      <c r="L633" s="64" t="s">
        <v>3721</v>
      </c>
      <c r="M633" s="10"/>
      <c r="N633" s="4" t="s">
        <v>3917</v>
      </c>
    </row>
    <row r="634" spans="1:14" ht="15.75">
      <c r="A634" s="17">
        <f t="shared" si="38"/>
        <v>633</v>
      </c>
      <c r="C634" s="19">
        <v>45899</v>
      </c>
      <c r="D634" s="277" t="s">
        <v>3526</v>
      </c>
      <c r="G634" s="20"/>
      <c r="H634" s="20">
        <v>182700</v>
      </c>
      <c r="I634" s="218">
        <f t="shared" si="37"/>
        <v>182700</v>
      </c>
      <c r="J634">
        <v>134350995.41</v>
      </c>
      <c r="L634" s="64" t="s">
        <v>3723</v>
      </c>
      <c r="M634" s="10" t="s">
        <v>3708</v>
      </c>
      <c r="N634" s="4" t="s">
        <v>3917</v>
      </c>
    </row>
    <row r="635" spans="1:14" ht="15.75">
      <c r="A635" s="17">
        <f t="shared" si="38"/>
        <v>634</v>
      </c>
      <c r="C635" s="19">
        <v>45899</v>
      </c>
      <c r="D635" s="277" t="s">
        <v>197</v>
      </c>
      <c r="G635" s="20"/>
      <c r="H635" s="20">
        <v>1000000</v>
      </c>
      <c r="I635" s="218">
        <f t="shared" si="37"/>
        <v>1000000</v>
      </c>
      <c r="J635">
        <v>135350995.41</v>
      </c>
      <c r="L635" s="64" t="s">
        <v>3723</v>
      </c>
      <c r="M635" s="10"/>
      <c r="N635" s="4" t="s">
        <v>3917</v>
      </c>
    </row>
    <row r="636" spans="1:14" ht="15.75">
      <c r="A636" s="17">
        <f t="shared" si="38"/>
        <v>635</v>
      </c>
      <c r="C636" s="19">
        <v>45899</v>
      </c>
      <c r="D636" s="277" t="s">
        <v>537</v>
      </c>
      <c r="G636" s="20">
        <v>6700000</v>
      </c>
      <c r="H636" s="20"/>
      <c r="I636" s="218">
        <f t="shared" si="37"/>
        <v>-6700000</v>
      </c>
      <c r="J636">
        <v>128650995.41</v>
      </c>
      <c r="L636" s="64" t="s">
        <v>3719</v>
      </c>
      <c r="M636" s="10"/>
      <c r="N636" s="4" t="s">
        <v>3917</v>
      </c>
    </row>
    <row r="637" spans="1:14" ht="15.75">
      <c r="A637" s="17">
        <f t="shared" si="38"/>
        <v>636</v>
      </c>
      <c r="C637" s="19">
        <v>45899</v>
      </c>
      <c r="D637" s="1116" t="s">
        <v>3527</v>
      </c>
      <c r="G637" s="1169">
        <v>150000</v>
      </c>
      <c r="H637" s="20"/>
      <c r="I637" s="218">
        <f t="shared" si="37"/>
        <v>-150000</v>
      </c>
      <c r="J637" s="1170">
        <f t="shared" ref="J637:J642" si="40">J636-G637</f>
        <v>128500995.41</v>
      </c>
      <c r="L637" s="64" t="s">
        <v>3719</v>
      </c>
      <c r="M637" s="1121" t="s">
        <v>3711</v>
      </c>
      <c r="N637" s="4" t="s">
        <v>3917</v>
      </c>
    </row>
    <row r="638" spans="1:14" ht="15.75">
      <c r="A638" s="17">
        <f t="shared" si="38"/>
        <v>637</v>
      </c>
      <c r="C638" s="19">
        <v>45899</v>
      </c>
      <c r="D638" s="1116" t="s">
        <v>3528</v>
      </c>
      <c r="G638" s="1171">
        <v>15000</v>
      </c>
      <c r="H638" s="20"/>
      <c r="I638" s="218">
        <f t="shared" si="37"/>
        <v>-15000</v>
      </c>
      <c r="J638" s="1170">
        <f t="shared" si="40"/>
        <v>128485995.41</v>
      </c>
      <c r="L638" s="64" t="s">
        <v>542</v>
      </c>
      <c r="M638" s="1121" t="s">
        <v>3712</v>
      </c>
      <c r="N638" s="4" t="s">
        <v>3917</v>
      </c>
    </row>
    <row r="639" spans="1:14" ht="15.75">
      <c r="A639" s="17">
        <f t="shared" si="38"/>
        <v>638</v>
      </c>
      <c r="C639" s="19">
        <v>45899</v>
      </c>
      <c r="D639" s="1116" t="s">
        <v>3529</v>
      </c>
      <c r="G639" s="1171">
        <v>20000</v>
      </c>
      <c r="H639" s="20"/>
      <c r="I639" s="218">
        <f t="shared" si="37"/>
        <v>-20000</v>
      </c>
      <c r="J639" s="1170">
        <f t="shared" si="40"/>
        <v>128465995.41</v>
      </c>
      <c r="L639" s="64" t="s">
        <v>542</v>
      </c>
      <c r="M639" s="1121" t="s">
        <v>3712</v>
      </c>
      <c r="N639" s="4" t="s">
        <v>3917</v>
      </c>
    </row>
    <row r="640" spans="1:14" ht="15.75">
      <c r="A640" s="17">
        <f t="shared" si="38"/>
        <v>639</v>
      </c>
      <c r="C640" s="19">
        <v>45899</v>
      </c>
      <c r="D640" s="1116" t="s">
        <v>3530</v>
      </c>
      <c r="G640" s="1171">
        <v>50000</v>
      </c>
      <c r="H640" s="20"/>
      <c r="I640" s="218">
        <f t="shared" si="37"/>
        <v>-50000</v>
      </c>
      <c r="J640" s="1170">
        <f t="shared" si="40"/>
        <v>128415995.41</v>
      </c>
      <c r="L640" s="64" t="s">
        <v>542</v>
      </c>
      <c r="M640" s="1121" t="s">
        <v>3712</v>
      </c>
      <c r="N640" s="4" t="s">
        <v>3917</v>
      </c>
    </row>
    <row r="641" spans="1:14" ht="15.75">
      <c r="A641" s="17">
        <f t="shared" si="38"/>
        <v>640</v>
      </c>
      <c r="C641" s="19">
        <v>45899</v>
      </c>
      <c r="D641" s="1116" t="s">
        <v>3531</v>
      </c>
      <c r="G641" s="1169">
        <v>5000</v>
      </c>
      <c r="H641" s="20"/>
      <c r="I641" s="218">
        <f t="shared" si="37"/>
        <v>-5000</v>
      </c>
      <c r="J641" s="1170">
        <f t="shared" si="40"/>
        <v>128410995.41</v>
      </c>
      <c r="L641" s="64" t="s">
        <v>3719</v>
      </c>
      <c r="M641" s="1121" t="s">
        <v>591</v>
      </c>
      <c r="N641" s="4" t="s">
        <v>3917</v>
      </c>
    </row>
    <row r="642" spans="1:14" ht="15.75">
      <c r="A642" s="17">
        <f t="shared" si="38"/>
        <v>641</v>
      </c>
      <c r="C642" s="19">
        <v>45899</v>
      </c>
      <c r="D642" s="1116" t="s">
        <v>3532</v>
      </c>
      <c r="G642" s="1169">
        <v>27000</v>
      </c>
      <c r="H642" s="20"/>
      <c r="I642" s="218">
        <f t="shared" ref="I642:I703" si="41">H642-G642</f>
        <v>-27000</v>
      </c>
      <c r="J642" s="20">
        <f t="shared" si="40"/>
        <v>128383995.41</v>
      </c>
      <c r="L642" s="64" t="s">
        <v>3719</v>
      </c>
      <c r="M642" s="1121" t="s">
        <v>3713</v>
      </c>
      <c r="N642" s="4" t="s">
        <v>3917</v>
      </c>
    </row>
    <row r="643" spans="1:14" ht="15.75">
      <c r="A643" s="17">
        <f t="shared" si="38"/>
        <v>642</v>
      </c>
      <c r="C643" s="19">
        <v>45899</v>
      </c>
      <c r="D643" s="277" t="s">
        <v>537</v>
      </c>
      <c r="G643" s="20">
        <v>80500</v>
      </c>
      <c r="H643" s="20"/>
      <c r="I643" s="218">
        <f t="shared" si="41"/>
        <v>-80500</v>
      </c>
      <c r="J643" s="20">
        <v>128303495.41</v>
      </c>
      <c r="L643" s="64" t="s">
        <v>3719</v>
      </c>
      <c r="M643" s="10"/>
      <c r="N643" s="4" t="s">
        <v>3917</v>
      </c>
    </row>
    <row r="644" spans="1:14" ht="15.75">
      <c r="A644" s="17">
        <f t="shared" ref="A644:A703" si="42">A643+1</f>
        <v>643</v>
      </c>
      <c r="C644" s="19">
        <v>45899</v>
      </c>
      <c r="D644" s="277" t="s">
        <v>3533</v>
      </c>
      <c r="G644" s="20">
        <v>15000</v>
      </c>
      <c r="H644" s="20"/>
      <c r="I644" s="218">
        <f t="shared" si="41"/>
        <v>-15000</v>
      </c>
      <c r="J644" s="20">
        <v>128288495.41</v>
      </c>
      <c r="L644" s="64" t="s">
        <v>542</v>
      </c>
      <c r="M644" s="10"/>
      <c r="N644" s="4" t="s">
        <v>3917</v>
      </c>
    </row>
    <row r="645" spans="1:14" ht="15.75">
      <c r="A645" s="17">
        <f t="shared" si="42"/>
        <v>644</v>
      </c>
      <c r="C645" s="19">
        <v>45899</v>
      </c>
      <c r="D645" s="277" t="s">
        <v>197</v>
      </c>
      <c r="G645" s="20"/>
      <c r="H645" s="20">
        <v>3300000</v>
      </c>
      <c r="I645" s="218">
        <f t="shared" si="41"/>
        <v>3300000</v>
      </c>
      <c r="J645" s="20">
        <v>131588495.41</v>
      </c>
      <c r="L645" s="64" t="s">
        <v>3723</v>
      </c>
      <c r="M645" s="10" t="s">
        <v>3714</v>
      </c>
      <c r="N645" s="4" t="s">
        <v>3917</v>
      </c>
    </row>
    <row r="646" spans="1:14" ht="15.75">
      <c r="A646" s="17">
        <f t="shared" si="42"/>
        <v>645</v>
      </c>
      <c r="C646" s="19">
        <v>45899</v>
      </c>
      <c r="D646" s="277" t="s">
        <v>3534</v>
      </c>
      <c r="G646" s="1045">
        <v>190000000</v>
      </c>
      <c r="H646" s="20"/>
      <c r="I646" s="218">
        <f t="shared" si="41"/>
        <v>-190000000</v>
      </c>
      <c r="J646" s="20">
        <v>-58411504.590000004</v>
      </c>
      <c r="L646" s="64" t="s">
        <v>542</v>
      </c>
      <c r="M646" s="10"/>
      <c r="N646" s="4" t="s">
        <v>3917</v>
      </c>
    </row>
    <row r="647" spans="1:14" ht="15.75">
      <c r="A647" s="17">
        <f t="shared" si="42"/>
        <v>646</v>
      </c>
      <c r="C647" s="19">
        <v>45899</v>
      </c>
      <c r="D647" s="277" t="s">
        <v>3535</v>
      </c>
      <c r="G647" s="20"/>
      <c r="H647" s="20">
        <v>50000000</v>
      </c>
      <c r="I647" s="218">
        <f t="shared" si="41"/>
        <v>50000000</v>
      </c>
      <c r="J647" s="20">
        <v>-8411504.5899999999</v>
      </c>
      <c r="L647" s="64" t="s">
        <v>3725</v>
      </c>
      <c r="M647" s="10"/>
      <c r="N647" s="4" t="s">
        <v>3918</v>
      </c>
    </row>
    <row r="648" spans="1:14" ht="15.75">
      <c r="A648" s="17">
        <f t="shared" si="42"/>
        <v>647</v>
      </c>
      <c r="C648" s="19">
        <v>45900</v>
      </c>
      <c r="D648" s="277" t="s">
        <v>223</v>
      </c>
      <c r="G648" s="20">
        <v>210202</v>
      </c>
      <c r="H648" s="20"/>
      <c r="I648" s="218">
        <f t="shared" si="41"/>
        <v>-210202</v>
      </c>
      <c r="J648" s="20">
        <v>-8621706.5899999999</v>
      </c>
      <c r="L648" s="64" t="s">
        <v>3717</v>
      </c>
      <c r="M648" s="10"/>
      <c r="N648" s="4" t="s">
        <v>3918</v>
      </c>
    </row>
    <row r="649" spans="1:14" ht="15.75">
      <c r="A649" s="17">
        <f t="shared" si="42"/>
        <v>648</v>
      </c>
      <c r="C649" s="19">
        <v>45900</v>
      </c>
      <c r="D649" s="277" t="s">
        <v>3536</v>
      </c>
      <c r="G649" s="20">
        <v>16379</v>
      </c>
      <c r="H649" s="20"/>
      <c r="I649" s="218">
        <f t="shared" si="41"/>
        <v>-16379</v>
      </c>
      <c r="J649" s="20">
        <v>-8638085.5899999999</v>
      </c>
      <c r="L649" s="64" t="s">
        <v>542</v>
      </c>
      <c r="M649" s="10"/>
      <c r="N649" s="4" t="s">
        <v>3917</v>
      </c>
    </row>
    <row r="650" spans="1:14" ht="15.75">
      <c r="A650" s="17">
        <f t="shared" si="42"/>
        <v>649</v>
      </c>
      <c r="C650" s="19">
        <v>45901</v>
      </c>
      <c r="D650" s="277" t="s">
        <v>3537</v>
      </c>
      <c r="G650" s="20">
        <v>98157</v>
      </c>
      <c r="H650" s="20"/>
      <c r="I650" s="218">
        <f t="shared" si="41"/>
        <v>-98157</v>
      </c>
      <c r="J650">
        <v>-8736242.5899999999</v>
      </c>
      <c r="L650" s="64" t="s">
        <v>3717</v>
      </c>
      <c r="M650" s="10" t="s">
        <v>473</v>
      </c>
      <c r="N650" s="4" t="s">
        <v>3918</v>
      </c>
    </row>
    <row r="651" spans="1:14" ht="15.75">
      <c r="A651" s="17">
        <f t="shared" si="42"/>
        <v>650</v>
      </c>
      <c r="C651" s="19">
        <v>45901</v>
      </c>
      <c r="D651" s="277" t="s">
        <v>474</v>
      </c>
      <c r="G651" s="20">
        <v>259990</v>
      </c>
      <c r="H651" s="20"/>
      <c r="I651" s="218">
        <f t="shared" si="41"/>
        <v>-259990</v>
      </c>
      <c r="J651">
        <v>-8996232.5899999999</v>
      </c>
      <c r="L651" s="64" t="s">
        <v>3717</v>
      </c>
      <c r="M651" s="10" t="s">
        <v>3715</v>
      </c>
      <c r="N651" s="4" t="s">
        <v>3918</v>
      </c>
    </row>
    <row r="652" spans="1:14" ht="15.75">
      <c r="A652" s="17">
        <f t="shared" si="42"/>
        <v>651</v>
      </c>
      <c r="C652" s="19">
        <v>45901</v>
      </c>
      <c r="D652" s="277" t="s">
        <v>3538</v>
      </c>
      <c r="G652" s="20">
        <v>862053</v>
      </c>
      <c r="H652" s="20"/>
      <c r="I652" s="218">
        <f t="shared" si="41"/>
        <v>-862053</v>
      </c>
      <c r="J652" s="39">
        <f>J651-G652+H652</f>
        <v>-9858285.5899999999</v>
      </c>
      <c r="L652" s="64" t="s">
        <v>3717</v>
      </c>
      <c r="M652" s="10"/>
      <c r="N652" s="4" t="s">
        <v>3918</v>
      </c>
    </row>
    <row r="653" spans="1:14" ht="15.75">
      <c r="A653" s="17">
        <f t="shared" si="42"/>
        <v>652</v>
      </c>
      <c r="C653" s="19">
        <v>45901</v>
      </c>
      <c r="D653" s="277" t="s">
        <v>3539</v>
      </c>
      <c r="G653" s="20">
        <v>35342</v>
      </c>
      <c r="H653" s="20"/>
      <c r="I653" s="218">
        <f t="shared" si="41"/>
        <v>-35342</v>
      </c>
      <c r="J653" s="39">
        <f>J652-G653+H653</f>
        <v>-9893627.5899999999</v>
      </c>
      <c r="L653" s="64" t="s">
        <v>3717</v>
      </c>
      <c r="M653" s="10"/>
      <c r="N653" s="4" t="s">
        <v>3918</v>
      </c>
    </row>
    <row r="654" spans="1:14" ht="15.75">
      <c r="A654" s="17">
        <f t="shared" si="42"/>
        <v>653</v>
      </c>
      <c r="C654" s="19">
        <v>45901</v>
      </c>
      <c r="D654" s="277" t="s">
        <v>3539</v>
      </c>
      <c r="G654" s="20">
        <v>17671</v>
      </c>
      <c r="H654" s="20"/>
      <c r="I654" s="218">
        <f t="shared" si="41"/>
        <v>-17671</v>
      </c>
      <c r="J654" s="39">
        <f>J653-G654+H654</f>
        <v>-9911298.5899999999</v>
      </c>
      <c r="L654" s="64" t="s">
        <v>3717</v>
      </c>
      <c r="M654" s="10"/>
      <c r="N654" s="4" t="s">
        <v>3918</v>
      </c>
    </row>
    <row r="655" spans="1:14" ht="15.75">
      <c r="A655" s="17">
        <f t="shared" si="42"/>
        <v>654</v>
      </c>
      <c r="C655" s="19">
        <v>45901</v>
      </c>
      <c r="D655" s="277" t="s">
        <v>3356</v>
      </c>
      <c r="G655" s="20">
        <v>1019178</v>
      </c>
      <c r="H655" s="20"/>
      <c r="I655" s="218">
        <f t="shared" si="41"/>
        <v>-1019178</v>
      </c>
      <c r="J655" s="39">
        <f>J654-G655+H655</f>
        <v>-10930476.59</v>
      </c>
      <c r="L655" s="64" t="s">
        <v>3717</v>
      </c>
      <c r="M655" s="10"/>
      <c r="N655" s="4" t="s">
        <v>3918</v>
      </c>
    </row>
    <row r="656" spans="1:14" ht="15.75">
      <c r="A656" s="17">
        <f t="shared" si="42"/>
        <v>655</v>
      </c>
      <c r="C656" s="19">
        <v>45901</v>
      </c>
      <c r="D656" s="277" t="s">
        <v>3540</v>
      </c>
      <c r="G656" s="241"/>
      <c r="H656" s="241">
        <v>500000</v>
      </c>
      <c r="I656" s="218">
        <f t="shared" si="41"/>
        <v>500000</v>
      </c>
      <c r="J656" s="241">
        <v>-10430476.59</v>
      </c>
      <c r="L656" s="64" t="s">
        <v>3718</v>
      </c>
      <c r="M656" s="10" t="s">
        <v>3593</v>
      </c>
      <c r="N656" s="4" t="s">
        <v>3917</v>
      </c>
    </row>
    <row r="657" spans="1:14" ht="15.75">
      <c r="A657" s="17">
        <f t="shared" si="42"/>
        <v>656</v>
      </c>
      <c r="C657" s="19">
        <v>45901</v>
      </c>
      <c r="D657" s="1122" t="s">
        <v>3541</v>
      </c>
      <c r="G657" s="1172">
        <v>1300000</v>
      </c>
      <c r="H657" s="4"/>
      <c r="I657" s="218">
        <f t="shared" si="41"/>
        <v>-1300000</v>
      </c>
      <c r="J657" s="1173">
        <f t="shared" ref="J657:J662" si="43">J656-G657+H657</f>
        <v>-11730476.59</v>
      </c>
      <c r="L657" s="64" t="s">
        <v>3718</v>
      </c>
      <c r="M657" s="10" t="s">
        <v>3593</v>
      </c>
      <c r="N657" s="4" t="s">
        <v>3917</v>
      </c>
    </row>
    <row r="658" spans="1:14" ht="15.75">
      <c r="A658" s="17">
        <f t="shared" si="42"/>
        <v>657</v>
      </c>
      <c r="C658" s="19">
        <v>45901</v>
      </c>
      <c r="D658" s="1122" t="s">
        <v>3542</v>
      </c>
      <c r="G658" s="1172">
        <v>500000</v>
      </c>
      <c r="H658" s="4"/>
      <c r="I658" s="218">
        <f t="shared" si="41"/>
        <v>-500000</v>
      </c>
      <c r="J658" s="1173">
        <f t="shared" si="43"/>
        <v>-12230476.59</v>
      </c>
      <c r="L658" s="64" t="s">
        <v>3718</v>
      </c>
      <c r="M658" s="10" t="s">
        <v>548</v>
      </c>
      <c r="N658" s="4" t="s">
        <v>3917</v>
      </c>
    </row>
    <row r="659" spans="1:14" ht="15.75">
      <c r="A659" s="17">
        <f t="shared" si="42"/>
        <v>658</v>
      </c>
      <c r="C659" s="19">
        <v>45901</v>
      </c>
      <c r="D659" s="1122" t="s">
        <v>3543</v>
      </c>
      <c r="G659" s="1172">
        <v>500000</v>
      </c>
      <c r="H659" s="4"/>
      <c r="I659" s="218">
        <f t="shared" si="41"/>
        <v>-500000</v>
      </c>
      <c r="J659" s="1173">
        <f t="shared" si="43"/>
        <v>-12730476.59</v>
      </c>
      <c r="L659" s="64" t="s">
        <v>3718</v>
      </c>
      <c r="M659" s="10" t="s">
        <v>3716</v>
      </c>
      <c r="N659" s="4" t="s">
        <v>3917</v>
      </c>
    </row>
    <row r="660" spans="1:14" ht="15.75">
      <c r="A660" s="17">
        <f t="shared" si="42"/>
        <v>659</v>
      </c>
      <c r="C660" s="19">
        <v>45901</v>
      </c>
      <c r="D660" s="1122" t="s">
        <v>3544</v>
      </c>
      <c r="G660" s="1172">
        <v>1000000</v>
      </c>
      <c r="H660" s="4"/>
      <c r="I660" s="218">
        <f t="shared" si="41"/>
        <v>-1000000</v>
      </c>
      <c r="J660" s="1173">
        <f t="shared" si="43"/>
        <v>-13730476.59</v>
      </c>
      <c r="L660" s="64" t="s">
        <v>3718</v>
      </c>
      <c r="M660" s="10" t="s">
        <v>1014</v>
      </c>
      <c r="N660" s="4" t="s">
        <v>3917</v>
      </c>
    </row>
    <row r="661" spans="1:14" ht="15.75">
      <c r="A661" s="17">
        <f t="shared" si="42"/>
        <v>660</v>
      </c>
      <c r="C661" s="19">
        <v>45901</v>
      </c>
      <c r="D661" s="1122" t="s">
        <v>3545</v>
      </c>
      <c r="G661" s="1129">
        <v>500000</v>
      </c>
      <c r="H661" s="4"/>
      <c r="I661" s="218">
        <f t="shared" si="41"/>
        <v>-500000</v>
      </c>
      <c r="J661" s="1144">
        <f t="shared" si="43"/>
        <v>-14230476.59</v>
      </c>
      <c r="L661" s="64" t="s">
        <v>3717</v>
      </c>
      <c r="M661" s="10" t="s">
        <v>1014</v>
      </c>
      <c r="N661" s="4" t="s">
        <v>3918</v>
      </c>
    </row>
    <row r="662" spans="1:14" ht="15.75">
      <c r="A662" s="17">
        <f t="shared" si="42"/>
        <v>661</v>
      </c>
      <c r="C662" s="19">
        <v>45901</v>
      </c>
      <c r="D662" s="277" t="s">
        <v>3546</v>
      </c>
      <c r="G662" s="20"/>
      <c r="H662" s="20">
        <v>59000</v>
      </c>
      <c r="I662" s="218">
        <f t="shared" si="41"/>
        <v>59000</v>
      </c>
      <c r="J662" s="1144">
        <f t="shared" si="43"/>
        <v>-14171476.59</v>
      </c>
      <c r="L662" s="64" t="s">
        <v>3720</v>
      </c>
      <c r="M662" s="10"/>
      <c r="N662" s="4" t="s">
        <v>3917</v>
      </c>
    </row>
    <row r="663" spans="1:14" ht="15.75">
      <c r="A663" s="17">
        <f t="shared" si="42"/>
        <v>662</v>
      </c>
      <c r="C663" s="484">
        <v>45902</v>
      </c>
      <c r="D663" s="246" t="s">
        <v>3547</v>
      </c>
      <c r="G663" s="1129">
        <v>89202</v>
      </c>
      <c r="H663" s="4"/>
      <c r="I663" s="218">
        <f t="shared" si="41"/>
        <v>-89202</v>
      </c>
      <c r="J663" s="20">
        <v>-14260678.59</v>
      </c>
      <c r="L663" s="64" t="s">
        <v>3717</v>
      </c>
      <c r="M663" s="10"/>
      <c r="N663" s="4" t="s">
        <v>3918</v>
      </c>
    </row>
    <row r="664" spans="1:14" ht="15.75">
      <c r="A664" s="17">
        <f t="shared" si="42"/>
        <v>663</v>
      </c>
      <c r="C664" s="484">
        <v>45902</v>
      </c>
      <c r="D664" s="246" t="s">
        <v>3548</v>
      </c>
      <c r="G664" s="1129">
        <v>0</v>
      </c>
      <c r="H664" s="4">
        <v>11000000</v>
      </c>
      <c r="I664" s="218">
        <f t="shared" si="41"/>
        <v>11000000</v>
      </c>
      <c r="J664" s="4">
        <v>-3260678.59</v>
      </c>
      <c r="L664" s="64" t="s">
        <v>3723</v>
      </c>
      <c r="M664" s="10"/>
      <c r="N664" s="4" t="s">
        <v>3917</v>
      </c>
    </row>
    <row r="665" spans="1:14" ht="15.75">
      <c r="A665" s="17">
        <f t="shared" si="42"/>
        <v>664</v>
      </c>
      <c r="C665" s="484">
        <v>45902</v>
      </c>
      <c r="D665" s="246" t="s">
        <v>3549</v>
      </c>
      <c r="G665" s="1129">
        <v>108987</v>
      </c>
      <c r="H665" s="4">
        <v>0</v>
      </c>
      <c r="I665" s="218">
        <f t="shared" si="41"/>
        <v>-108987</v>
      </c>
      <c r="J665" s="4">
        <v>-3369665.59</v>
      </c>
      <c r="L665" s="64" t="s">
        <v>3724</v>
      </c>
      <c r="M665" s="10"/>
      <c r="N665" s="4" t="s">
        <v>3917</v>
      </c>
    </row>
    <row r="666" spans="1:14" ht="15.75">
      <c r="A666" s="17">
        <f t="shared" si="42"/>
        <v>665</v>
      </c>
      <c r="C666" s="484">
        <v>45902</v>
      </c>
      <c r="D666" s="246" t="s">
        <v>3550</v>
      </c>
      <c r="G666" s="1129">
        <v>0</v>
      </c>
      <c r="H666" s="4">
        <v>72000</v>
      </c>
      <c r="I666" s="218">
        <f t="shared" si="41"/>
        <v>72000</v>
      </c>
      <c r="J666" s="4">
        <v>-3297665.59</v>
      </c>
      <c r="L666" s="64" t="s">
        <v>3721</v>
      </c>
      <c r="M666" s="10"/>
      <c r="N666" s="4" t="s">
        <v>3917</v>
      </c>
    </row>
    <row r="667" spans="1:14" ht="15.75">
      <c r="A667" s="17">
        <f t="shared" si="42"/>
        <v>666</v>
      </c>
      <c r="C667" s="484">
        <v>45902</v>
      </c>
      <c r="D667" s="246" t="s">
        <v>3551</v>
      </c>
      <c r="G667" s="1129">
        <v>375063</v>
      </c>
      <c r="H667" s="4">
        <v>0</v>
      </c>
      <c r="I667" s="218">
        <f t="shared" si="41"/>
        <v>-375063</v>
      </c>
      <c r="J667" s="4">
        <v>-3672728.59</v>
      </c>
      <c r="L667" s="64" t="s">
        <v>542</v>
      </c>
      <c r="M667" s="10"/>
      <c r="N667" s="4" t="s">
        <v>3917</v>
      </c>
    </row>
    <row r="668" spans="1:14" ht="15.75">
      <c r="A668" s="17">
        <f t="shared" si="42"/>
        <v>667</v>
      </c>
      <c r="C668" s="484">
        <v>45902</v>
      </c>
      <c r="D668" s="246" t="s">
        <v>3552</v>
      </c>
      <c r="G668" s="1129">
        <v>175500</v>
      </c>
      <c r="H668" s="4"/>
      <c r="I668" s="218">
        <f t="shared" si="41"/>
        <v>-175500</v>
      </c>
      <c r="J668" s="4">
        <v>-3848228.59</v>
      </c>
      <c r="L668" s="64" t="s">
        <v>3719</v>
      </c>
      <c r="M668" s="10"/>
      <c r="N668" s="4" t="s">
        <v>3917</v>
      </c>
    </row>
    <row r="669" spans="1:14" ht="15.75">
      <c r="A669" s="17">
        <f t="shared" si="42"/>
        <v>668</v>
      </c>
      <c r="C669" s="484">
        <v>45902</v>
      </c>
      <c r="D669" s="246" t="s">
        <v>3552</v>
      </c>
      <c r="G669" s="1129">
        <v>198900</v>
      </c>
      <c r="H669" s="4"/>
      <c r="I669" s="218">
        <f t="shared" si="41"/>
        <v>-198900</v>
      </c>
      <c r="J669" s="4">
        <v>-4047128.59</v>
      </c>
      <c r="L669" s="64" t="s">
        <v>3719</v>
      </c>
      <c r="M669" s="10"/>
      <c r="N669" s="4" t="s">
        <v>3917</v>
      </c>
    </row>
    <row r="670" spans="1:14" ht="15.75">
      <c r="A670" s="17">
        <f t="shared" si="42"/>
        <v>669</v>
      </c>
      <c r="C670" s="484">
        <v>45902</v>
      </c>
      <c r="D670" s="246" t="s">
        <v>3483</v>
      </c>
      <c r="G670" s="1129">
        <v>342500</v>
      </c>
      <c r="H670" s="4"/>
      <c r="I670" s="218">
        <f t="shared" si="41"/>
        <v>-342500</v>
      </c>
      <c r="J670" s="4">
        <v>-4389628.59</v>
      </c>
      <c r="L670" s="64" t="s">
        <v>3719</v>
      </c>
      <c r="M670" s="10"/>
      <c r="N670" s="4" t="s">
        <v>3917</v>
      </c>
    </row>
    <row r="671" spans="1:14" ht="15.75">
      <c r="A671" s="17">
        <f t="shared" si="42"/>
        <v>670</v>
      </c>
      <c r="C671" s="484">
        <v>45902</v>
      </c>
      <c r="D671" s="246" t="s">
        <v>3553</v>
      </c>
      <c r="G671" s="1129">
        <v>88500</v>
      </c>
      <c r="H671" s="4"/>
      <c r="I671" s="218">
        <f t="shared" si="41"/>
        <v>-88500</v>
      </c>
      <c r="J671" s="4">
        <v>-4478128.59</v>
      </c>
      <c r="L671" s="64" t="s">
        <v>3719</v>
      </c>
      <c r="M671" s="10"/>
      <c r="N671" s="4" t="s">
        <v>3917</v>
      </c>
    </row>
    <row r="672" spans="1:14" ht="15.75">
      <c r="A672" s="17">
        <f t="shared" si="42"/>
        <v>671</v>
      </c>
      <c r="C672" s="484">
        <v>45902</v>
      </c>
      <c r="D672" s="246" t="s">
        <v>3554</v>
      </c>
      <c r="G672" s="1129">
        <v>15340</v>
      </c>
      <c r="H672" s="4"/>
      <c r="I672" s="218">
        <f t="shared" si="41"/>
        <v>-15340</v>
      </c>
      <c r="J672" s="4">
        <v>-4493468.59</v>
      </c>
      <c r="L672" s="64" t="s">
        <v>3719</v>
      </c>
      <c r="M672" s="10"/>
      <c r="N672" s="4" t="s">
        <v>3917</v>
      </c>
    </row>
    <row r="673" spans="1:14" ht="15.75">
      <c r="A673" s="17">
        <f t="shared" si="42"/>
        <v>672</v>
      </c>
      <c r="C673" s="484">
        <v>45902</v>
      </c>
      <c r="D673" s="246" t="s">
        <v>3461</v>
      </c>
      <c r="G673" s="1129">
        <v>30000</v>
      </c>
      <c r="H673" s="4"/>
      <c r="I673" s="218">
        <f t="shared" si="41"/>
        <v>-30000</v>
      </c>
      <c r="J673" s="4">
        <v>-4523468.59</v>
      </c>
      <c r="L673" s="64" t="s">
        <v>3719</v>
      </c>
      <c r="M673" s="10"/>
      <c r="N673" s="4" t="s">
        <v>3917</v>
      </c>
    </row>
    <row r="674" spans="1:14" ht="15.75">
      <c r="A674" s="17">
        <f t="shared" si="42"/>
        <v>673</v>
      </c>
      <c r="C674" s="484">
        <v>45902</v>
      </c>
      <c r="D674" s="246" t="s">
        <v>871</v>
      </c>
      <c r="G674" s="1129">
        <v>21240</v>
      </c>
      <c r="H674" s="4"/>
      <c r="I674" s="218">
        <f t="shared" si="41"/>
        <v>-21240</v>
      </c>
      <c r="J674" s="4">
        <v>-4544708.59</v>
      </c>
      <c r="L674" s="64" t="s">
        <v>3719</v>
      </c>
      <c r="M674" s="10"/>
      <c r="N674" s="4" t="s">
        <v>3917</v>
      </c>
    </row>
    <row r="675" spans="1:14" ht="15.75">
      <c r="A675" s="17">
        <f t="shared" si="42"/>
        <v>674</v>
      </c>
      <c r="C675" s="484">
        <v>45902</v>
      </c>
      <c r="D675" s="246" t="s">
        <v>3555</v>
      </c>
      <c r="G675" s="1129">
        <v>40000</v>
      </c>
      <c r="H675" s="4"/>
      <c r="I675" s="218">
        <f t="shared" si="41"/>
        <v>-40000</v>
      </c>
      <c r="J675" s="4">
        <v>-4584708.59</v>
      </c>
      <c r="L675" s="64" t="s">
        <v>3724</v>
      </c>
      <c r="M675" s="10"/>
      <c r="N675" s="4" t="s">
        <v>3917</v>
      </c>
    </row>
    <row r="676" spans="1:14" ht="15.75">
      <c r="A676" s="17">
        <f t="shared" si="42"/>
        <v>675</v>
      </c>
      <c r="C676" s="484">
        <v>45902</v>
      </c>
      <c r="D676" s="246" t="s">
        <v>3556</v>
      </c>
      <c r="G676" s="1129">
        <v>22460</v>
      </c>
      <c r="H676" s="4"/>
      <c r="I676" s="218">
        <f t="shared" si="41"/>
        <v>-22460</v>
      </c>
      <c r="J676" s="4">
        <v>-4607168.59</v>
      </c>
      <c r="L676" s="64" t="s">
        <v>3724</v>
      </c>
      <c r="M676" s="10"/>
      <c r="N676" s="4" t="s">
        <v>3917</v>
      </c>
    </row>
    <row r="677" spans="1:14" ht="15.75">
      <c r="A677" s="17">
        <f t="shared" si="42"/>
        <v>676</v>
      </c>
      <c r="C677" s="484">
        <v>45902</v>
      </c>
      <c r="D677" s="246" t="s">
        <v>3450</v>
      </c>
      <c r="G677" s="1129">
        <v>39560</v>
      </c>
      <c r="H677" s="4"/>
      <c r="I677" s="218">
        <f t="shared" si="41"/>
        <v>-39560</v>
      </c>
      <c r="J677" s="4">
        <v>-4646728.59</v>
      </c>
      <c r="L677" s="64" t="s">
        <v>3719</v>
      </c>
      <c r="M677" s="10"/>
      <c r="N677" s="4" t="s">
        <v>3917</v>
      </c>
    </row>
    <row r="678" spans="1:14" ht="15.75">
      <c r="A678" s="17">
        <f t="shared" si="42"/>
        <v>677</v>
      </c>
      <c r="C678" s="484">
        <v>45902</v>
      </c>
      <c r="D678" s="246" t="s">
        <v>3450</v>
      </c>
      <c r="G678" s="1129">
        <v>39600</v>
      </c>
      <c r="H678" s="4"/>
      <c r="I678" s="218">
        <f t="shared" si="41"/>
        <v>-39600</v>
      </c>
      <c r="J678" s="4">
        <v>-4686328.59</v>
      </c>
      <c r="L678" s="64" t="s">
        <v>3719</v>
      </c>
      <c r="M678" s="10"/>
      <c r="N678" s="4" t="s">
        <v>3917</v>
      </c>
    </row>
    <row r="679" spans="1:14" ht="15.75">
      <c r="A679" s="17">
        <f t="shared" si="42"/>
        <v>678</v>
      </c>
      <c r="C679" s="484">
        <v>45902</v>
      </c>
      <c r="D679" s="246" t="s">
        <v>3450</v>
      </c>
      <c r="G679" s="1129">
        <v>39560</v>
      </c>
      <c r="H679" s="4"/>
      <c r="I679" s="218">
        <f t="shared" si="41"/>
        <v>-39560</v>
      </c>
      <c r="J679" s="4">
        <v>-4725888.59</v>
      </c>
      <c r="L679" s="64" t="s">
        <v>3719</v>
      </c>
      <c r="M679" s="10"/>
      <c r="N679" s="4" t="s">
        <v>3917</v>
      </c>
    </row>
    <row r="680" spans="1:14" ht="15.75">
      <c r="A680" s="17">
        <f t="shared" si="42"/>
        <v>679</v>
      </c>
      <c r="C680" s="484">
        <v>45902</v>
      </c>
      <c r="D680" s="246" t="s">
        <v>3450</v>
      </c>
      <c r="G680" s="1129">
        <v>27720</v>
      </c>
      <c r="H680" s="4"/>
      <c r="I680" s="218">
        <f t="shared" si="41"/>
        <v>-27720</v>
      </c>
      <c r="J680" s="4">
        <v>-4753608.59</v>
      </c>
      <c r="L680" s="64" t="s">
        <v>3719</v>
      </c>
      <c r="M680" s="10"/>
      <c r="N680" s="4" t="s">
        <v>3917</v>
      </c>
    </row>
    <row r="681" spans="1:14" ht="15.75">
      <c r="A681" s="17">
        <f t="shared" si="42"/>
        <v>680</v>
      </c>
      <c r="C681" s="484">
        <v>45902</v>
      </c>
      <c r="D681" s="246" t="s">
        <v>3557</v>
      </c>
      <c r="G681" s="1129">
        <v>3166</v>
      </c>
      <c r="H681" s="4"/>
      <c r="I681" s="218">
        <f t="shared" si="41"/>
        <v>-3166</v>
      </c>
      <c r="J681" s="4">
        <v>-4756774.59</v>
      </c>
      <c r="L681" s="64" t="s">
        <v>542</v>
      </c>
      <c r="M681" s="10"/>
      <c r="N681" s="4" t="s">
        <v>3917</v>
      </c>
    </row>
    <row r="682" spans="1:14" ht="15.75">
      <c r="A682" s="17">
        <f t="shared" si="42"/>
        <v>681</v>
      </c>
      <c r="C682" s="484">
        <v>45902</v>
      </c>
      <c r="D682" s="246" t="s">
        <v>3558</v>
      </c>
      <c r="G682" s="1129">
        <v>2348</v>
      </c>
      <c r="H682" s="4"/>
      <c r="I682" s="218">
        <f t="shared" si="41"/>
        <v>-2348</v>
      </c>
      <c r="J682" s="4">
        <v>-4759122.59</v>
      </c>
      <c r="L682" s="64" t="s">
        <v>542</v>
      </c>
      <c r="M682" s="10"/>
      <c r="N682" s="4" t="s">
        <v>3917</v>
      </c>
    </row>
    <row r="683" spans="1:14" ht="15.75">
      <c r="A683" s="17">
        <f t="shared" si="42"/>
        <v>682</v>
      </c>
      <c r="C683" s="484">
        <v>45902</v>
      </c>
      <c r="D683" s="246" t="s">
        <v>3558</v>
      </c>
      <c r="G683" s="1129">
        <v>1817</v>
      </c>
      <c r="H683" s="4"/>
      <c r="I683" s="218">
        <f t="shared" si="41"/>
        <v>-1817</v>
      </c>
      <c r="J683" s="4">
        <v>-4760939.59</v>
      </c>
      <c r="L683" s="64" t="s">
        <v>542</v>
      </c>
      <c r="M683" s="10"/>
      <c r="N683" s="4" t="s">
        <v>3917</v>
      </c>
    </row>
    <row r="684" spans="1:14" ht="15.75">
      <c r="A684" s="17">
        <f t="shared" si="42"/>
        <v>683</v>
      </c>
      <c r="C684" s="484">
        <v>45902</v>
      </c>
      <c r="D684" s="246" t="s">
        <v>3559</v>
      </c>
      <c r="G684" s="1129">
        <v>332640</v>
      </c>
      <c r="H684" s="4"/>
      <c r="I684" s="218">
        <f t="shared" si="41"/>
        <v>-332640</v>
      </c>
      <c r="J684" s="4">
        <v>-5093579.59</v>
      </c>
      <c r="L684" s="64" t="s">
        <v>3719</v>
      </c>
      <c r="M684" s="10"/>
      <c r="N684" s="4" t="s">
        <v>3917</v>
      </c>
    </row>
    <row r="685" spans="1:14" ht="15.75">
      <c r="A685" s="17">
        <f t="shared" si="42"/>
        <v>684</v>
      </c>
      <c r="C685" s="484">
        <v>45902</v>
      </c>
      <c r="D685" s="246" t="s">
        <v>3453</v>
      </c>
      <c r="G685" s="1129">
        <v>168490</v>
      </c>
      <c r="H685" s="4"/>
      <c r="I685" s="218">
        <f t="shared" si="41"/>
        <v>-168490</v>
      </c>
      <c r="J685" s="4">
        <v>-5262069.59</v>
      </c>
      <c r="L685" s="64" t="s">
        <v>3719</v>
      </c>
      <c r="M685" s="10"/>
      <c r="N685" s="4" t="s">
        <v>3917</v>
      </c>
    </row>
    <row r="686" spans="1:14" ht="15.75">
      <c r="A686" s="17">
        <f t="shared" si="42"/>
        <v>685</v>
      </c>
      <c r="C686" s="484">
        <v>45902</v>
      </c>
      <c r="D686" s="246" t="s">
        <v>502</v>
      </c>
      <c r="G686" s="1129">
        <v>24635.52</v>
      </c>
      <c r="H686" s="4"/>
      <c r="I686" s="218">
        <f t="shared" si="41"/>
        <v>-24635.52</v>
      </c>
      <c r="J686" s="4">
        <v>-5286705.1099999994</v>
      </c>
      <c r="L686" s="64" t="s">
        <v>3719</v>
      </c>
      <c r="M686" s="10"/>
      <c r="N686" s="4" t="s">
        <v>3917</v>
      </c>
    </row>
    <row r="687" spans="1:14" ht="15.75">
      <c r="A687" s="17">
        <f t="shared" si="42"/>
        <v>686</v>
      </c>
      <c r="C687" s="484">
        <v>45902</v>
      </c>
      <c r="D687" s="246" t="s">
        <v>502</v>
      </c>
      <c r="G687" s="1129">
        <v>21454.560000000001</v>
      </c>
      <c r="H687" s="4"/>
      <c r="I687" s="218">
        <f t="shared" si="41"/>
        <v>-21454.560000000001</v>
      </c>
      <c r="J687" s="4">
        <v>-5308159.669999999</v>
      </c>
      <c r="L687" s="64" t="s">
        <v>3719</v>
      </c>
      <c r="M687" s="10"/>
      <c r="N687" s="4" t="s">
        <v>3917</v>
      </c>
    </row>
    <row r="688" spans="1:14" ht="15.75">
      <c r="A688" s="17">
        <f t="shared" si="42"/>
        <v>687</v>
      </c>
      <c r="C688" s="484">
        <v>45902</v>
      </c>
      <c r="D688" s="246" t="s">
        <v>502</v>
      </c>
      <c r="G688" s="1129">
        <v>2700</v>
      </c>
      <c r="H688" s="4"/>
      <c r="I688" s="218">
        <f t="shared" si="41"/>
        <v>-2700</v>
      </c>
      <c r="J688" s="4">
        <v>-5310859.669999999</v>
      </c>
      <c r="L688" s="64" t="s">
        <v>3719</v>
      </c>
      <c r="M688" s="10"/>
      <c r="N688" s="4" t="s">
        <v>3917</v>
      </c>
    </row>
    <row r="689" spans="1:14" ht="15.75">
      <c r="A689" s="17">
        <f t="shared" si="42"/>
        <v>688</v>
      </c>
      <c r="C689" s="484">
        <v>45902</v>
      </c>
      <c r="D689" s="246" t="s">
        <v>502</v>
      </c>
      <c r="G689" s="1129">
        <v>23755.68</v>
      </c>
      <c r="H689" s="4"/>
      <c r="I689" s="218">
        <f t="shared" si="41"/>
        <v>-23755.68</v>
      </c>
      <c r="J689" s="4">
        <v>-5334615.3499999987</v>
      </c>
      <c r="L689" s="64" t="s">
        <v>3719</v>
      </c>
      <c r="M689" s="10"/>
      <c r="N689" s="4" t="s">
        <v>3917</v>
      </c>
    </row>
    <row r="690" spans="1:14" ht="15.75">
      <c r="A690" s="17">
        <f t="shared" si="42"/>
        <v>689</v>
      </c>
      <c r="C690" s="484">
        <v>45902</v>
      </c>
      <c r="D690" s="246" t="s">
        <v>502</v>
      </c>
      <c r="G690" s="1129">
        <v>39780</v>
      </c>
      <c r="H690" s="4"/>
      <c r="I690" s="218">
        <f t="shared" si="41"/>
        <v>-39780</v>
      </c>
      <c r="J690" s="4">
        <v>-5374395.3499999987</v>
      </c>
      <c r="L690" s="64" t="s">
        <v>3719</v>
      </c>
      <c r="M690" s="10"/>
      <c r="N690" s="4" t="s">
        <v>3917</v>
      </c>
    </row>
    <row r="691" spans="1:14" ht="15.75">
      <c r="A691" s="17">
        <f t="shared" si="42"/>
        <v>690</v>
      </c>
      <c r="C691" s="484">
        <v>45902</v>
      </c>
      <c r="D691" s="246" t="s">
        <v>3560</v>
      </c>
      <c r="G691" s="1129">
        <v>979400</v>
      </c>
      <c r="H691" s="4"/>
      <c r="I691" s="218">
        <f t="shared" si="41"/>
        <v>-979400</v>
      </c>
      <c r="J691" s="4">
        <v>-6353795.3499999987</v>
      </c>
      <c r="L691" s="64" t="s">
        <v>3719</v>
      </c>
      <c r="M691" s="10"/>
      <c r="N691" s="4" t="s">
        <v>3917</v>
      </c>
    </row>
    <row r="692" spans="1:14" ht="15.75">
      <c r="A692" s="17">
        <f t="shared" si="42"/>
        <v>691</v>
      </c>
      <c r="C692" s="484">
        <v>45902</v>
      </c>
      <c r="D692" s="246" t="s">
        <v>3497</v>
      </c>
      <c r="G692" s="1129">
        <v>399926</v>
      </c>
      <c r="H692" s="4"/>
      <c r="I692" s="218">
        <f t="shared" si="41"/>
        <v>-399926</v>
      </c>
      <c r="J692" s="4">
        <v>-6753721.3499999987</v>
      </c>
      <c r="L692" s="64" t="s">
        <v>3719</v>
      </c>
      <c r="M692" s="10"/>
      <c r="N692" s="4" t="s">
        <v>3917</v>
      </c>
    </row>
    <row r="693" spans="1:14" ht="15.75">
      <c r="A693" s="17">
        <f t="shared" si="42"/>
        <v>692</v>
      </c>
      <c r="C693" s="484">
        <v>45902</v>
      </c>
      <c r="D693" s="246" t="s">
        <v>3497</v>
      </c>
      <c r="G693" s="1129">
        <v>324264</v>
      </c>
      <c r="H693" s="4"/>
      <c r="I693" s="218">
        <f t="shared" si="41"/>
        <v>-324264</v>
      </c>
      <c r="J693" s="4">
        <v>-7077985.3499999987</v>
      </c>
      <c r="L693" s="64" t="s">
        <v>3719</v>
      </c>
      <c r="M693" s="10"/>
      <c r="N693" s="4" t="s">
        <v>3917</v>
      </c>
    </row>
    <row r="694" spans="1:14" ht="15.75">
      <c r="A694" s="17">
        <f t="shared" si="42"/>
        <v>693</v>
      </c>
      <c r="C694" s="484">
        <v>45902</v>
      </c>
      <c r="D694" s="246" t="s">
        <v>3497</v>
      </c>
      <c r="G694" s="1129">
        <v>145913</v>
      </c>
      <c r="H694" s="4"/>
      <c r="I694" s="218">
        <f t="shared" si="41"/>
        <v>-145913</v>
      </c>
      <c r="J694" s="4">
        <v>-7223898.3499999987</v>
      </c>
      <c r="L694" s="64" t="s">
        <v>3719</v>
      </c>
      <c r="M694" s="10"/>
      <c r="N694" s="4" t="s">
        <v>3917</v>
      </c>
    </row>
    <row r="695" spans="1:14" ht="15.75">
      <c r="A695" s="17">
        <f t="shared" si="42"/>
        <v>694</v>
      </c>
      <c r="C695" s="484">
        <v>45902</v>
      </c>
      <c r="D695" s="246" t="s">
        <v>3497</v>
      </c>
      <c r="G695" s="1129">
        <v>129267</v>
      </c>
      <c r="H695" s="4"/>
      <c r="I695" s="218">
        <f t="shared" si="41"/>
        <v>-129267</v>
      </c>
      <c r="J695" s="4">
        <v>-7353165.3499999987</v>
      </c>
      <c r="L695" s="64" t="s">
        <v>3719</v>
      </c>
      <c r="M695" s="10"/>
      <c r="N695" s="4" t="s">
        <v>3917</v>
      </c>
    </row>
    <row r="696" spans="1:14" ht="15.75">
      <c r="A696" s="17">
        <f t="shared" si="42"/>
        <v>695</v>
      </c>
      <c r="C696" s="484">
        <v>45902</v>
      </c>
      <c r="D696" s="246" t="s">
        <v>3497</v>
      </c>
      <c r="G696" s="1129">
        <v>117457</v>
      </c>
      <c r="H696" s="4"/>
      <c r="I696" s="218">
        <f t="shared" si="41"/>
        <v>-117457</v>
      </c>
      <c r="J696" s="4">
        <v>-7470622.3499999987</v>
      </c>
      <c r="L696" s="64" t="s">
        <v>3719</v>
      </c>
      <c r="M696" s="10"/>
      <c r="N696" s="4" t="s">
        <v>3917</v>
      </c>
    </row>
    <row r="697" spans="1:14" ht="15.75">
      <c r="A697" s="17">
        <f t="shared" si="42"/>
        <v>696</v>
      </c>
      <c r="C697" s="484">
        <v>45902</v>
      </c>
      <c r="D697" s="246" t="s">
        <v>1490</v>
      </c>
      <c r="G697" s="1129">
        <v>19800</v>
      </c>
      <c r="H697" s="4"/>
      <c r="I697" s="218">
        <f t="shared" si="41"/>
        <v>-19800</v>
      </c>
      <c r="J697" s="4">
        <v>-7490422.3499999987</v>
      </c>
      <c r="L697" s="64" t="s">
        <v>3724</v>
      </c>
      <c r="M697" s="10"/>
      <c r="N697" s="4" t="s">
        <v>3917</v>
      </c>
    </row>
    <row r="698" spans="1:14" ht="15.75">
      <c r="A698" s="17">
        <f t="shared" si="42"/>
        <v>697</v>
      </c>
      <c r="C698" s="484">
        <v>45902</v>
      </c>
      <c r="D698" s="246" t="s">
        <v>609</v>
      </c>
      <c r="G698" s="1129">
        <v>150000</v>
      </c>
      <c r="H698" s="4"/>
      <c r="I698" s="218">
        <f t="shared" si="41"/>
        <v>-150000</v>
      </c>
      <c r="J698" s="4">
        <v>-7640422.3499999987</v>
      </c>
      <c r="L698" s="64" t="s">
        <v>3719</v>
      </c>
      <c r="M698" s="10"/>
      <c r="N698" s="4" t="s">
        <v>3917</v>
      </c>
    </row>
    <row r="699" spans="1:14" ht="15.75">
      <c r="A699" s="17">
        <f t="shared" si="42"/>
        <v>698</v>
      </c>
      <c r="C699" s="484">
        <v>45902</v>
      </c>
      <c r="D699" s="246" t="s">
        <v>3507</v>
      </c>
      <c r="G699" s="1129">
        <v>1197</v>
      </c>
      <c r="H699" s="4"/>
      <c r="I699" s="218">
        <f t="shared" si="41"/>
        <v>-1197</v>
      </c>
      <c r="J699" s="4">
        <v>-7641619.3499999987</v>
      </c>
      <c r="L699" s="64" t="s">
        <v>542</v>
      </c>
      <c r="M699" s="10"/>
      <c r="N699" s="4" t="s">
        <v>3917</v>
      </c>
    </row>
    <row r="700" spans="1:14" ht="15.75">
      <c r="A700" s="17">
        <f t="shared" si="42"/>
        <v>699</v>
      </c>
      <c r="C700" s="484">
        <v>45902</v>
      </c>
      <c r="D700" s="246" t="s">
        <v>3357</v>
      </c>
      <c r="G700" s="1129">
        <v>810000</v>
      </c>
      <c r="H700" s="4"/>
      <c r="I700" s="218">
        <f t="shared" si="41"/>
        <v>-810000</v>
      </c>
      <c r="J700" s="4">
        <v>-8451619.3499999978</v>
      </c>
      <c r="L700" s="64" t="s">
        <v>3726</v>
      </c>
      <c r="M700" s="10"/>
      <c r="N700" s="4" t="s">
        <v>3917</v>
      </c>
    </row>
    <row r="701" spans="1:14" ht="15.75">
      <c r="A701" s="17">
        <f t="shared" si="42"/>
        <v>700</v>
      </c>
      <c r="C701" s="484">
        <v>45902</v>
      </c>
      <c r="D701" s="246" t="s">
        <v>3561</v>
      </c>
      <c r="G701" s="1129">
        <v>87210</v>
      </c>
      <c r="H701" s="4"/>
      <c r="I701" s="218">
        <f t="shared" si="41"/>
        <v>-87210</v>
      </c>
      <c r="J701" s="4">
        <v>-8538829.3499999978</v>
      </c>
      <c r="L701" s="64" t="s">
        <v>542</v>
      </c>
      <c r="M701" s="10"/>
      <c r="N701" s="4" t="s">
        <v>3917</v>
      </c>
    </row>
    <row r="702" spans="1:14" ht="15.75">
      <c r="A702" s="17">
        <f t="shared" si="42"/>
        <v>701</v>
      </c>
      <c r="C702" s="484">
        <v>45902</v>
      </c>
      <c r="D702" s="246" t="s">
        <v>3562</v>
      </c>
      <c r="G702" s="1129">
        <v>52500</v>
      </c>
      <c r="H702" s="4"/>
      <c r="I702" s="218">
        <f t="shared" si="41"/>
        <v>-52500</v>
      </c>
      <c r="J702" s="4">
        <v>-8591329.3499999978</v>
      </c>
      <c r="L702" s="64" t="s">
        <v>542</v>
      </c>
      <c r="M702" s="10"/>
      <c r="N702" s="4" t="s">
        <v>3917</v>
      </c>
    </row>
    <row r="703" spans="1:14" ht="15.75">
      <c r="A703" s="17">
        <f t="shared" si="42"/>
        <v>702</v>
      </c>
      <c r="C703" s="484">
        <v>45902</v>
      </c>
      <c r="D703" s="246" t="s">
        <v>3563</v>
      </c>
      <c r="G703" s="1129">
        <v>0</v>
      </c>
      <c r="H703" s="4">
        <v>101917.52</v>
      </c>
      <c r="I703" s="218">
        <f t="shared" si="41"/>
        <v>101917.52</v>
      </c>
      <c r="J703" s="4">
        <v>-8489411.8300000001</v>
      </c>
      <c r="L703" s="64" t="s">
        <v>3725</v>
      </c>
      <c r="M703" s="10"/>
      <c r="N703" s="4" t="s">
        <v>3918</v>
      </c>
    </row>
  </sheetData>
  <autoFilter ref="A1:Q703" xr:uid="{1E6637A8-4C1C-4DF8-A875-36C0440F86EA}"/>
  <dataValidations disablePrompts="1" count="1">
    <dataValidation type="list" allowBlank="1" showInputMessage="1" showErrorMessage="1" sqref="L6 L44:L48 L14:L23 L8 L27:L30 L32 L34 L12 L37:L41" xr:uid="{835DE134-638D-4B6A-99B4-8250CC6D0AF8}">
      <formula1>#REF!</formula1>
    </dataValidation>
  </dataValidations>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B21C8-7695-49D0-B553-A7903BD5F4F2}">
  <dimension ref="A1:N167"/>
  <sheetViews>
    <sheetView workbookViewId="0">
      <pane ySplit="1" topLeftCell="A2" activePane="bottomLeft" state="frozen"/>
      <selection pane="bottomLeft" activeCell="I1" sqref="I1"/>
    </sheetView>
  </sheetViews>
  <sheetFormatPr defaultRowHeight="12.75"/>
  <cols>
    <col min="1" max="1" width="8.88671875" style="16"/>
    <col min="2" max="2" width="13.44140625" style="16" bestFit="1" customWidth="1"/>
    <col min="3" max="3" width="9.88671875" style="91" bestFit="1" customWidth="1"/>
    <col min="4" max="4" width="9.88671875" style="56" customWidth="1"/>
    <col min="5" max="5" width="19" style="16" bestFit="1" customWidth="1"/>
    <col min="6" max="6" width="11" style="16" bestFit="1" customWidth="1"/>
    <col min="7" max="8" width="13.77734375" style="16" bestFit="1" customWidth="1"/>
    <col min="9" max="9" width="13.77734375" style="16" customWidth="1"/>
    <col min="10" max="10" width="12.5546875" style="91" bestFit="1" customWidth="1"/>
    <col min="11" max="11" width="18.109375" style="16" bestFit="1" customWidth="1"/>
    <col min="12" max="12" width="11.88671875" style="16" bestFit="1" customWidth="1"/>
    <col min="13" max="13" width="14.88671875" style="16" bestFit="1" customWidth="1"/>
    <col min="14" max="14" width="8.88671875" style="16"/>
    <col min="15" max="16" width="11.33203125" style="16" bestFit="1" customWidth="1"/>
    <col min="17" max="17" width="9.6640625" style="16" bestFit="1" customWidth="1"/>
    <col min="18" max="16384" width="8.88671875" style="16"/>
  </cols>
  <sheetData>
    <row r="1" spans="1:14" ht="13.5">
      <c r="A1" s="1195" t="s">
        <v>897</v>
      </c>
      <c r="B1" s="1217" t="s">
        <v>53</v>
      </c>
      <c r="C1" s="1218" t="s">
        <v>54</v>
      </c>
      <c r="D1" s="113" t="s">
        <v>93</v>
      </c>
      <c r="E1" s="1217" t="s">
        <v>66</v>
      </c>
      <c r="F1" s="1217" t="s">
        <v>65</v>
      </c>
      <c r="G1" s="1182" t="s">
        <v>375</v>
      </c>
      <c r="H1" s="1182" t="s">
        <v>6</v>
      </c>
      <c r="I1" s="1182" t="s">
        <v>993</v>
      </c>
      <c r="J1" s="150" t="s">
        <v>123</v>
      </c>
      <c r="K1" s="1217" t="s">
        <v>64</v>
      </c>
      <c r="L1" s="1182" t="s">
        <v>376</v>
      </c>
      <c r="M1" s="1183" t="s">
        <v>7</v>
      </c>
      <c r="N1" s="1219" t="s">
        <v>3915</v>
      </c>
    </row>
    <row r="2" spans="1:14" ht="13.5">
      <c r="A2" s="93">
        <v>1</v>
      </c>
      <c r="B2" s="93" t="s">
        <v>1217</v>
      </c>
      <c r="C2" s="147">
        <v>45833</v>
      </c>
      <c r="D2" s="113"/>
      <c r="E2" s="93" t="s">
        <v>63</v>
      </c>
      <c r="F2" s="93" t="s">
        <v>1218</v>
      </c>
      <c r="G2" s="94">
        <v>50000000</v>
      </c>
      <c r="H2" s="94">
        <v>0</v>
      </c>
      <c r="I2" s="94">
        <f>H2-G2</f>
        <v>-50000000</v>
      </c>
      <c r="J2" s="183">
        <v>-96597974.579999998</v>
      </c>
      <c r="K2" s="93"/>
      <c r="L2" s="93" t="s">
        <v>3718</v>
      </c>
      <c r="M2" s="93" t="str">
        <f>L2</f>
        <v>Intra company transfer</v>
      </c>
      <c r="N2" s="16" t="s">
        <v>3917</v>
      </c>
    </row>
    <row r="3" spans="1:14" ht="13.5">
      <c r="A3" s="93">
        <f>A2+1</f>
        <v>2</v>
      </c>
      <c r="B3" s="93" t="s">
        <v>1219</v>
      </c>
      <c r="C3" s="147">
        <v>45833</v>
      </c>
      <c r="D3" s="113"/>
      <c r="E3" s="93" t="s">
        <v>59</v>
      </c>
      <c r="F3" s="93" t="s">
        <v>1220</v>
      </c>
      <c r="G3" s="94">
        <v>95660.07</v>
      </c>
      <c r="H3" s="94">
        <v>0</v>
      </c>
      <c r="I3" s="94">
        <f t="shared" ref="I3:I36" si="0">H3-G3</f>
        <v>-95660.07</v>
      </c>
      <c r="J3" s="183">
        <v>-96693634.650000006</v>
      </c>
      <c r="K3" s="93"/>
      <c r="L3" s="93" t="s">
        <v>3726</v>
      </c>
      <c r="M3" s="93" t="str">
        <f t="shared" ref="M3:M35" si="1">L3</f>
        <v>Other finance charges</v>
      </c>
      <c r="N3" s="16" t="s">
        <v>3917</v>
      </c>
    </row>
    <row r="4" spans="1:14" ht="13.5">
      <c r="A4" s="93">
        <f t="shared" ref="A4:A68" si="2">A3+1</f>
        <v>3</v>
      </c>
      <c r="B4" s="93" t="s">
        <v>1221</v>
      </c>
      <c r="C4" s="147">
        <v>45833</v>
      </c>
      <c r="D4" s="113"/>
      <c r="E4" s="93" t="s">
        <v>1222</v>
      </c>
      <c r="F4" s="93" t="s">
        <v>1223</v>
      </c>
      <c r="G4" s="94">
        <v>0</v>
      </c>
      <c r="H4" s="94">
        <v>40000000</v>
      </c>
      <c r="I4" s="94">
        <f t="shared" si="0"/>
        <v>40000000</v>
      </c>
      <c r="J4" s="183">
        <v>-56693634.649999999</v>
      </c>
      <c r="K4" s="93"/>
      <c r="L4" s="93" t="s">
        <v>3718</v>
      </c>
      <c r="M4" s="93" t="str">
        <f t="shared" si="1"/>
        <v>Intra company transfer</v>
      </c>
      <c r="N4" s="16" t="s">
        <v>3917</v>
      </c>
    </row>
    <row r="5" spans="1:14" ht="13.5">
      <c r="A5" s="93">
        <f t="shared" si="2"/>
        <v>4</v>
      </c>
      <c r="B5" s="93" t="s">
        <v>1224</v>
      </c>
      <c r="C5" s="147">
        <v>45834</v>
      </c>
      <c r="D5" s="113"/>
      <c r="E5" s="93" t="s">
        <v>1225</v>
      </c>
      <c r="F5" s="93" t="s">
        <v>1226</v>
      </c>
      <c r="G5" s="94">
        <v>0</v>
      </c>
      <c r="H5" s="94">
        <v>1350000</v>
      </c>
      <c r="I5" s="94">
        <f t="shared" si="0"/>
        <v>1350000</v>
      </c>
      <c r="J5" s="183">
        <v>-55343634.649999999</v>
      </c>
      <c r="K5" s="93"/>
      <c r="L5" s="52" t="s">
        <v>3723</v>
      </c>
      <c r="M5" s="93" t="str">
        <f t="shared" si="1"/>
        <v>Revenue from operation</v>
      </c>
      <c r="N5" s="16" t="s">
        <v>3917</v>
      </c>
    </row>
    <row r="6" spans="1:14" ht="13.5">
      <c r="A6" s="93">
        <f t="shared" si="2"/>
        <v>5</v>
      </c>
      <c r="B6" s="136">
        <v>45834.496365740742</v>
      </c>
      <c r="C6" s="147">
        <v>45834</v>
      </c>
      <c r="D6" s="113"/>
      <c r="E6" s="93" t="s">
        <v>62</v>
      </c>
      <c r="F6" s="93" t="s">
        <v>61</v>
      </c>
      <c r="G6" s="94">
        <v>0</v>
      </c>
      <c r="H6" s="94">
        <v>1350000</v>
      </c>
      <c r="I6" s="94">
        <f t="shared" si="0"/>
        <v>1350000</v>
      </c>
      <c r="J6" s="183">
        <f>J4+H6-G6</f>
        <v>-55343634.649999999</v>
      </c>
      <c r="K6" s="93" t="s">
        <v>60</v>
      </c>
      <c r="L6" s="52" t="s">
        <v>3723</v>
      </c>
      <c r="M6" s="93" t="str">
        <f t="shared" si="1"/>
        <v>Revenue from operation</v>
      </c>
      <c r="N6" s="16" t="s">
        <v>3917</v>
      </c>
    </row>
    <row r="7" spans="1:14" ht="13.5">
      <c r="A7" s="93">
        <f t="shared" si="2"/>
        <v>6</v>
      </c>
      <c r="B7" s="136">
        <v>45834.764502314814</v>
      </c>
      <c r="C7" s="147">
        <v>45834</v>
      </c>
      <c r="D7" s="113"/>
      <c r="E7" s="93" t="s">
        <v>59</v>
      </c>
      <c r="F7" s="93" t="s">
        <v>58</v>
      </c>
      <c r="G7" s="94">
        <v>679755.99</v>
      </c>
      <c r="H7" s="94">
        <v>0</v>
      </c>
      <c r="I7" s="94">
        <f t="shared" si="0"/>
        <v>-679755.99</v>
      </c>
      <c r="J7" s="183">
        <f>J5+H7-G7</f>
        <v>-56023390.640000001</v>
      </c>
      <c r="K7" s="93" t="s">
        <v>57</v>
      </c>
      <c r="L7" s="52" t="s">
        <v>3726</v>
      </c>
      <c r="M7" s="93" t="str">
        <f t="shared" si="1"/>
        <v>Other finance charges</v>
      </c>
      <c r="N7" s="16" t="s">
        <v>3917</v>
      </c>
    </row>
    <row r="8" spans="1:14" ht="13.5">
      <c r="A8" s="93">
        <f t="shared" si="2"/>
        <v>7</v>
      </c>
      <c r="B8" s="195" t="s">
        <v>155</v>
      </c>
      <c r="C8" s="190">
        <v>45835</v>
      </c>
      <c r="D8" s="113"/>
      <c r="E8" s="95" t="s">
        <v>154</v>
      </c>
      <c r="F8" s="95" t="s">
        <v>3</v>
      </c>
      <c r="G8" s="96">
        <v>18398130</v>
      </c>
      <c r="H8" s="96">
        <v>0</v>
      </c>
      <c r="I8" s="94">
        <f t="shared" si="0"/>
        <v>-18398130</v>
      </c>
      <c r="J8" s="184">
        <v>-74421520.640000001</v>
      </c>
      <c r="K8" s="95" t="s">
        <v>57</v>
      </c>
      <c r="L8" s="100" t="s">
        <v>984</v>
      </c>
      <c r="M8" s="93" t="str">
        <f t="shared" si="1"/>
        <v>LC/BG Payable</v>
      </c>
      <c r="N8" s="16" t="s">
        <v>3917</v>
      </c>
    </row>
    <row r="9" spans="1:14" ht="13.5">
      <c r="A9" s="93">
        <f t="shared" si="2"/>
        <v>8</v>
      </c>
      <c r="B9" s="195" t="s">
        <v>153</v>
      </c>
      <c r="C9" s="190">
        <v>45835</v>
      </c>
      <c r="D9" s="113"/>
      <c r="E9" s="95" t="s">
        <v>152</v>
      </c>
      <c r="F9" s="95" t="s">
        <v>0</v>
      </c>
      <c r="G9" s="96">
        <v>0</v>
      </c>
      <c r="H9" s="96">
        <v>11900000</v>
      </c>
      <c r="I9" s="94">
        <f t="shared" si="0"/>
        <v>11900000</v>
      </c>
      <c r="J9" s="184">
        <v>-62521520.640000001</v>
      </c>
      <c r="K9" s="95" t="s">
        <v>151</v>
      </c>
      <c r="L9" s="52" t="s">
        <v>3718</v>
      </c>
      <c r="M9" s="93" t="str">
        <f t="shared" si="1"/>
        <v>Intra company transfer</v>
      </c>
      <c r="N9" s="16" t="s">
        <v>3917</v>
      </c>
    </row>
    <row r="10" spans="1:14" ht="13.5">
      <c r="A10" s="93">
        <f t="shared" si="2"/>
        <v>9</v>
      </c>
      <c r="B10" s="147">
        <f>B9+1</f>
        <v>45836.837500000001</v>
      </c>
      <c r="C10" s="147">
        <f>C9+1</f>
        <v>45836</v>
      </c>
      <c r="D10" s="113"/>
      <c r="E10" s="93"/>
      <c r="F10" s="93"/>
      <c r="G10" s="94">
        <v>0</v>
      </c>
      <c r="H10" s="94">
        <v>0</v>
      </c>
      <c r="I10" s="94">
        <f t="shared" si="0"/>
        <v>0</v>
      </c>
      <c r="J10" s="184">
        <v>-62521520.640000001</v>
      </c>
      <c r="K10" s="93"/>
      <c r="L10" s="93" t="s">
        <v>3718</v>
      </c>
      <c r="M10" s="93" t="str">
        <f t="shared" si="1"/>
        <v>Intra company transfer</v>
      </c>
      <c r="N10" s="16" t="s">
        <v>3917</v>
      </c>
    </row>
    <row r="11" spans="1:14" ht="13.5">
      <c r="A11" s="93">
        <f t="shared" si="2"/>
        <v>10</v>
      </c>
      <c r="B11" s="147">
        <f>B10+1</f>
        <v>45837.837500000001</v>
      </c>
      <c r="C11" s="147">
        <f>C10+1</f>
        <v>45837</v>
      </c>
      <c r="D11" s="113"/>
      <c r="E11" s="93"/>
      <c r="F11" s="93"/>
      <c r="G11" s="94">
        <v>0</v>
      </c>
      <c r="H11" s="94">
        <v>0</v>
      </c>
      <c r="I11" s="94">
        <f t="shared" si="0"/>
        <v>0</v>
      </c>
      <c r="J11" s="184">
        <v>-62521520.640000001</v>
      </c>
      <c r="K11" s="93"/>
      <c r="L11" s="93" t="s">
        <v>3718</v>
      </c>
      <c r="M11" s="93" t="str">
        <f t="shared" si="1"/>
        <v>Intra company transfer</v>
      </c>
      <c r="N11" s="16" t="s">
        <v>3917</v>
      </c>
    </row>
    <row r="12" spans="1:14" ht="13.5">
      <c r="A12" s="93">
        <f t="shared" si="2"/>
        <v>11</v>
      </c>
      <c r="B12" s="100" t="s">
        <v>305</v>
      </c>
      <c r="C12" s="104">
        <v>45838</v>
      </c>
      <c r="D12" s="113"/>
      <c r="E12" s="52" t="s">
        <v>306</v>
      </c>
      <c r="F12" s="52" t="s">
        <v>307</v>
      </c>
      <c r="G12" s="94">
        <v>0</v>
      </c>
      <c r="H12" s="103">
        <v>20000000</v>
      </c>
      <c r="I12" s="94">
        <f t="shared" si="0"/>
        <v>20000000</v>
      </c>
      <c r="J12" s="106">
        <v>-42521520.640000001</v>
      </c>
      <c r="K12" s="52" t="s">
        <v>308</v>
      </c>
      <c r="L12" s="93" t="s">
        <v>3718</v>
      </c>
      <c r="M12" s="93" t="str">
        <f t="shared" si="1"/>
        <v>Intra company transfer</v>
      </c>
      <c r="N12" s="16" t="s">
        <v>3917</v>
      </c>
    </row>
    <row r="13" spans="1:14" ht="13.5">
      <c r="A13" s="93">
        <f t="shared" si="2"/>
        <v>12</v>
      </c>
      <c r="B13" s="100" t="s">
        <v>309</v>
      </c>
      <c r="C13" s="104">
        <v>45838</v>
      </c>
      <c r="D13" s="113"/>
      <c r="E13" s="52" t="s">
        <v>310</v>
      </c>
      <c r="F13" s="52" t="s">
        <v>311</v>
      </c>
      <c r="G13" s="94">
        <v>0</v>
      </c>
      <c r="H13" s="103">
        <v>1000000</v>
      </c>
      <c r="I13" s="94">
        <f t="shared" si="0"/>
        <v>1000000</v>
      </c>
      <c r="J13" s="106">
        <v>-41521520.640000001</v>
      </c>
      <c r="K13" s="52" t="s">
        <v>308</v>
      </c>
      <c r="L13" s="93" t="s">
        <v>3718</v>
      </c>
      <c r="M13" s="93" t="str">
        <f t="shared" si="1"/>
        <v>Intra company transfer</v>
      </c>
      <c r="N13" s="16" t="s">
        <v>3917</v>
      </c>
    </row>
    <row r="14" spans="1:14" ht="13.5">
      <c r="A14" s="93">
        <f t="shared" si="2"/>
        <v>13</v>
      </c>
      <c r="B14" s="100" t="s">
        <v>312</v>
      </c>
      <c r="C14" s="104">
        <v>45838</v>
      </c>
      <c r="D14" s="113"/>
      <c r="E14" s="52" t="s">
        <v>313</v>
      </c>
      <c r="F14" s="52" t="s">
        <v>314</v>
      </c>
      <c r="G14" s="94">
        <v>0</v>
      </c>
      <c r="H14" s="103">
        <v>721150.65</v>
      </c>
      <c r="I14" s="94">
        <f t="shared" si="0"/>
        <v>721150.65</v>
      </c>
      <c r="J14" s="106">
        <v>-40800369.990000002</v>
      </c>
      <c r="K14" s="52" t="s">
        <v>60</v>
      </c>
      <c r="L14" s="52" t="s">
        <v>3723</v>
      </c>
      <c r="M14" s="93" t="str">
        <f t="shared" si="1"/>
        <v>Revenue from operation</v>
      </c>
      <c r="N14" s="16" t="s">
        <v>3917</v>
      </c>
    </row>
    <row r="15" spans="1:14" ht="13.5">
      <c r="A15" s="93">
        <f t="shared" si="2"/>
        <v>14</v>
      </c>
      <c r="B15" s="100" t="s">
        <v>315</v>
      </c>
      <c r="C15" s="104">
        <v>45838</v>
      </c>
      <c r="D15" s="113"/>
      <c r="E15" s="52" t="s">
        <v>316</v>
      </c>
      <c r="F15" s="52" t="s">
        <v>317</v>
      </c>
      <c r="G15" s="94">
        <v>0</v>
      </c>
      <c r="H15" s="103">
        <v>1442351.26</v>
      </c>
      <c r="I15" s="94">
        <f t="shared" si="0"/>
        <v>1442351.26</v>
      </c>
      <c r="J15" s="106">
        <v>-39358018.729999997</v>
      </c>
      <c r="K15" s="52" t="s">
        <v>60</v>
      </c>
      <c r="L15" s="52" t="s">
        <v>3723</v>
      </c>
      <c r="M15" s="93" t="str">
        <f t="shared" si="1"/>
        <v>Revenue from operation</v>
      </c>
      <c r="N15" s="16" t="s">
        <v>3917</v>
      </c>
    </row>
    <row r="16" spans="1:14" ht="13.5">
      <c r="A16" s="93">
        <f t="shared" si="2"/>
        <v>15</v>
      </c>
      <c r="B16" s="100" t="s">
        <v>318</v>
      </c>
      <c r="C16" s="104">
        <v>45838</v>
      </c>
      <c r="D16" s="113"/>
      <c r="E16" s="52" t="s">
        <v>319</v>
      </c>
      <c r="F16" s="52" t="s">
        <v>320</v>
      </c>
      <c r="G16" s="94">
        <v>0</v>
      </c>
      <c r="H16" s="103">
        <v>9912457.8599999994</v>
      </c>
      <c r="I16" s="94">
        <f t="shared" si="0"/>
        <v>9912457.8599999994</v>
      </c>
      <c r="J16" s="106">
        <v>-29445560.870000001</v>
      </c>
      <c r="K16" s="52" t="s">
        <v>60</v>
      </c>
      <c r="L16" s="52" t="s">
        <v>3723</v>
      </c>
      <c r="M16" s="93" t="str">
        <f t="shared" si="1"/>
        <v>Revenue from operation</v>
      </c>
      <c r="N16" s="16" t="s">
        <v>3917</v>
      </c>
    </row>
    <row r="17" spans="1:14" ht="13.5">
      <c r="A17" s="93">
        <f t="shared" si="2"/>
        <v>16</v>
      </c>
      <c r="B17" s="100" t="s">
        <v>318</v>
      </c>
      <c r="C17" s="104">
        <v>45838</v>
      </c>
      <c r="D17" s="113"/>
      <c r="E17" s="52" t="s">
        <v>321</v>
      </c>
      <c r="F17" s="52" t="s">
        <v>322</v>
      </c>
      <c r="G17" s="94">
        <v>0</v>
      </c>
      <c r="H17" s="103">
        <v>9912457.9000000004</v>
      </c>
      <c r="I17" s="94">
        <f t="shared" si="0"/>
        <v>9912457.9000000004</v>
      </c>
      <c r="J17" s="106">
        <v>-19533102.969999999</v>
      </c>
      <c r="K17" s="52" t="s">
        <v>60</v>
      </c>
      <c r="L17" s="52" t="s">
        <v>3723</v>
      </c>
      <c r="M17" s="93" t="str">
        <f t="shared" si="1"/>
        <v>Revenue from operation</v>
      </c>
      <c r="N17" s="16" t="s">
        <v>3917</v>
      </c>
    </row>
    <row r="18" spans="1:14" ht="13.5">
      <c r="A18" s="93">
        <f t="shared" si="2"/>
        <v>17</v>
      </c>
      <c r="B18" s="100" t="s">
        <v>318</v>
      </c>
      <c r="C18" s="104">
        <v>45838</v>
      </c>
      <c r="D18" s="113"/>
      <c r="E18" s="52" t="s">
        <v>323</v>
      </c>
      <c r="F18" s="52" t="s">
        <v>324</v>
      </c>
      <c r="G18" s="94">
        <v>0</v>
      </c>
      <c r="H18" s="103">
        <v>9912457.9000000004</v>
      </c>
      <c r="I18" s="94">
        <f t="shared" si="0"/>
        <v>9912457.9000000004</v>
      </c>
      <c r="J18" s="106">
        <v>-9620645.0700000003</v>
      </c>
      <c r="K18" s="52" t="s">
        <v>60</v>
      </c>
      <c r="L18" s="52" t="s">
        <v>3723</v>
      </c>
      <c r="M18" s="93" t="str">
        <f t="shared" si="1"/>
        <v>Revenue from operation</v>
      </c>
      <c r="N18" s="16" t="s">
        <v>3917</v>
      </c>
    </row>
    <row r="19" spans="1:14" ht="13.5">
      <c r="A19" s="93">
        <f t="shared" si="2"/>
        <v>18</v>
      </c>
      <c r="B19" s="100" t="s">
        <v>318</v>
      </c>
      <c r="C19" s="104">
        <v>45838</v>
      </c>
      <c r="D19" s="113"/>
      <c r="E19" s="52" t="s">
        <v>325</v>
      </c>
      <c r="F19" s="52" t="s">
        <v>326</v>
      </c>
      <c r="G19" s="94">
        <v>0</v>
      </c>
      <c r="H19" s="103">
        <v>9912457.9000000004</v>
      </c>
      <c r="I19" s="94">
        <f t="shared" si="0"/>
        <v>9912457.9000000004</v>
      </c>
      <c r="J19" s="106">
        <v>291812.83</v>
      </c>
      <c r="K19" s="52" t="s">
        <v>60</v>
      </c>
      <c r="L19" s="52" t="s">
        <v>3723</v>
      </c>
      <c r="M19" s="93" t="str">
        <f t="shared" si="1"/>
        <v>Revenue from operation</v>
      </c>
      <c r="N19" s="16" t="s">
        <v>3917</v>
      </c>
    </row>
    <row r="20" spans="1:14" ht="13.5">
      <c r="A20" s="93">
        <f t="shared" si="2"/>
        <v>19</v>
      </c>
      <c r="B20" s="100" t="s">
        <v>318</v>
      </c>
      <c r="C20" s="104">
        <v>45838</v>
      </c>
      <c r="D20" s="113"/>
      <c r="E20" s="52" t="s">
        <v>327</v>
      </c>
      <c r="F20" s="52" t="s">
        <v>328</v>
      </c>
      <c r="G20" s="94">
        <v>0</v>
      </c>
      <c r="H20" s="103">
        <v>9912457.9000000004</v>
      </c>
      <c r="I20" s="94">
        <f t="shared" si="0"/>
        <v>9912457.9000000004</v>
      </c>
      <c r="J20" s="106">
        <v>10204270.73</v>
      </c>
      <c r="K20" s="52" t="s">
        <v>60</v>
      </c>
      <c r="L20" s="52" t="s">
        <v>3723</v>
      </c>
      <c r="M20" s="93" t="str">
        <f t="shared" si="1"/>
        <v>Revenue from operation</v>
      </c>
      <c r="N20" s="16" t="s">
        <v>3917</v>
      </c>
    </row>
    <row r="21" spans="1:14" ht="13.5">
      <c r="A21" s="93">
        <f t="shared" si="2"/>
        <v>20</v>
      </c>
      <c r="B21" s="100" t="s">
        <v>318</v>
      </c>
      <c r="C21" s="104">
        <v>45838</v>
      </c>
      <c r="D21" s="113"/>
      <c r="E21" s="52" t="s">
        <v>329</v>
      </c>
      <c r="F21" s="52" t="s">
        <v>330</v>
      </c>
      <c r="G21" s="94">
        <v>0</v>
      </c>
      <c r="H21" s="103">
        <v>9912457.9000000004</v>
      </c>
      <c r="I21" s="94">
        <f t="shared" si="0"/>
        <v>9912457.9000000004</v>
      </c>
      <c r="J21" s="106">
        <v>20116728.629999999</v>
      </c>
      <c r="K21" s="52" t="s">
        <v>60</v>
      </c>
      <c r="L21" s="52" t="s">
        <v>3723</v>
      </c>
      <c r="M21" s="93" t="str">
        <f t="shared" si="1"/>
        <v>Revenue from operation</v>
      </c>
      <c r="N21" s="16" t="s">
        <v>3917</v>
      </c>
    </row>
    <row r="22" spans="1:14" ht="13.5">
      <c r="A22" s="93">
        <f t="shared" si="2"/>
        <v>21</v>
      </c>
      <c r="B22" s="100" t="s">
        <v>318</v>
      </c>
      <c r="C22" s="104">
        <v>45838</v>
      </c>
      <c r="D22" s="113"/>
      <c r="E22" s="52" t="s">
        <v>331</v>
      </c>
      <c r="F22" s="52" t="s">
        <v>332</v>
      </c>
      <c r="G22" s="94">
        <v>0</v>
      </c>
      <c r="H22" s="103">
        <v>9912457.9000000004</v>
      </c>
      <c r="I22" s="94">
        <f t="shared" si="0"/>
        <v>9912457.9000000004</v>
      </c>
      <c r="J22" s="106">
        <v>30029186.530000001</v>
      </c>
      <c r="K22" s="52" t="s">
        <v>60</v>
      </c>
      <c r="L22" s="52" t="s">
        <v>3723</v>
      </c>
      <c r="M22" s="93" t="str">
        <f t="shared" si="1"/>
        <v>Revenue from operation</v>
      </c>
      <c r="N22" s="16" t="s">
        <v>3917</v>
      </c>
    </row>
    <row r="23" spans="1:14" ht="13.5">
      <c r="A23" s="93">
        <f t="shared" si="2"/>
        <v>22</v>
      </c>
      <c r="B23" s="100" t="s">
        <v>333</v>
      </c>
      <c r="C23" s="104">
        <v>45838</v>
      </c>
      <c r="D23" s="113"/>
      <c r="E23" s="52" t="s">
        <v>334</v>
      </c>
      <c r="F23" s="52" t="s">
        <v>335</v>
      </c>
      <c r="G23" s="94">
        <v>0</v>
      </c>
      <c r="H23" s="103">
        <v>9912457.9000000004</v>
      </c>
      <c r="I23" s="94">
        <f t="shared" si="0"/>
        <v>9912457.9000000004</v>
      </c>
      <c r="J23" s="106">
        <v>39941644.43</v>
      </c>
      <c r="K23" s="52" t="s">
        <v>60</v>
      </c>
      <c r="L23" s="52" t="s">
        <v>3723</v>
      </c>
      <c r="M23" s="93" t="str">
        <f t="shared" si="1"/>
        <v>Revenue from operation</v>
      </c>
      <c r="N23" s="16" t="s">
        <v>3917</v>
      </c>
    </row>
    <row r="24" spans="1:14" ht="13.5">
      <c r="A24" s="93">
        <f t="shared" si="2"/>
        <v>23</v>
      </c>
      <c r="B24" s="100" t="s">
        <v>333</v>
      </c>
      <c r="C24" s="104">
        <v>45838</v>
      </c>
      <c r="D24" s="113"/>
      <c r="E24" s="52" t="s">
        <v>336</v>
      </c>
      <c r="F24" s="52" t="s">
        <v>337</v>
      </c>
      <c r="G24" s="94">
        <v>0</v>
      </c>
      <c r="H24" s="103">
        <v>9912457.9000000004</v>
      </c>
      <c r="I24" s="94">
        <f t="shared" si="0"/>
        <v>9912457.9000000004</v>
      </c>
      <c r="J24" s="106">
        <v>49854102.329999998</v>
      </c>
      <c r="K24" s="52" t="s">
        <v>60</v>
      </c>
      <c r="L24" s="52" t="s">
        <v>3723</v>
      </c>
      <c r="M24" s="93" t="str">
        <f t="shared" si="1"/>
        <v>Revenue from operation</v>
      </c>
      <c r="N24" s="16" t="s">
        <v>3917</v>
      </c>
    </row>
    <row r="25" spans="1:14" ht="13.5">
      <c r="A25" s="93">
        <f t="shared" si="2"/>
        <v>24</v>
      </c>
      <c r="B25" s="100" t="s">
        <v>333</v>
      </c>
      <c r="C25" s="104">
        <v>45838</v>
      </c>
      <c r="D25" s="113"/>
      <c r="E25" s="52" t="s">
        <v>338</v>
      </c>
      <c r="F25" s="52" t="s">
        <v>339</v>
      </c>
      <c r="G25" s="94">
        <v>0</v>
      </c>
      <c r="H25" s="103">
        <v>9912457.9000000004</v>
      </c>
      <c r="I25" s="94">
        <f t="shared" si="0"/>
        <v>9912457.9000000004</v>
      </c>
      <c r="J25" s="106">
        <v>59766560.229999997</v>
      </c>
      <c r="K25" s="52" t="s">
        <v>60</v>
      </c>
      <c r="L25" s="52" t="s">
        <v>3723</v>
      </c>
      <c r="M25" s="93" t="str">
        <f t="shared" si="1"/>
        <v>Revenue from operation</v>
      </c>
      <c r="N25" s="16" t="s">
        <v>3917</v>
      </c>
    </row>
    <row r="26" spans="1:14" ht="13.5">
      <c r="A26" s="93">
        <f t="shared" si="2"/>
        <v>25</v>
      </c>
      <c r="B26" s="100" t="s">
        <v>333</v>
      </c>
      <c r="C26" s="104">
        <v>45838</v>
      </c>
      <c r="D26" s="113"/>
      <c r="E26" s="52" t="s">
        <v>340</v>
      </c>
      <c r="F26" s="52" t="s">
        <v>341</v>
      </c>
      <c r="G26" s="94">
        <v>0</v>
      </c>
      <c r="H26" s="103">
        <v>9912457.9000000004</v>
      </c>
      <c r="I26" s="94">
        <f t="shared" si="0"/>
        <v>9912457.9000000004</v>
      </c>
      <c r="J26" s="106">
        <v>69679018.129999995</v>
      </c>
      <c r="K26" s="52" t="s">
        <v>60</v>
      </c>
      <c r="L26" s="52" t="s">
        <v>3723</v>
      </c>
      <c r="M26" s="93" t="str">
        <f t="shared" si="1"/>
        <v>Revenue from operation</v>
      </c>
      <c r="N26" s="16" t="s">
        <v>3917</v>
      </c>
    </row>
    <row r="27" spans="1:14" ht="13.5">
      <c r="A27" s="93">
        <f t="shared" si="2"/>
        <v>26</v>
      </c>
      <c r="B27" s="100" t="s">
        <v>333</v>
      </c>
      <c r="C27" s="104">
        <v>45838</v>
      </c>
      <c r="D27" s="113"/>
      <c r="E27" s="52" t="s">
        <v>342</v>
      </c>
      <c r="F27" s="52" t="s">
        <v>343</v>
      </c>
      <c r="G27" s="94">
        <v>0</v>
      </c>
      <c r="H27" s="103">
        <v>9912457.9000000004</v>
      </c>
      <c r="I27" s="94">
        <f t="shared" si="0"/>
        <v>9912457.9000000004</v>
      </c>
      <c r="J27" s="106">
        <v>79591476.030000001</v>
      </c>
      <c r="K27" s="52" t="s">
        <v>60</v>
      </c>
      <c r="L27" s="52" t="s">
        <v>3723</v>
      </c>
      <c r="M27" s="93" t="str">
        <f t="shared" si="1"/>
        <v>Revenue from operation</v>
      </c>
      <c r="N27" s="16" t="s">
        <v>3917</v>
      </c>
    </row>
    <row r="28" spans="1:14" ht="13.5">
      <c r="A28" s="93">
        <f t="shared" si="2"/>
        <v>27</v>
      </c>
      <c r="B28" s="100" t="s">
        <v>333</v>
      </c>
      <c r="C28" s="104">
        <v>45838</v>
      </c>
      <c r="D28" s="113"/>
      <c r="E28" s="52" t="s">
        <v>344</v>
      </c>
      <c r="F28" s="52" t="s">
        <v>345</v>
      </c>
      <c r="G28" s="94">
        <v>0</v>
      </c>
      <c r="H28" s="103">
        <v>9912457.9000000004</v>
      </c>
      <c r="I28" s="94">
        <f t="shared" si="0"/>
        <v>9912457.9000000004</v>
      </c>
      <c r="J28" s="106">
        <v>89503933.930000007</v>
      </c>
      <c r="K28" s="52" t="s">
        <v>60</v>
      </c>
      <c r="L28" s="52" t="s">
        <v>3723</v>
      </c>
      <c r="M28" s="93" t="str">
        <f t="shared" si="1"/>
        <v>Revenue from operation</v>
      </c>
      <c r="N28" s="16" t="s">
        <v>3917</v>
      </c>
    </row>
    <row r="29" spans="1:14" ht="13.5">
      <c r="A29" s="93">
        <f t="shared" si="2"/>
        <v>28</v>
      </c>
      <c r="B29" s="100" t="s">
        <v>333</v>
      </c>
      <c r="C29" s="104">
        <v>45838</v>
      </c>
      <c r="D29" s="113"/>
      <c r="E29" s="52" t="s">
        <v>346</v>
      </c>
      <c r="F29" s="52" t="s">
        <v>347</v>
      </c>
      <c r="G29" s="94">
        <v>0</v>
      </c>
      <c r="H29" s="103">
        <v>9912457.9000000004</v>
      </c>
      <c r="I29" s="94">
        <f t="shared" si="0"/>
        <v>9912457.9000000004</v>
      </c>
      <c r="J29" s="106">
        <v>99416391.829999998</v>
      </c>
      <c r="K29" s="52" t="s">
        <v>60</v>
      </c>
      <c r="L29" s="52" t="s">
        <v>3723</v>
      </c>
      <c r="M29" s="93" t="str">
        <f t="shared" si="1"/>
        <v>Revenue from operation</v>
      </c>
      <c r="N29" s="16" t="s">
        <v>3917</v>
      </c>
    </row>
    <row r="30" spans="1:14" ht="13.5">
      <c r="A30" s="93">
        <f t="shared" si="2"/>
        <v>29</v>
      </c>
      <c r="B30" s="100" t="s">
        <v>333</v>
      </c>
      <c r="C30" s="104">
        <v>45838</v>
      </c>
      <c r="D30" s="113"/>
      <c r="E30" s="52" t="s">
        <v>348</v>
      </c>
      <c r="F30" s="52" t="s">
        <v>349</v>
      </c>
      <c r="G30" s="94">
        <v>0</v>
      </c>
      <c r="H30" s="103">
        <v>9912457.9000000004</v>
      </c>
      <c r="I30" s="94">
        <f t="shared" si="0"/>
        <v>9912457.9000000004</v>
      </c>
      <c r="J30" s="106">
        <v>109328849.73</v>
      </c>
      <c r="K30" s="52" t="s">
        <v>60</v>
      </c>
      <c r="L30" s="52" t="s">
        <v>3723</v>
      </c>
      <c r="M30" s="93" t="str">
        <f t="shared" si="1"/>
        <v>Revenue from operation</v>
      </c>
      <c r="N30" s="16" t="s">
        <v>3917</v>
      </c>
    </row>
    <row r="31" spans="1:14" ht="13.5">
      <c r="A31" s="93">
        <f t="shared" si="2"/>
        <v>30</v>
      </c>
      <c r="B31" s="100" t="s">
        <v>333</v>
      </c>
      <c r="C31" s="104">
        <v>45838</v>
      </c>
      <c r="D31" s="113"/>
      <c r="E31" s="52" t="s">
        <v>350</v>
      </c>
      <c r="F31" s="52" t="s">
        <v>351</v>
      </c>
      <c r="G31" s="94">
        <v>0</v>
      </c>
      <c r="H31" s="103">
        <v>9912457.9000000004</v>
      </c>
      <c r="I31" s="94">
        <f t="shared" si="0"/>
        <v>9912457.9000000004</v>
      </c>
      <c r="J31" s="106">
        <v>119241307.63</v>
      </c>
      <c r="K31" s="52" t="s">
        <v>60</v>
      </c>
      <c r="L31" s="52" t="s">
        <v>3723</v>
      </c>
      <c r="M31" s="93" t="str">
        <f t="shared" si="1"/>
        <v>Revenue from operation</v>
      </c>
      <c r="N31" s="16" t="s">
        <v>3917</v>
      </c>
    </row>
    <row r="32" spans="1:14" ht="13.5">
      <c r="A32" s="93">
        <f t="shared" si="2"/>
        <v>31</v>
      </c>
      <c r="B32" s="100" t="s">
        <v>333</v>
      </c>
      <c r="C32" s="104">
        <v>45838</v>
      </c>
      <c r="D32" s="113"/>
      <c r="E32" s="52" t="s">
        <v>352</v>
      </c>
      <c r="F32" s="52" t="s">
        <v>353</v>
      </c>
      <c r="G32" s="94">
        <v>0</v>
      </c>
      <c r="H32" s="103">
        <v>9912457.9000000004</v>
      </c>
      <c r="I32" s="94">
        <f t="shared" si="0"/>
        <v>9912457.9000000004</v>
      </c>
      <c r="J32" s="106">
        <v>129153765.53</v>
      </c>
      <c r="K32" s="52" t="s">
        <v>60</v>
      </c>
      <c r="L32" s="52" t="s">
        <v>3723</v>
      </c>
      <c r="M32" s="93" t="str">
        <f t="shared" si="1"/>
        <v>Revenue from operation</v>
      </c>
      <c r="N32" s="16" t="s">
        <v>3917</v>
      </c>
    </row>
    <row r="33" spans="1:14" ht="13.5">
      <c r="A33" s="93">
        <f t="shared" si="2"/>
        <v>32</v>
      </c>
      <c r="B33" s="100" t="s">
        <v>333</v>
      </c>
      <c r="C33" s="104">
        <v>45838</v>
      </c>
      <c r="D33" s="113"/>
      <c r="E33" s="52" t="s">
        <v>354</v>
      </c>
      <c r="F33" s="52" t="s">
        <v>355</v>
      </c>
      <c r="G33" s="94">
        <v>0</v>
      </c>
      <c r="H33" s="103">
        <v>9912457.9000000004</v>
      </c>
      <c r="I33" s="94">
        <f t="shared" si="0"/>
        <v>9912457.9000000004</v>
      </c>
      <c r="J33" s="106">
        <v>139066223.43000001</v>
      </c>
      <c r="K33" s="52" t="s">
        <v>60</v>
      </c>
      <c r="L33" s="52" t="s">
        <v>3723</v>
      </c>
      <c r="M33" s="93" t="str">
        <f t="shared" si="1"/>
        <v>Revenue from operation</v>
      </c>
      <c r="N33" s="16" t="s">
        <v>3917</v>
      </c>
    </row>
    <row r="34" spans="1:14" ht="13.5">
      <c r="A34" s="93">
        <f t="shared" si="2"/>
        <v>33</v>
      </c>
      <c r="B34" s="100" t="s">
        <v>356</v>
      </c>
      <c r="C34" s="104">
        <v>45838</v>
      </c>
      <c r="D34" s="113"/>
      <c r="E34" s="52" t="s">
        <v>357</v>
      </c>
      <c r="F34" s="52" t="s">
        <v>358</v>
      </c>
      <c r="G34" s="103">
        <v>24000000</v>
      </c>
      <c r="H34" s="94">
        <v>0</v>
      </c>
      <c r="I34" s="94">
        <f t="shared" si="0"/>
        <v>-24000000</v>
      </c>
      <c r="J34" s="106">
        <v>115066223.43000001</v>
      </c>
      <c r="K34" s="52" t="s">
        <v>359</v>
      </c>
      <c r="L34" s="52" t="s">
        <v>3717</v>
      </c>
      <c r="M34" s="93" t="str">
        <f t="shared" si="1"/>
        <v>Repayment of  Loan &amp; interest</v>
      </c>
      <c r="N34" s="16" t="s">
        <v>3918</v>
      </c>
    </row>
    <row r="35" spans="1:14" ht="13.5">
      <c r="A35" s="93">
        <f t="shared" si="2"/>
        <v>34</v>
      </c>
      <c r="B35" s="100" t="s">
        <v>360</v>
      </c>
      <c r="C35" s="104">
        <v>45838</v>
      </c>
      <c r="D35" s="113"/>
      <c r="E35" s="52" t="s">
        <v>361</v>
      </c>
      <c r="F35" s="52" t="s">
        <v>0</v>
      </c>
      <c r="G35" s="103">
        <v>458939</v>
      </c>
      <c r="H35" s="94">
        <v>0</v>
      </c>
      <c r="I35" s="94">
        <f t="shared" si="0"/>
        <v>-458939</v>
      </c>
      <c r="J35" s="106">
        <v>114607284.43000001</v>
      </c>
      <c r="K35" s="52" t="s">
        <v>362</v>
      </c>
      <c r="L35" s="52" t="s">
        <v>3717</v>
      </c>
      <c r="M35" s="93" t="str">
        <f t="shared" si="1"/>
        <v>Repayment of  Loan &amp; interest</v>
      </c>
      <c r="N35" s="16" t="s">
        <v>3918</v>
      </c>
    </row>
    <row r="36" spans="1:14" ht="13.5">
      <c r="A36" s="93">
        <f t="shared" si="2"/>
        <v>35</v>
      </c>
      <c r="B36" s="100" t="s">
        <v>387</v>
      </c>
      <c r="C36" s="104">
        <v>45839</v>
      </c>
      <c r="D36" s="104"/>
      <c r="E36" s="138" t="s">
        <v>388</v>
      </c>
      <c r="F36" s="93"/>
      <c r="G36" s="106">
        <v>97351.48</v>
      </c>
      <c r="H36" s="139">
        <v>0</v>
      </c>
      <c r="I36" s="94">
        <f t="shared" si="0"/>
        <v>-97351.48</v>
      </c>
      <c r="J36" s="106">
        <v>114509932.95</v>
      </c>
      <c r="K36" s="52" t="s">
        <v>362</v>
      </c>
      <c r="L36" s="1177" t="s">
        <v>542</v>
      </c>
      <c r="M36" s="138" t="s">
        <v>388</v>
      </c>
      <c r="N36" s="16" t="s">
        <v>3917</v>
      </c>
    </row>
    <row r="37" spans="1:14" ht="13.5">
      <c r="A37" s="93">
        <f t="shared" si="2"/>
        <v>36</v>
      </c>
      <c r="B37" s="100" t="s">
        <v>389</v>
      </c>
      <c r="C37" s="104">
        <v>45839</v>
      </c>
      <c r="D37" s="113"/>
      <c r="E37" s="52" t="s">
        <v>390</v>
      </c>
      <c r="F37" s="52" t="s">
        <v>391</v>
      </c>
      <c r="G37" s="94">
        <v>0</v>
      </c>
      <c r="H37" s="103">
        <v>1000000</v>
      </c>
      <c r="I37" s="94">
        <f t="shared" ref="I37:I41" si="3">H37-G37</f>
        <v>1000000</v>
      </c>
      <c r="J37" s="106">
        <v>115509932.95</v>
      </c>
      <c r="K37" s="52" t="s">
        <v>308</v>
      </c>
      <c r="L37" s="52" t="s">
        <v>3723</v>
      </c>
      <c r="M37" s="93" t="str">
        <f t="shared" ref="M37:M38" si="4">L37</f>
        <v>Revenue from operation</v>
      </c>
      <c r="N37" s="16" t="s">
        <v>3917</v>
      </c>
    </row>
    <row r="38" spans="1:14" ht="13.5">
      <c r="A38" s="93">
        <f t="shared" si="2"/>
        <v>37</v>
      </c>
      <c r="B38" s="100" t="s">
        <v>392</v>
      </c>
      <c r="C38" s="104">
        <v>45839</v>
      </c>
      <c r="D38" s="113"/>
      <c r="E38" s="52" t="s">
        <v>393</v>
      </c>
      <c r="F38" s="52" t="s">
        <v>394</v>
      </c>
      <c r="G38" s="103">
        <v>80000000</v>
      </c>
      <c r="H38" s="94">
        <v>0</v>
      </c>
      <c r="I38" s="94">
        <f t="shared" si="3"/>
        <v>-80000000</v>
      </c>
      <c r="J38" s="106">
        <v>35509932.950000003</v>
      </c>
      <c r="K38" s="52" t="s">
        <v>359</v>
      </c>
      <c r="L38" s="93" t="s">
        <v>3718</v>
      </c>
      <c r="M38" s="93" t="str">
        <f t="shared" si="4"/>
        <v>Intra company transfer</v>
      </c>
      <c r="N38" s="16" t="s">
        <v>3917</v>
      </c>
    </row>
    <row r="39" spans="1:14" ht="13.5">
      <c r="A39" s="93">
        <f t="shared" si="2"/>
        <v>38</v>
      </c>
      <c r="B39" s="196" t="s">
        <v>395</v>
      </c>
      <c r="C39" s="141">
        <v>45840</v>
      </c>
      <c r="D39" s="141"/>
      <c r="E39" s="140" t="s">
        <v>396</v>
      </c>
      <c r="F39" s="140" t="s">
        <v>397</v>
      </c>
      <c r="G39" s="97">
        <v>28336.52</v>
      </c>
      <c r="H39" s="140">
        <v>0</v>
      </c>
      <c r="I39" s="94">
        <f t="shared" si="3"/>
        <v>-28336.52</v>
      </c>
      <c r="J39" s="185">
        <v>35481596.43</v>
      </c>
      <c r="K39" s="140" t="s">
        <v>57</v>
      </c>
      <c r="L39" s="52" t="s">
        <v>3726</v>
      </c>
      <c r="M39" s="93" t="s">
        <v>516</v>
      </c>
      <c r="N39" s="16" t="s">
        <v>3917</v>
      </c>
    </row>
    <row r="40" spans="1:14" ht="13.5">
      <c r="A40" s="93">
        <f t="shared" si="2"/>
        <v>39</v>
      </c>
      <c r="B40" s="191">
        <v>45841</v>
      </c>
      <c r="C40" s="191">
        <v>45841</v>
      </c>
      <c r="D40" s="113"/>
      <c r="E40" s="93"/>
      <c r="F40" s="93"/>
      <c r="G40" s="94">
        <v>0</v>
      </c>
      <c r="H40" s="94">
        <v>0</v>
      </c>
      <c r="I40" s="94">
        <f t="shared" si="3"/>
        <v>0</v>
      </c>
      <c r="J40" s="186">
        <v>35481596.43</v>
      </c>
      <c r="K40" s="93"/>
      <c r="L40" s="130" t="s">
        <v>3726</v>
      </c>
      <c r="M40" s="130" t="s">
        <v>542</v>
      </c>
      <c r="N40" s="16" t="s">
        <v>3917</v>
      </c>
    </row>
    <row r="41" spans="1:14" ht="13.5">
      <c r="A41" s="93">
        <f t="shared" si="2"/>
        <v>40</v>
      </c>
      <c r="B41" s="191">
        <v>45842</v>
      </c>
      <c r="C41" s="191">
        <v>45842</v>
      </c>
      <c r="D41" s="113"/>
      <c r="E41" s="93"/>
      <c r="F41" s="93"/>
      <c r="G41" s="94">
        <v>0</v>
      </c>
      <c r="H41" s="94">
        <v>0</v>
      </c>
      <c r="I41" s="94">
        <f t="shared" si="3"/>
        <v>0</v>
      </c>
      <c r="J41" s="186">
        <v>35481596.43</v>
      </c>
      <c r="K41" s="93"/>
      <c r="L41" s="130" t="s">
        <v>3726</v>
      </c>
      <c r="M41" s="130" t="s">
        <v>542</v>
      </c>
      <c r="N41" s="16" t="s">
        <v>3917</v>
      </c>
    </row>
    <row r="42" spans="1:14" ht="13.5">
      <c r="A42" s="93">
        <f t="shared" si="2"/>
        <v>41</v>
      </c>
      <c r="B42" s="131">
        <v>45842.5078587963</v>
      </c>
      <c r="C42" s="192">
        <v>45842</v>
      </c>
      <c r="D42" s="113"/>
      <c r="E42" s="98" t="s">
        <v>154</v>
      </c>
      <c r="F42" s="98" t="s">
        <v>677</v>
      </c>
      <c r="G42" s="99">
        <v>3400890</v>
      </c>
      <c r="H42" s="99">
        <v>0</v>
      </c>
      <c r="I42" s="94">
        <f t="shared" ref="I42:I45" si="5">H42-G42</f>
        <v>-3400890</v>
      </c>
      <c r="J42" s="186">
        <v>32080706.43</v>
      </c>
      <c r="K42" s="98" t="s">
        <v>57</v>
      </c>
      <c r="L42" s="100" t="s">
        <v>984</v>
      </c>
      <c r="M42" s="93" t="str">
        <f t="shared" ref="M42:M43" si="6">L42</f>
        <v>LC/BG Payable</v>
      </c>
      <c r="N42" s="16" t="s">
        <v>3917</v>
      </c>
    </row>
    <row r="43" spans="1:14" ht="13.5">
      <c r="A43" s="93">
        <f t="shared" si="2"/>
        <v>42</v>
      </c>
      <c r="B43" s="137">
        <v>45843.533368055556</v>
      </c>
      <c r="C43" s="193">
        <v>45843</v>
      </c>
      <c r="D43" s="113"/>
      <c r="E43" s="100" t="s">
        <v>154</v>
      </c>
      <c r="F43" s="100" t="s">
        <v>678</v>
      </c>
      <c r="G43" s="101">
        <v>47183503</v>
      </c>
      <c r="H43" s="94">
        <v>0</v>
      </c>
      <c r="I43" s="94">
        <f t="shared" si="5"/>
        <v>-47183503</v>
      </c>
      <c r="J43" s="187">
        <v>-15102796.57</v>
      </c>
      <c r="K43" s="100" t="s">
        <v>57</v>
      </c>
      <c r="L43" s="100" t="s">
        <v>984</v>
      </c>
      <c r="M43" s="93" t="str">
        <f t="shared" si="6"/>
        <v>LC/BG Payable</v>
      </c>
      <c r="N43" s="16" t="s">
        <v>3917</v>
      </c>
    </row>
    <row r="44" spans="1:14" ht="13.5">
      <c r="A44" s="93">
        <f t="shared" si="2"/>
        <v>43</v>
      </c>
      <c r="B44" s="142">
        <v>45844</v>
      </c>
      <c r="C44" s="191">
        <v>45844</v>
      </c>
      <c r="D44" s="113"/>
      <c r="E44" s="93"/>
      <c r="F44" s="93"/>
      <c r="G44" s="94">
        <v>0</v>
      </c>
      <c r="H44" s="94">
        <v>0</v>
      </c>
      <c r="I44" s="94">
        <f t="shared" si="5"/>
        <v>0</v>
      </c>
      <c r="J44" s="187">
        <v>-15102796.57</v>
      </c>
      <c r="K44" s="93"/>
      <c r="L44" s="130" t="s">
        <v>984</v>
      </c>
      <c r="M44" s="130" t="s">
        <v>542</v>
      </c>
      <c r="N44" s="16" t="s">
        <v>3917</v>
      </c>
    </row>
    <row r="45" spans="1:14" ht="13.5">
      <c r="A45" s="93">
        <f t="shared" si="2"/>
        <v>44</v>
      </c>
      <c r="B45" s="144" t="s">
        <v>679</v>
      </c>
      <c r="C45" s="192">
        <v>45845</v>
      </c>
      <c r="D45" s="143"/>
      <c r="E45" s="145" t="s">
        <v>680</v>
      </c>
      <c r="F45" s="145" t="s">
        <v>681</v>
      </c>
      <c r="G45" s="146">
        <v>20000000</v>
      </c>
      <c r="H45" s="145">
        <v>0</v>
      </c>
      <c r="I45" s="94">
        <f t="shared" si="5"/>
        <v>-20000000</v>
      </c>
      <c r="J45" s="186">
        <v>-35102796.57</v>
      </c>
      <c r="K45" s="145" t="s">
        <v>359</v>
      </c>
      <c r="L45" s="93" t="s">
        <v>3718</v>
      </c>
      <c r="M45" s="93" t="s">
        <v>682</v>
      </c>
      <c r="N45" s="16" t="s">
        <v>3917</v>
      </c>
    </row>
    <row r="46" spans="1:14" ht="13.5">
      <c r="A46" s="93">
        <f t="shared" si="2"/>
        <v>45</v>
      </c>
      <c r="B46" s="192">
        <v>45846</v>
      </c>
      <c r="C46" s="192">
        <v>45846</v>
      </c>
      <c r="D46" s="113"/>
      <c r="E46" s="93"/>
      <c r="F46" s="93"/>
      <c r="G46" s="94">
        <v>0</v>
      </c>
      <c r="H46" s="94">
        <v>0</v>
      </c>
      <c r="I46" s="94">
        <f t="shared" ref="I46:I51" si="7">H46-G46</f>
        <v>0</v>
      </c>
      <c r="J46" s="186">
        <v>-35102796.57</v>
      </c>
      <c r="K46" s="93"/>
      <c r="L46" s="130" t="s">
        <v>3718</v>
      </c>
      <c r="M46" s="130" t="s">
        <v>542</v>
      </c>
      <c r="N46" s="16" t="s">
        <v>3917</v>
      </c>
    </row>
    <row r="47" spans="1:14" ht="13.5">
      <c r="A47" s="93">
        <f t="shared" si="2"/>
        <v>46</v>
      </c>
      <c r="B47" s="147">
        <v>45847</v>
      </c>
      <c r="C47" s="147">
        <v>45847</v>
      </c>
      <c r="D47" s="113"/>
      <c r="E47" s="93"/>
      <c r="F47" s="93"/>
      <c r="G47" s="94">
        <v>0</v>
      </c>
      <c r="H47" s="94">
        <v>0</v>
      </c>
      <c r="I47" s="94">
        <f t="shared" si="7"/>
        <v>0</v>
      </c>
      <c r="J47" s="186">
        <v>-35102796.57</v>
      </c>
      <c r="K47" s="93"/>
      <c r="L47" s="130" t="s">
        <v>3718</v>
      </c>
      <c r="M47" s="130" t="s">
        <v>542</v>
      </c>
      <c r="N47" s="16" t="s">
        <v>3917</v>
      </c>
    </row>
    <row r="48" spans="1:14" ht="13.5">
      <c r="A48" s="93">
        <f t="shared" si="2"/>
        <v>47</v>
      </c>
      <c r="B48" s="93" t="s">
        <v>683</v>
      </c>
      <c r="C48" s="194">
        <v>45848</v>
      </c>
      <c r="D48" s="102"/>
      <c r="E48" s="93" t="s">
        <v>684</v>
      </c>
      <c r="F48" s="93"/>
      <c r="G48" s="93">
        <v>0</v>
      </c>
      <c r="H48" s="93">
        <v>10721.49</v>
      </c>
      <c r="I48" s="94">
        <f t="shared" si="7"/>
        <v>10721.49</v>
      </c>
      <c r="J48" s="183">
        <v>-35092075.079999998</v>
      </c>
      <c r="K48" s="93" t="s">
        <v>685</v>
      </c>
      <c r="L48" s="100" t="s">
        <v>3726</v>
      </c>
      <c r="M48" s="93" t="s">
        <v>686</v>
      </c>
      <c r="N48" s="16" t="s">
        <v>3917</v>
      </c>
    </row>
    <row r="49" spans="1:14" ht="13.5">
      <c r="A49" s="93">
        <f t="shared" si="2"/>
        <v>48</v>
      </c>
      <c r="B49" s="93" t="s">
        <v>683</v>
      </c>
      <c r="C49" s="194">
        <v>45848</v>
      </c>
      <c r="D49" s="102"/>
      <c r="E49" s="93" t="s">
        <v>684</v>
      </c>
      <c r="F49" s="93"/>
      <c r="G49" s="93">
        <v>0</v>
      </c>
      <c r="H49" s="93">
        <v>10721.49</v>
      </c>
      <c r="I49" s="94">
        <f t="shared" si="7"/>
        <v>10721.49</v>
      </c>
      <c r="J49" s="183">
        <v>-35081353.590000004</v>
      </c>
      <c r="K49" s="93" t="s">
        <v>685</v>
      </c>
      <c r="L49" s="100" t="s">
        <v>3726</v>
      </c>
      <c r="M49" s="93" t="s">
        <v>686</v>
      </c>
      <c r="N49" s="16" t="s">
        <v>3917</v>
      </c>
    </row>
    <row r="50" spans="1:14" ht="13.5">
      <c r="A50" s="93">
        <f t="shared" si="2"/>
        <v>49</v>
      </c>
      <c r="B50" s="93" t="s">
        <v>687</v>
      </c>
      <c r="C50" s="194">
        <v>45848</v>
      </c>
      <c r="D50" s="113"/>
      <c r="E50" s="93" t="s">
        <v>396</v>
      </c>
      <c r="F50" s="93" t="s">
        <v>688</v>
      </c>
      <c r="G50" s="94">
        <v>32431.119999999999</v>
      </c>
      <c r="H50" s="94">
        <v>0</v>
      </c>
      <c r="I50" s="94">
        <f t="shared" si="7"/>
        <v>-32431.119999999999</v>
      </c>
      <c r="J50" s="183">
        <v>-35113784.710000001</v>
      </c>
      <c r="K50" s="93" t="s">
        <v>57</v>
      </c>
      <c r="L50" s="100" t="s">
        <v>3726</v>
      </c>
      <c r="M50" s="93" t="str">
        <f t="shared" ref="M50" si="8">L50</f>
        <v>Other finance charges</v>
      </c>
      <c r="N50" s="16" t="s">
        <v>3917</v>
      </c>
    </row>
    <row r="51" spans="1:14" ht="13.5">
      <c r="A51" s="93">
        <f t="shared" si="2"/>
        <v>50</v>
      </c>
      <c r="B51" s="93" t="s">
        <v>689</v>
      </c>
      <c r="C51" s="194">
        <v>45848</v>
      </c>
      <c r="D51" s="102"/>
      <c r="E51" s="93" t="s">
        <v>690</v>
      </c>
      <c r="F51" s="93" t="s">
        <v>691</v>
      </c>
      <c r="G51" s="139">
        <v>0</v>
      </c>
      <c r="H51" s="139">
        <v>165522</v>
      </c>
      <c r="I51" s="94">
        <f t="shared" si="7"/>
        <v>165522</v>
      </c>
      <c r="J51" s="183">
        <v>-34948262.710000001</v>
      </c>
      <c r="K51" s="93" t="s">
        <v>362</v>
      </c>
      <c r="L51" s="1177" t="s">
        <v>3721</v>
      </c>
      <c r="M51" s="93" t="s">
        <v>692</v>
      </c>
      <c r="N51" s="16" t="s">
        <v>3917</v>
      </c>
    </row>
    <row r="52" spans="1:14" ht="13.5">
      <c r="A52" s="93">
        <f t="shared" si="2"/>
        <v>51</v>
      </c>
      <c r="B52" s="100" t="s">
        <v>693</v>
      </c>
      <c r="C52" s="104">
        <v>45849</v>
      </c>
      <c r="D52" s="113"/>
      <c r="E52" s="52" t="s">
        <v>154</v>
      </c>
      <c r="F52" s="52" t="s">
        <v>694</v>
      </c>
      <c r="G52" s="103">
        <v>36946140</v>
      </c>
      <c r="H52" s="103">
        <v>0</v>
      </c>
      <c r="I52" s="94">
        <f>H52-G52</f>
        <v>-36946140</v>
      </c>
      <c r="J52" s="183">
        <v>-71894402.709999993</v>
      </c>
      <c r="K52" s="52" t="s">
        <v>57</v>
      </c>
      <c r="L52" s="100" t="s">
        <v>984</v>
      </c>
      <c r="M52" s="93" t="s">
        <v>692</v>
      </c>
      <c r="N52" s="16" t="s">
        <v>3917</v>
      </c>
    </row>
    <row r="53" spans="1:14" ht="13.5">
      <c r="A53" s="93">
        <f t="shared" si="2"/>
        <v>52</v>
      </c>
      <c r="B53" s="100" t="s">
        <v>695</v>
      </c>
      <c r="C53" s="104">
        <v>45849</v>
      </c>
      <c r="D53" s="104"/>
      <c r="E53" s="52" t="s">
        <v>696</v>
      </c>
      <c r="F53" s="52" t="s">
        <v>697</v>
      </c>
      <c r="G53" s="139">
        <v>0</v>
      </c>
      <c r="H53" s="106">
        <v>300000</v>
      </c>
      <c r="I53" s="94">
        <f>H53-G53</f>
        <v>300000</v>
      </c>
      <c r="J53" s="183">
        <v>-71594402.709999993</v>
      </c>
      <c r="K53" s="52" t="s">
        <v>308</v>
      </c>
      <c r="L53" s="100" t="s">
        <v>3723</v>
      </c>
      <c r="M53" s="93" t="s">
        <v>698</v>
      </c>
      <c r="N53" s="16" t="s">
        <v>3917</v>
      </c>
    </row>
    <row r="54" spans="1:14" ht="13.5">
      <c r="A54" s="93">
        <f t="shared" si="2"/>
        <v>53</v>
      </c>
      <c r="B54" s="194">
        <v>45850</v>
      </c>
      <c r="C54" s="194">
        <v>45850</v>
      </c>
      <c r="D54" s="113"/>
      <c r="E54" s="93"/>
      <c r="F54" s="93"/>
      <c r="G54" s="94">
        <v>0</v>
      </c>
      <c r="H54" s="94">
        <v>0</v>
      </c>
      <c r="I54" s="94">
        <f t="shared" ref="I54:I117" si="9">H54-G54</f>
        <v>0</v>
      </c>
      <c r="J54" s="183">
        <v>-71594402.709999993</v>
      </c>
      <c r="K54" s="93"/>
      <c r="L54" s="130" t="s">
        <v>3723</v>
      </c>
      <c r="M54" s="93"/>
      <c r="N54" s="16" t="s">
        <v>3917</v>
      </c>
    </row>
    <row r="55" spans="1:14" ht="13.5">
      <c r="A55" s="93">
        <f t="shared" si="2"/>
        <v>54</v>
      </c>
      <c r="B55" s="194">
        <v>45851</v>
      </c>
      <c r="C55" s="194">
        <v>45851</v>
      </c>
      <c r="D55" s="113"/>
      <c r="E55" s="93"/>
      <c r="F55" s="93"/>
      <c r="G55" s="94">
        <v>0</v>
      </c>
      <c r="H55" s="94">
        <v>0</v>
      </c>
      <c r="I55" s="94">
        <f t="shared" si="9"/>
        <v>0</v>
      </c>
      <c r="J55" s="183">
        <v>-71594402.709999993</v>
      </c>
      <c r="K55" s="93"/>
      <c r="L55" s="130" t="s">
        <v>3723</v>
      </c>
      <c r="M55" s="93"/>
      <c r="N55" s="16" t="s">
        <v>3917</v>
      </c>
    </row>
    <row r="56" spans="1:14" ht="13.5">
      <c r="A56" s="93">
        <f t="shared" si="2"/>
        <v>55</v>
      </c>
      <c r="B56" s="194">
        <v>45852</v>
      </c>
      <c r="C56" s="194">
        <v>45852</v>
      </c>
      <c r="D56" s="113"/>
      <c r="E56" s="93"/>
      <c r="F56" s="93"/>
      <c r="G56" s="94">
        <v>0</v>
      </c>
      <c r="H56" s="94">
        <v>0</v>
      </c>
      <c r="I56" s="94">
        <f t="shared" si="9"/>
        <v>0</v>
      </c>
      <c r="J56" s="183">
        <v>-71594402.709999993</v>
      </c>
      <c r="K56" s="93"/>
      <c r="L56" s="130" t="s">
        <v>3723</v>
      </c>
      <c r="M56" s="93"/>
      <c r="N56" s="16" t="s">
        <v>3917</v>
      </c>
    </row>
    <row r="57" spans="1:14" ht="13.5">
      <c r="A57" s="93">
        <f t="shared" si="2"/>
        <v>56</v>
      </c>
      <c r="B57" s="194">
        <v>45853</v>
      </c>
      <c r="C57" s="194">
        <v>45853</v>
      </c>
      <c r="D57" s="113"/>
      <c r="E57" s="93"/>
      <c r="F57" s="93"/>
      <c r="G57" s="94">
        <v>0</v>
      </c>
      <c r="H57" s="94">
        <v>0</v>
      </c>
      <c r="I57" s="94">
        <f t="shared" si="9"/>
        <v>0</v>
      </c>
      <c r="J57" s="183">
        <v>-71594402.709999993</v>
      </c>
      <c r="K57" s="93"/>
      <c r="L57" s="130" t="s">
        <v>3723</v>
      </c>
      <c r="M57" s="93"/>
      <c r="N57" s="16" t="s">
        <v>3917</v>
      </c>
    </row>
    <row r="58" spans="1:14" ht="13.5">
      <c r="A58" s="93">
        <f t="shared" si="2"/>
        <v>57</v>
      </c>
      <c r="B58" s="100" t="s">
        <v>1063</v>
      </c>
      <c r="C58" s="104">
        <v>45854</v>
      </c>
      <c r="D58" s="113"/>
      <c r="E58" s="52" t="s">
        <v>1064</v>
      </c>
      <c r="F58" s="52">
        <v>680258714</v>
      </c>
      <c r="G58" s="103">
        <v>216606</v>
      </c>
      <c r="H58" s="94">
        <v>0</v>
      </c>
      <c r="I58" s="94">
        <f t="shared" si="9"/>
        <v>-216606</v>
      </c>
      <c r="J58" s="187">
        <v>-71811008.709999993</v>
      </c>
      <c r="K58" s="52" t="s">
        <v>1065</v>
      </c>
      <c r="L58" s="1200" t="s">
        <v>542</v>
      </c>
      <c r="M58" s="93"/>
      <c r="N58" s="16" t="s">
        <v>3917</v>
      </c>
    </row>
    <row r="59" spans="1:14" ht="13.5">
      <c r="A59" s="93">
        <f t="shared" si="2"/>
        <v>58</v>
      </c>
      <c r="B59" s="100" t="s">
        <v>1066</v>
      </c>
      <c r="C59" s="104">
        <v>45854</v>
      </c>
      <c r="D59" s="113"/>
      <c r="E59" s="52" t="s">
        <v>396</v>
      </c>
      <c r="F59" s="52" t="s">
        <v>1067</v>
      </c>
      <c r="G59" s="103">
        <v>415757.66</v>
      </c>
      <c r="H59" s="94">
        <v>0</v>
      </c>
      <c r="I59" s="94">
        <f t="shared" si="9"/>
        <v>-415757.66</v>
      </c>
      <c r="J59" s="187">
        <v>-72226766.370000005</v>
      </c>
      <c r="K59" s="52" t="s">
        <v>57</v>
      </c>
      <c r="L59" s="100" t="s">
        <v>3726</v>
      </c>
      <c r="M59" s="93"/>
      <c r="N59" s="16" t="s">
        <v>3917</v>
      </c>
    </row>
    <row r="60" spans="1:14" ht="13.5">
      <c r="A60" s="93">
        <f t="shared" si="2"/>
        <v>59</v>
      </c>
      <c r="B60" s="104">
        <v>45855</v>
      </c>
      <c r="C60" s="104">
        <v>45855</v>
      </c>
      <c r="D60" s="113"/>
      <c r="E60" s="93"/>
      <c r="F60" s="93"/>
      <c r="G60" s="94">
        <v>24746</v>
      </c>
      <c r="H60" s="94">
        <v>0</v>
      </c>
      <c r="I60" s="94">
        <f t="shared" si="9"/>
        <v>-24746</v>
      </c>
      <c r="J60" s="187">
        <v>-72251512.370000005</v>
      </c>
      <c r="K60" s="93"/>
      <c r="L60" s="1201" t="s">
        <v>542</v>
      </c>
      <c r="M60" s="93"/>
      <c r="N60" s="16" t="s">
        <v>3917</v>
      </c>
    </row>
    <row r="61" spans="1:14" ht="13.5">
      <c r="A61" s="93">
        <f t="shared" si="2"/>
        <v>60</v>
      </c>
      <c r="B61" s="100" t="s">
        <v>1068</v>
      </c>
      <c r="C61" s="104">
        <v>45856</v>
      </c>
      <c r="D61" s="113"/>
      <c r="E61" s="52" t="s">
        <v>154</v>
      </c>
      <c r="F61" s="52" t="s">
        <v>1069</v>
      </c>
      <c r="G61" s="103">
        <v>3184454.12</v>
      </c>
      <c r="H61" s="94">
        <v>0</v>
      </c>
      <c r="I61" s="94">
        <f t="shared" si="9"/>
        <v>-3184454.12</v>
      </c>
      <c r="J61" s="106">
        <v>-75435966.269999996</v>
      </c>
      <c r="K61" s="52" t="s">
        <v>57</v>
      </c>
      <c r="L61" s="100" t="s">
        <v>984</v>
      </c>
      <c r="M61" s="93"/>
      <c r="N61" s="16" t="s">
        <v>3917</v>
      </c>
    </row>
    <row r="62" spans="1:14" ht="13.5">
      <c r="A62" s="93">
        <f t="shared" si="2"/>
        <v>61</v>
      </c>
      <c r="B62" s="220"/>
      <c r="C62" s="221">
        <f>C61+1</f>
        <v>45857</v>
      </c>
      <c r="D62" s="222"/>
      <c r="E62" s="220"/>
      <c r="F62" s="220"/>
      <c r="G62" s="94">
        <v>0</v>
      </c>
      <c r="H62" s="94">
        <v>0</v>
      </c>
      <c r="I62" s="94">
        <f t="shared" si="9"/>
        <v>0</v>
      </c>
      <c r="J62" s="106">
        <v>-75435966.269999996</v>
      </c>
      <c r="K62" s="220"/>
      <c r="L62" s="130" t="s">
        <v>984</v>
      </c>
      <c r="M62" s="220"/>
      <c r="N62" s="16" t="s">
        <v>3917</v>
      </c>
    </row>
    <row r="63" spans="1:14" ht="13.5">
      <c r="A63" s="93">
        <f t="shared" si="2"/>
        <v>62</v>
      </c>
      <c r="B63" s="220"/>
      <c r="C63" s="221">
        <f t="shared" ref="C63:C64" si="10">C62+1</f>
        <v>45858</v>
      </c>
      <c r="D63" s="222"/>
      <c r="E63" s="220"/>
      <c r="F63" s="220"/>
      <c r="G63" s="94">
        <v>0</v>
      </c>
      <c r="H63" s="94">
        <v>0</v>
      </c>
      <c r="I63" s="94">
        <f t="shared" si="9"/>
        <v>0</v>
      </c>
      <c r="J63" s="106">
        <v>-75435966.269999996</v>
      </c>
      <c r="K63" s="220"/>
      <c r="L63" s="130" t="s">
        <v>984</v>
      </c>
      <c r="M63" s="220"/>
      <c r="N63" s="16" t="s">
        <v>3917</v>
      </c>
    </row>
    <row r="64" spans="1:14" ht="15">
      <c r="A64" s="93">
        <f t="shared" si="2"/>
        <v>63</v>
      </c>
      <c r="B64" s="223">
        <v>45859.288356481484</v>
      </c>
      <c r="C64" s="221">
        <f t="shared" si="10"/>
        <v>45859</v>
      </c>
      <c r="D64" s="222"/>
      <c r="E64" s="224" t="s">
        <v>1374</v>
      </c>
      <c r="F64" s="224">
        <v>680376297</v>
      </c>
      <c r="G64" s="225">
        <v>485222</v>
      </c>
      <c r="H64" s="94">
        <v>0</v>
      </c>
      <c r="I64" s="94">
        <f t="shared" si="9"/>
        <v>-485222</v>
      </c>
      <c r="J64" s="226">
        <v>-96008182.269999996</v>
      </c>
      <c r="K64" s="224" t="s">
        <v>1065</v>
      </c>
      <c r="L64" s="1200" t="s">
        <v>542</v>
      </c>
      <c r="M64" s="220"/>
      <c r="N64" s="16" t="s">
        <v>3917</v>
      </c>
    </row>
    <row r="65" spans="1:14" ht="15">
      <c r="A65" s="93">
        <f t="shared" si="2"/>
        <v>64</v>
      </c>
      <c r="B65" s="244">
        <f>B64+1</f>
        <v>45860.288356481484</v>
      </c>
      <c r="C65" s="244">
        <f>C64+1</f>
        <v>45860</v>
      </c>
      <c r="G65" s="94">
        <v>0</v>
      </c>
      <c r="H65" s="94">
        <v>0</v>
      </c>
      <c r="I65" s="94">
        <f t="shared" si="9"/>
        <v>0</v>
      </c>
      <c r="J65" s="226">
        <v>-96008182.269999996</v>
      </c>
      <c r="L65" s="1200" t="s">
        <v>542</v>
      </c>
      <c r="N65" s="16" t="s">
        <v>3917</v>
      </c>
    </row>
    <row r="66" spans="1:14" ht="15">
      <c r="A66" s="93">
        <f t="shared" si="2"/>
        <v>65</v>
      </c>
      <c r="B66" s="244">
        <f>B65+1</f>
        <v>45861.288356481484</v>
      </c>
      <c r="C66" s="244">
        <f>C65+1</f>
        <v>45861</v>
      </c>
      <c r="G66" s="94">
        <v>0</v>
      </c>
      <c r="H66" s="94">
        <v>0</v>
      </c>
      <c r="I66" s="94">
        <f t="shared" si="9"/>
        <v>0</v>
      </c>
      <c r="J66" s="226">
        <v>-96008182.269999996</v>
      </c>
      <c r="L66" s="1200" t="s">
        <v>542</v>
      </c>
      <c r="N66" s="16" t="s">
        <v>3917</v>
      </c>
    </row>
    <row r="67" spans="1:14" ht="13.5">
      <c r="A67" s="93">
        <f t="shared" si="2"/>
        <v>66</v>
      </c>
      <c r="B67" s="251">
        <v>45862</v>
      </c>
      <c r="C67" s="251">
        <v>45862</v>
      </c>
      <c r="E67" s="253" t="s">
        <v>1516</v>
      </c>
      <c r="G67" s="94">
        <v>0</v>
      </c>
      <c r="H67" s="254">
        <v>20000000</v>
      </c>
      <c r="I67" s="94">
        <f t="shared" si="9"/>
        <v>20000000</v>
      </c>
      <c r="J67" s="16">
        <v>-76046429.609999999</v>
      </c>
      <c r="L67" s="253" t="s">
        <v>3718</v>
      </c>
      <c r="N67" s="16" t="s">
        <v>3917</v>
      </c>
    </row>
    <row r="68" spans="1:14" ht="13.5">
      <c r="A68" s="93">
        <f t="shared" si="2"/>
        <v>67</v>
      </c>
      <c r="B68" s="251">
        <v>45862</v>
      </c>
      <c r="C68" s="251">
        <v>45862</v>
      </c>
      <c r="E68" s="253" t="s">
        <v>154</v>
      </c>
      <c r="G68" s="254">
        <v>5838175</v>
      </c>
      <c r="H68" s="254"/>
      <c r="I68" s="94">
        <f t="shared" si="9"/>
        <v>-5838175</v>
      </c>
      <c r="J68" s="16">
        <v>-81884604.609999999</v>
      </c>
      <c r="L68" s="253" t="s">
        <v>984</v>
      </c>
      <c r="N68" s="16" t="s">
        <v>3917</v>
      </c>
    </row>
    <row r="69" spans="1:14" ht="15.75">
      <c r="A69" s="93">
        <f t="shared" ref="A69:A72" si="11">A68+1</f>
        <v>68</v>
      </c>
      <c r="B69" s="252">
        <v>45863</v>
      </c>
      <c r="C69" s="252">
        <v>45863</v>
      </c>
      <c r="E69" s="246" t="s">
        <v>154</v>
      </c>
      <c r="G69" s="254">
        <v>5292772</v>
      </c>
      <c r="H69" s="254">
        <v>0</v>
      </c>
      <c r="I69" s="94">
        <f t="shared" si="9"/>
        <v>-5292772</v>
      </c>
      <c r="J69" s="16">
        <v>-94877980.609999999</v>
      </c>
      <c r="L69" s="255" t="s">
        <v>984</v>
      </c>
      <c r="N69" s="16" t="s">
        <v>3917</v>
      </c>
    </row>
    <row r="70" spans="1:14" ht="15.75">
      <c r="A70" s="93">
        <f t="shared" si="11"/>
        <v>69</v>
      </c>
      <c r="B70" s="252">
        <v>45863</v>
      </c>
      <c r="C70" s="252">
        <v>45863</v>
      </c>
      <c r="E70" s="246" t="s">
        <v>154</v>
      </c>
      <c r="G70" s="254">
        <v>855424</v>
      </c>
      <c r="H70" s="254">
        <v>0</v>
      </c>
      <c r="I70" s="94">
        <f t="shared" si="9"/>
        <v>-855424</v>
      </c>
      <c r="J70" s="16">
        <v>-89585208.609999999</v>
      </c>
      <c r="L70" s="1202" t="s">
        <v>542</v>
      </c>
      <c r="N70" s="16" t="s">
        <v>3917</v>
      </c>
    </row>
    <row r="71" spans="1:14" ht="15.75">
      <c r="A71" s="93">
        <f t="shared" si="11"/>
        <v>70</v>
      </c>
      <c r="B71" s="252">
        <v>45863</v>
      </c>
      <c r="C71" s="252">
        <v>45863</v>
      </c>
      <c r="E71" s="246" t="s">
        <v>154</v>
      </c>
      <c r="G71" s="254">
        <v>6845180</v>
      </c>
      <c r="H71" s="254">
        <v>0</v>
      </c>
      <c r="I71" s="94">
        <f t="shared" si="9"/>
        <v>-6845180</v>
      </c>
      <c r="J71" s="16">
        <v>-88729784.609999999</v>
      </c>
      <c r="L71" s="255" t="s">
        <v>984</v>
      </c>
      <c r="N71" s="16" t="s">
        <v>3917</v>
      </c>
    </row>
    <row r="72" spans="1:14" ht="15.75">
      <c r="A72" s="93">
        <f t="shared" si="11"/>
        <v>71</v>
      </c>
      <c r="B72" s="252">
        <v>45863</v>
      </c>
      <c r="C72" s="252">
        <v>45863</v>
      </c>
      <c r="E72" s="246" t="s">
        <v>1517</v>
      </c>
      <c r="G72" s="94">
        <v>0</v>
      </c>
      <c r="H72" s="254">
        <v>15000000</v>
      </c>
      <c r="I72" s="94">
        <f t="shared" si="9"/>
        <v>15000000</v>
      </c>
      <c r="J72" s="16">
        <v>-79877980.609999999</v>
      </c>
      <c r="L72" s="255" t="s">
        <v>3718</v>
      </c>
      <c r="N72" s="16" t="s">
        <v>3917</v>
      </c>
    </row>
    <row r="73" spans="1:14" ht="15.75">
      <c r="C73" s="1033">
        <f>C72+1</f>
        <v>45864</v>
      </c>
      <c r="E73"/>
      <c r="F73"/>
      <c r="G73" s="1041">
        <v>0</v>
      </c>
      <c r="H73" s="1042">
        <v>0</v>
      </c>
      <c r="I73" s="94">
        <f t="shared" si="9"/>
        <v>0</v>
      </c>
      <c r="J73" s="1041">
        <v>-79877980.609999999</v>
      </c>
      <c r="L73" s="16" t="s">
        <v>3718</v>
      </c>
      <c r="N73" s="16" t="s">
        <v>3917</v>
      </c>
    </row>
    <row r="74" spans="1:14" ht="15.75">
      <c r="C74" s="1033">
        <f>C73+1</f>
        <v>45865</v>
      </c>
      <c r="E74" s="1055"/>
      <c r="F74" s="1055"/>
      <c r="G74" s="1041">
        <v>0</v>
      </c>
      <c r="H74" s="1043">
        <v>0</v>
      </c>
      <c r="I74" s="94">
        <f t="shared" si="9"/>
        <v>0</v>
      </c>
      <c r="J74" s="1041">
        <v>-79877980.609999999</v>
      </c>
      <c r="L74" s="16" t="s">
        <v>3718</v>
      </c>
      <c r="N74" s="16" t="s">
        <v>3917</v>
      </c>
    </row>
    <row r="75" spans="1:14" ht="15.75">
      <c r="C75" s="1033">
        <f>C74+1</f>
        <v>45866</v>
      </c>
      <c r="E75" t="s">
        <v>3114</v>
      </c>
      <c r="F75" t="s">
        <v>3115</v>
      </c>
      <c r="G75" s="20">
        <v>545281</v>
      </c>
      <c r="H75" s="20">
        <v>0</v>
      </c>
      <c r="I75" s="94">
        <f t="shared" si="9"/>
        <v>-545281</v>
      </c>
      <c r="J75" s="20">
        <v>-80423261.609999999</v>
      </c>
      <c r="L75" s="16" t="s">
        <v>984</v>
      </c>
      <c r="N75" s="16" t="s">
        <v>3917</v>
      </c>
    </row>
    <row r="76" spans="1:14" ht="15.75">
      <c r="C76" s="1">
        <v>45867</v>
      </c>
      <c r="E76" t="s">
        <v>59</v>
      </c>
      <c r="F76" t="s">
        <v>3116</v>
      </c>
      <c r="G76" s="20">
        <v>1105520.1100000001</v>
      </c>
      <c r="H76" s="1044">
        <v>0</v>
      </c>
      <c r="I76" s="94">
        <f t="shared" si="9"/>
        <v>-1105520.1100000001</v>
      </c>
      <c r="J76" s="20">
        <v>-81528781.719999999</v>
      </c>
      <c r="L76" s="250" t="s">
        <v>3726</v>
      </c>
      <c r="N76" s="16" t="s">
        <v>3917</v>
      </c>
    </row>
    <row r="77" spans="1:14" ht="15.75">
      <c r="C77" s="1033">
        <v>45867</v>
      </c>
      <c r="E77" t="s">
        <v>59</v>
      </c>
      <c r="F77" t="s">
        <v>3117</v>
      </c>
      <c r="G77" s="20">
        <v>891259.06</v>
      </c>
      <c r="H77" s="1044">
        <v>0</v>
      </c>
      <c r="I77" s="94">
        <f t="shared" si="9"/>
        <v>-891259.06</v>
      </c>
      <c r="J77" s="20">
        <v>-82420040.780000001</v>
      </c>
      <c r="L77" s="250" t="s">
        <v>3726</v>
      </c>
      <c r="N77" s="16" t="s">
        <v>3917</v>
      </c>
    </row>
    <row r="78" spans="1:14" ht="15.75">
      <c r="C78" s="1">
        <v>45867</v>
      </c>
      <c r="E78" t="s">
        <v>59</v>
      </c>
      <c r="F78" t="s">
        <v>3118</v>
      </c>
      <c r="G78" s="20">
        <v>630735.34</v>
      </c>
      <c r="H78" s="1044">
        <v>0</v>
      </c>
      <c r="I78" s="94">
        <f t="shared" si="9"/>
        <v>-630735.34</v>
      </c>
      <c r="J78" s="20">
        <v>-83050776.120000005</v>
      </c>
      <c r="L78" s="250" t="s">
        <v>3726</v>
      </c>
      <c r="N78" s="16" t="s">
        <v>3917</v>
      </c>
    </row>
    <row r="79" spans="1:14" ht="15.75">
      <c r="C79" s="1">
        <f>C78+1</f>
        <v>45868</v>
      </c>
      <c r="E79"/>
      <c r="F79"/>
      <c r="G79" s="20"/>
      <c r="H79" s="1044"/>
      <c r="I79" s="94">
        <f t="shared" si="9"/>
        <v>0</v>
      </c>
      <c r="J79" s="20">
        <v>-83050776.120000005</v>
      </c>
      <c r="L79" s="16" t="s">
        <v>3726</v>
      </c>
      <c r="N79" s="16" t="s">
        <v>3917</v>
      </c>
    </row>
    <row r="80" spans="1:14" ht="15.75">
      <c r="C80" s="1">
        <v>45869</v>
      </c>
      <c r="E80" t="s">
        <v>3119</v>
      </c>
      <c r="F80"/>
      <c r="G80" s="1045"/>
      <c r="H80" s="1046">
        <v>60000000</v>
      </c>
      <c r="I80" s="94">
        <f t="shared" si="9"/>
        <v>60000000</v>
      </c>
      <c r="J80" s="20">
        <f>J79-G80+H80</f>
        <v>-23050776.120000005</v>
      </c>
      <c r="L80" s="16" t="s">
        <v>3723</v>
      </c>
      <c r="N80" s="16" t="s">
        <v>3917</v>
      </c>
    </row>
    <row r="81" spans="3:14" ht="15.75">
      <c r="C81" s="1">
        <v>45869</v>
      </c>
      <c r="E81" t="s">
        <v>3120</v>
      </c>
      <c r="F81" t="s">
        <v>3121</v>
      </c>
      <c r="G81" s="1044">
        <v>0</v>
      </c>
      <c r="H81" s="20">
        <v>100000</v>
      </c>
      <c r="I81" s="94">
        <f t="shared" si="9"/>
        <v>100000</v>
      </c>
      <c r="J81" s="20">
        <v>-22950776.120000001</v>
      </c>
      <c r="L81" s="16" t="s">
        <v>3718</v>
      </c>
      <c r="N81" s="16" t="s">
        <v>3917</v>
      </c>
    </row>
    <row r="82" spans="3:14" ht="15.75">
      <c r="C82" s="1">
        <v>45869</v>
      </c>
      <c r="E82" t="s">
        <v>3122</v>
      </c>
      <c r="F82" t="s">
        <v>3123</v>
      </c>
      <c r="G82" s="1044">
        <v>0</v>
      </c>
      <c r="H82" s="20">
        <v>1</v>
      </c>
      <c r="I82" s="94">
        <f t="shared" si="9"/>
        <v>1</v>
      </c>
      <c r="J82" s="20">
        <v>-22950775.120000001</v>
      </c>
      <c r="L82" s="1177" t="s">
        <v>3721</v>
      </c>
      <c r="N82" s="16" t="s">
        <v>3917</v>
      </c>
    </row>
    <row r="83" spans="3:14" ht="15.75">
      <c r="C83" s="1">
        <v>45869</v>
      </c>
      <c r="E83" t="s">
        <v>3124</v>
      </c>
      <c r="F83" t="s">
        <v>3125</v>
      </c>
      <c r="G83" s="1044">
        <v>0</v>
      </c>
      <c r="H83" s="20">
        <v>40000000</v>
      </c>
      <c r="I83" s="94">
        <f t="shared" si="9"/>
        <v>40000000</v>
      </c>
      <c r="J83" s="20">
        <v>17049224.879999999</v>
      </c>
      <c r="L83" s="16" t="s">
        <v>3718</v>
      </c>
      <c r="N83" s="16" t="s">
        <v>3917</v>
      </c>
    </row>
    <row r="84" spans="3:14" ht="15.75">
      <c r="C84" s="1">
        <v>45869</v>
      </c>
      <c r="E84" t="s">
        <v>3126</v>
      </c>
      <c r="F84" t="s">
        <v>0</v>
      </c>
      <c r="G84" s="20">
        <v>375903</v>
      </c>
      <c r="H84" s="20">
        <v>0</v>
      </c>
      <c r="I84" s="94">
        <f t="shared" si="9"/>
        <v>-375903</v>
      </c>
      <c r="J84" s="20">
        <v>16673321.880000001</v>
      </c>
      <c r="L84" s="16" t="s">
        <v>3717</v>
      </c>
      <c r="N84" s="16" t="s">
        <v>3918</v>
      </c>
    </row>
    <row r="85" spans="3:14" ht="15.75">
      <c r="C85" s="1">
        <v>45870</v>
      </c>
      <c r="E85" t="s">
        <v>3127</v>
      </c>
      <c r="F85" t="s">
        <v>3128</v>
      </c>
      <c r="G85" s="20">
        <v>55890</v>
      </c>
      <c r="H85" s="20"/>
      <c r="I85" s="94">
        <f t="shared" si="9"/>
        <v>-55890</v>
      </c>
      <c r="J85" s="20">
        <v>16617431.880000001</v>
      </c>
      <c r="L85" s="16" t="s">
        <v>3717</v>
      </c>
      <c r="N85" s="16" t="s">
        <v>3918</v>
      </c>
    </row>
    <row r="86" spans="3:14" ht="15.75">
      <c r="C86" s="1">
        <v>45870</v>
      </c>
      <c r="E86" t="s">
        <v>3129</v>
      </c>
      <c r="F86" t="s">
        <v>3130</v>
      </c>
      <c r="G86" s="20">
        <v>0</v>
      </c>
      <c r="H86" s="242">
        <v>20000000</v>
      </c>
      <c r="I86" s="94">
        <f t="shared" si="9"/>
        <v>20000000</v>
      </c>
      <c r="J86" s="20">
        <v>36617431.880000003</v>
      </c>
      <c r="L86" s="16" t="s">
        <v>3718</v>
      </c>
      <c r="N86" s="16" t="s">
        <v>3917</v>
      </c>
    </row>
    <row r="87" spans="3:14" ht="15.75">
      <c r="C87" s="1">
        <v>45870</v>
      </c>
      <c r="E87" t="s">
        <v>3131</v>
      </c>
      <c r="F87" t="s">
        <v>3116</v>
      </c>
      <c r="G87" s="1047">
        <v>100394.55</v>
      </c>
      <c r="H87" s="20"/>
      <c r="I87" s="94">
        <f t="shared" si="9"/>
        <v>-100394.55</v>
      </c>
      <c r="J87" s="20">
        <v>36517037.329999998</v>
      </c>
      <c r="L87" s="16" t="s">
        <v>3726</v>
      </c>
      <c r="N87" s="16" t="s">
        <v>3917</v>
      </c>
    </row>
    <row r="88" spans="3:14" ht="15.75">
      <c r="C88" s="1">
        <v>45870</v>
      </c>
      <c r="E88" t="s">
        <v>3132</v>
      </c>
      <c r="F88" t="s">
        <v>3133</v>
      </c>
      <c r="G88" s="1047">
        <v>0</v>
      </c>
      <c r="H88" s="20">
        <v>500000</v>
      </c>
      <c r="I88" s="94">
        <f t="shared" si="9"/>
        <v>500000</v>
      </c>
      <c r="J88" s="20">
        <v>37017037.329999998</v>
      </c>
      <c r="L88" s="16" t="s">
        <v>3718</v>
      </c>
      <c r="N88" s="16" t="s">
        <v>3917</v>
      </c>
    </row>
    <row r="89" spans="3:14" ht="15.75">
      <c r="C89" s="1034">
        <v>45871</v>
      </c>
      <c r="E89" t="s">
        <v>154</v>
      </c>
      <c r="F89" t="s">
        <v>3134</v>
      </c>
      <c r="G89" s="1047">
        <v>257496</v>
      </c>
      <c r="H89" s="20"/>
      <c r="I89" s="94">
        <f t="shared" si="9"/>
        <v>-257496</v>
      </c>
      <c r="J89" s="20">
        <v>36759541.329999998</v>
      </c>
      <c r="L89" s="16" t="s">
        <v>984</v>
      </c>
      <c r="N89" s="16" t="s">
        <v>3917</v>
      </c>
    </row>
    <row r="90" spans="3:14" ht="15.75">
      <c r="C90" s="1034">
        <v>45871</v>
      </c>
      <c r="E90" t="s">
        <v>154</v>
      </c>
      <c r="F90" t="s">
        <v>3135</v>
      </c>
      <c r="G90" s="1047">
        <v>1058700</v>
      </c>
      <c r="H90" s="20"/>
      <c r="I90" s="94">
        <f t="shared" si="9"/>
        <v>-1058700</v>
      </c>
      <c r="J90" s="20">
        <v>35700841.329999998</v>
      </c>
      <c r="L90" s="16" t="s">
        <v>984</v>
      </c>
      <c r="N90" s="16" t="s">
        <v>3917</v>
      </c>
    </row>
    <row r="91" spans="3:14" ht="15.75">
      <c r="C91" s="1034">
        <f>C90+1</f>
        <v>45872</v>
      </c>
      <c r="E91" s="1055"/>
      <c r="F91" s="1055"/>
      <c r="G91" s="1048"/>
      <c r="H91" s="1043"/>
      <c r="I91" s="94">
        <f t="shared" si="9"/>
        <v>0</v>
      </c>
      <c r="J91" s="20">
        <v>35700841.329999998</v>
      </c>
      <c r="L91" s="1055" t="s">
        <v>984</v>
      </c>
      <c r="N91" s="16" t="s">
        <v>3917</v>
      </c>
    </row>
    <row r="92" spans="3:14" ht="15.75">
      <c r="C92" s="1034">
        <f>C91+1</f>
        <v>45873</v>
      </c>
      <c r="E92" s="1055"/>
      <c r="F92" s="1055"/>
      <c r="G92" s="1048"/>
      <c r="H92" s="1043"/>
      <c r="I92" s="94">
        <f t="shared" si="9"/>
        <v>0</v>
      </c>
      <c r="J92" s="20">
        <v>35700841.329999998</v>
      </c>
      <c r="L92" s="1055" t="s">
        <v>984</v>
      </c>
      <c r="N92" s="16" t="s">
        <v>3917</v>
      </c>
    </row>
    <row r="93" spans="3:14" ht="15.75">
      <c r="C93" s="1">
        <v>45874</v>
      </c>
      <c r="E93" t="s">
        <v>3136</v>
      </c>
      <c r="F93" t="s">
        <v>3137</v>
      </c>
      <c r="G93" s="1047">
        <v>0</v>
      </c>
      <c r="H93" s="20">
        <v>31034175</v>
      </c>
      <c r="I93" s="94">
        <f t="shared" si="9"/>
        <v>31034175</v>
      </c>
      <c r="J93" s="20">
        <v>66735016.329999998</v>
      </c>
      <c r="L93" s="16" t="s">
        <v>3723</v>
      </c>
      <c r="N93" s="16" t="s">
        <v>3917</v>
      </c>
    </row>
    <row r="94" spans="3:14" ht="15.75">
      <c r="C94" s="1">
        <v>45874</v>
      </c>
      <c r="E94" t="s">
        <v>3138</v>
      </c>
      <c r="F94" t="s">
        <v>3139</v>
      </c>
      <c r="G94" s="20">
        <v>40000000</v>
      </c>
      <c r="H94" s="20">
        <v>0</v>
      </c>
      <c r="I94" s="94">
        <f t="shared" si="9"/>
        <v>-40000000</v>
      </c>
      <c r="J94" s="20">
        <v>26735016.329999998</v>
      </c>
      <c r="L94" s="16" t="s">
        <v>3718</v>
      </c>
      <c r="N94" s="16" t="s">
        <v>3917</v>
      </c>
    </row>
    <row r="95" spans="3:14" ht="15.75">
      <c r="C95" s="1034">
        <v>45875</v>
      </c>
      <c r="E95" s="1055"/>
      <c r="F95" s="1055"/>
      <c r="G95" s="1043">
        <v>4565.4199999980628</v>
      </c>
      <c r="H95" s="1043"/>
      <c r="I95" s="94">
        <f t="shared" si="9"/>
        <v>-4565.4199999980628</v>
      </c>
      <c r="J95" s="20">
        <f>J94-G95+H95</f>
        <v>26730450.91</v>
      </c>
      <c r="L95" s="1203" t="s">
        <v>542</v>
      </c>
      <c r="N95" s="16" t="s">
        <v>3917</v>
      </c>
    </row>
    <row r="96" spans="3:14" ht="15.75">
      <c r="C96" s="1">
        <v>45876</v>
      </c>
      <c r="E96" t="s">
        <v>3140</v>
      </c>
      <c r="F96" t="s">
        <v>3141</v>
      </c>
      <c r="G96" s="20">
        <v>20000000</v>
      </c>
      <c r="H96" s="20"/>
      <c r="I96" s="94">
        <f t="shared" si="9"/>
        <v>-20000000</v>
      </c>
      <c r="J96" s="20">
        <v>6730450.9100000001</v>
      </c>
      <c r="L96" s="16" t="s">
        <v>3718</v>
      </c>
      <c r="N96" s="16" t="s">
        <v>3917</v>
      </c>
    </row>
    <row r="97" spans="3:14" ht="15.75">
      <c r="C97" s="1">
        <v>45876</v>
      </c>
      <c r="E97" t="s">
        <v>3142</v>
      </c>
      <c r="F97" t="s">
        <v>3143</v>
      </c>
      <c r="G97" s="20">
        <v>274145</v>
      </c>
      <c r="H97" s="20"/>
      <c r="I97" s="94">
        <f t="shared" si="9"/>
        <v>-274145</v>
      </c>
      <c r="J97" s="20">
        <v>6456305.9100000001</v>
      </c>
      <c r="L97" s="1204" t="s">
        <v>542</v>
      </c>
      <c r="N97" s="16" t="s">
        <v>3917</v>
      </c>
    </row>
    <row r="98" spans="3:14" ht="15.75">
      <c r="C98" s="1">
        <v>45876</v>
      </c>
      <c r="E98" t="s">
        <v>3142</v>
      </c>
      <c r="F98" t="s">
        <v>3144</v>
      </c>
      <c r="G98" s="20">
        <v>289705</v>
      </c>
      <c r="H98" s="20"/>
      <c r="I98" s="94">
        <f t="shared" si="9"/>
        <v>-289705</v>
      </c>
      <c r="J98" s="20">
        <v>6166600.9100000001</v>
      </c>
      <c r="L98" s="1204" t="s">
        <v>542</v>
      </c>
      <c r="N98" s="16" t="s">
        <v>3917</v>
      </c>
    </row>
    <row r="99" spans="3:14" ht="15.75">
      <c r="C99" s="1">
        <v>45877</v>
      </c>
      <c r="E99" t="s">
        <v>154</v>
      </c>
      <c r="F99" t="s">
        <v>3145</v>
      </c>
      <c r="G99" s="1047">
        <v>1009080</v>
      </c>
      <c r="H99" s="20"/>
      <c r="I99" s="94">
        <f t="shared" si="9"/>
        <v>-1009080</v>
      </c>
      <c r="J99" s="20">
        <v>5157520.91</v>
      </c>
      <c r="L99" s="16" t="s">
        <v>984</v>
      </c>
      <c r="N99" s="16" t="s">
        <v>3917</v>
      </c>
    </row>
    <row r="100" spans="3:14" ht="15.75">
      <c r="C100" s="1033">
        <v>45877</v>
      </c>
      <c r="E100" t="s">
        <v>154</v>
      </c>
      <c r="F100" t="s">
        <v>3146</v>
      </c>
      <c r="G100" s="1047">
        <v>4908700</v>
      </c>
      <c r="H100" s="20"/>
      <c r="I100" s="94">
        <f t="shared" si="9"/>
        <v>-4908700</v>
      </c>
      <c r="J100" s="20">
        <v>248820.91</v>
      </c>
      <c r="L100" s="16" t="s">
        <v>984</v>
      </c>
      <c r="N100" s="16" t="s">
        <v>3917</v>
      </c>
    </row>
    <row r="101" spans="3:14" ht="15.75">
      <c r="C101" s="1034">
        <f>C100+1</f>
        <v>45878</v>
      </c>
      <c r="E101" s="1055"/>
      <c r="F101" s="1055"/>
      <c r="G101" s="1048"/>
      <c r="H101" s="1043"/>
      <c r="I101" s="94">
        <f t="shared" si="9"/>
        <v>0</v>
      </c>
      <c r="J101" s="20">
        <v>248820.91</v>
      </c>
      <c r="L101" s="1055" t="s">
        <v>984</v>
      </c>
      <c r="N101" s="16" t="s">
        <v>3917</v>
      </c>
    </row>
    <row r="102" spans="3:14" ht="15.75">
      <c r="C102" s="1035">
        <f>C101+1</f>
        <v>45879</v>
      </c>
      <c r="E102" s="1062"/>
      <c r="F102" s="1062"/>
      <c r="G102" s="1049"/>
      <c r="H102" s="1050"/>
      <c r="I102" s="94">
        <f t="shared" si="9"/>
        <v>0</v>
      </c>
      <c r="J102" s="20">
        <v>248820.91</v>
      </c>
      <c r="L102" s="1055" t="s">
        <v>984</v>
      </c>
      <c r="N102" s="16" t="s">
        <v>3917</v>
      </c>
    </row>
    <row r="103" spans="3:14" ht="15.75">
      <c r="C103" s="1033">
        <v>45880</v>
      </c>
      <c r="E103" t="s">
        <v>3147</v>
      </c>
      <c r="F103" t="s">
        <v>3148</v>
      </c>
      <c r="G103" s="1051">
        <v>0</v>
      </c>
      <c r="H103" s="20">
        <v>150000000</v>
      </c>
      <c r="I103" s="94">
        <f t="shared" si="9"/>
        <v>150000000</v>
      </c>
      <c r="J103" s="20">
        <v>150248820.91</v>
      </c>
      <c r="L103" s="16" t="s">
        <v>3718</v>
      </c>
      <c r="N103" s="16" t="s">
        <v>3917</v>
      </c>
    </row>
    <row r="104" spans="3:14" ht="15.75">
      <c r="C104" s="1">
        <v>45880</v>
      </c>
      <c r="E104" t="s">
        <v>3149</v>
      </c>
      <c r="F104" t="s">
        <v>3150</v>
      </c>
      <c r="G104" s="1051">
        <v>0</v>
      </c>
      <c r="H104" s="20">
        <v>35000000</v>
      </c>
      <c r="I104" s="94">
        <f t="shared" si="9"/>
        <v>35000000</v>
      </c>
      <c r="J104" s="20">
        <v>185248820.91</v>
      </c>
      <c r="L104" s="16" t="s">
        <v>3718</v>
      </c>
      <c r="N104" s="16" t="s">
        <v>3917</v>
      </c>
    </row>
    <row r="105" spans="3:14" ht="15.75">
      <c r="C105" s="1">
        <v>45880</v>
      </c>
      <c r="E105" t="s">
        <v>3151</v>
      </c>
      <c r="F105" t="s">
        <v>3152</v>
      </c>
      <c r="G105" s="1051">
        <v>0</v>
      </c>
      <c r="H105" s="20">
        <v>5500000</v>
      </c>
      <c r="I105" s="94">
        <f t="shared" si="9"/>
        <v>5500000</v>
      </c>
      <c r="J105" s="20">
        <v>190748820.91</v>
      </c>
      <c r="L105" s="16" t="s">
        <v>3718</v>
      </c>
      <c r="N105" s="16" t="s">
        <v>3917</v>
      </c>
    </row>
    <row r="106" spans="3:14" ht="15.75">
      <c r="C106" s="1">
        <v>45880</v>
      </c>
      <c r="E106" t="s">
        <v>3153</v>
      </c>
      <c r="F106" t="s">
        <v>3154</v>
      </c>
      <c r="G106" s="1051">
        <v>0</v>
      </c>
      <c r="H106" s="20">
        <v>4000000</v>
      </c>
      <c r="I106" s="94">
        <f t="shared" si="9"/>
        <v>4000000</v>
      </c>
      <c r="J106" s="20">
        <v>194748820.91</v>
      </c>
      <c r="L106" s="16" t="s">
        <v>3718</v>
      </c>
      <c r="N106" s="16" t="s">
        <v>3917</v>
      </c>
    </row>
    <row r="107" spans="3:14" ht="15.75">
      <c r="C107" s="1">
        <v>45880</v>
      </c>
      <c r="E107" t="s">
        <v>3131</v>
      </c>
      <c r="F107" t="s">
        <v>3116</v>
      </c>
      <c r="G107" s="20">
        <v>100394.55</v>
      </c>
      <c r="H107" s="1052">
        <v>0</v>
      </c>
      <c r="I107" s="94">
        <f t="shared" si="9"/>
        <v>-100394.55</v>
      </c>
      <c r="J107" s="20">
        <v>194648426.36000001</v>
      </c>
      <c r="L107" s="16" t="s">
        <v>3726</v>
      </c>
      <c r="N107" s="16" t="s">
        <v>3917</v>
      </c>
    </row>
    <row r="108" spans="3:14" ht="15.75">
      <c r="C108" s="1">
        <v>45880</v>
      </c>
      <c r="E108" t="s">
        <v>3155</v>
      </c>
      <c r="F108" t="s">
        <v>3156</v>
      </c>
      <c r="G108" s="1051">
        <v>0</v>
      </c>
      <c r="H108" s="20">
        <v>6000000</v>
      </c>
      <c r="I108" s="94">
        <f t="shared" si="9"/>
        <v>6000000</v>
      </c>
      <c r="J108" s="20">
        <v>200648426.36000001</v>
      </c>
      <c r="L108" s="16" t="s">
        <v>3723</v>
      </c>
      <c r="N108" s="16" t="s">
        <v>3917</v>
      </c>
    </row>
    <row r="109" spans="3:14" ht="15.75">
      <c r="C109" s="1">
        <v>45880</v>
      </c>
      <c r="E109" t="s">
        <v>3157</v>
      </c>
      <c r="F109" t="s">
        <v>3158</v>
      </c>
      <c r="G109" s="1051">
        <v>0</v>
      </c>
      <c r="H109" s="20">
        <v>2500000</v>
      </c>
      <c r="I109" s="94">
        <f t="shared" si="9"/>
        <v>2500000</v>
      </c>
      <c r="J109" s="20">
        <v>203148426.36000001</v>
      </c>
      <c r="L109" s="463" t="s">
        <v>3723</v>
      </c>
      <c r="N109" s="16" t="s">
        <v>3917</v>
      </c>
    </row>
    <row r="110" spans="3:14" ht="15.75">
      <c r="C110" s="1">
        <v>45880</v>
      </c>
      <c r="E110" t="s">
        <v>3159</v>
      </c>
      <c r="F110" t="s">
        <v>3160</v>
      </c>
      <c r="G110" s="1051">
        <v>0</v>
      </c>
      <c r="H110" s="20">
        <v>500000</v>
      </c>
      <c r="I110" s="94">
        <f t="shared" si="9"/>
        <v>500000</v>
      </c>
      <c r="J110" s="20">
        <v>203648426.36000001</v>
      </c>
      <c r="L110" s="463" t="s">
        <v>3723</v>
      </c>
      <c r="N110" s="16" t="s">
        <v>3917</v>
      </c>
    </row>
    <row r="111" spans="3:14" ht="15.75">
      <c r="C111" s="1">
        <v>45880</v>
      </c>
      <c r="E111" t="s">
        <v>3161</v>
      </c>
      <c r="F111" t="s">
        <v>3162</v>
      </c>
      <c r="G111" s="1051">
        <v>0</v>
      </c>
      <c r="H111" s="20">
        <v>1500000</v>
      </c>
      <c r="I111" s="94">
        <f t="shared" si="9"/>
        <v>1500000</v>
      </c>
      <c r="J111" s="20">
        <v>205148426.36000001</v>
      </c>
      <c r="L111" s="463" t="s">
        <v>3723</v>
      </c>
      <c r="N111" s="16" t="s">
        <v>3917</v>
      </c>
    </row>
    <row r="112" spans="3:14" ht="15.75">
      <c r="C112" s="1">
        <v>45880</v>
      </c>
      <c r="E112" t="s">
        <v>3163</v>
      </c>
      <c r="F112" t="s">
        <v>3164</v>
      </c>
      <c r="G112" s="1051">
        <v>0</v>
      </c>
      <c r="H112" s="20">
        <v>50000000</v>
      </c>
      <c r="I112" s="94">
        <f t="shared" si="9"/>
        <v>50000000</v>
      </c>
      <c r="J112" s="20">
        <v>255148426.36000001</v>
      </c>
      <c r="L112" s="16" t="s">
        <v>3718</v>
      </c>
      <c r="N112" s="16" t="s">
        <v>3917</v>
      </c>
    </row>
    <row r="113" spans="3:14" ht="15.75">
      <c r="C113" s="1">
        <v>45880</v>
      </c>
      <c r="E113" t="s">
        <v>3165</v>
      </c>
      <c r="F113" t="s">
        <v>3166</v>
      </c>
      <c r="G113" s="1051">
        <v>0</v>
      </c>
      <c r="H113" s="20">
        <v>7000000</v>
      </c>
      <c r="I113" s="94">
        <f t="shared" si="9"/>
        <v>7000000</v>
      </c>
      <c r="J113" s="242">
        <v>262148426.36000001</v>
      </c>
      <c r="L113" s="16" t="s">
        <v>3718</v>
      </c>
      <c r="N113" s="16" t="s">
        <v>3917</v>
      </c>
    </row>
    <row r="114" spans="3:14" ht="15.75">
      <c r="C114" s="1">
        <v>45881</v>
      </c>
      <c r="E114" t="s">
        <v>154</v>
      </c>
      <c r="F114" t="s">
        <v>3167</v>
      </c>
      <c r="G114" s="1047">
        <v>760622</v>
      </c>
      <c r="H114" s="20"/>
      <c r="I114" s="94">
        <f t="shared" si="9"/>
        <v>-760622</v>
      </c>
      <c r="J114" s="242">
        <v>261387804.36000001</v>
      </c>
      <c r="L114" s="16" t="s">
        <v>984</v>
      </c>
      <c r="N114" s="16" t="s">
        <v>3917</v>
      </c>
    </row>
    <row r="115" spans="3:14" ht="15.75">
      <c r="C115" s="1">
        <v>45881</v>
      </c>
      <c r="E115" t="s">
        <v>3168</v>
      </c>
      <c r="F115" t="s">
        <v>3169</v>
      </c>
      <c r="G115" s="1051"/>
      <c r="H115" s="20">
        <v>2000000</v>
      </c>
      <c r="I115" s="94">
        <f t="shared" si="9"/>
        <v>2000000</v>
      </c>
      <c r="J115" s="20">
        <v>263387804.36000001</v>
      </c>
      <c r="L115" s="16" t="s">
        <v>3718</v>
      </c>
      <c r="N115" s="16" t="s">
        <v>3917</v>
      </c>
    </row>
    <row r="116" spans="3:14" ht="15.75">
      <c r="C116" s="1">
        <v>45881</v>
      </c>
      <c r="E116" t="s">
        <v>3170</v>
      </c>
      <c r="F116" t="s">
        <v>3171</v>
      </c>
      <c r="G116" s="1051"/>
      <c r="H116" s="20">
        <v>32000000</v>
      </c>
      <c r="I116" s="94">
        <f t="shared" si="9"/>
        <v>32000000</v>
      </c>
      <c r="J116" s="20">
        <v>295387804.36000001</v>
      </c>
      <c r="L116" s="16" t="s">
        <v>3718</v>
      </c>
      <c r="N116" s="16" t="s">
        <v>3917</v>
      </c>
    </row>
    <row r="117" spans="3:14" ht="15.75">
      <c r="C117" s="1">
        <v>45881</v>
      </c>
      <c r="E117" t="s">
        <v>3172</v>
      </c>
      <c r="F117" t="s">
        <v>3173</v>
      </c>
      <c r="G117" s="1047"/>
      <c r="H117" s="20">
        <v>1000000</v>
      </c>
      <c r="I117" s="94">
        <f t="shared" si="9"/>
        <v>1000000</v>
      </c>
      <c r="J117" s="20">
        <v>296387804.36000001</v>
      </c>
      <c r="L117" s="16" t="s">
        <v>3723</v>
      </c>
      <c r="N117" s="16" t="s">
        <v>3917</v>
      </c>
    </row>
    <row r="118" spans="3:14" ht="15.75">
      <c r="C118" s="1">
        <v>45881</v>
      </c>
      <c r="E118" t="s">
        <v>3174</v>
      </c>
      <c r="F118" t="s">
        <v>0</v>
      </c>
      <c r="G118" s="20">
        <v>332600000</v>
      </c>
      <c r="H118" s="20"/>
      <c r="I118" s="94">
        <f t="shared" ref="I118:I167" si="12">H118-G118</f>
        <v>-332600000</v>
      </c>
      <c r="J118" s="20">
        <v>-36212195.640000001</v>
      </c>
      <c r="L118" s="250" t="s">
        <v>3913</v>
      </c>
      <c r="N118" s="16" t="s">
        <v>3917</v>
      </c>
    </row>
    <row r="119" spans="3:14" ht="15.75">
      <c r="C119" s="1">
        <v>45881</v>
      </c>
      <c r="E119" t="s">
        <v>3175</v>
      </c>
      <c r="F119" t="s">
        <v>3176</v>
      </c>
      <c r="G119" s="1044"/>
      <c r="H119" s="20">
        <v>13620966</v>
      </c>
      <c r="I119" s="94">
        <f t="shared" si="12"/>
        <v>13620966</v>
      </c>
      <c r="J119" s="20">
        <v>-22591229.640000001</v>
      </c>
      <c r="L119" s="16" t="s">
        <v>3723</v>
      </c>
      <c r="N119" s="16" t="s">
        <v>3917</v>
      </c>
    </row>
    <row r="120" spans="3:14" ht="15.75">
      <c r="C120" s="1">
        <v>45881</v>
      </c>
      <c r="E120" t="s">
        <v>59</v>
      </c>
      <c r="F120" t="s">
        <v>3177</v>
      </c>
      <c r="G120" s="20">
        <v>4253506.67</v>
      </c>
      <c r="H120" s="20"/>
      <c r="I120" s="94">
        <f t="shared" si="12"/>
        <v>-4253506.67</v>
      </c>
      <c r="J120" s="20">
        <v>-26844736.309999999</v>
      </c>
      <c r="L120" s="16" t="s">
        <v>3726</v>
      </c>
      <c r="N120" s="16" t="s">
        <v>3917</v>
      </c>
    </row>
    <row r="121" spans="3:14" ht="13.5">
      <c r="C121" s="1034">
        <f>C120+1</f>
        <v>45882</v>
      </c>
      <c r="E121" s="1060" t="s">
        <v>3178</v>
      </c>
      <c r="F121" s="1060" t="s">
        <v>3179</v>
      </c>
      <c r="G121" s="1044"/>
      <c r="H121" s="1053">
        <v>20000000</v>
      </c>
      <c r="I121" s="94">
        <f t="shared" si="12"/>
        <v>20000000</v>
      </c>
      <c r="J121" s="1053">
        <v>-6844736.3099999996</v>
      </c>
      <c r="L121" s="16" t="s">
        <v>3718</v>
      </c>
      <c r="N121" s="16" t="s">
        <v>3917</v>
      </c>
    </row>
    <row r="122" spans="3:14" ht="13.5">
      <c r="C122" s="1036">
        <v>45883</v>
      </c>
      <c r="E122" s="1063" t="s">
        <v>154</v>
      </c>
      <c r="F122" s="1063" t="s">
        <v>3180</v>
      </c>
      <c r="G122" s="1054">
        <v>11931780</v>
      </c>
      <c r="H122" s="1053">
        <v>0</v>
      </c>
      <c r="I122" s="94">
        <f t="shared" si="12"/>
        <v>-11931780</v>
      </c>
      <c r="J122" s="1053">
        <v>-18776516.309999999</v>
      </c>
      <c r="L122" s="16" t="s">
        <v>984</v>
      </c>
      <c r="N122" s="16" t="s">
        <v>3917</v>
      </c>
    </row>
    <row r="123" spans="3:14" ht="13.5">
      <c r="C123" s="1036">
        <v>45883</v>
      </c>
      <c r="E123" s="1063" t="s">
        <v>3181</v>
      </c>
      <c r="F123" s="1063" t="s">
        <v>3182</v>
      </c>
      <c r="G123" s="1044"/>
      <c r="H123" s="1053">
        <v>400000</v>
      </c>
      <c r="I123" s="94">
        <f t="shared" si="12"/>
        <v>400000</v>
      </c>
      <c r="J123" s="1053">
        <v>-18376516.309999999</v>
      </c>
      <c r="L123" s="16" t="s">
        <v>3723</v>
      </c>
      <c r="N123" s="16" t="s">
        <v>3917</v>
      </c>
    </row>
    <row r="124" spans="3:14" ht="13.5">
      <c r="C124" s="1036">
        <f>C123+1</f>
        <v>45884</v>
      </c>
      <c r="E124" s="1063"/>
      <c r="F124" s="1063"/>
      <c r="G124" s="1044"/>
      <c r="H124" s="1053"/>
      <c r="I124" s="94">
        <f t="shared" si="12"/>
        <v>0</v>
      </c>
      <c r="J124" s="1053">
        <v>-18376516.309999999</v>
      </c>
      <c r="L124" s="16" t="s">
        <v>3723</v>
      </c>
      <c r="N124" s="16" t="s">
        <v>3917</v>
      </c>
    </row>
    <row r="125" spans="3:14" ht="13.5">
      <c r="C125" s="1036">
        <v>45885</v>
      </c>
      <c r="E125" s="1063" t="s">
        <v>3183</v>
      </c>
      <c r="F125" s="1063" t="s">
        <v>3184</v>
      </c>
      <c r="G125" s="1044"/>
      <c r="H125" s="1053">
        <v>300000000</v>
      </c>
      <c r="I125" s="94">
        <f t="shared" si="12"/>
        <v>300000000</v>
      </c>
      <c r="J125" s="1053">
        <v>281623483.69</v>
      </c>
      <c r="L125" s="16" t="s">
        <v>3723</v>
      </c>
      <c r="N125" s="16" t="s">
        <v>3917</v>
      </c>
    </row>
    <row r="126" spans="3:14" ht="13.5">
      <c r="C126" s="1036">
        <v>45885</v>
      </c>
      <c r="E126" s="1063" t="s">
        <v>3185</v>
      </c>
      <c r="F126" s="1063" t="s">
        <v>3186</v>
      </c>
      <c r="G126" s="1044"/>
      <c r="H126" s="1053">
        <v>400000000</v>
      </c>
      <c r="I126" s="94">
        <f t="shared" si="12"/>
        <v>400000000</v>
      </c>
      <c r="J126" s="1053">
        <v>681623483.69000006</v>
      </c>
      <c r="L126" s="16" t="s">
        <v>3723</v>
      </c>
      <c r="N126" s="16" t="s">
        <v>3917</v>
      </c>
    </row>
    <row r="127" spans="3:14" ht="13.5">
      <c r="C127" s="1036">
        <v>45885</v>
      </c>
      <c r="E127" s="1063" t="s">
        <v>3187</v>
      </c>
      <c r="F127" s="1063" t="s">
        <v>3188</v>
      </c>
      <c r="G127" s="1044"/>
      <c r="H127" s="1053">
        <v>388242</v>
      </c>
      <c r="I127" s="94">
        <f t="shared" si="12"/>
        <v>388242</v>
      </c>
      <c r="J127" s="1053">
        <v>682011725.69000006</v>
      </c>
      <c r="L127" s="1177" t="s">
        <v>3721</v>
      </c>
      <c r="N127" s="16" t="s">
        <v>3917</v>
      </c>
    </row>
    <row r="128" spans="3:14" ht="13.5">
      <c r="C128" s="1034">
        <f>C127+1</f>
        <v>45886</v>
      </c>
      <c r="E128" s="1055"/>
      <c r="F128" s="1055"/>
      <c r="G128" s="1055"/>
      <c r="H128" s="1055"/>
      <c r="I128" s="94">
        <f t="shared" si="12"/>
        <v>0</v>
      </c>
      <c r="J128" s="1053">
        <v>682011725.69000006</v>
      </c>
      <c r="L128" s="1177" t="s">
        <v>3721</v>
      </c>
      <c r="N128" s="16" t="s">
        <v>3917</v>
      </c>
    </row>
    <row r="129" spans="3:14" ht="15.75">
      <c r="C129" s="1">
        <v>45887</v>
      </c>
      <c r="E129" t="s">
        <v>3131</v>
      </c>
      <c r="F129" t="s">
        <v>3116</v>
      </c>
      <c r="G129" s="20">
        <v>100394.55</v>
      </c>
      <c r="H129" s="1053"/>
      <c r="I129" s="94">
        <f t="shared" si="12"/>
        <v>-100394.55</v>
      </c>
      <c r="J129" s="20">
        <v>681911331.13999999</v>
      </c>
      <c r="L129" s="16" t="s">
        <v>3726</v>
      </c>
      <c r="N129" s="16" t="s">
        <v>3917</v>
      </c>
    </row>
    <row r="130" spans="3:14" ht="15.75">
      <c r="C130" s="1034">
        <f>C129+1</f>
        <v>45888</v>
      </c>
      <c r="E130" s="1055"/>
      <c r="F130" s="1055"/>
      <c r="G130" s="1043"/>
      <c r="H130" s="1043"/>
      <c r="I130" s="94">
        <f t="shared" si="12"/>
        <v>0</v>
      </c>
      <c r="J130" s="20">
        <v>681911331.13999999</v>
      </c>
      <c r="L130" s="1055" t="s">
        <v>3726</v>
      </c>
      <c r="N130" s="16" t="s">
        <v>3917</v>
      </c>
    </row>
    <row r="131" spans="3:14" ht="15.75">
      <c r="C131" s="1">
        <v>45889</v>
      </c>
      <c r="E131" t="s">
        <v>154</v>
      </c>
      <c r="F131" t="s">
        <v>3189</v>
      </c>
      <c r="G131" s="20">
        <v>4165236.4</v>
      </c>
      <c r="H131" s="20"/>
      <c r="I131" s="94">
        <f t="shared" si="12"/>
        <v>-4165236.4</v>
      </c>
      <c r="J131" s="20">
        <v>677746094.74000001</v>
      </c>
      <c r="L131" s="16" t="s">
        <v>984</v>
      </c>
      <c r="N131" s="16" t="s">
        <v>3917</v>
      </c>
    </row>
    <row r="132" spans="3:14" ht="15.75">
      <c r="C132" s="1">
        <v>45889</v>
      </c>
      <c r="E132" t="s">
        <v>154</v>
      </c>
      <c r="F132" t="s">
        <v>3190</v>
      </c>
      <c r="G132" s="20">
        <v>1579769.3</v>
      </c>
      <c r="H132" s="20"/>
      <c r="I132" s="94">
        <f t="shared" si="12"/>
        <v>-1579769.3</v>
      </c>
      <c r="J132" s="20">
        <v>676166325.44000006</v>
      </c>
      <c r="L132" s="16" t="s">
        <v>984</v>
      </c>
      <c r="N132" s="16" t="s">
        <v>3917</v>
      </c>
    </row>
    <row r="133" spans="3:14" ht="15.75">
      <c r="C133" s="1">
        <v>45889</v>
      </c>
      <c r="E133" t="s">
        <v>154</v>
      </c>
      <c r="F133" t="s">
        <v>3191</v>
      </c>
      <c r="G133" s="20">
        <v>2470880.08</v>
      </c>
      <c r="H133" s="20"/>
      <c r="I133" s="94">
        <f t="shared" si="12"/>
        <v>-2470880.08</v>
      </c>
      <c r="J133" s="20">
        <v>673695445.36000001</v>
      </c>
      <c r="L133" s="16" t="s">
        <v>984</v>
      </c>
      <c r="N133" s="16" t="s">
        <v>3917</v>
      </c>
    </row>
    <row r="134" spans="3:14" ht="15.75">
      <c r="C134" s="1">
        <v>45889</v>
      </c>
      <c r="E134" t="s">
        <v>154</v>
      </c>
      <c r="F134" t="s">
        <v>3192</v>
      </c>
      <c r="G134" s="20">
        <v>2690330.54</v>
      </c>
      <c r="H134" s="20"/>
      <c r="I134" s="94">
        <f t="shared" si="12"/>
        <v>-2690330.54</v>
      </c>
      <c r="J134" s="20">
        <v>671005114.82000005</v>
      </c>
      <c r="L134" s="16" t="s">
        <v>984</v>
      </c>
      <c r="N134" s="16" t="s">
        <v>3917</v>
      </c>
    </row>
    <row r="135" spans="3:14" ht="15.75">
      <c r="C135" s="1">
        <v>45889</v>
      </c>
      <c r="E135" t="s">
        <v>154</v>
      </c>
      <c r="F135" t="s">
        <v>3193</v>
      </c>
      <c r="G135" s="20">
        <v>1249577.98</v>
      </c>
      <c r="H135" s="20"/>
      <c r="I135" s="94">
        <f t="shared" si="12"/>
        <v>-1249577.98</v>
      </c>
      <c r="J135" s="20">
        <v>669755536.84000003</v>
      </c>
      <c r="L135" s="16" t="s">
        <v>984</v>
      </c>
      <c r="N135" s="16" t="s">
        <v>3917</v>
      </c>
    </row>
    <row r="136" spans="3:14" ht="15.75">
      <c r="C136" s="1">
        <v>45890</v>
      </c>
      <c r="E136" t="s">
        <v>154</v>
      </c>
      <c r="F136" t="s">
        <v>3194</v>
      </c>
      <c r="G136" s="242">
        <v>7305747</v>
      </c>
      <c r="H136" s="20"/>
      <c r="I136" s="94">
        <f t="shared" si="12"/>
        <v>-7305747</v>
      </c>
      <c r="J136" s="20">
        <v>662449789.84000003</v>
      </c>
      <c r="L136" s="16" t="s">
        <v>984</v>
      </c>
      <c r="N136" s="16" t="s">
        <v>3917</v>
      </c>
    </row>
    <row r="137" spans="3:14" ht="15.75">
      <c r="C137" s="484">
        <v>45891</v>
      </c>
      <c r="E137" t="s">
        <v>3195</v>
      </c>
      <c r="F137" t="s">
        <v>3196</v>
      </c>
      <c r="G137" s="20">
        <v>0</v>
      </c>
      <c r="H137" s="20">
        <v>27012677</v>
      </c>
      <c r="I137" s="94">
        <f t="shared" si="12"/>
        <v>27012677</v>
      </c>
      <c r="J137" s="20">
        <v>689462466.84000003</v>
      </c>
      <c r="L137" s="16" t="s">
        <v>3723</v>
      </c>
      <c r="N137" s="16" t="s">
        <v>3917</v>
      </c>
    </row>
    <row r="138" spans="3:14" ht="15.75">
      <c r="C138" s="1">
        <v>45891</v>
      </c>
      <c r="E138" t="s">
        <v>154</v>
      </c>
      <c r="F138" t="s">
        <v>3197</v>
      </c>
      <c r="G138" s="242">
        <v>5923477</v>
      </c>
      <c r="H138" s="20"/>
      <c r="I138" s="94">
        <f t="shared" si="12"/>
        <v>-5923477</v>
      </c>
      <c r="J138" s="20">
        <v>683538989.84000003</v>
      </c>
      <c r="L138" s="16" t="s">
        <v>984</v>
      </c>
      <c r="N138" s="16" t="s">
        <v>3917</v>
      </c>
    </row>
    <row r="139" spans="3:14" ht="15.75">
      <c r="C139" s="1">
        <v>45891</v>
      </c>
      <c r="E139" t="s">
        <v>59</v>
      </c>
      <c r="F139" t="s">
        <v>3198</v>
      </c>
      <c r="G139" s="20">
        <v>170902.73</v>
      </c>
      <c r="H139" s="20"/>
      <c r="I139" s="94">
        <f t="shared" si="12"/>
        <v>-170902.73</v>
      </c>
      <c r="J139" s="20">
        <v>683368087.11000001</v>
      </c>
      <c r="L139" s="16" t="s">
        <v>3726</v>
      </c>
      <c r="N139" s="16" t="s">
        <v>3917</v>
      </c>
    </row>
    <row r="140" spans="3:14" ht="15.75">
      <c r="C140" s="1034">
        <v>45892</v>
      </c>
      <c r="E140" s="1055"/>
      <c r="F140" s="1055"/>
      <c r="G140" s="1055"/>
      <c r="H140" s="1055"/>
      <c r="I140" s="94">
        <f t="shared" si="12"/>
        <v>0</v>
      </c>
      <c r="J140" s="20">
        <v>683368087.11000001</v>
      </c>
      <c r="L140" s="1055" t="s">
        <v>3726</v>
      </c>
      <c r="N140" s="16" t="s">
        <v>3917</v>
      </c>
    </row>
    <row r="141" spans="3:14" ht="15.75">
      <c r="C141" s="1034">
        <f>C140+1</f>
        <v>45893</v>
      </c>
      <c r="E141" s="1055"/>
      <c r="F141" s="1055"/>
      <c r="G141" s="1055"/>
      <c r="H141" s="1055"/>
      <c r="I141" s="94">
        <f t="shared" si="12"/>
        <v>0</v>
      </c>
      <c r="J141" s="20">
        <v>683368087.11000001</v>
      </c>
      <c r="L141" s="1055" t="s">
        <v>3726</v>
      </c>
      <c r="N141" s="16" t="s">
        <v>3917</v>
      </c>
    </row>
    <row r="142" spans="3:14" ht="15.75">
      <c r="C142" s="1034">
        <f>C141+1</f>
        <v>45894</v>
      </c>
      <c r="E142" s="1055"/>
      <c r="F142" s="1055"/>
      <c r="G142" s="1055"/>
      <c r="H142" s="1055"/>
      <c r="I142" s="94">
        <f t="shared" si="12"/>
        <v>0</v>
      </c>
      <c r="J142" s="20">
        <v>683368087.11000001</v>
      </c>
      <c r="L142" s="1055" t="s">
        <v>3726</v>
      </c>
      <c r="N142" s="16" t="s">
        <v>3917</v>
      </c>
    </row>
    <row r="143" spans="3:14" ht="15.75">
      <c r="C143" s="1037">
        <v>45894</v>
      </c>
      <c r="E143" t="s">
        <v>3199</v>
      </c>
      <c r="F143" t="s">
        <v>3200</v>
      </c>
      <c r="G143" s="20">
        <v>450993395</v>
      </c>
      <c r="H143" s="20"/>
      <c r="I143" s="94">
        <f t="shared" si="12"/>
        <v>-450993395</v>
      </c>
      <c r="J143" s="20">
        <v>232374692.11000001</v>
      </c>
      <c r="L143" s="16" t="s">
        <v>3719</v>
      </c>
      <c r="N143" s="16" t="s">
        <v>3917</v>
      </c>
    </row>
    <row r="144" spans="3:14" ht="15.75">
      <c r="C144" s="1038">
        <v>45895</v>
      </c>
      <c r="E144" t="s">
        <v>3201</v>
      </c>
      <c r="F144" t="s">
        <v>3202</v>
      </c>
      <c r="G144" s="1044"/>
      <c r="H144" s="20">
        <v>10659019</v>
      </c>
      <c r="I144" s="94">
        <f t="shared" si="12"/>
        <v>10659019</v>
      </c>
      <c r="J144" s="20">
        <v>243033711.11000001</v>
      </c>
      <c r="L144" s="16" t="s">
        <v>3723</v>
      </c>
      <c r="N144" s="16" t="s">
        <v>3917</v>
      </c>
    </row>
    <row r="145" spans="3:14" ht="15.75">
      <c r="C145" s="68">
        <v>45896</v>
      </c>
      <c r="E145" t="s">
        <v>3203</v>
      </c>
      <c r="F145" t="s">
        <v>3204</v>
      </c>
      <c r="G145" s="20">
        <v>250000000</v>
      </c>
      <c r="H145"/>
      <c r="I145" s="94">
        <f t="shared" si="12"/>
        <v>-250000000</v>
      </c>
      <c r="J145" s="20">
        <v>-6966288.8899999997</v>
      </c>
      <c r="L145" s="16" t="s">
        <v>3719</v>
      </c>
      <c r="N145" s="16" t="s">
        <v>3917</v>
      </c>
    </row>
    <row r="146" spans="3:14" ht="15.75">
      <c r="C146" s="68">
        <v>45896</v>
      </c>
      <c r="E146" t="s">
        <v>3205</v>
      </c>
      <c r="F146" t="s">
        <v>3128</v>
      </c>
      <c r="G146" s="20">
        <v>32670423</v>
      </c>
      <c r="H146"/>
      <c r="I146" s="94">
        <f t="shared" si="12"/>
        <v>-32670423</v>
      </c>
      <c r="J146" s="20">
        <v>-39636711.890000001</v>
      </c>
      <c r="L146" s="1199" t="s">
        <v>542</v>
      </c>
      <c r="N146" s="16" t="s">
        <v>3917</v>
      </c>
    </row>
    <row r="147" spans="3:14" ht="15.75">
      <c r="C147" s="68">
        <v>45896</v>
      </c>
      <c r="E147" t="s">
        <v>3127</v>
      </c>
      <c r="F147" t="s">
        <v>3128</v>
      </c>
      <c r="G147" s="20">
        <v>363288</v>
      </c>
      <c r="H147"/>
      <c r="I147" s="94">
        <f t="shared" si="12"/>
        <v>-363288</v>
      </c>
      <c r="J147" s="20">
        <v>-39999999.890000001</v>
      </c>
      <c r="L147" s="16" t="s">
        <v>3717</v>
      </c>
      <c r="N147" s="16" t="s">
        <v>3918</v>
      </c>
    </row>
    <row r="148" spans="3:14" ht="15.75">
      <c r="C148" s="68">
        <v>45896</v>
      </c>
      <c r="E148" t="s">
        <v>3206</v>
      </c>
      <c r="F148" t="s">
        <v>3128</v>
      </c>
      <c r="G148" s="241">
        <v>27329577</v>
      </c>
      <c r="H148" s="241"/>
      <c r="I148" s="94">
        <f t="shared" si="12"/>
        <v>-27329577</v>
      </c>
      <c r="J148" s="241">
        <v>-67329576.890000001</v>
      </c>
      <c r="L148" s="1199" t="s">
        <v>542</v>
      </c>
      <c r="N148" s="16" t="s">
        <v>3917</v>
      </c>
    </row>
    <row r="149" spans="3:14" ht="13.5">
      <c r="C149" s="1039">
        <v>45897</v>
      </c>
      <c r="E149" s="1060" t="s">
        <v>154</v>
      </c>
      <c r="F149" s="1060" t="s">
        <v>3207</v>
      </c>
      <c r="G149" s="1056">
        <v>13030415</v>
      </c>
      <c r="H149" s="1056"/>
      <c r="I149" s="94">
        <f t="shared" si="12"/>
        <v>-13030415</v>
      </c>
      <c r="J149" s="1056">
        <v>-80359991.890000001</v>
      </c>
      <c r="L149" s="16" t="s">
        <v>984</v>
      </c>
      <c r="N149" s="16" t="s">
        <v>3917</v>
      </c>
    </row>
    <row r="150" spans="3:14" ht="13.5">
      <c r="C150" s="1039">
        <v>45897</v>
      </c>
      <c r="E150" s="1060" t="s">
        <v>3208</v>
      </c>
      <c r="F150" s="1060" t="s">
        <v>3209</v>
      </c>
      <c r="G150" s="1056"/>
      <c r="H150" s="1056">
        <v>60000000</v>
      </c>
      <c r="I150" s="94">
        <f t="shared" si="12"/>
        <v>60000000</v>
      </c>
      <c r="J150" s="1056">
        <v>-20359991.890000001</v>
      </c>
      <c r="L150" s="1177" t="s">
        <v>3721</v>
      </c>
      <c r="N150" s="16" t="s">
        <v>3917</v>
      </c>
    </row>
    <row r="151" spans="3:14" ht="13.5">
      <c r="C151" s="1039">
        <v>45898</v>
      </c>
      <c r="E151" s="1060"/>
      <c r="F151" s="1060"/>
      <c r="G151" s="1056"/>
      <c r="H151" s="1056"/>
      <c r="I151" s="94">
        <f t="shared" si="12"/>
        <v>0</v>
      </c>
      <c r="J151" s="1056">
        <v>-20359991.890000001</v>
      </c>
      <c r="L151" s="1060" t="s">
        <v>3723</v>
      </c>
      <c r="N151" s="16" t="s">
        <v>3917</v>
      </c>
    </row>
    <row r="152" spans="3:14" ht="15.75">
      <c r="C152" s="19">
        <v>45899</v>
      </c>
      <c r="E152" s="1064" t="s">
        <v>3210</v>
      </c>
      <c r="F152" s="1064" t="s">
        <v>3211</v>
      </c>
      <c r="G152" s="1057"/>
      <c r="H152" s="1056">
        <v>50000000</v>
      </c>
      <c r="I152" s="94">
        <f t="shared" si="12"/>
        <v>50000000</v>
      </c>
      <c r="J152" s="1056">
        <v>29640008.109999999</v>
      </c>
      <c r="L152" s="16" t="s">
        <v>3723</v>
      </c>
      <c r="N152" s="16" t="s">
        <v>3917</v>
      </c>
    </row>
    <row r="153" spans="3:14" ht="15.75">
      <c r="C153" s="19">
        <v>45899</v>
      </c>
      <c r="E153" s="1064" t="s">
        <v>3212</v>
      </c>
      <c r="F153" s="1064" t="s">
        <v>3213</v>
      </c>
      <c r="G153" s="1057"/>
      <c r="H153" s="1056">
        <v>50000000</v>
      </c>
      <c r="I153" s="94">
        <f t="shared" si="12"/>
        <v>50000000</v>
      </c>
      <c r="J153" s="1056">
        <v>79640008.109999999</v>
      </c>
      <c r="L153" s="16" t="s">
        <v>3723</v>
      </c>
      <c r="N153" s="16" t="s">
        <v>3917</v>
      </c>
    </row>
    <row r="154" spans="3:14" ht="15.75">
      <c r="C154" s="19">
        <v>45899</v>
      </c>
      <c r="E154" s="1064" t="s">
        <v>3214</v>
      </c>
      <c r="F154" s="1064" t="s">
        <v>3215</v>
      </c>
      <c r="G154" s="1057"/>
      <c r="H154" s="1056">
        <v>50000000</v>
      </c>
      <c r="I154" s="94">
        <f t="shared" si="12"/>
        <v>50000000</v>
      </c>
      <c r="J154" s="1056">
        <v>129640008.11</v>
      </c>
      <c r="L154" s="16" t="s">
        <v>3723</v>
      </c>
      <c r="N154" s="16" t="s">
        <v>3917</v>
      </c>
    </row>
    <row r="155" spans="3:14" ht="15.75">
      <c r="C155" s="19">
        <v>45899</v>
      </c>
      <c r="E155" t="s">
        <v>396</v>
      </c>
      <c r="F155" t="s">
        <v>3216</v>
      </c>
      <c r="G155" s="20">
        <v>29360.76</v>
      </c>
      <c r="H155" s="1052">
        <v>0</v>
      </c>
      <c r="I155" s="94">
        <f t="shared" si="12"/>
        <v>-29360.76</v>
      </c>
      <c r="J155" s="1058">
        <v>129610647.34999999</v>
      </c>
      <c r="L155" s="16" t="s">
        <v>3726</v>
      </c>
      <c r="N155" s="16" t="s">
        <v>3917</v>
      </c>
    </row>
    <row r="156" spans="3:14" ht="15.75">
      <c r="C156" s="19">
        <v>45899</v>
      </c>
      <c r="E156" t="s">
        <v>3217</v>
      </c>
      <c r="F156" t="s">
        <v>3218</v>
      </c>
      <c r="G156" s="20">
        <v>0</v>
      </c>
      <c r="H156" s="20">
        <v>100000000</v>
      </c>
      <c r="I156" s="94">
        <f t="shared" si="12"/>
        <v>100000000</v>
      </c>
      <c r="J156" s="1058">
        <v>229610647.34999999</v>
      </c>
      <c r="L156" s="16" t="s">
        <v>3723</v>
      </c>
      <c r="N156" s="16" t="s">
        <v>3917</v>
      </c>
    </row>
    <row r="157" spans="3:14" ht="15.75">
      <c r="C157" s="19">
        <v>45899</v>
      </c>
      <c r="E157" t="s">
        <v>3219</v>
      </c>
      <c r="F157" t="s">
        <v>3220</v>
      </c>
      <c r="G157" s="20">
        <v>0</v>
      </c>
      <c r="H157" s="20">
        <v>100000000</v>
      </c>
      <c r="I157" s="94">
        <f t="shared" si="12"/>
        <v>100000000</v>
      </c>
      <c r="J157" s="1058">
        <v>329610647.35000002</v>
      </c>
      <c r="L157" s="16" t="s">
        <v>3723</v>
      </c>
      <c r="N157" s="16" t="s">
        <v>3917</v>
      </c>
    </row>
    <row r="158" spans="3:14" ht="15.75">
      <c r="C158" s="19">
        <v>45899</v>
      </c>
      <c r="E158" t="s">
        <v>3221</v>
      </c>
      <c r="F158" t="s">
        <v>3222</v>
      </c>
      <c r="G158" s="20">
        <v>0</v>
      </c>
      <c r="H158" s="20">
        <v>100000000</v>
      </c>
      <c r="I158" s="94">
        <f t="shared" si="12"/>
        <v>100000000</v>
      </c>
      <c r="J158" s="1058">
        <v>429610647.35000002</v>
      </c>
      <c r="L158" s="16" t="s">
        <v>3723</v>
      </c>
      <c r="N158" s="16" t="s">
        <v>3917</v>
      </c>
    </row>
    <row r="159" spans="3:14" ht="15.75">
      <c r="C159" s="19">
        <v>45899</v>
      </c>
      <c r="E159" t="s">
        <v>3223</v>
      </c>
      <c r="F159" t="s">
        <v>3224</v>
      </c>
      <c r="G159" s="20">
        <v>0</v>
      </c>
      <c r="H159" s="20">
        <v>100000000</v>
      </c>
      <c r="I159" s="94">
        <f t="shared" si="12"/>
        <v>100000000</v>
      </c>
      <c r="J159" s="1058">
        <v>529610647.35000002</v>
      </c>
      <c r="L159" s="16" t="s">
        <v>3723</v>
      </c>
      <c r="N159" s="16" t="s">
        <v>3917</v>
      </c>
    </row>
    <row r="160" spans="3:14" ht="15.75">
      <c r="C160" s="19">
        <v>45899</v>
      </c>
      <c r="E160" t="s">
        <v>3225</v>
      </c>
      <c r="F160" t="s">
        <v>3226</v>
      </c>
      <c r="G160" s="20">
        <v>0</v>
      </c>
      <c r="H160" s="20">
        <v>100000000</v>
      </c>
      <c r="I160" s="94">
        <f t="shared" si="12"/>
        <v>100000000</v>
      </c>
      <c r="J160" s="1058">
        <v>629610647.35000002</v>
      </c>
      <c r="L160" s="16" t="s">
        <v>3723</v>
      </c>
      <c r="N160" s="16" t="s">
        <v>3917</v>
      </c>
    </row>
    <row r="161" spans="3:14" ht="15.75">
      <c r="C161" s="19">
        <v>45899</v>
      </c>
      <c r="E161" t="s">
        <v>3227</v>
      </c>
      <c r="F161" t="s">
        <v>3228</v>
      </c>
      <c r="G161" s="20">
        <v>0</v>
      </c>
      <c r="H161" s="20">
        <v>48700000</v>
      </c>
      <c r="I161" s="94">
        <f t="shared" si="12"/>
        <v>48700000</v>
      </c>
      <c r="J161" s="1058">
        <v>678310647.35000002</v>
      </c>
      <c r="L161" s="16" t="s">
        <v>3723</v>
      </c>
      <c r="N161" s="16" t="s">
        <v>3917</v>
      </c>
    </row>
    <row r="162" spans="3:14" ht="15.75">
      <c r="C162" s="19">
        <v>45899</v>
      </c>
      <c r="E162" t="s">
        <v>3229</v>
      </c>
      <c r="F162" t="s">
        <v>3230</v>
      </c>
      <c r="G162" s="20">
        <v>0</v>
      </c>
      <c r="H162" s="20">
        <v>825970</v>
      </c>
      <c r="I162" s="94">
        <f t="shared" si="12"/>
        <v>825970</v>
      </c>
      <c r="J162" s="1058">
        <v>679136617.35000002</v>
      </c>
      <c r="L162" s="16" t="s">
        <v>3723</v>
      </c>
      <c r="N162" s="16" t="s">
        <v>3917</v>
      </c>
    </row>
    <row r="163" spans="3:14" ht="15.75">
      <c r="C163" s="19">
        <v>45899</v>
      </c>
      <c r="E163" t="s">
        <v>3231</v>
      </c>
      <c r="F163" t="s">
        <v>3232</v>
      </c>
      <c r="G163" s="20">
        <v>50000000</v>
      </c>
      <c r="H163" s="20">
        <v>0</v>
      </c>
      <c r="I163" s="94">
        <f t="shared" si="12"/>
        <v>-50000000</v>
      </c>
      <c r="J163" s="1058">
        <v>629136617.35000002</v>
      </c>
      <c r="L163" s="16" t="s">
        <v>3718</v>
      </c>
      <c r="N163" s="16" t="s">
        <v>3917</v>
      </c>
    </row>
    <row r="164" spans="3:14" ht="15.75">
      <c r="C164" s="19">
        <v>45900</v>
      </c>
      <c r="E164" t="s">
        <v>3233</v>
      </c>
      <c r="F164" t="s">
        <v>0</v>
      </c>
      <c r="G164" s="20">
        <v>25971</v>
      </c>
      <c r="H164" s="20">
        <v>0</v>
      </c>
      <c r="I164" s="94">
        <f t="shared" si="12"/>
        <v>-25971</v>
      </c>
      <c r="J164" s="1058">
        <v>629110646.35000002</v>
      </c>
      <c r="L164" s="16" t="s">
        <v>3717</v>
      </c>
      <c r="N164" s="16" t="s">
        <v>3918</v>
      </c>
    </row>
    <row r="165" spans="3:14" ht="13.5">
      <c r="C165" s="1040">
        <v>45901</v>
      </c>
      <c r="E165" s="1065" t="s">
        <v>3234</v>
      </c>
      <c r="F165" s="1065" t="s">
        <v>3209</v>
      </c>
      <c r="G165" s="1056">
        <v>65753</v>
      </c>
      <c r="H165" s="1056"/>
      <c r="I165" s="94">
        <f t="shared" si="12"/>
        <v>-65753</v>
      </c>
      <c r="J165" s="1056">
        <v>629044893.35000002</v>
      </c>
      <c r="L165" s="16" t="s">
        <v>3717</v>
      </c>
      <c r="N165" s="16" t="s">
        <v>3918</v>
      </c>
    </row>
    <row r="166" spans="3:14" ht="13.5">
      <c r="C166" s="1040">
        <v>45901</v>
      </c>
      <c r="E166" s="1065" t="s">
        <v>3235</v>
      </c>
      <c r="F166" s="1065" t="s">
        <v>3236</v>
      </c>
      <c r="G166" s="1056">
        <v>0</v>
      </c>
      <c r="H166" s="1059">
        <v>500000</v>
      </c>
      <c r="I166" s="94">
        <f t="shared" si="12"/>
        <v>500000</v>
      </c>
      <c r="J166" s="1059">
        <v>629544893.35000002</v>
      </c>
      <c r="L166" s="1061" t="s">
        <v>3718</v>
      </c>
      <c r="N166" s="16" t="s">
        <v>3917</v>
      </c>
    </row>
    <row r="167" spans="3:14" ht="15.75">
      <c r="C167" s="484">
        <v>45902</v>
      </c>
      <c r="E167" s="246" t="s">
        <v>3237</v>
      </c>
      <c r="F167" s="1055"/>
      <c r="G167" s="1019">
        <v>37500000</v>
      </c>
      <c r="H167" s="1019">
        <v>0</v>
      </c>
      <c r="I167" s="94">
        <f t="shared" si="12"/>
        <v>-37500000</v>
      </c>
      <c r="J167" s="1019">
        <v>592044893.35000002</v>
      </c>
      <c r="L167" s="250" t="s">
        <v>3913</v>
      </c>
      <c r="N167" s="16" t="s">
        <v>3917</v>
      </c>
    </row>
  </sheetData>
  <autoFilter ref="A1:N167" xr:uid="{571B21C8-7695-49D0-B553-A7903BD5F4F2}"/>
  <conditionalFormatting sqref="C137">
    <cfRule type="expression" dxfId="0" priority="1">
      <formula>C137=TODAY()</formula>
    </cfRule>
    <cfRule type="expression" priority="2">
      <formula>TODAY()</formula>
    </cfRule>
  </conditionalFormatting>
  <dataValidations count="1">
    <dataValidation type="list" allowBlank="1" showInputMessage="1" showErrorMessage="1" sqref="L14:L35 L5:L7 L9" xr:uid="{601AE41E-F937-45AB-8504-5858563B567F}">
      <formula1>#REF!</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52294-954B-421A-A359-870D47B0AB2C}">
  <dimension ref="A1:O189"/>
  <sheetViews>
    <sheetView workbookViewId="0">
      <pane ySplit="1" topLeftCell="A2" activePane="bottomLeft" state="frozen"/>
      <selection activeCell="J61" sqref="J61"/>
      <selection pane="bottomLeft" activeCell="I1" sqref="I1"/>
    </sheetView>
  </sheetViews>
  <sheetFormatPr defaultRowHeight="12.75"/>
  <cols>
    <col min="1" max="1" width="8.88671875" style="4"/>
    <col min="2" max="3" width="9.88671875" style="4" bestFit="1" customWidth="1"/>
    <col min="4" max="6" width="8.88671875" style="4"/>
    <col min="7" max="7" width="11.33203125" style="4" bestFit="1" customWidth="1"/>
    <col min="8" max="8" width="11.21875" style="4" bestFit="1" customWidth="1"/>
    <col min="9" max="9" width="11.21875" style="4" customWidth="1"/>
    <col min="10" max="10" width="13.77734375" style="4" bestFit="1" customWidth="1"/>
    <col min="11" max="13" width="8.88671875" style="4"/>
    <col min="14" max="15" width="10" style="4" bestFit="1" customWidth="1"/>
    <col min="16" max="16" width="10.5546875" style="4" bestFit="1" customWidth="1"/>
    <col min="17" max="16384" width="8.88671875" style="4"/>
  </cols>
  <sheetData>
    <row r="1" spans="1:15" ht="13.5">
      <c r="A1" s="1179" t="s">
        <v>896</v>
      </c>
      <c r="B1" s="113" t="s">
        <v>2</v>
      </c>
      <c r="C1" s="114" t="s">
        <v>54</v>
      </c>
      <c r="D1" s="113" t="s">
        <v>93</v>
      </c>
      <c r="E1" s="113" t="s">
        <v>92</v>
      </c>
      <c r="F1" s="113" t="s">
        <v>91</v>
      </c>
      <c r="G1" s="92" t="s">
        <v>375</v>
      </c>
      <c r="H1" s="92" t="s">
        <v>6</v>
      </c>
      <c r="I1" s="92" t="s">
        <v>993</v>
      </c>
      <c r="J1" s="150" t="s">
        <v>123</v>
      </c>
      <c r="K1" s="113" t="s">
        <v>5</v>
      </c>
      <c r="L1" s="92" t="s">
        <v>376</v>
      </c>
      <c r="M1" s="130" t="s">
        <v>7</v>
      </c>
      <c r="N1" s="9" t="s">
        <v>3915</v>
      </c>
    </row>
    <row r="2" spans="1:15" ht="15.75">
      <c r="A2" s="95">
        <v>1</v>
      </c>
      <c r="B2" s="115" t="s">
        <v>70</v>
      </c>
      <c r="C2" s="198">
        <v>45833</v>
      </c>
      <c r="D2" s="115" t="s">
        <v>69</v>
      </c>
      <c r="E2" s="115" t="s">
        <v>90</v>
      </c>
      <c r="F2" s="115"/>
      <c r="G2" s="116">
        <v>0</v>
      </c>
      <c r="H2" s="116">
        <v>160000000</v>
      </c>
      <c r="I2" s="116">
        <f>H2-G2</f>
        <v>160000000</v>
      </c>
      <c r="J2" s="116">
        <v>10131931.779999999</v>
      </c>
      <c r="K2" s="115" t="s">
        <v>89</v>
      </c>
      <c r="L2" s="52" t="s">
        <v>3722</v>
      </c>
      <c r="M2" s="95" t="s">
        <v>383</v>
      </c>
      <c r="N2" s="7" t="s">
        <v>3917</v>
      </c>
    </row>
    <row r="3" spans="1:15" ht="15.75">
      <c r="A3" s="95">
        <f>A2+1</f>
        <v>2</v>
      </c>
      <c r="B3" s="115" t="s">
        <v>70</v>
      </c>
      <c r="C3" s="198">
        <v>45833</v>
      </c>
      <c r="D3" s="115" t="s">
        <v>69</v>
      </c>
      <c r="E3" s="115" t="s">
        <v>88</v>
      </c>
      <c r="F3" s="115"/>
      <c r="G3" s="117">
        <v>0</v>
      </c>
      <c r="H3" s="116">
        <v>9000000</v>
      </c>
      <c r="I3" s="116">
        <f t="shared" ref="I3:I66" si="0">H3-G3</f>
        <v>9000000</v>
      </c>
      <c r="J3" s="116">
        <v>19131931.780000001</v>
      </c>
      <c r="K3" s="115" t="s">
        <v>87</v>
      </c>
      <c r="L3" s="52" t="s">
        <v>3722</v>
      </c>
      <c r="M3" s="95" t="s">
        <v>383</v>
      </c>
      <c r="N3" s="7" t="s">
        <v>3917</v>
      </c>
      <c r="O3" s="6"/>
    </row>
    <row r="4" spans="1:15" ht="15.75">
      <c r="A4" s="95">
        <f t="shared" ref="A4:A68" si="1">A3+1</f>
        <v>3</v>
      </c>
      <c r="B4" s="115" t="s">
        <v>70</v>
      </c>
      <c r="C4" s="198">
        <v>45833</v>
      </c>
      <c r="D4" s="115" t="s">
        <v>69</v>
      </c>
      <c r="E4" s="115" t="s">
        <v>86</v>
      </c>
      <c r="F4" s="115"/>
      <c r="G4" s="117">
        <v>166000000</v>
      </c>
      <c r="H4" s="116">
        <v>0</v>
      </c>
      <c r="I4" s="116">
        <f t="shared" si="0"/>
        <v>-166000000</v>
      </c>
      <c r="J4" s="116">
        <v>146868068.22</v>
      </c>
      <c r="K4" s="115" t="s">
        <v>85</v>
      </c>
      <c r="L4" s="95" t="s">
        <v>3718</v>
      </c>
      <c r="M4" s="95" t="s">
        <v>382</v>
      </c>
      <c r="N4" s="7" t="s">
        <v>3917</v>
      </c>
      <c r="O4" s="6"/>
    </row>
    <row r="5" spans="1:15" ht="15.75">
      <c r="A5" s="95">
        <f t="shared" si="1"/>
        <v>4</v>
      </c>
      <c r="B5" s="115" t="s">
        <v>70</v>
      </c>
      <c r="C5" s="198">
        <v>45833</v>
      </c>
      <c r="D5" s="115" t="s">
        <v>69</v>
      </c>
      <c r="E5" s="115" t="s">
        <v>84</v>
      </c>
      <c r="F5" s="115"/>
      <c r="G5" s="117">
        <v>0</v>
      </c>
      <c r="H5" s="116">
        <v>110000000</v>
      </c>
      <c r="I5" s="116">
        <f t="shared" si="0"/>
        <v>110000000</v>
      </c>
      <c r="J5" s="116">
        <v>36868068.219999999</v>
      </c>
      <c r="K5" s="115" t="s">
        <v>83</v>
      </c>
      <c r="L5" s="52" t="s">
        <v>3722</v>
      </c>
      <c r="M5" s="95" t="s">
        <v>383</v>
      </c>
      <c r="N5" s="7" t="s">
        <v>3917</v>
      </c>
      <c r="O5" s="6"/>
    </row>
    <row r="6" spans="1:15" ht="15.75">
      <c r="A6" s="95">
        <f t="shared" si="1"/>
        <v>5</v>
      </c>
      <c r="B6" s="115" t="s">
        <v>70</v>
      </c>
      <c r="C6" s="198">
        <v>45833</v>
      </c>
      <c r="D6" s="115" t="s">
        <v>69</v>
      </c>
      <c r="E6" s="115" t="s">
        <v>82</v>
      </c>
      <c r="F6" s="115"/>
      <c r="G6" s="117">
        <v>25000</v>
      </c>
      <c r="H6" s="116">
        <v>0</v>
      </c>
      <c r="I6" s="116">
        <f t="shared" si="0"/>
        <v>-25000</v>
      </c>
      <c r="J6" s="116">
        <v>36893068.219999999</v>
      </c>
      <c r="K6" s="115" t="s">
        <v>81</v>
      </c>
      <c r="L6" s="1177" t="s">
        <v>542</v>
      </c>
      <c r="M6" s="95" t="str">
        <f>L6</f>
        <v>Other Expenses</v>
      </c>
      <c r="N6" s="7" t="s">
        <v>3917</v>
      </c>
      <c r="O6" s="6"/>
    </row>
    <row r="7" spans="1:15" ht="15.75">
      <c r="A7" s="95">
        <f t="shared" si="1"/>
        <v>6</v>
      </c>
      <c r="B7" s="115" t="s">
        <v>70</v>
      </c>
      <c r="C7" s="198">
        <v>45833</v>
      </c>
      <c r="D7" s="115" t="s">
        <v>69</v>
      </c>
      <c r="E7" s="115" t="s">
        <v>80</v>
      </c>
      <c r="F7" s="115"/>
      <c r="G7" s="117">
        <v>40000000</v>
      </c>
      <c r="H7" s="116">
        <v>0</v>
      </c>
      <c r="I7" s="116">
        <f t="shared" si="0"/>
        <v>-40000000</v>
      </c>
      <c r="J7" s="116">
        <v>76893068.219999999</v>
      </c>
      <c r="K7" s="115" t="s">
        <v>79</v>
      </c>
      <c r="L7" s="95" t="s">
        <v>3718</v>
      </c>
      <c r="M7" s="95" t="s">
        <v>382</v>
      </c>
      <c r="N7" s="7" t="s">
        <v>3917</v>
      </c>
      <c r="O7" s="6"/>
    </row>
    <row r="8" spans="1:15" ht="15.75">
      <c r="A8" s="95">
        <f t="shared" si="1"/>
        <v>7</v>
      </c>
      <c r="B8" s="115" t="s">
        <v>70</v>
      </c>
      <c r="C8" s="198">
        <v>45833</v>
      </c>
      <c r="D8" s="115" t="s">
        <v>69</v>
      </c>
      <c r="E8" s="115" t="s">
        <v>78</v>
      </c>
      <c r="F8" s="115"/>
      <c r="G8" s="116">
        <v>40000000</v>
      </c>
      <c r="H8" s="116">
        <v>0</v>
      </c>
      <c r="I8" s="116">
        <f t="shared" si="0"/>
        <v>-40000000</v>
      </c>
      <c r="J8" s="116">
        <v>116893068.22</v>
      </c>
      <c r="K8" s="115" t="s">
        <v>77</v>
      </c>
      <c r="L8" s="95" t="s">
        <v>3718</v>
      </c>
      <c r="M8" s="95" t="s">
        <v>382</v>
      </c>
      <c r="N8" s="7" t="s">
        <v>3917</v>
      </c>
      <c r="O8" s="6"/>
    </row>
    <row r="9" spans="1:15" ht="15.75">
      <c r="A9" s="95">
        <f t="shared" si="1"/>
        <v>8</v>
      </c>
      <c r="B9" s="115" t="s">
        <v>70</v>
      </c>
      <c r="C9" s="198">
        <v>45833</v>
      </c>
      <c r="D9" s="115" t="s">
        <v>69</v>
      </c>
      <c r="E9" s="115" t="s">
        <v>76</v>
      </c>
      <c r="F9" s="115"/>
      <c r="G9" s="116">
        <v>30000000</v>
      </c>
      <c r="H9" s="116">
        <v>0</v>
      </c>
      <c r="I9" s="116">
        <f t="shared" si="0"/>
        <v>-30000000</v>
      </c>
      <c r="J9" s="116">
        <v>146893068.22</v>
      </c>
      <c r="K9" s="115" t="s">
        <v>75</v>
      </c>
      <c r="L9" s="95" t="s">
        <v>3718</v>
      </c>
      <c r="M9" s="95" t="s">
        <v>382</v>
      </c>
      <c r="N9" s="7" t="s">
        <v>3917</v>
      </c>
      <c r="O9" s="6"/>
    </row>
    <row r="10" spans="1:15" ht="15.75">
      <c r="A10" s="95">
        <f t="shared" si="1"/>
        <v>9</v>
      </c>
      <c r="B10" s="115" t="s">
        <v>70</v>
      </c>
      <c r="C10" s="198">
        <v>45833</v>
      </c>
      <c r="D10" s="115" t="s">
        <v>69</v>
      </c>
      <c r="E10" s="115" t="s">
        <v>74</v>
      </c>
      <c r="F10" s="115"/>
      <c r="G10" s="116">
        <v>0</v>
      </c>
      <c r="H10" s="116">
        <v>60000000</v>
      </c>
      <c r="I10" s="116">
        <f t="shared" si="0"/>
        <v>60000000</v>
      </c>
      <c r="J10" s="116">
        <v>86893068.219999999</v>
      </c>
      <c r="K10" s="115" t="s">
        <v>73</v>
      </c>
      <c r="L10" s="95" t="s">
        <v>3723</v>
      </c>
      <c r="M10" s="95" t="s">
        <v>380</v>
      </c>
      <c r="N10" s="7" t="s">
        <v>3917</v>
      </c>
      <c r="O10" s="6"/>
    </row>
    <row r="11" spans="1:15" ht="13.5">
      <c r="A11" s="95">
        <f t="shared" si="1"/>
        <v>10</v>
      </c>
      <c r="B11" s="115" t="s">
        <v>70</v>
      </c>
      <c r="C11" s="198">
        <v>45833</v>
      </c>
      <c r="D11" s="115" t="s">
        <v>69</v>
      </c>
      <c r="E11" s="115" t="s">
        <v>72</v>
      </c>
      <c r="F11" s="115"/>
      <c r="G11" s="116">
        <v>600000</v>
      </c>
      <c r="H11" s="116">
        <v>0</v>
      </c>
      <c r="I11" s="116">
        <f t="shared" si="0"/>
        <v>-600000</v>
      </c>
      <c r="J11" s="116">
        <v>87493068.219999999</v>
      </c>
      <c r="K11" s="115" t="s">
        <v>71</v>
      </c>
      <c r="L11" s="52" t="s">
        <v>3722</v>
      </c>
      <c r="M11" s="95" t="s">
        <v>385</v>
      </c>
      <c r="N11" s="4" t="s">
        <v>3917</v>
      </c>
      <c r="O11" s="6"/>
    </row>
    <row r="12" spans="1:15" ht="13.5">
      <c r="A12" s="95">
        <f t="shared" si="1"/>
        <v>11</v>
      </c>
      <c r="B12" s="115" t="s">
        <v>70</v>
      </c>
      <c r="C12" s="198">
        <v>45833</v>
      </c>
      <c r="D12" s="115" t="s">
        <v>69</v>
      </c>
      <c r="E12" s="115" t="s">
        <v>68</v>
      </c>
      <c r="F12" s="115"/>
      <c r="G12" s="116">
        <v>200000</v>
      </c>
      <c r="H12" s="116">
        <v>0</v>
      </c>
      <c r="I12" s="116">
        <f t="shared" si="0"/>
        <v>-200000</v>
      </c>
      <c r="J12" s="116">
        <v>87693068.219999999</v>
      </c>
      <c r="K12" s="115" t="s">
        <v>67</v>
      </c>
      <c r="L12" s="52" t="s">
        <v>3722</v>
      </c>
      <c r="M12" s="95" t="s">
        <v>386</v>
      </c>
      <c r="N12" s="4" t="s">
        <v>3917</v>
      </c>
    </row>
    <row r="13" spans="1:15" ht="13.5">
      <c r="A13" s="95">
        <f t="shared" si="1"/>
        <v>12</v>
      </c>
      <c r="B13" s="118">
        <v>45834</v>
      </c>
      <c r="C13" s="199">
        <v>45834</v>
      </c>
      <c r="D13" s="95" t="s">
        <v>69</v>
      </c>
      <c r="E13" s="95" t="s">
        <v>121</v>
      </c>
      <c r="F13" s="95"/>
      <c r="G13" s="106">
        <v>6</v>
      </c>
      <c r="H13" s="106">
        <v>0</v>
      </c>
      <c r="I13" s="116">
        <f t="shared" si="0"/>
        <v>-6</v>
      </c>
      <c r="J13" s="116">
        <v>87693074.219999999</v>
      </c>
      <c r="K13" s="95" t="s">
        <v>120</v>
      </c>
      <c r="L13" s="52" t="s">
        <v>542</v>
      </c>
      <c r="M13" s="95" t="str">
        <f>L13</f>
        <v>Other Expenses</v>
      </c>
      <c r="N13" s="4" t="s">
        <v>3917</v>
      </c>
    </row>
    <row r="14" spans="1:15" ht="13.5">
      <c r="A14" s="95">
        <f t="shared" si="1"/>
        <v>13</v>
      </c>
      <c r="B14" s="118" t="s">
        <v>156</v>
      </c>
      <c r="C14" s="199">
        <v>45835</v>
      </c>
      <c r="D14" s="52" t="s">
        <v>69</v>
      </c>
      <c r="E14" s="52" t="s">
        <v>157</v>
      </c>
      <c r="F14" s="52"/>
      <c r="G14" s="106">
        <v>6</v>
      </c>
      <c r="H14" s="106">
        <v>0</v>
      </c>
      <c r="I14" s="116">
        <f t="shared" si="0"/>
        <v>-6</v>
      </c>
      <c r="J14" s="106">
        <v>87693080.219999999</v>
      </c>
      <c r="K14" s="52" t="s">
        <v>158</v>
      </c>
      <c r="L14" s="52" t="s">
        <v>542</v>
      </c>
      <c r="M14" s="95" t="str">
        <f>L14</f>
        <v>Other Expenses</v>
      </c>
      <c r="N14" s="4" t="s">
        <v>3917</v>
      </c>
    </row>
    <row r="15" spans="1:15" ht="13.5">
      <c r="A15" s="95">
        <f t="shared" si="1"/>
        <v>14</v>
      </c>
      <c r="B15" s="118" t="s">
        <v>156</v>
      </c>
      <c r="C15" s="199">
        <v>45835</v>
      </c>
      <c r="D15" s="52" t="s">
        <v>69</v>
      </c>
      <c r="E15" s="52" t="s">
        <v>159</v>
      </c>
      <c r="F15" s="52"/>
      <c r="G15" s="106">
        <v>100000</v>
      </c>
      <c r="H15" s="106">
        <v>0</v>
      </c>
      <c r="I15" s="116">
        <f t="shared" si="0"/>
        <v>-100000</v>
      </c>
      <c r="J15" s="106">
        <v>87793080.219999999</v>
      </c>
      <c r="K15" s="52" t="s">
        <v>160</v>
      </c>
      <c r="L15" s="52" t="s">
        <v>3717</v>
      </c>
      <c r="M15" s="95" t="s">
        <v>384</v>
      </c>
      <c r="N15" s="4" t="s">
        <v>3918</v>
      </c>
    </row>
    <row r="16" spans="1:15" ht="13.5">
      <c r="A16" s="95">
        <f t="shared" si="1"/>
        <v>15</v>
      </c>
      <c r="B16" s="119" t="s">
        <v>156</v>
      </c>
      <c r="C16" s="199">
        <v>45835</v>
      </c>
      <c r="D16" s="119" t="s">
        <v>69</v>
      </c>
      <c r="E16" s="95" t="s">
        <v>182</v>
      </c>
      <c r="F16" s="95"/>
      <c r="G16" s="106">
        <v>0</v>
      </c>
      <c r="H16" s="106">
        <v>66891717</v>
      </c>
      <c r="I16" s="116">
        <f t="shared" si="0"/>
        <v>66891717</v>
      </c>
      <c r="J16" s="106">
        <v>20901363.219999999</v>
      </c>
      <c r="K16" s="120" t="s">
        <v>181</v>
      </c>
      <c r="L16" s="10" t="s">
        <v>3723</v>
      </c>
      <c r="M16" s="95" t="s">
        <v>383</v>
      </c>
      <c r="N16" s="4" t="s">
        <v>3917</v>
      </c>
    </row>
    <row r="17" spans="1:14" ht="13.5">
      <c r="A17" s="95">
        <f t="shared" si="1"/>
        <v>16</v>
      </c>
      <c r="B17" s="121">
        <v>45836</v>
      </c>
      <c r="C17" s="200">
        <v>45836</v>
      </c>
      <c r="D17" s="119" t="s">
        <v>69</v>
      </c>
      <c r="E17" s="119" t="s">
        <v>184</v>
      </c>
      <c r="F17" s="95"/>
      <c r="G17" s="122">
        <v>600000</v>
      </c>
      <c r="H17" s="123">
        <v>0</v>
      </c>
      <c r="I17" s="116">
        <f t="shared" si="0"/>
        <v>-600000</v>
      </c>
      <c r="J17" s="122">
        <v>21501363.219999999</v>
      </c>
      <c r="K17" s="120" t="s">
        <v>183</v>
      </c>
      <c r="L17" s="52" t="s">
        <v>3717</v>
      </c>
      <c r="M17" s="95" t="s">
        <v>384</v>
      </c>
      <c r="N17" s="4" t="s">
        <v>3918</v>
      </c>
    </row>
    <row r="18" spans="1:14" ht="13.5">
      <c r="A18" s="95">
        <f t="shared" si="1"/>
        <v>17</v>
      </c>
      <c r="B18" s="121">
        <f>B17+1</f>
        <v>45837</v>
      </c>
      <c r="C18" s="200">
        <f>C17+1</f>
        <v>45837</v>
      </c>
      <c r="D18" s="119"/>
      <c r="E18" s="119"/>
      <c r="F18" s="95"/>
      <c r="G18" s="122">
        <v>0</v>
      </c>
      <c r="H18" s="123">
        <v>0</v>
      </c>
      <c r="I18" s="116">
        <f t="shared" si="0"/>
        <v>0</v>
      </c>
      <c r="J18" s="122">
        <v>21501363.219999999</v>
      </c>
      <c r="K18" s="120"/>
      <c r="L18" s="95" t="s">
        <v>3717</v>
      </c>
      <c r="M18" s="95" t="s">
        <v>382</v>
      </c>
      <c r="N18" s="4" t="s">
        <v>3918</v>
      </c>
    </row>
    <row r="19" spans="1:14" ht="13.5">
      <c r="A19" s="95">
        <f t="shared" si="1"/>
        <v>18</v>
      </c>
      <c r="B19" s="95" t="s">
        <v>259</v>
      </c>
      <c r="C19" s="193">
        <v>45838</v>
      </c>
      <c r="D19" s="95" t="s">
        <v>69</v>
      </c>
      <c r="E19" s="95" t="s">
        <v>261</v>
      </c>
      <c r="F19" s="95"/>
      <c r="G19" s="106">
        <v>20000000</v>
      </c>
      <c r="H19" s="106">
        <v>0</v>
      </c>
      <c r="I19" s="116">
        <f t="shared" si="0"/>
        <v>-20000000</v>
      </c>
      <c r="J19" s="106">
        <v>41501363.219999999</v>
      </c>
      <c r="K19" s="95" t="s">
        <v>260</v>
      </c>
      <c r="L19" s="95" t="s">
        <v>3718</v>
      </c>
      <c r="M19" s="95" t="s">
        <v>382</v>
      </c>
      <c r="N19" s="4" t="s">
        <v>3917</v>
      </c>
    </row>
    <row r="20" spans="1:14" ht="13.5">
      <c r="A20" s="95">
        <f t="shared" si="1"/>
        <v>19</v>
      </c>
      <c r="B20" s="95" t="s">
        <v>259</v>
      </c>
      <c r="C20" s="193">
        <v>45838</v>
      </c>
      <c r="D20" s="95" t="s">
        <v>69</v>
      </c>
      <c r="E20" s="95" t="s">
        <v>263</v>
      </c>
      <c r="F20" s="95"/>
      <c r="G20" s="106">
        <v>31000000</v>
      </c>
      <c r="H20" s="106">
        <v>0</v>
      </c>
      <c r="I20" s="116">
        <f t="shared" si="0"/>
        <v>-31000000</v>
      </c>
      <c r="J20" s="106">
        <v>72501363.219999999</v>
      </c>
      <c r="K20" s="95" t="s">
        <v>262</v>
      </c>
      <c r="L20" s="95" t="s">
        <v>3718</v>
      </c>
      <c r="M20" s="95" t="s">
        <v>382</v>
      </c>
      <c r="N20" s="4" t="s">
        <v>3917</v>
      </c>
    </row>
    <row r="21" spans="1:14" ht="13.5">
      <c r="A21" s="95">
        <f t="shared" si="1"/>
        <v>20</v>
      </c>
      <c r="B21" s="95" t="s">
        <v>259</v>
      </c>
      <c r="C21" s="193">
        <v>45838</v>
      </c>
      <c r="D21" s="95" t="s">
        <v>69</v>
      </c>
      <c r="E21" s="95" t="s">
        <v>265</v>
      </c>
      <c r="F21" s="95"/>
      <c r="G21" s="173">
        <v>60000000</v>
      </c>
      <c r="H21" s="106">
        <v>0</v>
      </c>
      <c r="I21" s="116">
        <f t="shared" si="0"/>
        <v>-60000000</v>
      </c>
      <c r="J21" s="106">
        <v>132501363.22</v>
      </c>
      <c r="K21" s="95" t="s">
        <v>264</v>
      </c>
      <c r="L21" s="95" t="s">
        <v>3718</v>
      </c>
      <c r="M21" s="95" t="s">
        <v>382</v>
      </c>
      <c r="N21" s="4" t="s">
        <v>3917</v>
      </c>
    </row>
    <row r="22" spans="1:14" ht="13.5">
      <c r="A22" s="95">
        <f t="shared" si="1"/>
        <v>21</v>
      </c>
      <c r="B22" s="95" t="s">
        <v>259</v>
      </c>
      <c r="C22" s="193">
        <v>45838</v>
      </c>
      <c r="D22" s="95" t="s">
        <v>69</v>
      </c>
      <c r="E22" s="95" t="s">
        <v>267</v>
      </c>
      <c r="F22" s="95"/>
      <c r="G22" s="106">
        <v>5900</v>
      </c>
      <c r="H22" s="106">
        <v>0</v>
      </c>
      <c r="I22" s="116">
        <f t="shared" si="0"/>
        <v>-5900</v>
      </c>
      <c r="J22" s="106">
        <v>132507263.22</v>
      </c>
      <c r="K22" s="95" t="s">
        <v>266</v>
      </c>
      <c r="L22" s="52" t="s">
        <v>3719</v>
      </c>
      <c r="M22" s="95" t="s">
        <v>381</v>
      </c>
      <c r="N22" s="4" t="s">
        <v>3917</v>
      </c>
    </row>
    <row r="23" spans="1:14" ht="13.5">
      <c r="A23" s="95">
        <f t="shared" si="1"/>
        <v>22</v>
      </c>
      <c r="B23" s="95" t="s">
        <v>259</v>
      </c>
      <c r="C23" s="193">
        <v>45838</v>
      </c>
      <c r="D23" s="95" t="s">
        <v>69</v>
      </c>
      <c r="E23" s="95" t="s">
        <v>269</v>
      </c>
      <c r="F23" s="95"/>
      <c r="G23" s="106">
        <v>600000</v>
      </c>
      <c r="H23" s="106">
        <v>0</v>
      </c>
      <c r="I23" s="116">
        <f t="shared" si="0"/>
        <v>-600000</v>
      </c>
      <c r="J23" s="106">
        <v>133107263.22</v>
      </c>
      <c r="K23" s="95" t="s">
        <v>268</v>
      </c>
      <c r="L23" s="95" t="s">
        <v>3718</v>
      </c>
      <c r="M23" s="95" t="s">
        <v>382</v>
      </c>
      <c r="N23" s="4" t="s">
        <v>3917</v>
      </c>
    </row>
    <row r="24" spans="1:14" ht="13.5">
      <c r="A24" s="95">
        <f t="shared" si="1"/>
        <v>23</v>
      </c>
      <c r="B24" s="95" t="s">
        <v>259</v>
      </c>
      <c r="C24" s="193">
        <v>45838</v>
      </c>
      <c r="D24" s="95" t="s">
        <v>69</v>
      </c>
      <c r="E24" s="95" t="s">
        <v>271</v>
      </c>
      <c r="F24" s="95"/>
      <c r="G24" s="106">
        <v>500000</v>
      </c>
      <c r="H24" s="106">
        <v>0</v>
      </c>
      <c r="I24" s="116">
        <f t="shared" si="0"/>
        <v>-500000</v>
      </c>
      <c r="J24" s="106">
        <v>133607263.22</v>
      </c>
      <c r="K24" s="95" t="s">
        <v>270</v>
      </c>
      <c r="L24" s="52" t="s">
        <v>3718</v>
      </c>
      <c r="M24" s="95" t="s">
        <v>513</v>
      </c>
      <c r="N24" s="4" t="s">
        <v>3917</v>
      </c>
    </row>
    <row r="25" spans="1:14" ht="13.5">
      <c r="A25" s="95">
        <f t="shared" si="1"/>
        <v>24</v>
      </c>
      <c r="B25" s="95" t="s">
        <v>259</v>
      </c>
      <c r="C25" s="193">
        <v>45838</v>
      </c>
      <c r="D25" s="95" t="s">
        <v>69</v>
      </c>
      <c r="E25" s="95" t="s">
        <v>273</v>
      </c>
      <c r="F25" s="95"/>
      <c r="G25" s="106">
        <v>1000000</v>
      </c>
      <c r="H25" s="106">
        <v>0</v>
      </c>
      <c r="I25" s="116">
        <f t="shared" si="0"/>
        <v>-1000000</v>
      </c>
      <c r="J25" s="106">
        <v>134607263.22</v>
      </c>
      <c r="K25" s="95" t="s">
        <v>272</v>
      </c>
      <c r="L25" s="95" t="s">
        <v>3718</v>
      </c>
      <c r="M25" s="95" t="s">
        <v>382</v>
      </c>
      <c r="N25" s="4" t="s">
        <v>3917</v>
      </c>
    </row>
    <row r="26" spans="1:14" ht="13.5">
      <c r="A26" s="95">
        <f t="shared" si="1"/>
        <v>25</v>
      </c>
      <c r="B26" s="95" t="s">
        <v>259</v>
      </c>
      <c r="C26" s="193">
        <v>45838</v>
      </c>
      <c r="D26" s="95" t="s">
        <v>69</v>
      </c>
      <c r="E26" s="95" t="s">
        <v>275</v>
      </c>
      <c r="F26" s="95"/>
      <c r="G26" s="173">
        <v>1000000</v>
      </c>
      <c r="H26" s="106">
        <v>0</v>
      </c>
      <c r="I26" s="116">
        <f t="shared" si="0"/>
        <v>-1000000</v>
      </c>
      <c r="J26" s="106">
        <v>135607263.22</v>
      </c>
      <c r="K26" s="95" t="s">
        <v>274</v>
      </c>
      <c r="L26" s="95" t="s">
        <v>3718</v>
      </c>
      <c r="M26" s="95" t="s">
        <v>382</v>
      </c>
      <c r="N26" s="4" t="s">
        <v>3917</v>
      </c>
    </row>
    <row r="27" spans="1:14" ht="13.5">
      <c r="A27" s="95">
        <f t="shared" si="1"/>
        <v>26</v>
      </c>
      <c r="B27" s="95" t="s">
        <v>259</v>
      </c>
      <c r="C27" s="193">
        <v>45838</v>
      </c>
      <c r="D27" s="95" t="s">
        <v>69</v>
      </c>
      <c r="E27" s="95" t="s">
        <v>277</v>
      </c>
      <c r="F27" s="95"/>
      <c r="G27" s="106">
        <v>2400000</v>
      </c>
      <c r="H27" s="106">
        <v>0</v>
      </c>
      <c r="I27" s="116">
        <f t="shared" si="0"/>
        <v>-2400000</v>
      </c>
      <c r="J27" s="106">
        <v>138007263.22</v>
      </c>
      <c r="K27" s="95" t="s">
        <v>276</v>
      </c>
      <c r="L27" s="95" t="s">
        <v>3718</v>
      </c>
      <c r="M27" s="95" t="s">
        <v>382</v>
      </c>
      <c r="N27" s="4" t="s">
        <v>3917</v>
      </c>
    </row>
    <row r="28" spans="1:14" ht="13.5">
      <c r="A28" s="95">
        <f t="shared" si="1"/>
        <v>27</v>
      </c>
      <c r="B28" s="95" t="s">
        <v>259</v>
      </c>
      <c r="C28" s="193">
        <v>45838</v>
      </c>
      <c r="D28" s="95" t="s">
        <v>69</v>
      </c>
      <c r="E28" s="95" t="s">
        <v>279</v>
      </c>
      <c r="F28" s="95"/>
      <c r="G28" s="173">
        <v>900000</v>
      </c>
      <c r="H28" s="106">
        <v>0</v>
      </c>
      <c r="I28" s="116">
        <f t="shared" si="0"/>
        <v>-900000</v>
      </c>
      <c r="J28" s="106">
        <v>138907263.22</v>
      </c>
      <c r="K28" s="95" t="s">
        <v>278</v>
      </c>
      <c r="L28" s="95" t="s">
        <v>3718</v>
      </c>
      <c r="M28" s="95" t="s">
        <v>382</v>
      </c>
      <c r="N28" s="4" t="s">
        <v>3917</v>
      </c>
    </row>
    <row r="29" spans="1:14" ht="13.5">
      <c r="A29" s="95">
        <f t="shared" si="1"/>
        <v>28</v>
      </c>
      <c r="B29" s="95" t="s">
        <v>259</v>
      </c>
      <c r="C29" s="193">
        <v>45838</v>
      </c>
      <c r="D29" s="95" t="s">
        <v>69</v>
      </c>
      <c r="E29" s="95" t="s">
        <v>281</v>
      </c>
      <c r="F29" s="95"/>
      <c r="G29" s="106">
        <v>0</v>
      </c>
      <c r="H29" s="173">
        <v>4100000</v>
      </c>
      <c r="I29" s="116">
        <f t="shared" si="0"/>
        <v>4100000</v>
      </c>
      <c r="J29" s="106">
        <v>134807263.22</v>
      </c>
      <c r="K29" s="95" t="s">
        <v>280</v>
      </c>
      <c r="L29" s="95" t="s">
        <v>3718</v>
      </c>
      <c r="M29" s="95" t="s">
        <v>382</v>
      </c>
      <c r="N29" s="4" t="s">
        <v>3917</v>
      </c>
    </row>
    <row r="30" spans="1:14" ht="13.5">
      <c r="A30" s="95">
        <f t="shared" si="1"/>
        <v>29</v>
      </c>
      <c r="B30" s="95" t="s">
        <v>259</v>
      </c>
      <c r="C30" s="193">
        <v>45838</v>
      </c>
      <c r="D30" s="95" t="s">
        <v>69</v>
      </c>
      <c r="E30" s="95" t="s">
        <v>283</v>
      </c>
      <c r="F30" s="95"/>
      <c r="G30" s="106">
        <v>1440839</v>
      </c>
      <c r="H30" s="106">
        <v>0</v>
      </c>
      <c r="I30" s="116">
        <f t="shared" si="0"/>
        <v>-1440839</v>
      </c>
      <c r="J30" s="106">
        <v>136248102.22</v>
      </c>
      <c r="K30" s="95" t="s">
        <v>282</v>
      </c>
      <c r="L30" s="52" t="s">
        <v>3717</v>
      </c>
      <c r="M30" s="95" t="s">
        <v>513</v>
      </c>
      <c r="N30" s="4" t="s">
        <v>3918</v>
      </c>
    </row>
    <row r="31" spans="1:14" ht="13.5">
      <c r="A31" s="95">
        <f t="shared" si="1"/>
        <v>30</v>
      </c>
      <c r="B31" s="95" t="s">
        <v>259</v>
      </c>
      <c r="C31" s="193">
        <v>45838</v>
      </c>
      <c r="D31" s="95" t="s">
        <v>69</v>
      </c>
      <c r="E31" s="95" t="s">
        <v>285</v>
      </c>
      <c r="F31" s="95"/>
      <c r="G31" s="106">
        <v>763381</v>
      </c>
      <c r="H31" s="106">
        <v>0</v>
      </c>
      <c r="I31" s="116">
        <f t="shared" si="0"/>
        <v>-763381</v>
      </c>
      <c r="J31" s="106">
        <v>137011483.22</v>
      </c>
      <c r="K31" s="95" t="s">
        <v>284</v>
      </c>
      <c r="L31" s="52" t="s">
        <v>3718</v>
      </c>
      <c r="M31" s="95" t="s">
        <v>513</v>
      </c>
      <c r="N31" s="4" t="s">
        <v>3917</v>
      </c>
    </row>
    <row r="32" spans="1:14" ht="13.5">
      <c r="A32" s="95">
        <f t="shared" si="1"/>
        <v>31</v>
      </c>
      <c r="B32" s="95" t="s">
        <v>259</v>
      </c>
      <c r="C32" s="193">
        <v>45838</v>
      </c>
      <c r="D32" s="95" t="s">
        <v>69</v>
      </c>
      <c r="E32" s="95" t="s">
        <v>287</v>
      </c>
      <c r="F32" s="95"/>
      <c r="G32" s="106">
        <v>763381</v>
      </c>
      <c r="H32" s="106">
        <v>0</v>
      </c>
      <c r="I32" s="116">
        <f t="shared" si="0"/>
        <v>-763381</v>
      </c>
      <c r="J32" s="106">
        <v>137774864.22</v>
      </c>
      <c r="K32" s="95" t="s">
        <v>286</v>
      </c>
      <c r="L32" s="52" t="s">
        <v>3718</v>
      </c>
      <c r="M32" s="95" t="s">
        <v>513</v>
      </c>
      <c r="N32" s="4" t="s">
        <v>3917</v>
      </c>
    </row>
    <row r="33" spans="1:14" ht="13.5">
      <c r="A33" s="95">
        <f t="shared" si="1"/>
        <v>32</v>
      </c>
      <c r="B33" s="95" t="s">
        <v>259</v>
      </c>
      <c r="C33" s="193">
        <v>45838</v>
      </c>
      <c r="D33" s="95" t="s">
        <v>69</v>
      </c>
      <c r="E33" s="95" t="s">
        <v>289</v>
      </c>
      <c r="F33" s="95"/>
      <c r="G33" s="106">
        <v>763381</v>
      </c>
      <c r="H33" s="106">
        <v>0</v>
      </c>
      <c r="I33" s="116">
        <f t="shared" si="0"/>
        <v>-763381</v>
      </c>
      <c r="J33" s="106">
        <v>138538245.22</v>
      </c>
      <c r="K33" s="95" t="s">
        <v>288</v>
      </c>
      <c r="L33" s="52" t="s">
        <v>3718</v>
      </c>
      <c r="M33" s="95" t="s">
        <v>513</v>
      </c>
      <c r="N33" s="4" t="s">
        <v>3917</v>
      </c>
    </row>
    <row r="34" spans="1:14" ht="13.5">
      <c r="A34" s="95">
        <f t="shared" si="1"/>
        <v>33</v>
      </c>
      <c r="B34" s="95" t="s">
        <v>259</v>
      </c>
      <c r="C34" s="193">
        <v>45838</v>
      </c>
      <c r="D34" s="95" t="s">
        <v>69</v>
      </c>
      <c r="E34" s="95" t="s">
        <v>291</v>
      </c>
      <c r="F34" s="95"/>
      <c r="G34" s="106">
        <v>365285</v>
      </c>
      <c r="H34" s="106">
        <v>0</v>
      </c>
      <c r="I34" s="116">
        <f t="shared" si="0"/>
        <v>-365285</v>
      </c>
      <c r="J34" s="106">
        <v>138903530.22</v>
      </c>
      <c r="K34" s="95" t="s">
        <v>290</v>
      </c>
      <c r="L34" s="52" t="s">
        <v>3718</v>
      </c>
      <c r="M34" s="95" t="s">
        <v>513</v>
      </c>
      <c r="N34" s="4" t="s">
        <v>3917</v>
      </c>
    </row>
    <row r="35" spans="1:14" ht="13.5">
      <c r="A35" s="95">
        <f t="shared" si="1"/>
        <v>34</v>
      </c>
      <c r="B35" s="119" t="s">
        <v>466</v>
      </c>
      <c r="C35" s="201">
        <v>45839</v>
      </c>
      <c r="D35" s="119" t="s">
        <v>69</v>
      </c>
      <c r="E35" s="119" t="s">
        <v>467</v>
      </c>
      <c r="F35" s="95"/>
      <c r="G35" s="174">
        <v>1434</v>
      </c>
      <c r="H35" s="122">
        <v>0</v>
      </c>
      <c r="I35" s="116">
        <f t="shared" si="0"/>
        <v>-1434</v>
      </c>
      <c r="J35" s="106">
        <v>138904964.22</v>
      </c>
      <c r="K35" s="175" t="s">
        <v>468</v>
      </c>
      <c r="L35" s="52" t="s">
        <v>542</v>
      </c>
      <c r="M35" s="95" t="s">
        <v>510</v>
      </c>
      <c r="N35" s="4" t="s">
        <v>3917</v>
      </c>
    </row>
    <row r="36" spans="1:14" ht="13.5">
      <c r="A36" s="95">
        <f t="shared" si="1"/>
        <v>35</v>
      </c>
      <c r="B36" s="176">
        <v>45839</v>
      </c>
      <c r="C36" s="201">
        <v>45839</v>
      </c>
      <c r="D36" s="119" t="s">
        <v>69</v>
      </c>
      <c r="E36" s="119" t="s">
        <v>469</v>
      </c>
      <c r="F36" s="95"/>
      <c r="G36" s="174">
        <v>421132</v>
      </c>
      <c r="H36" s="122">
        <v>0</v>
      </c>
      <c r="I36" s="116">
        <f t="shared" si="0"/>
        <v>-421132</v>
      </c>
      <c r="J36" s="106">
        <v>139326096.22</v>
      </c>
      <c r="K36" s="175" t="s">
        <v>470</v>
      </c>
      <c r="L36" s="52" t="s">
        <v>542</v>
      </c>
      <c r="M36" s="95" t="s">
        <v>510</v>
      </c>
      <c r="N36" s="4" t="s">
        <v>3917</v>
      </c>
    </row>
    <row r="37" spans="1:14" ht="13.5">
      <c r="A37" s="95">
        <f t="shared" si="1"/>
        <v>36</v>
      </c>
      <c r="B37" s="177">
        <f>B36+1</f>
        <v>45840</v>
      </c>
      <c r="C37" s="199">
        <f>C36+1</f>
        <v>45840</v>
      </c>
      <c r="D37" s="119" t="s">
        <v>69</v>
      </c>
      <c r="E37" s="95"/>
      <c r="F37" s="95"/>
      <c r="G37" s="106">
        <v>0</v>
      </c>
      <c r="H37" s="106">
        <v>0</v>
      </c>
      <c r="I37" s="116">
        <f t="shared" si="0"/>
        <v>0</v>
      </c>
      <c r="J37" s="106">
        <v>139326096.22</v>
      </c>
      <c r="K37" s="95"/>
      <c r="L37" s="130" t="s">
        <v>542</v>
      </c>
      <c r="M37" s="130" t="s">
        <v>542</v>
      </c>
      <c r="N37" s="4" t="s">
        <v>3917</v>
      </c>
    </row>
    <row r="38" spans="1:14" ht="13.5">
      <c r="A38" s="95">
        <f t="shared" si="1"/>
        <v>37</v>
      </c>
      <c r="B38" s="112">
        <v>45841</v>
      </c>
      <c r="C38" s="199">
        <v>45841</v>
      </c>
      <c r="D38" s="119" t="s">
        <v>69</v>
      </c>
      <c r="E38" s="95"/>
      <c r="F38" s="95"/>
      <c r="G38" s="106">
        <v>0</v>
      </c>
      <c r="H38" s="106">
        <v>0</v>
      </c>
      <c r="I38" s="116">
        <f t="shared" si="0"/>
        <v>0</v>
      </c>
      <c r="J38" s="106">
        <v>139326096.22</v>
      </c>
      <c r="K38" s="95"/>
      <c r="L38" s="130" t="s">
        <v>542</v>
      </c>
      <c r="M38" s="130" t="s">
        <v>542</v>
      </c>
      <c r="N38" s="4" t="s">
        <v>3917</v>
      </c>
    </row>
    <row r="39" spans="1:14" ht="13.5">
      <c r="A39" s="95">
        <f t="shared" si="1"/>
        <v>38</v>
      </c>
      <c r="B39" s="118">
        <v>45842</v>
      </c>
      <c r="C39" s="199">
        <v>45842</v>
      </c>
      <c r="D39" s="95"/>
      <c r="E39" s="95"/>
      <c r="F39" s="95"/>
      <c r="G39" s="106">
        <v>0</v>
      </c>
      <c r="H39" s="106">
        <v>0</v>
      </c>
      <c r="I39" s="116">
        <f t="shared" si="0"/>
        <v>0</v>
      </c>
      <c r="J39" s="106">
        <v>139326096.22</v>
      </c>
      <c r="K39" s="95"/>
      <c r="L39" s="130" t="s">
        <v>542</v>
      </c>
      <c r="M39" s="130" t="s">
        <v>542</v>
      </c>
      <c r="N39" s="4" t="s">
        <v>3917</v>
      </c>
    </row>
    <row r="40" spans="1:14" ht="13.5">
      <c r="A40" s="95">
        <f t="shared" si="1"/>
        <v>39</v>
      </c>
      <c r="B40" s="124">
        <v>45843</v>
      </c>
      <c r="C40" s="202">
        <v>45843</v>
      </c>
      <c r="D40" s="125" t="s">
        <v>69</v>
      </c>
      <c r="E40" s="125" t="s">
        <v>647</v>
      </c>
      <c r="F40" s="95"/>
      <c r="G40" s="126">
        <v>0</v>
      </c>
      <c r="H40" s="126">
        <v>387936</v>
      </c>
      <c r="I40" s="116">
        <f t="shared" si="0"/>
        <v>387936</v>
      </c>
      <c r="J40" s="126">
        <v>138938160.22</v>
      </c>
      <c r="K40" s="120" t="s">
        <v>648</v>
      </c>
      <c r="L40" s="52" t="s">
        <v>3726</v>
      </c>
      <c r="M40" s="95" t="s">
        <v>649</v>
      </c>
      <c r="N40" s="4" t="s">
        <v>3917</v>
      </c>
    </row>
    <row r="41" spans="1:14" ht="13.5">
      <c r="A41" s="95">
        <f t="shared" si="1"/>
        <v>40</v>
      </c>
      <c r="B41" s="124">
        <v>45844</v>
      </c>
      <c r="C41" s="202">
        <v>45844</v>
      </c>
      <c r="D41" s="125"/>
      <c r="E41" s="125"/>
      <c r="F41" s="95"/>
      <c r="G41" s="126">
        <v>0</v>
      </c>
      <c r="H41" s="126">
        <v>0</v>
      </c>
      <c r="I41" s="116">
        <f t="shared" si="0"/>
        <v>0</v>
      </c>
      <c r="J41" s="126">
        <v>138938160.22</v>
      </c>
      <c r="K41" s="120"/>
      <c r="L41" s="95" t="s">
        <v>3726</v>
      </c>
      <c r="M41" s="130" t="s">
        <v>542</v>
      </c>
      <c r="N41" s="4" t="s">
        <v>3917</v>
      </c>
    </row>
    <row r="42" spans="1:14" ht="13.5">
      <c r="A42" s="95">
        <f t="shared" si="1"/>
        <v>41</v>
      </c>
      <c r="B42" s="112">
        <v>45845</v>
      </c>
      <c r="C42" s="199">
        <v>45843</v>
      </c>
      <c r="D42" s="95" t="s">
        <v>69</v>
      </c>
      <c r="E42" s="95" t="s">
        <v>650</v>
      </c>
      <c r="F42" s="95"/>
      <c r="G42" s="127">
        <v>28485</v>
      </c>
      <c r="H42" s="106">
        <v>0</v>
      </c>
      <c r="I42" s="116">
        <f t="shared" si="0"/>
        <v>-28485</v>
      </c>
      <c r="J42" s="106">
        <v>138966645.22</v>
      </c>
      <c r="K42" s="95" t="s">
        <v>651</v>
      </c>
      <c r="L42" s="95" t="s">
        <v>542</v>
      </c>
      <c r="M42" s="95" t="s">
        <v>652</v>
      </c>
      <c r="N42" s="4" t="s">
        <v>3917</v>
      </c>
    </row>
    <row r="43" spans="1:14" ht="13.5">
      <c r="A43" s="95">
        <f t="shared" si="1"/>
        <v>42</v>
      </c>
      <c r="B43" s="112">
        <v>45845</v>
      </c>
      <c r="C43" s="199">
        <v>45845</v>
      </c>
      <c r="D43" s="95" t="s">
        <v>69</v>
      </c>
      <c r="E43" s="95" t="s">
        <v>653</v>
      </c>
      <c r="F43" s="95"/>
      <c r="G43" s="106">
        <v>200000</v>
      </c>
      <c r="H43" s="106">
        <v>0</v>
      </c>
      <c r="I43" s="116">
        <f t="shared" si="0"/>
        <v>-200000</v>
      </c>
      <c r="J43" s="106">
        <v>139166645.22</v>
      </c>
      <c r="K43" s="95" t="s">
        <v>654</v>
      </c>
      <c r="L43" s="95" t="s">
        <v>3722</v>
      </c>
      <c r="M43" s="95" t="s">
        <v>655</v>
      </c>
      <c r="N43" s="4" t="s">
        <v>3917</v>
      </c>
    </row>
    <row r="44" spans="1:14" ht="13.5">
      <c r="A44" s="95">
        <f t="shared" si="1"/>
        <v>43</v>
      </c>
      <c r="B44" s="112">
        <v>45845</v>
      </c>
      <c r="C44" s="199">
        <v>45845</v>
      </c>
      <c r="D44" s="95" t="s">
        <v>69</v>
      </c>
      <c r="E44" s="95" t="s">
        <v>656</v>
      </c>
      <c r="F44" s="95"/>
      <c r="G44" s="106">
        <v>25000</v>
      </c>
      <c r="H44" s="106">
        <v>0</v>
      </c>
      <c r="I44" s="116">
        <f t="shared" si="0"/>
        <v>-25000</v>
      </c>
      <c r="J44" s="106">
        <v>139191645.22</v>
      </c>
      <c r="K44" s="95" t="s">
        <v>657</v>
      </c>
      <c r="L44" s="95" t="s">
        <v>3720</v>
      </c>
      <c r="M44" s="95" t="s">
        <v>658</v>
      </c>
      <c r="N44" s="4" t="s">
        <v>3917</v>
      </c>
    </row>
    <row r="45" spans="1:14" ht="13.5">
      <c r="A45" s="95">
        <f t="shared" si="1"/>
        <v>44</v>
      </c>
      <c r="B45" s="112">
        <v>45845</v>
      </c>
      <c r="C45" s="199">
        <v>45845</v>
      </c>
      <c r="D45" s="95" t="s">
        <v>69</v>
      </c>
      <c r="E45" s="95" t="s">
        <v>659</v>
      </c>
      <c r="F45" s="95"/>
      <c r="G45" s="106">
        <v>6500000</v>
      </c>
      <c r="H45" s="106">
        <v>0</v>
      </c>
      <c r="I45" s="116">
        <f t="shared" si="0"/>
        <v>-6500000</v>
      </c>
      <c r="J45" s="106">
        <v>145691645.22</v>
      </c>
      <c r="K45" s="95" t="s">
        <v>660</v>
      </c>
      <c r="L45" s="54" t="s">
        <v>3724</v>
      </c>
      <c r="M45" s="95" t="s">
        <v>661</v>
      </c>
      <c r="N45" s="4" t="s">
        <v>3917</v>
      </c>
    </row>
    <row r="46" spans="1:14" ht="13.5">
      <c r="A46" s="95">
        <f t="shared" si="1"/>
        <v>45</v>
      </c>
      <c r="B46" s="112">
        <v>45846</v>
      </c>
      <c r="C46" s="203">
        <v>45846</v>
      </c>
      <c r="D46" s="95"/>
      <c r="E46" s="95" t="s">
        <v>0</v>
      </c>
      <c r="F46" s="95" t="s">
        <v>0</v>
      </c>
      <c r="G46" s="106">
        <v>0</v>
      </c>
      <c r="H46" s="106">
        <v>0</v>
      </c>
      <c r="I46" s="116">
        <f t="shared" si="0"/>
        <v>0</v>
      </c>
      <c r="J46" s="106">
        <v>145691645.22</v>
      </c>
      <c r="K46" s="95" t="s">
        <v>0</v>
      </c>
      <c r="L46" s="130" t="s">
        <v>3724</v>
      </c>
      <c r="M46" s="130" t="s">
        <v>542</v>
      </c>
      <c r="N46" s="4" t="s">
        <v>3917</v>
      </c>
    </row>
    <row r="47" spans="1:14" ht="13.5">
      <c r="A47" s="95">
        <f t="shared" si="1"/>
        <v>46</v>
      </c>
      <c r="B47" s="112">
        <v>45847</v>
      </c>
      <c r="C47" s="203">
        <v>45847</v>
      </c>
      <c r="D47" s="119" t="s">
        <v>69</v>
      </c>
      <c r="E47" s="119" t="s">
        <v>662</v>
      </c>
      <c r="F47" s="119"/>
      <c r="G47" s="122">
        <v>300000</v>
      </c>
      <c r="H47" s="106">
        <v>0</v>
      </c>
      <c r="I47" s="116">
        <f t="shared" si="0"/>
        <v>-300000</v>
      </c>
      <c r="J47" s="122">
        <v>145991645.22</v>
      </c>
      <c r="K47" s="120" t="s">
        <v>663</v>
      </c>
      <c r="L47" s="95" t="s">
        <v>3722</v>
      </c>
      <c r="M47" s="125" t="s">
        <v>664</v>
      </c>
      <c r="N47" s="4" t="s">
        <v>3917</v>
      </c>
    </row>
    <row r="48" spans="1:14" ht="13.5">
      <c r="A48" s="95">
        <f t="shared" si="1"/>
        <v>47</v>
      </c>
      <c r="B48" s="121">
        <v>45848</v>
      </c>
      <c r="C48" s="200">
        <v>45848</v>
      </c>
      <c r="D48" s="119" t="s">
        <v>69</v>
      </c>
      <c r="E48" s="119" t="s">
        <v>665</v>
      </c>
      <c r="F48" s="119"/>
      <c r="G48" s="122">
        <v>100000</v>
      </c>
      <c r="H48" s="106">
        <v>0</v>
      </c>
      <c r="I48" s="116">
        <f t="shared" si="0"/>
        <v>-100000</v>
      </c>
      <c r="J48" s="122">
        <v>146091645.22</v>
      </c>
      <c r="K48" s="120" t="s">
        <v>666</v>
      </c>
      <c r="L48" s="95" t="s">
        <v>3722</v>
      </c>
      <c r="M48" s="95" t="s">
        <v>667</v>
      </c>
      <c r="N48" s="4" t="s">
        <v>3917</v>
      </c>
    </row>
    <row r="49" spans="1:14" ht="13.5">
      <c r="A49" s="95">
        <f t="shared" si="1"/>
        <v>48</v>
      </c>
      <c r="B49" s="124">
        <v>45849</v>
      </c>
      <c r="C49" s="202">
        <v>45849</v>
      </c>
      <c r="D49" s="125" t="s">
        <v>69</v>
      </c>
      <c r="E49" s="125" t="s">
        <v>668</v>
      </c>
      <c r="F49" s="95"/>
      <c r="G49" s="126">
        <v>44695</v>
      </c>
      <c r="H49" s="128">
        <v>0</v>
      </c>
      <c r="I49" s="116">
        <f t="shared" si="0"/>
        <v>-44695</v>
      </c>
      <c r="J49" s="126">
        <v>146136340.22</v>
      </c>
      <c r="K49" s="120" t="s">
        <v>669</v>
      </c>
      <c r="L49" s="52" t="s">
        <v>3719</v>
      </c>
      <c r="M49" s="125" t="s">
        <v>670</v>
      </c>
      <c r="N49" s="4" t="s">
        <v>3917</v>
      </c>
    </row>
    <row r="50" spans="1:14" ht="13.5">
      <c r="A50" s="95">
        <f t="shared" si="1"/>
        <v>49</v>
      </c>
      <c r="B50" s="124">
        <v>45849</v>
      </c>
      <c r="C50" s="202">
        <v>45849</v>
      </c>
      <c r="D50" s="125" t="s">
        <v>69</v>
      </c>
      <c r="E50" s="125" t="s">
        <v>671</v>
      </c>
      <c r="F50" s="95"/>
      <c r="G50" s="126">
        <v>33300</v>
      </c>
      <c r="H50" s="128">
        <v>0</v>
      </c>
      <c r="I50" s="116">
        <f t="shared" si="0"/>
        <v>-33300</v>
      </c>
      <c r="J50" s="126">
        <v>146169640.22</v>
      </c>
      <c r="K50" s="120" t="s">
        <v>672</v>
      </c>
      <c r="L50" s="52" t="s">
        <v>3719</v>
      </c>
      <c r="M50" s="125" t="s">
        <v>673</v>
      </c>
      <c r="N50" s="4" t="s">
        <v>3917</v>
      </c>
    </row>
    <row r="51" spans="1:14" ht="13.5">
      <c r="A51" s="95">
        <f t="shared" si="1"/>
        <v>50</v>
      </c>
      <c r="B51" s="124">
        <v>45849</v>
      </c>
      <c r="C51" s="202">
        <v>45849</v>
      </c>
      <c r="D51" s="125" t="s">
        <v>69</v>
      </c>
      <c r="E51" s="125" t="s">
        <v>674</v>
      </c>
      <c r="F51" s="95"/>
      <c r="G51" s="126">
        <v>50000</v>
      </c>
      <c r="H51" s="128">
        <v>0</v>
      </c>
      <c r="I51" s="116">
        <f t="shared" si="0"/>
        <v>-50000</v>
      </c>
      <c r="J51" s="126">
        <v>146219640.22</v>
      </c>
      <c r="K51" s="120" t="s">
        <v>675</v>
      </c>
      <c r="L51" s="95" t="s">
        <v>3722</v>
      </c>
      <c r="M51" s="125" t="s">
        <v>676</v>
      </c>
      <c r="N51" s="4" t="s">
        <v>3917</v>
      </c>
    </row>
    <row r="52" spans="1:14" ht="13.5">
      <c r="A52" s="95">
        <f t="shared" si="1"/>
        <v>51</v>
      </c>
      <c r="B52" s="124">
        <v>45850</v>
      </c>
      <c r="C52" s="202">
        <v>45850</v>
      </c>
      <c r="D52" s="125" t="s">
        <v>69</v>
      </c>
      <c r="E52" s="125" t="s">
        <v>1043</v>
      </c>
      <c r="F52" s="125"/>
      <c r="G52" s="129">
        <v>4130</v>
      </c>
      <c r="H52" s="129">
        <v>0</v>
      </c>
      <c r="I52" s="116">
        <f t="shared" si="0"/>
        <v>-4130</v>
      </c>
      <c r="J52" s="126">
        <v>146223770.22</v>
      </c>
      <c r="K52" s="120" t="s">
        <v>1044</v>
      </c>
      <c r="L52" s="52" t="s">
        <v>542</v>
      </c>
      <c r="M52" s="95" t="s">
        <v>1045</v>
      </c>
      <c r="N52" s="4" t="s">
        <v>3917</v>
      </c>
    </row>
    <row r="53" spans="1:14" ht="13.5">
      <c r="A53" s="95">
        <f t="shared" si="1"/>
        <v>52</v>
      </c>
      <c r="B53" s="112">
        <f>B52+1</f>
        <v>45851</v>
      </c>
      <c r="C53" s="203">
        <f>C52+1</f>
        <v>45851</v>
      </c>
      <c r="D53" s="95"/>
      <c r="E53" s="95"/>
      <c r="F53" s="95"/>
      <c r="G53" s="95">
        <v>0</v>
      </c>
      <c r="H53" s="95">
        <v>0</v>
      </c>
      <c r="I53" s="116">
        <f t="shared" si="0"/>
        <v>0</v>
      </c>
      <c r="J53" s="126">
        <v>146223770.22</v>
      </c>
      <c r="K53" s="95"/>
      <c r="L53" s="52" t="s">
        <v>542</v>
      </c>
      <c r="M53" s="95"/>
      <c r="N53" s="4" t="s">
        <v>3917</v>
      </c>
    </row>
    <row r="54" spans="1:14" ht="13.5">
      <c r="A54" s="95">
        <f t="shared" si="1"/>
        <v>53</v>
      </c>
      <c r="B54" s="125" t="s">
        <v>1046</v>
      </c>
      <c r="C54" s="202">
        <f>C53+1</f>
        <v>45852</v>
      </c>
      <c r="D54" s="125" t="s">
        <v>69</v>
      </c>
      <c r="E54" s="125" t="s">
        <v>1047</v>
      </c>
      <c r="F54" s="125"/>
      <c r="G54" s="126">
        <v>11918.89</v>
      </c>
      <c r="H54" s="129">
        <v>0</v>
      </c>
      <c r="I54" s="116">
        <f t="shared" si="0"/>
        <v>-11918.89</v>
      </c>
      <c r="J54" s="126">
        <v>146235689.11000001</v>
      </c>
      <c r="K54" s="120" t="s">
        <v>1048</v>
      </c>
      <c r="L54" s="52" t="s">
        <v>542</v>
      </c>
      <c r="M54" s="125" t="s">
        <v>1049</v>
      </c>
      <c r="N54" s="4" t="s">
        <v>3917</v>
      </c>
    </row>
    <row r="55" spans="1:14" ht="13.5">
      <c r="A55" s="95">
        <f t="shared" si="1"/>
        <v>54</v>
      </c>
      <c r="B55" s="125" t="s">
        <v>1046</v>
      </c>
      <c r="C55" s="202">
        <v>45852</v>
      </c>
      <c r="D55" s="125" t="s">
        <v>69</v>
      </c>
      <c r="E55" s="125" t="s">
        <v>1050</v>
      </c>
      <c r="F55" s="125"/>
      <c r="G55" s="126">
        <v>17700</v>
      </c>
      <c r="H55" s="129">
        <v>0</v>
      </c>
      <c r="I55" s="116">
        <f t="shared" si="0"/>
        <v>-17700</v>
      </c>
      <c r="J55" s="126">
        <v>146253389.11000001</v>
      </c>
      <c r="K55" s="120" t="s">
        <v>1051</v>
      </c>
      <c r="L55" s="52" t="s">
        <v>3720</v>
      </c>
      <c r="M55" s="125" t="s">
        <v>1052</v>
      </c>
      <c r="N55" s="4" t="s">
        <v>3917</v>
      </c>
    </row>
    <row r="56" spans="1:14" ht="13.5">
      <c r="A56" s="95">
        <f t="shared" si="1"/>
        <v>55</v>
      </c>
      <c r="B56" s="125" t="s">
        <v>1046</v>
      </c>
      <c r="C56" s="202">
        <v>45852</v>
      </c>
      <c r="D56" s="125" t="s">
        <v>69</v>
      </c>
      <c r="E56" s="125" t="s">
        <v>1053</v>
      </c>
      <c r="F56" s="125"/>
      <c r="G56" s="126">
        <v>92573.36</v>
      </c>
      <c r="H56" s="129">
        <v>0</v>
      </c>
      <c r="I56" s="116">
        <f t="shared" si="0"/>
        <v>-92573.36</v>
      </c>
      <c r="J56" s="126">
        <v>146345962.47</v>
      </c>
      <c r="K56" s="120" t="s">
        <v>1054</v>
      </c>
      <c r="L56" s="52" t="s">
        <v>542</v>
      </c>
      <c r="M56" s="125" t="s">
        <v>1055</v>
      </c>
      <c r="N56" s="4" t="s">
        <v>3917</v>
      </c>
    </row>
    <row r="57" spans="1:14" ht="13.5">
      <c r="A57" s="95">
        <f t="shared" si="1"/>
        <v>56</v>
      </c>
      <c r="B57" s="125" t="s">
        <v>1046</v>
      </c>
      <c r="C57" s="202">
        <v>45852</v>
      </c>
      <c r="D57" s="125" t="s">
        <v>69</v>
      </c>
      <c r="E57" s="125" t="s">
        <v>1056</v>
      </c>
      <c r="F57" s="125"/>
      <c r="G57" s="126">
        <v>400000</v>
      </c>
      <c r="H57" s="129">
        <v>0</v>
      </c>
      <c r="I57" s="116">
        <f t="shared" si="0"/>
        <v>-400000</v>
      </c>
      <c r="J57" s="126">
        <v>146745962.47</v>
      </c>
      <c r="K57" s="120" t="s">
        <v>1057</v>
      </c>
      <c r="L57" s="95" t="s">
        <v>3722</v>
      </c>
      <c r="M57" s="125" t="s">
        <v>1058</v>
      </c>
      <c r="N57" s="4" t="s">
        <v>3917</v>
      </c>
    </row>
    <row r="58" spans="1:14" ht="13.5">
      <c r="A58" s="95">
        <f t="shared" si="1"/>
        <v>57</v>
      </c>
      <c r="B58" s="175"/>
      <c r="C58" s="199">
        <f t="shared" ref="C58:C64" si="2">C57+1</f>
        <v>45853</v>
      </c>
      <c r="D58" s="95"/>
      <c r="E58" s="95"/>
      <c r="F58" s="95"/>
      <c r="G58" s="95">
        <v>0</v>
      </c>
      <c r="H58" s="95">
        <v>0</v>
      </c>
      <c r="I58" s="116">
        <f t="shared" si="0"/>
        <v>0</v>
      </c>
      <c r="J58" s="126">
        <v>146745962.47</v>
      </c>
      <c r="K58" s="95"/>
      <c r="L58" s="130" t="s">
        <v>3722</v>
      </c>
      <c r="M58" s="95"/>
      <c r="N58" s="4" t="s">
        <v>3917</v>
      </c>
    </row>
    <row r="59" spans="1:14" ht="13.5">
      <c r="A59" s="95">
        <f t="shared" si="1"/>
        <v>58</v>
      </c>
      <c r="B59" s="175"/>
      <c r="C59" s="199">
        <f t="shared" si="2"/>
        <v>45854</v>
      </c>
      <c r="D59" s="95"/>
      <c r="E59" s="95"/>
      <c r="F59" s="95"/>
      <c r="G59" s="95">
        <v>0</v>
      </c>
      <c r="H59" s="95">
        <v>0</v>
      </c>
      <c r="I59" s="116">
        <f t="shared" si="0"/>
        <v>0</v>
      </c>
      <c r="J59" s="126">
        <v>146745962.47</v>
      </c>
      <c r="K59" s="95"/>
      <c r="L59" s="130" t="s">
        <v>3722</v>
      </c>
      <c r="M59" s="95"/>
      <c r="N59" s="4" t="s">
        <v>3917</v>
      </c>
    </row>
    <row r="60" spans="1:14" ht="13.5">
      <c r="A60" s="95">
        <f t="shared" si="1"/>
        <v>59</v>
      </c>
      <c r="B60" s="175"/>
      <c r="C60" s="199">
        <f t="shared" si="2"/>
        <v>45855</v>
      </c>
      <c r="D60" s="95"/>
      <c r="E60" s="95"/>
      <c r="F60" s="95"/>
      <c r="G60" s="95">
        <v>0</v>
      </c>
      <c r="H60" s="95">
        <v>0</v>
      </c>
      <c r="I60" s="116">
        <f t="shared" si="0"/>
        <v>0</v>
      </c>
      <c r="J60" s="126">
        <v>146745962.47</v>
      </c>
      <c r="K60" s="95"/>
      <c r="L60" s="130" t="s">
        <v>3722</v>
      </c>
      <c r="M60" s="95"/>
      <c r="N60" s="4" t="s">
        <v>3917</v>
      </c>
    </row>
    <row r="61" spans="1:14" ht="13.5">
      <c r="A61" s="95">
        <f t="shared" si="1"/>
        <v>60</v>
      </c>
      <c r="B61" s="228" t="s">
        <v>1059</v>
      </c>
      <c r="C61" s="199">
        <f t="shared" si="2"/>
        <v>45856</v>
      </c>
      <c r="D61" s="125" t="s">
        <v>69</v>
      </c>
      <c r="E61" s="125" t="s">
        <v>1060</v>
      </c>
      <c r="F61" s="125"/>
      <c r="G61" s="126">
        <v>49560</v>
      </c>
      <c r="H61" s="129">
        <v>0</v>
      </c>
      <c r="I61" s="116">
        <f t="shared" si="0"/>
        <v>-49560</v>
      </c>
      <c r="J61" s="126">
        <v>146795522.47</v>
      </c>
      <c r="K61" s="120" t="s">
        <v>1061</v>
      </c>
      <c r="L61" s="52" t="s">
        <v>3719</v>
      </c>
      <c r="M61" s="95" t="s">
        <v>1062</v>
      </c>
      <c r="N61" s="4" t="s">
        <v>3917</v>
      </c>
    </row>
    <row r="62" spans="1:14" ht="15">
      <c r="A62" s="95">
        <f t="shared" si="1"/>
        <v>61</v>
      </c>
      <c r="B62" s="227">
        <f t="shared" ref="B62:C67" si="3">B61+1</f>
        <v>45857</v>
      </c>
      <c r="C62" s="227">
        <f t="shared" si="2"/>
        <v>45857</v>
      </c>
      <c r="D62" s="17"/>
      <c r="E62" s="17"/>
      <c r="F62" s="17"/>
      <c r="G62" s="230">
        <v>300000</v>
      </c>
      <c r="H62" s="17"/>
      <c r="I62" s="116">
        <f t="shared" si="0"/>
        <v>-300000</v>
      </c>
      <c r="J62" s="126">
        <f>J61+G62</f>
        <v>147095522.47</v>
      </c>
      <c r="K62" s="17"/>
      <c r="L62" s="231" t="s">
        <v>3722</v>
      </c>
      <c r="M62" s="232" t="s">
        <v>1376</v>
      </c>
      <c r="N62" s="4" t="s">
        <v>3917</v>
      </c>
    </row>
    <row r="63" spans="1:14" ht="13.5">
      <c r="A63" s="95">
        <f t="shared" si="1"/>
        <v>62</v>
      </c>
      <c r="B63" s="227">
        <f t="shared" si="3"/>
        <v>45858</v>
      </c>
      <c r="C63" s="227">
        <f t="shared" si="2"/>
        <v>45858</v>
      </c>
      <c r="D63" s="17"/>
      <c r="E63" s="17"/>
      <c r="F63" s="17"/>
      <c r="G63" s="17"/>
      <c r="H63" s="17"/>
      <c r="I63" s="116">
        <f t="shared" si="0"/>
        <v>0</v>
      </c>
      <c r="J63" s="126">
        <f t="shared" ref="J63:J67" si="4">J62+G63</f>
        <v>147095522.47</v>
      </c>
      <c r="K63" s="17"/>
      <c r="L63" s="17" t="s">
        <v>3722</v>
      </c>
      <c r="M63" s="17"/>
      <c r="N63" s="4" t="s">
        <v>3917</v>
      </c>
    </row>
    <row r="64" spans="1:14" ht="13.5">
      <c r="A64" s="95">
        <f t="shared" si="1"/>
        <v>63</v>
      </c>
      <c r="B64" s="227">
        <f t="shared" si="3"/>
        <v>45859</v>
      </c>
      <c r="C64" s="227">
        <f t="shared" si="2"/>
        <v>45859</v>
      </c>
      <c r="D64" s="17"/>
      <c r="E64" s="17"/>
      <c r="F64" s="17"/>
      <c r="G64" s="17">
        <v>5888</v>
      </c>
      <c r="H64" s="17"/>
      <c r="I64" s="116">
        <f t="shared" si="0"/>
        <v>-5888</v>
      </c>
      <c r="J64" s="126">
        <f t="shared" si="4"/>
        <v>147101410.47</v>
      </c>
      <c r="K64" s="17"/>
      <c r="L64" s="130" t="s">
        <v>542</v>
      </c>
      <c r="M64" s="17"/>
      <c r="N64" s="4" t="s">
        <v>3917</v>
      </c>
    </row>
    <row r="65" spans="1:14" ht="13.5">
      <c r="A65" s="95">
        <f t="shared" si="1"/>
        <v>64</v>
      </c>
      <c r="B65" s="245">
        <f t="shared" si="3"/>
        <v>45860</v>
      </c>
      <c r="C65" s="245">
        <f t="shared" si="3"/>
        <v>45860</v>
      </c>
      <c r="I65" s="116">
        <f t="shared" si="0"/>
        <v>0</v>
      </c>
      <c r="J65" s="126">
        <f t="shared" si="4"/>
        <v>147101410.47</v>
      </c>
      <c r="L65" s="130" t="s">
        <v>542</v>
      </c>
      <c r="N65" s="4" t="s">
        <v>3917</v>
      </c>
    </row>
    <row r="66" spans="1:14" ht="13.5">
      <c r="A66" s="95">
        <f t="shared" si="1"/>
        <v>65</v>
      </c>
      <c r="B66" s="245">
        <f t="shared" si="3"/>
        <v>45861</v>
      </c>
      <c r="C66" s="245">
        <f t="shared" si="3"/>
        <v>45861</v>
      </c>
      <c r="I66" s="116">
        <f t="shared" si="0"/>
        <v>0</v>
      </c>
      <c r="J66" s="126">
        <f t="shared" si="4"/>
        <v>147101410.47</v>
      </c>
      <c r="L66" s="130" t="s">
        <v>542</v>
      </c>
      <c r="N66" s="4" t="s">
        <v>3917</v>
      </c>
    </row>
    <row r="67" spans="1:14" ht="13.5">
      <c r="A67" s="95">
        <f t="shared" si="1"/>
        <v>66</v>
      </c>
      <c r="B67" s="245">
        <f t="shared" si="3"/>
        <v>45862</v>
      </c>
      <c r="C67" s="245">
        <f t="shared" si="3"/>
        <v>45862</v>
      </c>
      <c r="I67" s="116">
        <f t="shared" ref="I67:I130" si="5">H67-G67</f>
        <v>0</v>
      </c>
      <c r="J67" s="126">
        <f t="shared" si="4"/>
        <v>147101410.47</v>
      </c>
      <c r="L67" s="130" t="s">
        <v>542</v>
      </c>
      <c r="N67" s="4" t="s">
        <v>3917</v>
      </c>
    </row>
    <row r="68" spans="1:14" ht="15">
      <c r="A68" s="95">
        <f t="shared" si="1"/>
        <v>67</v>
      </c>
      <c r="B68" s="1066">
        <f>B67+1</f>
        <v>45863</v>
      </c>
      <c r="C68" s="1066">
        <v>45863</v>
      </c>
      <c r="G68" s="4">
        <v>88200</v>
      </c>
      <c r="I68" s="116">
        <f t="shared" si="5"/>
        <v>-88200</v>
      </c>
      <c r="J68" s="4">
        <v>147189610.47</v>
      </c>
      <c r="K68" s="1085" t="s">
        <v>3239</v>
      </c>
      <c r="L68" s="340" t="s">
        <v>542</v>
      </c>
      <c r="N68" s="4" t="s">
        <v>3917</v>
      </c>
    </row>
    <row r="69" spans="1:14" ht="15.75">
      <c r="A69" s="95">
        <f t="shared" ref="A69:A132" si="6">A68+1</f>
        <v>68</v>
      </c>
      <c r="B69" s="685">
        <v>45864</v>
      </c>
      <c r="C69" s="685">
        <v>45864</v>
      </c>
      <c r="G69" s="4">
        <v>30000</v>
      </c>
      <c r="I69" s="116">
        <f t="shared" si="5"/>
        <v>-30000</v>
      </c>
      <c r="J69" s="4">
        <v>147219610.47</v>
      </c>
      <c r="K69" s="64" t="s">
        <v>3240</v>
      </c>
      <c r="L69" s="340" t="s">
        <v>542</v>
      </c>
      <c r="N69" s="4" t="s">
        <v>3917</v>
      </c>
    </row>
    <row r="70" spans="1:14" ht="15.75">
      <c r="A70" s="95">
        <f t="shared" si="6"/>
        <v>69</v>
      </c>
      <c r="B70" s="685">
        <f t="shared" ref="B70:B71" si="7">B69+1</f>
        <v>45865</v>
      </c>
      <c r="C70" s="685">
        <v>45865</v>
      </c>
      <c r="I70" s="116">
        <f t="shared" si="5"/>
        <v>0</v>
      </c>
      <c r="J70" s="4">
        <v>147219610.47</v>
      </c>
      <c r="K70" s="1086"/>
      <c r="L70" s="340" t="s">
        <v>542</v>
      </c>
      <c r="N70" s="4" t="s">
        <v>3917</v>
      </c>
    </row>
    <row r="71" spans="1:14" ht="15.75">
      <c r="A71" s="95">
        <f t="shared" si="6"/>
        <v>70</v>
      </c>
      <c r="B71" s="685">
        <f t="shared" si="7"/>
        <v>45866</v>
      </c>
      <c r="C71" s="685">
        <v>45866</v>
      </c>
      <c r="G71" s="4">
        <v>26125</v>
      </c>
      <c r="I71" s="116">
        <f t="shared" si="5"/>
        <v>-26125</v>
      </c>
      <c r="J71" s="4">
        <v>147245735.47</v>
      </c>
      <c r="K71" s="1085" t="s">
        <v>3241</v>
      </c>
      <c r="L71" s="340" t="s">
        <v>542</v>
      </c>
      <c r="N71" s="4" t="s">
        <v>3917</v>
      </c>
    </row>
    <row r="72" spans="1:14" ht="15">
      <c r="A72" s="95">
        <f t="shared" si="6"/>
        <v>71</v>
      </c>
      <c r="B72" s="1067">
        <f>B71+1</f>
        <v>45867</v>
      </c>
      <c r="C72" s="1067">
        <v>45867</v>
      </c>
      <c r="I72" s="116">
        <f t="shared" si="5"/>
        <v>0</v>
      </c>
      <c r="J72" s="4">
        <v>147245735.47</v>
      </c>
      <c r="L72" s="340" t="s">
        <v>542</v>
      </c>
      <c r="N72" s="4" t="s">
        <v>3917</v>
      </c>
    </row>
    <row r="73" spans="1:14" ht="15">
      <c r="A73" s="95">
        <f t="shared" si="6"/>
        <v>72</v>
      </c>
      <c r="B73" s="1067">
        <f>B72+1</f>
        <v>45868</v>
      </c>
      <c r="C73" s="1067">
        <v>45868</v>
      </c>
      <c r="I73" s="116">
        <f t="shared" si="5"/>
        <v>0</v>
      </c>
      <c r="J73" s="4">
        <v>147245735.47</v>
      </c>
      <c r="L73" s="340" t="s">
        <v>542</v>
      </c>
      <c r="N73" s="4" t="s">
        <v>3917</v>
      </c>
    </row>
    <row r="74" spans="1:14" ht="13.5">
      <c r="A74" s="95">
        <f t="shared" si="6"/>
        <v>73</v>
      </c>
      <c r="B74" s="1068">
        <v>45869</v>
      </c>
      <c r="C74" s="1068">
        <v>45869</v>
      </c>
      <c r="H74" s="4">
        <v>4100000</v>
      </c>
      <c r="I74" s="116">
        <f t="shared" si="5"/>
        <v>4100000</v>
      </c>
      <c r="J74" s="4">
        <v>143145735.47</v>
      </c>
      <c r="K74" s="1085" t="s">
        <v>3242</v>
      </c>
      <c r="L74" s="10" t="s">
        <v>3718</v>
      </c>
      <c r="N74" s="4" t="s">
        <v>3917</v>
      </c>
    </row>
    <row r="75" spans="1:14" ht="13.5">
      <c r="A75" s="95">
        <f t="shared" si="6"/>
        <v>74</v>
      </c>
      <c r="B75" s="1068">
        <v>45869</v>
      </c>
      <c r="C75" s="1068">
        <v>45869</v>
      </c>
      <c r="H75" s="4">
        <v>50000000</v>
      </c>
      <c r="I75" s="116">
        <f t="shared" si="5"/>
        <v>50000000</v>
      </c>
      <c r="J75" s="4">
        <v>93145735.469999999</v>
      </c>
      <c r="K75" s="1085" t="s">
        <v>3243</v>
      </c>
      <c r="L75" s="10" t="s">
        <v>3718</v>
      </c>
      <c r="N75" s="4" t="s">
        <v>3917</v>
      </c>
    </row>
    <row r="76" spans="1:14" ht="13.5">
      <c r="A76" s="95">
        <f t="shared" si="6"/>
        <v>75</v>
      </c>
      <c r="B76" s="1068">
        <v>45869</v>
      </c>
      <c r="C76" s="1068">
        <v>45869</v>
      </c>
      <c r="H76" s="4">
        <v>50000000</v>
      </c>
      <c r="I76" s="116">
        <f t="shared" si="5"/>
        <v>50000000</v>
      </c>
      <c r="J76" s="4">
        <v>43145735.469999999</v>
      </c>
      <c r="K76" s="1085" t="s">
        <v>3244</v>
      </c>
      <c r="L76" s="10" t="s">
        <v>3718</v>
      </c>
      <c r="N76" s="4" t="s">
        <v>3917</v>
      </c>
    </row>
    <row r="77" spans="1:14" ht="13.5">
      <c r="A77" s="95">
        <f t="shared" si="6"/>
        <v>76</v>
      </c>
      <c r="B77" s="1068">
        <v>45869</v>
      </c>
      <c r="C77" s="1068">
        <v>45869</v>
      </c>
      <c r="H77" s="4">
        <v>50000000</v>
      </c>
      <c r="I77" s="116">
        <f t="shared" si="5"/>
        <v>50000000</v>
      </c>
      <c r="J77" s="4">
        <v>-6854264.5300000012</v>
      </c>
      <c r="K77" s="1085" t="s">
        <v>3245</v>
      </c>
      <c r="L77" s="10" t="s">
        <v>3718</v>
      </c>
      <c r="N77" s="4" t="s">
        <v>3917</v>
      </c>
    </row>
    <row r="78" spans="1:14" ht="13.5">
      <c r="A78" s="95">
        <f t="shared" si="6"/>
        <v>77</v>
      </c>
      <c r="B78" s="1068">
        <v>45869</v>
      </c>
      <c r="C78" s="1068">
        <v>45869</v>
      </c>
      <c r="G78" s="4">
        <v>1636418</v>
      </c>
      <c r="I78" s="116">
        <f t="shared" si="5"/>
        <v>-1636418</v>
      </c>
      <c r="J78" s="4">
        <v>-5217846.5300000012</v>
      </c>
      <c r="K78" s="1085" t="s">
        <v>3246</v>
      </c>
      <c r="L78" s="10" t="s">
        <v>3717</v>
      </c>
      <c r="N78" s="4" t="s">
        <v>3918</v>
      </c>
    </row>
    <row r="79" spans="1:14" ht="13.5">
      <c r="A79" s="95">
        <f t="shared" si="6"/>
        <v>78</v>
      </c>
      <c r="B79" s="1068">
        <v>45869</v>
      </c>
      <c r="C79" s="1068">
        <v>45869</v>
      </c>
      <c r="G79" s="4">
        <v>788195</v>
      </c>
      <c r="I79" s="116">
        <f t="shared" si="5"/>
        <v>-788195</v>
      </c>
      <c r="J79" s="4">
        <v>-4429651.5300000012</v>
      </c>
      <c r="K79" s="1085" t="s">
        <v>284</v>
      </c>
      <c r="L79" s="10" t="s">
        <v>3717</v>
      </c>
      <c r="N79" s="4" t="s">
        <v>3918</v>
      </c>
    </row>
    <row r="80" spans="1:14" ht="13.5">
      <c r="A80" s="95">
        <f t="shared" si="6"/>
        <v>79</v>
      </c>
      <c r="B80" s="1068">
        <v>45869</v>
      </c>
      <c r="C80" s="1068">
        <v>45869</v>
      </c>
      <c r="G80" s="4">
        <v>788195</v>
      </c>
      <c r="I80" s="116">
        <f t="shared" si="5"/>
        <v>-788195</v>
      </c>
      <c r="J80" s="4">
        <v>-3641456.5300000012</v>
      </c>
      <c r="K80" s="1085" t="s">
        <v>286</v>
      </c>
      <c r="L80" s="10" t="s">
        <v>3717</v>
      </c>
      <c r="N80" s="4" t="s">
        <v>3918</v>
      </c>
    </row>
    <row r="81" spans="1:14" ht="13.5">
      <c r="A81" s="95">
        <f t="shared" si="6"/>
        <v>80</v>
      </c>
      <c r="B81" s="1068">
        <v>45869</v>
      </c>
      <c r="C81" s="1068">
        <v>45869</v>
      </c>
      <c r="G81" s="4">
        <v>788195</v>
      </c>
      <c r="I81" s="116">
        <f t="shared" si="5"/>
        <v>-788195</v>
      </c>
      <c r="J81" s="4">
        <v>-2853261.5300000012</v>
      </c>
      <c r="K81" s="1085" t="s">
        <v>288</v>
      </c>
      <c r="L81" s="10" t="s">
        <v>3717</v>
      </c>
      <c r="N81" s="4" t="s">
        <v>3918</v>
      </c>
    </row>
    <row r="82" spans="1:14" ht="13.5">
      <c r="A82" s="95">
        <f t="shared" si="6"/>
        <v>81</v>
      </c>
      <c r="B82" s="1068">
        <f>B73+1</f>
        <v>45869</v>
      </c>
      <c r="C82" s="1068">
        <v>45869</v>
      </c>
      <c r="G82" s="4">
        <v>372905</v>
      </c>
      <c r="I82" s="116">
        <f t="shared" si="5"/>
        <v>-372905</v>
      </c>
      <c r="J82" s="4">
        <v>-2480356.5300000012</v>
      </c>
      <c r="K82" s="1085" t="s">
        <v>290</v>
      </c>
      <c r="L82" s="10" t="s">
        <v>3717</v>
      </c>
      <c r="N82" s="4" t="s">
        <v>3918</v>
      </c>
    </row>
    <row r="83" spans="1:14" ht="13.5">
      <c r="A83" s="95">
        <f t="shared" si="6"/>
        <v>82</v>
      </c>
      <c r="B83" s="1068">
        <f>B82+1</f>
        <v>45870</v>
      </c>
      <c r="C83" s="1068">
        <v>45870</v>
      </c>
      <c r="G83" s="4">
        <v>1000000</v>
      </c>
      <c r="H83" s="4">
        <v>0</v>
      </c>
      <c r="I83" s="116">
        <f t="shared" si="5"/>
        <v>-1000000</v>
      </c>
      <c r="J83" s="4">
        <v>-1480356.5300000012</v>
      </c>
      <c r="K83" s="1085" t="s">
        <v>3247</v>
      </c>
      <c r="L83" s="10" t="s">
        <v>3722</v>
      </c>
      <c r="N83" s="4" t="s">
        <v>3917</v>
      </c>
    </row>
    <row r="84" spans="1:14" ht="13.5">
      <c r="A84" s="95">
        <f t="shared" si="6"/>
        <v>83</v>
      </c>
      <c r="B84" s="1068">
        <v>45870</v>
      </c>
      <c r="C84" s="1068">
        <v>45870</v>
      </c>
      <c r="G84" s="4">
        <v>20000000</v>
      </c>
      <c r="H84" s="4">
        <v>0</v>
      </c>
      <c r="I84" s="116">
        <f t="shared" si="5"/>
        <v>-20000000</v>
      </c>
      <c r="J84" s="4">
        <v>18519643.469999999</v>
      </c>
      <c r="K84" s="1085" t="s">
        <v>3248</v>
      </c>
      <c r="L84" s="10" t="s">
        <v>3718</v>
      </c>
      <c r="N84" s="4" t="s">
        <v>3917</v>
      </c>
    </row>
    <row r="85" spans="1:14" ht="13.5">
      <c r="A85" s="95">
        <f t="shared" si="6"/>
        <v>84</v>
      </c>
      <c r="B85" s="1068">
        <v>45870</v>
      </c>
      <c r="C85" s="1068">
        <v>45870</v>
      </c>
      <c r="G85" s="4">
        <v>40000000</v>
      </c>
      <c r="H85" s="4">
        <v>0</v>
      </c>
      <c r="I85" s="116">
        <f t="shared" si="5"/>
        <v>-40000000</v>
      </c>
      <c r="J85" s="4">
        <v>58519643.469999999</v>
      </c>
      <c r="K85" s="1085" t="s">
        <v>3249</v>
      </c>
      <c r="L85" s="10" t="s">
        <v>3718</v>
      </c>
      <c r="N85" s="4" t="s">
        <v>3917</v>
      </c>
    </row>
    <row r="86" spans="1:14" ht="13.5">
      <c r="A86" s="95">
        <f t="shared" si="6"/>
        <v>85</v>
      </c>
      <c r="B86" s="1068">
        <v>45870</v>
      </c>
      <c r="C86" s="1068">
        <v>45870</v>
      </c>
      <c r="G86" s="4">
        <v>80000000</v>
      </c>
      <c r="H86" s="4">
        <v>0</v>
      </c>
      <c r="I86" s="116">
        <f t="shared" si="5"/>
        <v>-80000000</v>
      </c>
      <c r="J86" s="4">
        <v>138519643.47</v>
      </c>
      <c r="K86" s="1085" t="s">
        <v>3250</v>
      </c>
      <c r="L86" s="10" t="s">
        <v>3718</v>
      </c>
      <c r="N86" s="4" t="s">
        <v>3917</v>
      </c>
    </row>
    <row r="87" spans="1:14" ht="13.5">
      <c r="A87" s="95">
        <f t="shared" si="6"/>
        <v>86</v>
      </c>
      <c r="B87" s="1068">
        <v>45870</v>
      </c>
      <c r="C87" s="1068">
        <v>45870</v>
      </c>
      <c r="G87" s="4">
        <v>0</v>
      </c>
      <c r="H87" s="4">
        <v>1700000</v>
      </c>
      <c r="I87" s="116">
        <f t="shared" si="5"/>
        <v>1700000</v>
      </c>
      <c r="J87" s="4">
        <v>136819643.47</v>
      </c>
      <c r="K87" s="1085" t="s">
        <v>3251</v>
      </c>
      <c r="L87" s="10" t="s">
        <v>3718</v>
      </c>
      <c r="N87" s="4" t="s">
        <v>3917</v>
      </c>
    </row>
    <row r="88" spans="1:14" ht="13.5">
      <c r="A88" s="95">
        <f t="shared" si="6"/>
        <v>87</v>
      </c>
      <c r="B88" s="1068">
        <f>B82+1</f>
        <v>45870</v>
      </c>
      <c r="C88" s="1068">
        <v>45870</v>
      </c>
      <c r="G88" s="4">
        <v>477492</v>
      </c>
      <c r="H88" s="4">
        <v>0</v>
      </c>
      <c r="I88" s="116">
        <f t="shared" si="5"/>
        <v>-477492</v>
      </c>
      <c r="J88" s="4">
        <v>137297135.47</v>
      </c>
      <c r="K88" s="1085" t="s">
        <v>3252</v>
      </c>
      <c r="L88" s="10" t="s">
        <v>542</v>
      </c>
      <c r="N88" s="4" t="s">
        <v>3917</v>
      </c>
    </row>
    <row r="89" spans="1:14" ht="13.5">
      <c r="A89" s="95">
        <f t="shared" si="6"/>
        <v>88</v>
      </c>
      <c r="B89" s="1069">
        <f t="shared" ref="B89:B90" si="8">B88+1</f>
        <v>45871</v>
      </c>
      <c r="C89" s="1069">
        <v>45871</v>
      </c>
      <c r="I89" s="116">
        <f t="shared" si="5"/>
        <v>0</v>
      </c>
      <c r="J89" s="4">
        <v>137297135.47</v>
      </c>
      <c r="K89" s="1086"/>
      <c r="L89" s="10" t="s">
        <v>542</v>
      </c>
      <c r="N89" s="4" t="s">
        <v>3917</v>
      </c>
    </row>
    <row r="90" spans="1:14" ht="13.5">
      <c r="A90" s="95">
        <f t="shared" si="6"/>
        <v>89</v>
      </c>
      <c r="B90" s="1069">
        <f t="shared" si="8"/>
        <v>45872</v>
      </c>
      <c r="C90" s="1069">
        <v>45872</v>
      </c>
      <c r="I90" s="116">
        <f t="shared" si="5"/>
        <v>0</v>
      </c>
      <c r="J90" s="4">
        <v>137297135.47</v>
      </c>
      <c r="K90" s="1086"/>
      <c r="L90" s="10" t="s">
        <v>542</v>
      </c>
      <c r="N90" s="4" t="s">
        <v>3917</v>
      </c>
    </row>
    <row r="91" spans="1:14" ht="13.5">
      <c r="A91" s="95">
        <f t="shared" si="6"/>
        <v>90</v>
      </c>
      <c r="B91" s="1069">
        <v>45873</v>
      </c>
      <c r="C91" s="1069">
        <v>45873</v>
      </c>
      <c r="G91" s="4">
        <v>5000000</v>
      </c>
      <c r="H91" s="4">
        <v>0</v>
      </c>
      <c r="I91" s="116">
        <f t="shared" si="5"/>
        <v>-5000000</v>
      </c>
      <c r="J91" s="4">
        <v>142297135.47</v>
      </c>
      <c r="K91" s="1086"/>
      <c r="L91" s="1081" t="s">
        <v>3718</v>
      </c>
      <c r="N91" s="4" t="s">
        <v>3917</v>
      </c>
    </row>
    <row r="92" spans="1:14" ht="36">
      <c r="A92" s="95">
        <f t="shared" si="6"/>
        <v>91</v>
      </c>
      <c r="B92" s="1070">
        <v>45874</v>
      </c>
      <c r="C92" s="1070">
        <v>45874</v>
      </c>
      <c r="G92" s="4">
        <v>200000</v>
      </c>
      <c r="I92" s="116">
        <f t="shared" si="5"/>
        <v>-200000</v>
      </c>
      <c r="J92" s="4">
        <v>142497135.47</v>
      </c>
      <c r="K92" s="1085" t="s">
        <v>3253</v>
      </c>
      <c r="L92" s="1082" t="s">
        <v>3722</v>
      </c>
      <c r="N92" s="4" t="s">
        <v>3917</v>
      </c>
    </row>
    <row r="93" spans="1:14" ht="24">
      <c r="A93" s="95">
        <f t="shared" si="6"/>
        <v>92</v>
      </c>
      <c r="B93" s="1070">
        <v>45874</v>
      </c>
      <c r="C93" s="1070">
        <v>45874</v>
      </c>
      <c r="G93" s="4">
        <v>68000</v>
      </c>
      <c r="I93" s="116">
        <f t="shared" si="5"/>
        <v>-68000</v>
      </c>
      <c r="J93" s="4">
        <v>142565135.47</v>
      </c>
      <c r="K93" s="1085" t="s">
        <v>3254</v>
      </c>
      <c r="L93" s="1082" t="s">
        <v>542</v>
      </c>
      <c r="N93" s="4" t="s">
        <v>3917</v>
      </c>
    </row>
    <row r="94" spans="1:14" ht="24">
      <c r="A94" s="95">
        <f t="shared" si="6"/>
        <v>93</v>
      </c>
      <c r="B94" s="1070">
        <v>45874</v>
      </c>
      <c r="C94" s="1070">
        <v>45874</v>
      </c>
      <c r="G94" s="4">
        <v>25000</v>
      </c>
      <c r="I94" s="116">
        <f t="shared" si="5"/>
        <v>-25000</v>
      </c>
      <c r="J94" s="4">
        <v>142590135.47</v>
      </c>
      <c r="K94" s="1085" t="s">
        <v>3255</v>
      </c>
      <c r="L94" s="1082" t="s">
        <v>542</v>
      </c>
      <c r="N94" s="4" t="s">
        <v>3917</v>
      </c>
    </row>
    <row r="95" spans="1:14" ht="15">
      <c r="A95" s="95">
        <f t="shared" si="6"/>
        <v>94</v>
      </c>
      <c r="B95" s="1070">
        <v>45875</v>
      </c>
      <c r="C95" s="1070">
        <v>45875</v>
      </c>
      <c r="G95" s="4">
        <v>17700</v>
      </c>
      <c r="I95" s="116">
        <f t="shared" si="5"/>
        <v>-17700</v>
      </c>
      <c r="J95" s="4">
        <v>142607835.47</v>
      </c>
      <c r="K95" s="1085" t="s">
        <v>3256</v>
      </c>
      <c r="L95" s="340" t="s">
        <v>3720</v>
      </c>
      <c r="N95" s="4" t="s">
        <v>3917</v>
      </c>
    </row>
    <row r="96" spans="1:14" ht="13.5">
      <c r="A96" s="95">
        <f t="shared" si="6"/>
        <v>95</v>
      </c>
      <c r="B96" s="1070">
        <v>45875</v>
      </c>
      <c r="C96" s="1070">
        <v>45875</v>
      </c>
      <c r="G96" s="4">
        <v>26168</v>
      </c>
      <c r="I96" s="116">
        <f t="shared" si="5"/>
        <v>-26168</v>
      </c>
      <c r="J96" s="4">
        <v>142634003.47</v>
      </c>
      <c r="K96" s="1085" t="s">
        <v>3257</v>
      </c>
      <c r="L96" s="10" t="s">
        <v>542</v>
      </c>
      <c r="N96" s="4" t="s">
        <v>3917</v>
      </c>
    </row>
    <row r="97" spans="1:14" ht="15">
      <c r="A97" s="95">
        <f t="shared" si="6"/>
        <v>96</v>
      </c>
      <c r="B97" s="1068">
        <v>45876</v>
      </c>
      <c r="C97" s="1068">
        <v>45876</v>
      </c>
      <c r="H97" s="4">
        <v>477492</v>
      </c>
      <c r="I97" s="116">
        <f t="shared" si="5"/>
        <v>477492</v>
      </c>
      <c r="J97" s="4">
        <v>142156511.47</v>
      </c>
      <c r="K97" s="1087" t="s">
        <v>3258</v>
      </c>
      <c r="L97" s="340" t="s">
        <v>3726</v>
      </c>
      <c r="N97" s="4" t="s">
        <v>3917</v>
      </c>
    </row>
    <row r="98" spans="1:14" ht="13.5">
      <c r="A98" s="95">
        <f t="shared" si="6"/>
        <v>97</v>
      </c>
      <c r="B98" s="1068">
        <v>45876</v>
      </c>
      <c r="C98" s="1068">
        <v>45876</v>
      </c>
      <c r="G98" s="4">
        <v>700000</v>
      </c>
      <c r="I98" s="116">
        <f t="shared" si="5"/>
        <v>-700000</v>
      </c>
      <c r="J98" s="4">
        <v>142856511.47</v>
      </c>
      <c r="K98" s="1085" t="s">
        <v>3259</v>
      </c>
      <c r="L98" s="10" t="s">
        <v>3722</v>
      </c>
      <c r="N98" s="4" t="s">
        <v>3917</v>
      </c>
    </row>
    <row r="99" spans="1:14" ht="13.5">
      <c r="A99" s="95">
        <f t="shared" si="6"/>
        <v>98</v>
      </c>
      <c r="B99" s="1070">
        <v>45877</v>
      </c>
      <c r="C99" s="1070">
        <v>45877</v>
      </c>
      <c r="G99" s="4">
        <v>1000000</v>
      </c>
      <c r="H99" s="4">
        <v>0</v>
      </c>
      <c r="I99" s="116">
        <f t="shared" si="5"/>
        <v>-1000000</v>
      </c>
      <c r="J99" s="4">
        <v>143856511.47</v>
      </c>
      <c r="K99" s="1085" t="s">
        <v>3260</v>
      </c>
      <c r="L99" s="10" t="s">
        <v>3722</v>
      </c>
      <c r="N99" s="4" t="s">
        <v>3917</v>
      </c>
    </row>
    <row r="100" spans="1:14" ht="13.5">
      <c r="A100" s="95">
        <f t="shared" si="6"/>
        <v>99</v>
      </c>
      <c r="B100" s="1071">
        <f t="shared" ref="B100:B101" si="9">B99+1</f>
        <v>45878</v>
      </c>
      <c r="C100" s="1071">
        <v>45878</v>
      </c>
      <c r="I100" s="116">
        <f t="shared" si="5"/>
        <v>0</v>
      </c>
      <c r="J100" s="4">
        <v>143856511.47</v>
      </c>
      <c r="K100" s="1085"/>
      <c r="L100" s="10" t="s">
        <v>3722</v>
      </c>
      <c r="N100" s="4" t="s">
        <v>3917</v>
      </c>
    </row>
    <row r="101" spans="1:14" ht="13.5">
      <c r="A101" s="95">
        <f t="shared" si="6"/>
        <v>100</v>
      </c>
      <c r="B101" s="1072">
        <f t="shared" si="9"/>
        <v>45879</v>
      </c>
      <c r="C101" s="1072">
        <v>45879</v>
      </c>
      <c r="G101" s="4">
        <v>0</v>
      </c>
      <c r="I101" s="116">
        <f t="shared" si="5"/>
        <v>0</v>
      </c>
      <c r="J101" s="4">
        <v>143856511.47</v>
      </c>
      <c r="K101" s="1088"/>
      <c r="L101" s="10" t="s">
        <v>3722</v>
      </c>
      <c r="N101" s="4" t="s">
        <v>3917</v>
      </c>
    </row>
    <row r="102" spans="1:14" ht="13.5">
      <c r="A102" s="95">
        <f t="shared" si="6"/>
        <v>101</v>
      </c>
      <c r="B102" s="1073">
        <v>45880</v>
      </c>
      <c r="C102" s="1073">
        <v>45880</v>
      </c>
      <c r="G102" s="4">
        <v>29329</v>
      </c>
      <c r="I102" s="116">
        <f t="shared" si="5"/>
        <v>-29329</v>
      </c>
      <c r="J102" s="4">
        <v>143885840.47</v>
      </c>
      <c r="K102" s="1089" t="s">
        <v>3261</v>
      </c>
      <c r="L102" s="10" t="s">
        <v>542</v>
      </c>
      <c r="N102" s="4" t="s">
        <v>3917</v>
      </c>
    </row>
    <row r="103" spans="1:14" ht="15">
      <c r="A103" s="95">
        <f t="shared" si="6"/>
        <v>102</v>
      </c>
      <c r="B103" s="1068">
        <v>45880</v>
      </c>
      <c r="C103" s="1068">
        <v>45880</v>
      </c>
      <c r="G103" s="4">
        <v>19470</v>
      </c>
      <c r="I103" s="116">
        <f t="shared" si="5"/>
        <v>-19470</v>
      </c>
      <c r="J103" s="4">
        <v>143905310.47</v>
      </c>
      <c r="K103" s="1085" t="s">
        <v>3262</v>
      </c>
      <c r="L103" s="340" t="s">
        <v>3720</v>
      </c>
      <c r="N103" s="4" t="s">
        <v>3917</v>
      </c>
    </row>
    <row r="104" spans="1:14" ht="13.5">
      <c r="A104" s="95">
        <f t="shared" si="6"/>
        <v>103</v>
      </c>
      <c r="B104" s="1068">
        <v>45880</v>
      </c>
      <c r="C104" s="1068">
        <v>45880</v>
      </c>
      <c r="G104" s="4">
        <v>5500000</v>
      </c>
      <c r="I104" s="116">
        <f t="shared" si="5"/>
        <v>-5500000</v>
      </c>
      <c r="J104" s="4">
        <v>149405310.47</v>
      </c>
      <c r="K104" s="1085" t="s">
        <v>3263</v>
      </c>
      <c r="L104" s="10" t="s">
        <v>3718</v>
      </c>
      <c r="N104" s="4" t="s">
        <v>3917</v>
      </c>
    </row>
    <row r="105" spans="1:14" ht="13.5">
      <c r="A105" s="95">
        <f t="shared" si="6"/>
        <v>104</v>
      </c>
      <c r="B105" s="1068">
        <v>45880</v>
      </c>
      <c r="C105" s="1068">
        <v>45880</v>
      </c>
      <c r="G105" s="4">
        <v>5000</v>
      </c>
      <c r="I105" s="116">
        <f t="shared" si="5"/>
        <v>-5000</v>
      </c>
      <c r="J105" s="4">
        <v>149410310.47</v>
      </c>
      <c r="K105" s="1085" t="s">
        <v>3264</v>
      </c>
      <c r="L105" s="10" t="s">
        <v>542</v>
      </c>
      <c r="N105" s="4" t="s">
        <v>3917</v>
      </c>
    </row>
    <row r="106" spans="1:14" ht="13.5">
      <c r="A106" s="95">
        <f t="shared" si="6"/>
        <v>105</v>
      </c>
      <c r="B106" s="1068">
        <v>45880</v>
      </c>
      <c r="C106" s="1068">
        <v>45880</v>
      </c>
      <c r="G106" s="4">
        <v>48000</v>
      </c>
      <c r="I106" s="116">
        <f t="shared" si="5"/>
        <v>-48000</v>
      </c>
      <c r="J106" s="4">
        <v>149458310.47</v>
      </c>
      <c r="K106" s="1085" t="s">
        <v>3265</v>
      </c>
      <c r="L106" s="10" t="s">
        <v>542</v>
      </c>
      <c r="N106" s="4" t="s">
        <v>3917</v>
      </c>
    </row>
    <row r="107" spans="1:14" ht="13.5">
      <c r="A107" s="95">
        <f t="shared" si="6"/>
        <v>106</v>
      </c>
      <c r="B107" s="1068">
        <v>45880</v>
      </c>
      <c r="C107" s="1068">
        <v>45880</v>
      </c>
      <c r="G107" s="4">
        <v>40000</v>
      </c>
      <c r="I107" s="116">
        <f t="shared" si="5"/>
        <v>-40000</v>
      </c>
      <c r="J107" s="4">
        <v>149498310.47</v>
      </c>
      <c r="K107" s="1085" t="s">
        <v>3266</v>
      </c>
      <c r="L107" s="10" t="s">
        <v>542</v>
      </c>
      <c r="N107" s="4" t="s">
        <v>3917</v>
      </c>
    </row>
    <row r="108" spans="1:14" ht="13.5">
      <c r="A108" s="95">
        <f t="shared" si="6"/>
        <v>107</v>
      </c>
      <c r="B108" s="1068">
        <v>45880</v>
      </c>
      <c r="C108" s="1068">
        <v>45880</v>
      </c>
      <c r="G108" s="4">
        <v>816</v>
      </c>
      <c r="I108" s="116">
        <f t="shared" si="5"/>
        <v>-816</v>
      </c>
      <c r="J108" s="4">
        <v>149499126.47</v>
      </c>
      <c r="K108" s="1085" t="s">
        <v>3267</v>
      </c>
      <c r="L108" s="10" t="s">
        <v>542</v>
      </c>
      <c r="N108" s="4" t="s">
        <v>3917</v>
      </c>
    </row>
    <row r="109" spans="1:14" ht="13.5">
      <c r="A109" s="95">
        <f t="shared" si="6"/>
        <v>108</v>
      </c>
      <c r="B109" s="1074">
        <v>45881</v>
      </c>
      <c r="C109" s="1074">
        <v>45881</v>
      </c>
      <c r="G109" s="4">
        <v>1631</v>
      </c>
      <c r="I109" s="116">
        <f t="shared" si="5"/>
        <v>-1631</v>
      </c>
      <c r="J109" s="4">
        <v>149500757.47</v>
      </c>
      <c r="K109" s="1085" t="s">
        <v>3268</v>
      </c>
      <c r="L109" s="10" t="s">
        <v>542</v>
      </c>
      <c r="N109" s="4" t="s">
        <v>3917</v>
      </c>
    </row>
    <row r="110" spans="1:14" ht="15.75">
      <c r="A110" s="95">
        <f t="shared" si="6"/>
        <v>109</v>
      </c>
      <c r="B110" s="1075">
        <v>45881</v>
      </c>
      <c r="C110" s="1075">
        <v>45881</v>
      </c>
      <c r="G110" s="4">
        <v>10000</v>
      </c>
      <c r="I110" s="116">
        <f t="shared" si="5"/>
        <v>-10000</v>
      </c>
      <c r="J110" s="4">
        <v>149510757.47</v>
      </c>
      <c r="K110" s="1085" t="s">
        <v>3269</v>
      </c>
      <c r="L110" s="1083" t="s">
        <v>542</v>
      </c>
      <c r="N110" s="4" t="s">
        <v>3917</v>
      </c>
    </row>
    <row r="111" spans="1:14" ht="13.5">
      <c r="A111" s="95">
        <f t="shared" si="6"/>
        <v>110</v>
      </c>
      <c r="B111" s="1076">
        <v>45882</v>
      </c>
      <c r="C111" s="1076">
        <v>45882</v>
      </c>
      <c r="G111" s="4">
        <v>55486</v>
      </c>
      <c r="I111" s="116">
        <f t="shared" si="5"/>
        <v>-55486</v>
      </c>
      <c r="J111" s="4">
        <v>149566243.47</v>
      </c>
      <c r="K111" s="1088" t="s">
        <v>3270</v>
      </c>
      <c r="L111" s="10" t="s">
        <v>542</v>
      </c>
      <c r="N111" s="4" t="s">
        <v>3917</v>
      </c>
    </row>
    <row r="112" spans="1:14" ht="13.5">
      <c r="A112" s="95">
        <f t="shared" si="6"/>
        <v>111</v>
      </c>
      <c r="B112" s="1076">
        <v>45882</v>
      </c>
      <c r="C112" s="1076">
        <v>45882</v>
      </c>
      <c r="G112" s="4">
        <v>24500</v>
      </c>
      <c r="I112" s="116">
        <f t="shared" si="5"/>
        <v>-24500</v>
      </c>
      <c r="J112" s="4">
        <v>149590743.47</v>
      </c>
      <c r="K112" s="1088" t="s">
        <v>3271</v>
      </c>
      <c r="L112" s="10" t="s">
        <v>542</v>
      </c>
      <c r="N112" s="4" t="s">
        <v>3917</v>
      </c>
    </row>
    <row r="113" spans="1:14" ht="13.5">
      <c r="A113" s="95">
        <f t="shared" si="6"/>
        <v>112</v>
      </c>
      <c r="B113" s="1077">
        <v>45883</v>
      </c>
      <c r="C113" s="1077">
        <v>45883</v>
      </c>
      <c r="G113" s="4">
        <v>6</v>
      </c>
      <c r="I113" s="116">
        <f t="shared" si="5"/>
        <v>-6</v>
      </c>
      <c r="J113" s="4">
        <v>149590749.47</v>
      </c>
      <c r="K113" s="1090" t="s">
        <v>3272</v>
      </c>
      <c r="L113" s="1081" t="s">
        <v>542</v>
      </c>
      <c r="N113" s="4" t="s">
        <v>3917</v>
      </c>
    </row>
    <row r="114" spans="1:14" ht="13.5">
      <c r="A114" s="95">
        <f t="shared" si="6"/>
        <v>113</v>
      </c>
      <c r="B114" s="1077">
        <v>45883</v>
      </c>
      <c r="C114" s="1077">
        <v>45883</v>
      </c>
      <c r="G114" s="4">
        <v>16800</v>
      </c>
      <c r="I114" s="116">
        <f t="shared" si="5"/>
        <v>-16800</v>
      </c>
      <c r="J114" s="4">
        <v>149607549.47</v>
      </c>
      <c r="K114" s="1090" t="s">
        <v>3273</v>
      </c>
      <c r="L114" s="1081" t="s">
        <v>542</v>
      </c>
      <c r="N114" s="4" t="s">
        <v>3917</v>
      </c>
    </row>
    <row r="115" spans="1:14" ht="13.5">
      <c r="A115" s="95">
        <f t="shared" si="6"/>
        <v>114</v>
      </c>
      <c r="B115" s="1077">
        <v>45883</v>
      </c>
      <c r="C115" s="1077">
        <v>45883</v>
      </c>
      <c r="G115" s="4">
        <v>304927</v>
      </c>
      <c r="I115" s="116">
        <f t="shared" si="5"/>
        <v>-304927</v>
      </c>
      <c r="J115" s="4">
        <v>149912476.47</v>
      </c>
      <c r="K115" s="1090" t="s">
        <v>3274</v>
      </c>
      <c r="L115" s="1081" t="s">
        <v>542</v>
      </c>
      <c r="N115" s="4" t="s">
        <v>3917</v>
      </c>
    </row>
    <row r="116" spans="1:14" ht="13.5">
      <c r="A116" s="95">
        <f t="shared" si="6"/>
        <v>115</v>
      </c>
      <c r="B116" s="1077">
        <v>45883</v>
      </c>
      <c r="C116" s="1077">
        <v>45883</v>
      </c>
      <c r="G116" s="4">
        <v>6885</v>
      </c>
      <c r="I116" s="116">
        <f t="shared" si="5"/>
        <v>-6885</v>
      </c>
      <c r="J116" s="4">
        <v>149919361.47</v>
      </c>
      <c r="K116" s="1090" t="s">
        <v>3275</v>
      </c>
      <c r="L116" s="1081" t="s">
        <v>542</v>
      </c>
      <c r="N116" s="4" t="s">
        <v>3917</v>
      </c>
    </row>
    <row r="117" spans="1:14" ht="13.5">
      <c r="A117" s="95">
        <f t="shared" si="6"/>
        <v>116</v>
      </c>
      <c r="B117" s="1077">
        <v>45883</v>
      </c>
      <c r="C117" s="1077">
        <v>45883</v>
      </c>
      <c r="G117" s="4">
        <v>20000</v>
      </c>
      <c r="I117" s="116">
        <f t="shared" si="5"/>
        <v>-20000</v>
      </c>
      <c r="J117" s="4">
        <v>149939361.47</v>
      </c>
      <c r="K117" s="1090" t="s">
        <v>3276</v>
      </c>
      <c r="L117" s="1081" t="s">
        <v>542</v>
      </c>
      <c r="N117" s="4" t="s">
        <v>3917</v>
      </c>
    </row>
    <row r="118" spans="1:14" ht="13.5">
      <c r="A118" s="95">
        <f t="shared" si="6"/>
        <v>117</v>
      </c>
      <c r="B118" s="1077">
        <v>45883</v>
      </c>
      <c r="C118" s="1077">
        <v>45883</v>
      </c>
      <c r="G118" s="4">
        <v>43644</v>
      </c>
      <c r="I118" s="116">
        <f t="shared" si="5"/>
        <v>-43644</v>
      </c>
      <c r="J118" s="4">
        <v>149983005.47</v>
      </c>
      <c r="K118" s="1090" t="s">
        <v>3277</v>
      </c>
      <c r="L118" s="1081" t="s">
        <v>542</v>
      </c>
      <c r="N118" s="4" t="s">
        <v>3917</v>
      </c>
    </row>
    <row r="119" spans="1:14" ht="13.5">
      <c r="A119" s="95">
        <f t="shared" si="6"/>
        <v>118</v>
      </c>
      <c r="B119" s="1066">
        <f>B118+1</f>
        <v>45884</v>
      </c>
      <c r="C119" s="1066">
        <v>45884</v>
      </c>
      <c r="I119" s="116">
        <f t="shared" si="5"/>
        <v>0</v>
      </c>
      <c r="J119" s="4">
        <v>149983005.47</v>
      </c>
      <c r="K119" s="64">
        <v>0</v>
      </c>
      <c r="L119" s="10" t="s">
        <v>542</v>
      </c>
      <c r="N119" s="4" t="s">
        <v>3917</v>
      </c>
    </row>
    <row r="120" spans="1:14" ht="13.5">
      <c r="A120" s="95">
        <f t="shared" si="6"/>
        <v>119</v>
      </c>
      <c r="B120" s="1077">
        <v>45885</v>
      </c>
      <c r="C120" s="1077">
        <v>45885</v>
      </c>
      <c r="H120" s="4">
        <v>130000000</v>
      </c>
      <c r="I120" s="116">
        <f t="shared" si="5"/>
        <v>130000000</v>
      </c>
      <c r="J120" s="4">
        <v>19983005.469999999</v>
      </c>
      <c r="K120" s="1091" t="s">
        <v>3278</v>
      </c>
      <c r="L120" s="10" t="s">
        <v>3723</v>
      </c>
      <c r="N120" s="4" t="s">
        <v>3917</v>
      </c>
    </row>
    <row r="121" spans="1:14" ht="13.5">
      <c r="A121" s="95">
        <f t="shared" si="6"/>
        <v>120</v>
      </c>
      <c r="B121" s="1069">
        <f>B120+1</f>
        <v>45886</v>
      </c>
      <c r="C121" s="1069">
        <v>45886</v>
      </c>
      <c r="I121" s="116">
        <f t="shared" si="5"/>
        <v>0</v>
      </c>
      <c r="J121" s="4">
        <v>19983005.469999999</v>
      </c>
      <c r="K121" s="1092"/>
      <c r="L121" s="10" t="s">
        <v>3723</v>
      </c>
      <c r="N121" s="4" t="s">
        <v>3917</v>
      </c>
    </row>
    <row r="122" spans="1:14" ht="13.5">
      <c r="A122" s="95">
        <f t="shared" si="6"/>
        <v>121</v>
      </c>
      <c r="B122" s="1068">
        <v>45887</v>
      </c>
      <c r="C122" s="1068">
        <v>45887</v>
      </c>
      <c r="G122" s="4">
        <v>60000</v>
      </c>
      <c r="I122" s="116">
        <f t="shared" si="5"/>
        <v>-60000</v>
      </c>
      <c r="J122" s="4">
        <v>20043005.469999999</v>
      </c>
      <c r="K122" s="1093" t="s">
        <v>3279</v>
      </c>
      <c r="L122" s="10" t="s">
        <v>3722</v>
      </c>
      <c r="N122" s="4" t="s">
        <v>3917</v>
      </c>
    </row>
    <row r="123" spans="1:14" ht="13.5">
      <c r="A123" s="95">
        <f t="shared" si="6"/>
        <v>122</v>
      </c>
      <c r="B123" s="1071">
        <v>45888</v>
      </c>
      <c r="C123" s="1071">
        <v>45888</v>
      </c>
      <c r="G123" s="4">
        <v>400000</v>
      </c>
      <c r="I123" s="116">
        <f t="shared" si="5"/>
        <v>-400000</v>
      </c>
      <c r="J123" s="4">
        <v>20443005.469999999</v>
      </c>
      <c r="K123" s="1094" t="s">
        <v>3280</v>
      </c>
      <c r="L123" s="10" t="s">
        <v>3722</v>
      </c>
      <c r="N123" s="4" t="s">
        <v>3917</v>
      </c>
    </row>
    <row r="124" spans="1:14" ht="13.5">
      <c r="A124" s="95">
        <f t="shared" si="6"/>
        <v>123</v>
      </c>
      <c r="B124" s="1071">
        <v>45888</v>
      </c>
      <c r="C124" s="1071">
        <v>45888</v>
      </c>
      <c r="G124" s="4">
        <v>28000</v>
      </c>
      <c r="I124" s="116">
        <f t="shared" si="5"/>
        <v>-28000</v>
      </c>
      <c r="J124" s="4">
        <v>20471005.469999999</v>
      </c>
      <c r="K124" s="1094" t="s">
        <v>3281</v>
      </c>
      <c r="L124" s="10" t="s">
        <v>542</v>
      </c>
      <c r="N124" s="4" t="s">
        <v>3917</v>
      </c>
    </row>
    <row r="125" spans="1:14" ht="13.5">
      <c r="A125" s="95">
        <f t="shared" si="6"/>
        <v>124</v>
      </c>
      <c r="B125" s="1071">
        <v>45888</v>
      </c>
      <c r="C125" s="1071">
        <v>45888</v>
      </c>
      <c r="G125" s="4">
        <v>57500</v>
      </c>
      <c r="I125" s="116">
        <f t="shared" si="5"/>
        <v>-57500</v>
      </c>
      <c r="J125" s="4">
        <v>20528505.469999999</v>
      </c>
      <c r="K125" s="1094" t="s">
        <v>3282</v>
      </c>
      <c r="L125" s="10" t="s">
        <v>542</v>
      </c>
      <c r="N125" s="4" t="s">
        <v>3917</v>
      </c>
    </row>
    <row r="126" spans="1:14" ht="13.5">
      <c r="A126" s="95">
        <f t="shared" si="6"/>
        <v>125</v>
      </c>
      <c r="B126" s="1071">
        <v>45888</v>
      </c>
      <c r="C126" s="1071">
        <v>45888</v>
      </c>
      <c r="G126" s="4">
        <v>44980</v>
      </c>
      <c r="I126" s="116">
        <f t="shared" si="5"/>
        <v>-44980</v>
      </c>
      <c r="J126" s="4">
        <v>20573485.469999999</v>
      </c>
      <c r="K126" s="1094" t="s">
        <v>3283</v>
      </c>
      <c r="L126" s="10" t="s">
        <v>542</v>
      </c>
      <c r="N126" s="4" t="s">
        <v>3917</v>
      </c>
    </row>
    <row r="127" spans="1:14" ht="13.5">
      <c r="A127" s="95">
        <f t="shared" si="6"/>
        <v>126</v>
      </c>
      <c r="B127" s="1068">
        <v>45889</v>
      </c>
      <c r="C127" s="1068">
        <v>45889</v>
      </c>
      <c r="G127" s="4">
        <v>70686</v>
      </c>
      <c r="I127" s="116">
        <f t="shared" si="5"/>
        <v>-70686</v>
      </c>
      <c r="J127" s="4">
        <v>20644171.469999999</v>
      </c>
      <c r="K127" s="1085" t="s">
        <v>3284</v>
      </c>
      <c r="L127" s="10" t="s">
        <v>3719</v>
      </c>
      <c r="N127" s="4" t="s">
        <v>3917</v>
      </c>
    </row>
    <row r="128" spans="1:14" ht="13.5">
      <c r="A128" s="95">
        <f t="shared" si="6"/>
        <v>127</v>
      </c>
      <c r="B128" s="1068">
        <v>45889</v>
      </c>
      <c r="C128" s="1068">
        <v>45889</v>
      </c>
      <c r="G128" s="4">
        <v>22500</v>
      </c>
      <c r="I128" s="116">
        <f t="shared" si="5"/>
        <v>-22500</v>
      </c>
      <c r="J128" s="4">
        <v>20666671.469999999</v>
      </c>
      <c r="K128" s="1085" t="s">
        <v>3285</v>
      </c>
      <c r="L128" s="10" t="s">
        <v>3719</v>
      </c>
      <c r="N128" s="4" t="s">
        <v>3917</v>
      </c>
    </row>
    <row r="129" spans="1:14" ht="13.5">
      <c r="A129" s="95">
        <f t="shared" si="6"/>
        <v>128</v>
      </c>
      <c r="B129" s="1068">
        <v>45889</v>
      </c>
      <c r="C129" s="1068">
        <v>45889</v>
      </c>
      <c r="G129" s="4">
        <v>9309</v>
      </c>
      <c r="I129" s="116">
        <f t="shared" si="5"/>
        <v>-9309</v>
      </c>
      <c r="J129" s="4">
        <v>20675980.469999999</v>
      </c>
      <c r="K129" s="1085" t="s">
        <v>3286</v>
      </c>
      <c r="L129" s="10" t="s">
        <v>542</v>
      </c>
      <c r="N129" s="4" t="s">
        <v>3917</v>
      </c>
    </row>
    <row r="130" spans="1:14" ht="13.5">
      <c r="A130" s="95">
        <f t="shared" si="6"/>
        <v>129</v>
      </c>
      <c r="B130" s="1068">
        <v>45890</v>
      </c>
      <c r="C130" s="1068">
        <v>45890</v>
      </c>
      <c r="G130" s="4">
        <v>293170</v>
      </c>
      <c r="I130" s="116">
        <f t="shared" si="5"/>
        <v>-293170</v>
      </c>
      <c r="J130" s="4">
        <v>20969150.469999999</v>
      </c>
      <c r="K130" s="1085" t="s">
        <v>3287</v>
      </c>
      <c r="L130" s="10" t="s">
        <v>542</v>
      </c>
      <c r="N130" s="4" t="s">
        <v>3917</v>
      </c>
    </row>
    <row r="131" spans="1:14" ht="13.5">
      <c r="A131" s="95">
        <f t="shared" si="6"/>
        <v>130</v>
      </c>
      <c r="B131" s="1068">
        <v>45890</v>
      </c>
      <c r="C131" s="1068">
        <v>45890</v>
      </c>
      <c r="G131" s="4">
        <v>8</v>
      </c>
      <c r="I131" s="116">
        <f t="shared" ref="I131:I189" si="10">H131-G131</f>
        <v>-8</v>
      </c>
      <c r="J131" s="4">
        <v>20969158.469999999</v>
      </c>
      <c r="K131" s="1085" t="s">
        <v>3288</v>
      </c>
      <c r="L131" s="10" t="s">
        <v>542</v>
      </c>
      <c r="N131" s="4" t="s">
        <v>3917</v>
      </c>
    </row>
    <row r="132" spans="1:14" ht="13.5">
      <c r="A132" s="95">
        <f t="shared" si="6"/>
        <v>131</v>
      </c>
      <c r="B132" s="1068">
        <v>45891</v>
      </c>
      <c r="C132" s="1068">
        <v>45891</v>
      </c>
      <c r="G132" s="4">
        <v>6</v>
      </c>
      <c r="I132" s="116">
        <f t="shared" si="10"/>
        <v>-6</v>
      </c>
      <c r="J132" s="4">
        <v>20969164.469999999</v>
      </c>
      <c r="K132" s="1085" t="s">
        <v>3289</v>
      </c>
      <c r="L132" s="10" t="s">
        <v>542</v>
      </c>
      <c r="N132" s="4" t="s">
        <v>3917</v>
      </c>
    </row>
    <row r="133" spans="1:14" ht="13.5">
      <c r="A133" s="95">
        <f t="shared" ref="A133:A189" si="11">A132+1</f>
        <v>132</v>
      </c>
      <c r="B133" s="1068">
        <v>45891</v>
      </c>
      <c r="C133" s="1068">
        <v>45891</v>
      </c>
      <c r="G133" s="4">
        <v>11039</v>
      </c>
      <c r="I133" s="116">
        <f t="shared" si="10"/>
        <v>-11039</v>
      </c>
      <c r="J133" s="4">
        <v>20980203.469999999</v>
      </c>
      <c r="K133" s="1085" t="s">
        <v>3290</v>
      </c>
      <c r="L133" s="10" t="s">
        <v>542</v>
      </c>
      <c r="N133" s="4" t="s">
        <v>3917</v>
      </c>
    </row>
    <row r="134" spans="1:14" ht="13.5">
      <c r="A134" s="95">
        <f t="shared" si="11"/>
        <v>133</v>
      </c>
      <c r="B134" s="1068">
        <v>45891</v>
      </c>
      <c r="C134" s="1068">
        <v>45891</v>
      </c>
      <c r="G134" s="4">
        <v>33000</v>
      </c>
      <c r="I134" s="116">
        <f t="shared" si="10"/>
        <v>-33000</v>
      </c>
      <c r="J134" s="4">
        <v>21013203.469999999</v>
      </c>
      <c r="K134" s="1085" t="s">
        <v>3291</v>
      </c>
      <c r="L134" s="10" t="s">
        <v>542</v>
      </c>
      <c r="N134" s="4" t="s">
        <v>3917</v>
      </c>
    </row>
    <row r="135" spans="1:14" ht="13.5">
      <c r="A135" s="95">
        <f t="shared" si="11"/>
        <v>134</v>
      </c>
      <c r="B135" s="1068">
        <v>45891</v>
      </c>
      <c r="C135" s="1068">
        <v>45891</v>
      </c>
      <c r="G135" s="4">
        <v>22500</v>
      </c>
      <c r="I135" s="116">
        <f t="shared" si="10"/>
        <v>-22500</v>
      </c>
      <c r="J135" s="4">
        <v>21035703.469999999</v>
      </c>
      <c r="K135" s="1085" t="s">
        <v>3292</v>
      </c>
      <c r="L135" s="10" t="s">
        <v>3719</v>
      </c>
      <c r="N135" s="4" t="s">
        <v>3917</v>
      </c>
    </row>
    <row r="136" spans="1:14" ht="13.5">
      <c r="A136" s="95">
        <f t="shared" si="11"/>
        <v>135</v>
      </c>
      <c r="B136" s="1066">
        <v>45892</v>
      </c>
      <c r="C136" s="1066">
        <v>45892</v>
      </c>
      <c r="G136" s="4">
        <v>7000</v>
      </c>
      <c r="I136" s="116">
        <f t="shared" si="10"/>
        <v>-7000</v>
      </c>
      <c r="J136" s="4">
        <v>21042703.469999999</v>
      </c>
      <c r="K136" s="1085" t="s">
        <v>3293</v>
      </c>
      <c r="L136" s="10" t="s">
        <v>542</v>
      </c>
      <c r="N136" s="4" t="s">
        <v>3917</v>
      </c>
    </row>
    <row r="137" spans="1:14" ht="13.5">
      <c r="A137" s="95">
        <f t="shared" si="11"/>
        <v>136</v>
      </c>
      <c r="B137" s="1066">
        <v>45892</v>
      </c>
      <c r="C137" s="1066">
        <v>45892</v>
      </c>
      <c r="G137" s="4">
        <v>24600</v>
      </c>
      <c r="I137" s="116">
        <f t="shared" si="10"/>
        <v>-24600</v>
      </c>
      <c r="J137" s="4">
        <v>21067303.469999999</v>
      </c>
      <c r="K137" s="1085" t="s">
        <v>3294</v>
      </c>
      <c r="L137" s="10" t="s">
        <v>542</v>
      </c>
      <c r="N137" s="4" t="s">
        <v>3917</v>
      </c>
    </row>
    <row r="138" spans="1:14" ht="13.5">
      <c r="A138" s="95">
        <f t="shared" si="11"/>
        <v>137</v>
      </c>
      <c r="B138" s="1066">
        <v>45892</v>
      </c>
      <c r="C138" s="1066">
        <v>45892</v>
      </c>
      <c r="G138" s="4">
        <v>10000</v>
      </c>
      <c r="I138" s="116">
        <f t="shared" si="10"/>
        <v>-10000</v>
      </c>
      <c r="J138" s="4">
        <v>21077303.469999999</v>
      </c>
      <c r="K138" s="1085" t="s">
        <v>3295</v>
      </c>
      <c r="L138" s="10" t="s">
        <v>542</v>
      </c>
      <c r="N138" s="4" t="s">
        <v>3917</v>
      </c>
    </row>
    <row r="139" spans="1:14" ht="13.5">
      <c r="A139" s="95">
        <f t="shared" si="11"/>
        <v>138</v>
      </c>
      <c r="B139" s="1066">
        <v>45892</v>
      </c>
      <c r="C139" s="1066">
        <v>45892</v>
      </c>
      <c r="G139" s="4">
        <v>5000</v>
      </c>
      <c r="I139" s="116">
        <f t="shared" si="10"/>
        <v>-5000</v>
      </c>
      <c r="J139" s="4">
        <v>21082303.469999999</v>
      </c>
      <c r="K139" s="1085" t="s">
        <v>3296</v>
      </c>
      <c r="L139" s="10" t="s">
        <v>542</v>
      </c>
      <c r="N139" s="4" t="s">
        <v>3917</v>
      </c>
    </row>
    <row r="140" spans="1:14" ht="13.5">
      <c r="A140" s="95">
        <f t="shared" si="11"/>
        <v>139</v>
      </c>
      <c r="B140" s="1066">
        <v>45892</v>
      </c>
      <c r="C140" s="1066">
        <v>45892</v>
      </c>
      <c r="G140" s="4">
        <v>3000</v>
      </c>
      <c r="I140" s="116">
        <f t="shared" si="10"/>
        <v>-3000</v>
      </c>
      <c r="J140" s="4">
        <v>21085303.469999999</v>
      </c>
      <c r="K140" s="1085" t="s">
        <v>3297</v>
      </c>
      <c r="L140" s="10" t="s">
        <v>542</v>
      </c>
      <c r="N140" s="4" t="s">
        <v>3917</v>
      </c>
    </row>
    <row r="141" spans="1:14" ht="13.5">
      <c r="A141" s="95">
        <f t="shared" si="11"/>
        <v>140</v>
      </c>
      <c r="B141" s="1066">
        <v>45892</v>
      </c>
      <c r="C141" s="1066">
        <v>45892</v>
      </c>
      <c r="G141" s="4">
        <v>5000</v>
      </c>
      <c r="I141" s="116">
        <f t="shared" si="10"/>
        <v>-5000</v>
      </c>
      <c r="J141" s="4">
        <v>21090303.469999999</v>
      </c>
      <c r="K141" s="1085" t="s">
        <v>3298</v>
      </c>
      <c r="L141" s="10" t="s">
        <v>542</v>
      </c>
      <c r="N141" s="4" t="s">
        <v>3917</v>
      </c>
    </row>
    <row r="142" spans="1:14" ht="13.5">
      <c r="A142" s="95">
        <f t="shared" si="11"/>
        <v>141</v>
      </c>
      <c r="B142" s="1066">
        <v>45892</v>
      </c>
      <c r="C142" s="1066">
        <v>45892</v>
      </c>
      <c r="G142" s="4">
        <v>45983</v>
      </c>
      <c r="I142" s="116">
        <f t="shared" si="10"/>
        <v>-45983</v>
      </c>
      <c r="J142" s="4">
        <v>21136286.469999999</v>
      </c>
      <c r="K142" s="1085" t="s">
        <v>3299</v>
      </c>
      <c r="L142" s="10" t="s">
        <v>542</v>
      </c>
      <c r="N142" s="4" t="s">
        <v>3917</v>
      </c>
    </row>
    <row r="143" spans="1:14" ht="13.5">
      <c r="A143" s="95">
        <f t="shared" si="11"/>
        <v>142</v>
      </c>
      <c r="B143" s="1066">
        <v>45892</v>
      </c>
      <c r="C143" s="1066">
        <v>45892</v>
      </c>
      <c r="G143" s="4">
        <v>5000</v>
      </c>
      <c r="I143" s="116">
        <f t="shared" si="10"/>
        <v>-5000</v>
      </c>
      <c r="J143" s="4">
        <v>21141286.469999999</v>
      </c>
      <c r="K143" s="1085" t="s">
        <v>3300</v>
      </c>
      <c r="L143" s="10" t="s">
        <v>542</v>
      </c>
      <c r="N143" s="4" t="s">
        <v>3917</v>
      </c>
    </row>
    <row r="144" spans="1:14" ht="13.5">
      <c r="A144" s="95">
        <f t="shared" si="11"/>
        <v>143</v>
      </c>
      <c r="B144" s="1066">
        <v>45892</v>
      </c>
      <c r="C144" s="1066">
        <v>45892</v>
      </c>
      <c r="G144" s="4">
        <v>132000</v>
      </c>
      <c r="I144" s="116">
        <f t="shared" si="10"/>
        <v>-132000</v>
      </c>
      <c r="J144" s="4">
        <v>21273286.469999999</v>
      </c>
      <c r="K144" s="1085" t="s">
        <v>3301</v>
      </c>
      <c r="L144" s="10" t="s">
        <v>542</v>
      </c>
      <c r="N144" s="4" t="s">
        <v>3917</v>
      </c>
    </row>
    <row r="145" spans="1:14" ht="13.5">
      <c r="A145" s="95">
        <f t="shared" si="11"/>
        <v>144</v>
      </c>
      <c r="B145" s="1066">
        <v>45892</v>
      </c>
      <c r="C145" s="1066">
        <v>45892</v>
      </c>
      <c r="G145" s="4">
        <v>30000</v>
      </c>
      <c r="I145" s="116">
        <f t="shared" si="10"/>
        <v>-30000</v>
      </c>
      <c r="J145" s="4">
        <v>21303286.469999999</v>
      </c>
      <c r="K145" s="1085" t="s">
        <v>3302</v>
      </c>
      <c r="L145" s="10" t="s">
        <v>542</v>
      </c>
      <c r="N145" s="4" t="s">
        <v>3917</v>
      </c>
    </row>
    <row r="146" spans="1:14" ht="13.5">
      <c r="A146" s="95">
        <f t="shared" si="11"/>
        <v>145</v>
      </c>
      <c r="B146" s="1066">
        <v>45892</v>
      </c>
      <c r="C146" s="1066">
        <v>45892</v>
      </c>
      <c r="H146" s="4">
        <v>1000</v>
      </c>
      <c r="I146" s="116">
        <f t="shared" si="10"/>
        <v>1000</v>
      </c>
      <c r="J146" s="4">
        <v>21302286.469999999</v>
      </c>
      <c r="K146" s="1085" t="s">
        <v>3303</v>
      </c>
      <c r="L146" s="1177" t="s">
        <v>3721</v>
      </c>
      <c r="N146" s="4" t="s">
        <v>3917</v>
      </c>
    </row>
    <row r="147" spans="1:14" ht="13.5">
      <c r="A147" s="95">
        <f t="shared" si="11"/>
        <v>146</v>
      </c>
      <c r="B147" s="1066">
        <v>45892</v>
      </c>
      <c r="C147" s="1066">
        <v>45892</v>
      </c>
      <c r="H147" s="4">
        <v>29000</v>
      </c>
      <c r="I147" s="116">
        <f t="shared" si="10"/>
        <v>29000</v>
      </c>
      <c r="J147" s="4">
        <v>21273286.469999999</v>
      </c>
      <c r="K147" s="1085" t="s">
        <v>3304</v>
      </c>
      <c r="L147" s="1177" t="s">
        <v>3721</v>
      </c>
      <c r="N147" s="4" t="s">
        <v>3917</v>
      </c>
    </row>
    <row r="148" spans="1:14" ht="13.5">
      <c r="A148" s="95">
        <f t="shared" si="11"/>
        <v>147</v>
      </c>
      <c r="B148" s="1066">
        <f>B147+1</f>
        <v>45893</v>
      </c>
      <c r="C148" s="1066">
        <v>45893</v>
      </c>
      <c r="I148" s="116">
        <f t="shared" si="10"/>
        <v>0</v>
      </c>
      <c r="J148" s="4">
        <v>21273286.469999999</v>
      </c>
      <c r="L148" s="4" t="s">
        <v>542</v>
      </c>
      <c r="N148" s="4" t="s">
        <v>3917</v>
      </c>
    </row>
    <row r="149" spans="1:14" ht="13.5">
      <c r="A149" s="95">
        <f t="shared" si="11"/>
        <v>148</v>
      </c>
      <c r="B149" s="1070">
        <v>45894</v>
      </c>
      <c r="C149" s="1070">
        <v>45894</v>
      </c>
      <c r="G149" s="4">
        <v>17700</v>
      </c>
      <c r="I149" s="116">
        <f t="shared" si="10"/>
        <v>-17700</v>
      </c>
      <c r="J149" s="4">
        <v>21290986.469999999</v>
      </c>
      <c r="K149" s="1184" t="s">
        <v>3727</v>
      </c>
      <c r="L149" s="10" t="s">
        <v>3720</v>
      </c>
      <c r="N149" s="4" t="s">
        <v>3917</v>
      </c>
    </row>
    <row r="150" spans="1:14" ht="13.5">
      <c r="A150" s="95">
        <f t="shared" si="11"/>
        <v>149</v>
      </c>
      <c r="B150" s="1070">
        <v>45894</v>
      </c>
      <c r="C150" s="1070">
        <v>45894</v>
      </c>
      <c r="G150" s="4">
        <v>1600000</v>
      </c>
      <c r="I150" s="116">
        <f t="shared" si="10"/>
        <v>-1600000</v>
      </c>
      <c r="J150" s="4">
        <v>22890986.469999999</v>
      </c>
      <c r="K150" s="1184" t="s">
        <v>3728</v>
      </c>
      <c r="L150" s="10" t="s">
        <v>3722</v>
      </c>
      <c r="N150" s="4" t="s">
        <v>3917</v>
      </c>
    </row>
    <row r="151" spans="1:14" ht="13.5">
      <c r="A151" s="95">
        <f t="shared" si="11"/>
        <v>150</v>
      </c>
      <c r="B151" s="1070">
        <v>45894</v>
      </c>
      <c r="C151" s="1070">
        <v>45894</v>
      </c>
      <c r="G151" s="4">
        <v>2950</v>
      </c>
      <c r="I151" s="116">
        <f t="shared" si="10"/>
        <v>-2950</v>
      </c>
      <c r="J151" s="4">
        <v>22893936.469999999</v>
      </c>
      <c r="K151" s="1184" t="s">
        <v>3729</v>
      </c>
      <c r="L151" s="10" t="s">
        <v>3720</v>
      </c>
      <c r="N151" s="4" t="s">
        <v>3917</v>
      </c>
    </row>
    <row r="152" spans="1:14" ht="13.5">
      <c r="A152" s="95">
        <f t="shared" si="11"/>
        <v>151</v>
      </c>
      <c r="B152" s="1070">
        <v>45894</v>
      </c>
      <c r="C152" s="1070">
        <v>45894</v>
      </c>
      <c r="G152" s="4">
        <v>590000</v>
      </c>
      <c r="I152" s="116">
        <f t="shared" si="10"/>
        <v>-590000</v>
      </c>
      <c r="J152" s="4">
        <v>23483936.469999999</v>
      </c>
      <c r="K152" s="1184" t="s">
        <v>3730</v>
      </c>
      <c r="L152" s="10" t="s">
        <v>3720</v>
      </c>
      <c r="N152" s="4" t="s">
        <v>3917</v>
      </c>
    </row>
    <row r="153" spans="1:14" ht="13.5">
      <c r="A153" s="95">
        <f t="shared" si="11"/>
        <v>152</v>
      </c>
      <c r="B153" s="1071">
        <v>45894</v>
      </c>
      <c r="C153" s="1071">
        <v>45894</v>
      </c>
      <c r="G153" s="4">
        <v>25000</v>
      </c>
      <c r="I153" s="116">
        <f t="shared" si="10"/>
        <v>-25000</v>
      </c>
      <c r="J153" s="4">
        <v>23508936.469999999</v>
      </c>
      <c r="K153" s="1184" t="s">
        <v>3731</v>
      </c>
      <c r="L153" s="10" t="s">
        <v>542</v>
      </c>
      <c r="N153" s="4" t="s">
        <v>3917</v>
      </c>
    </row>
    <row r="154" spans="1:14" ht="13.5">
      <c r="A154" s="95">
        <f t="shared" si="11"/>
        <v>153</v>
      </c>
      <c r="B154" s="1070">
        <v>45895</v>
      </c>
      <c r="C154" s="1070">
        <v>45895</v>
      </c>
      <c r="G154" s="4">
        <v>50000</v>
      </c>
      <c r="I154" s="116">
        <f t="shared" si="10"/>
        <v>-50000</v>
      </c>
      <c r="J154" s="4">
        <v>23558936.469999999</v>
      </c>
      <c r="K154" s="1184" t="s">
        <v>3732</v>
      </c>
      <c r="L154" s="10" t="s">
        <v>542</v>
      </c>
      <c r="N154" s="4" t="s">
        <v>3917</v>
      </c>
    </row>
    <row r="155" spans="1:14" ht="13.5">
      <c r="A155" s="95">
        <f t="shared" si="11"/>
        <v>154</v>
      </c>
      <c r="B155" s="1070">
        <v>45895</v>
      </c>
      <c r="C155" s="1070">
        <v>45895</v>
      </c>
      <c r="G155" s="4">
        <v>59982</v>
      </c>
      <c r="I155" s="116">
        <f t="shared" si="10"/>
        <v>-59982</v>
      </c>
      <c r="J155" s="4">
        <v>23618918.469999999</v>
      </c>
      <c r="K155" s="1184" t="s">
        <v>3733</v>
      </c>
      <c r="L155" s="10" t="s">
        <v>542</v>
      </c>
      <c r="N155" s="4" t="s">
        <v>3917</v>
      </c>
    </row>
    <row r="156" spans="1:14" ht="13.5">
      <c r="A156" s="95">
        <f t="shared" si="11"/>
        <v>155</v>
      </c>
      <c r="B156" s="1070">
        <v>45896</v>
      </c>
      <c r="C156" s="1070">
        <v>45896</v>
      </c>
      <c r="G156" s="4">
        <v>965983</v>
      </c>
      <c r="I156" s="116">
        <f t="shared" si="10"/>
        <v>-965983</v>
      </c>
      <c r="J156" s="4">
        <v>24584901.469999999</v>
      </c>
      <c r="K156" s="1184" t="s">
        <v>3734</v>
      </c>
      <c r="L156" s="10" t="s">
        <v>542</v>
      </c>
      <c r="N156" s="4" t="s">
        <v>3917</v>
      </c>
    </row>
    <row r="157" spans="1:14" ht="13.5">
      <c r="A157" s="95">
        <f t="shared" si="11"/>
        <v>156</v>
      </c>
      <c r="B157" s="1070">
        <v>45896</v>
      </c>
      <c r="C157" s="1070">
        <v>45896</v>
      </c>
      <c r="G157" s="4">
        <v>2425</v>
      </c>
      <c r="I157" s="116">
        <f t="shared" si="10"/>
        <v>-2425</v>
      </c>
      <c r="J157" s="4">
        <v>24587326.469999999</v>
      </c>
      <c r="K157" s="1184" t="s">
        <v>3735</v>
      </c>
      <c r="L157" s="10" t="s">
        <v>542</v>
      </c>
      <c r="N157" s="4" t="s">
        <v>3917</v>
      </c>
    </row>
    <row r="158" spans="1:14" ht="13.5">
      <c r="A158" s="95">
        <f t="shared" si="11"/>
        <v>157</v>
      </c>
      <c r="B158" s="1070">
        <v>45896</v>
      </c>
      <c r="C158" s="1070">
        <v>45896</v>
      </c>
      <c r="G158" s="4">
        <v>32266</v>
      </c>
      <c r="I158" s="116">
        <f t="shared" si="10"/>
        <v>-32266</v>
      </c>
      <c r="J158" s="4">
        <v>24619592.469999999</v>
      </c>
      <c r="K158" s="1184" t="s">
        <v>3736</v>
      </c>
      <c r="L158" s="10" t="s">
        <v>542</v>
      </c>
      <c r="N158" s="4" t="s">
        <v>3917</v>
      </c>
    </row>
    <row r="159" spans="1:14" ht="13.5">
      <c r="A159" s="95">
        <f t="shared" si="11"/>
        <v>158</v>
      </c>
      <c r="B159" s="1070">
        <v>45896</v>
      </c>
      <c r="C159" s="1070">
        <v>45896</v>
      </c>
      <c r="G159" s="4">
        <v>17700</v>
      </c>
      <c r="I159" s="116">
        <f t="shared" si="10"/>
        <v>-17700</v>
      </c>
      <c r="J159" s="4">
        <v>24637292.469999999</v>
      </c>
      <c r="K159" s="1184" t="s">
        <v>3737</v>
      </c>
      <c r="L159" s="10" t="s">
        <v>3720</v>
      </c>
      <c r="N159" s="4" t="s">
        <v>3917</v>
      </c>
    </row>
    <row r="160" spans="1:14" ht="13.5">
      <c r="A160" s="95">
        <f t="shared" si="11"/>
        <v>159</v>
      </c>
      <c r="B160" s="1071">
        <v>45897</v>
      </c>
      <c r="C160" s="1071">
        <v>45897</v>
      </c>
      <c r="G160" s="4">
        <v>44840</v>
      </c>
      <c r="I160" s="116">
        <f t="shared" si="10"/>
        <v>-44840</v>
      </c>
      <c r="J160" s="4">
        <v>24682132.469999999</v>
      </c>
      <c r="K160" s="1184" t="s">
        <v>3738</v>
      </c>
      <c r="L160" s="10" t="s">
        <v>3719</v>
      </c>
      <c r="N160" s="4" t="s">
        <v>3917</v>
      </c>
    </row>
    <row r="161" spans="1:14" ht="13.5">
      <c r="A161" s="95">
        <f t="shared" si="11"/>
        <v>160</v>
      </c>
      <c r="B161" s="1071">
        <v>45897</v>
      </c>
      <c r="C161" s="1071">
        <v>45897</v>
      </c>
      <c r="G161" s="4">
        <v>17700</v>
      </c>
      <c r="I161" s="116">
        <f t="shared" si="10"/>
        <v>-17700</v>
      </c>
      <c r="J161" s="4">
        <v>24699832.469999999</v>
      </c>
      <c r="K161" s="1184" t="s">
        <v>3739</v>
      </c>
      <c r="L161" s="10" t="s">
        <v>3720</v>
      </c>
      <c r="N161" s="4" t="s">
        <v>3917</v>
      </c>
    </row>
    <row r="162" spans="1:14" ht="13.5">
      <c r="A162" s="95">
        <f t="shared" si="11"/>
        <v>161</v>
      </c>
      <c r="B162" s="1071">
        <v>45897</v>
      </c>
      <c r="C162" s="1071">
        <v>45897</v>
      </c>
      <c r="G162" s="4">
        <v>11800</v>
      </c>
      <c r="I162" s="116">
        <f t="shared" si="10"/>
        <v>-11800</v>
      </c>
      <c r="J162" s="4">
        <v>24711632.469999999</v>
      </c>
      <c r="K162" s="1184" t="s">
        <v>3740</v>
      </c>
      <c r="L162" s="10" t="s">
        <v>3719</v>
      </c>
      <c r="N162" s="4" t="s">
        <v>3917</v>
      </c>
    </row>
    <row r="163" spans="1:14" ht="13.5">
      <c r="A163" s="95">
        <f t="shared" si="11"/>
        <v>162</v>
      </c>
      <c r="B163" s="1071">
        <v>45897</v>
      </c>
      <c r="C163" s="1071">
        <v>45897</v>
      </c>
      <c r="G163" s="4">
        <v>70000</v>
      </c>
      <c r="I163" s="116">
        <f t="shared" si="10"/>
        <v>-70000</v>
      </c>
      <c r="J163" s="4">
        <v>24781632.469999999</v>
      </c>
      <c r="K163" s="1184" t="s">
        <v>3741</v>
      </c>
      <c r="L163" s="10" t="s">
        <v>3719</v>
      </c>
      <c r="N163" s="4" t="s">
        <v>3917</v>
      </c>
    </row>
    <row r="164" spans="1:14" ht="13.5">
      <c r="A164" s="95">
        <f t="shared" si="11"/>
        <v>163</v>
      </c>
      <c r="B164" s="1071">
        <v>45897</v>
      </c>
      <c r="C164" s="1071">
        <v>45897</v>
      </c>
      <c r="G164" s="4">
        <v>5900</v>
      </c>
      <c r="I164" s="116">
        <f t="shared" si="10"/>
        <v>-5900</v>
      </c>
      <c r="J164" s="4">
        <v>24787532.469999999</v>
      </c>
      <c r="K164" s="1184" t="s">
        <v>3742</v>
      </c>
      <c r="L164" s="10" t="s">
        <v>3720</v>
      </c>
      <c r="N164" s="4" t="s">
        <v>3917</v>
      </c>
    </row>
    <row r="165" spans="1:14" ht="13.5">
      <c r="A165" s="95">
        <f t="shared" si="11"/>
        <v>164</v>
      </c>
      <c r="B165" s="1070">
        <v>45898</v>
      </c>
      <c r="C165" s="1070">
        <v>45898</v>
      </c>
      <c r="G165" s="4">
        <v>1000000</v>
      </c>
      <c r="I165" s="116">
        <f t="shared" si="10"/>
        <v>-1000000</v>
      </c>
      <c r="J165" s="4">
        <v>25787532.469999999</v>
      </c>
      <c r="K165" s="1184" t="s">
        <v>3743</v>
      </c>
      <c r="L165" s="10" t="s">
        <v>542</v>
      </c>
      <c r="N165" s="4" t="s">
        <v>3917</v>
      </c>
    </row>
    <row r="166" spans="1:14" ht="13.5">
      <c r="A166" s="95">
        <f t="shared" si="11"/>
        <v>165</v>
      </c>
      <c r="B166" s="1068">
        <v>45899</v>
      </c>
      <c r="C166" s="1068">
        <v>45899</v>
      </c>
      <c r="G166" s="4">
        <v>5900</v>
      </c>
      <c r="I166" s="116">
        <f t="shared" si="10"/>
        <v>-5900</v>
      </c>
      <c r="J166" s="4">
        <v>25793432.469999999</v>
      </c>
      <c r="K166" s="1184" t="s">
        <v>3744</v>
      </c>
      <c r="L166" s="10" t="s">
        <v>542</v>
      </c>
      <c r="N166" s="4" t="s">
        <v>3917</v>
      </c>
    </row>
    <row r="167" spans="1:14" ht="13.5">
      <c r="A167" s="95">
        <f t="shared" si="11"/>
        <v>166</v>
      </c>
      <c r="B167" s="1068">
        <v>45899</v>
      </c>
      <c r="C167" s="1068">
        <v>45899</v>
      </c>
      <c r="G167" s="4">
        <v>10000</v>
      </c>
      <c r="I167" s="116">
        <f t="shared" si="10"/>
        <v>-10000</v>
      </c>
      <c r="J167" s="4">
        <v>25803432.469999999</v>
      </c>
      <c r="K167" s="1184" t="s">
        <v>3745</v>
      </c>
      <c r="L167" s="10" t="s">
        <v>542</v>
      </c>
      <c r="N167" s="4" t="s">
        <v>3917</v>
      </c>
    </row>
    <row r="168" spans="1:14" ht="13.5">
      <c r="A168" s="95">
        <f t="shared" si="11"/>
        <v>167</v>
      </c>
      <c r="B168" s="1068">
        <v>45899</v>
      </c>
      <c r="C168" s="1068">
        <v>45899</v>
      </c>
      <c r="H168" s="4">
        <v>3000000</v>
      </c>
      <c r="I168" s="116">
        <f t="shared" si="10"/>
        <v>3000000</v>
      </c>
      <c r="J168" s="4">
        <v>22803432.469999999</v>
      </c>
      <c r="K168" s="1184" t="s">
        <v>3746</v>
      </c>
      <c r="L168" s="10" t="s">
        <v>3718</v>
      </c>
      <c r="N168" s="4" t="s">
        <v>3917</v>
      </c>
    </row>
    <row r="169" spans="1:14" ht="13.5">
      <c r="A169" s="95">
        <f t="shared" si="11"/>
        <v>168</v>
      </c>
      <c r="B169" s="1068">
        <v>45899</v>
      </c>
      <c r="C169" s="1068">
        <v>45899</v>
      </c>
      <c r="G169" s="4">
        <v>7000000</v>
      </c>
      <c r="I169" s="116">
        <f t="shared" si="10"/>
        <v>-7000000</v>
      </c>
      <c r="J169" s="4">
        <v>-29803432.469999999</v>
      </c>
      <c r="K169" s="1184" t="s">
        <v>3747</v>
      </c>
      <c r="L169" s="10" t="s">
        <v>3722</v>
      </c>
      <c r="N169" s="4" t="s">
        <v>3917</v>
      </c>
    </row>
    <row r="170" spans="1:14" ht="13.5">
      <c r="A170" s="95">
        <f t="shared" si="11"/>
        <v>169</v>
      </c>
      <c r="B170" s="1068">
        <v>45899</v>
      </c>
      <c r="C170" s="1068">
        <v>45899</v>
      </c>
      <c r="H170" s="4">
        <v>50000000</v>
      </c>
      <c r="I170" s="116">
        <f t="shared" si="10"/>
        <v>50000000</v>
      </c>
      <c r="J170" s="4">
        <v>-20196567.530000001</v>
      </c>
      <c r="K170" s="1184" t="s">
        <v>3748</v>
      </c>
      <c r="L170" s="10" t="s">
        <v>3718</v>
      </c>
      <c r="N170" s="4" t="s">
        <v>3917</v>
      </c>
    </row>
    <row r="171" spans="1:14" ht="13.5">
      <c r="A171" s="95">
        <f t="shared" si="11"/>
        <v>170</v>
      </c>
      <c r="B171" s="1068">
        <v>45899</v>
      </c>
      <c r="C171" s="1068">
        <v>45899</v>
      </c>
      <c r="G171" s="4">
        <v>21160</v>
      </c>
      <c r="I171" s="116">
        <f t="shared" si="10"/>
        <v>-21160</v>
      </c>
      <c r="J171" s="4">
        <v>-20175407.530000001</v>
      </c>
      <c r="K171" s="1184" t="s">
        <v>3749</v>
      </c>
      <c r="L171" s="10" t="s">
        <v>542</v>
      </c>
      <c r="N171" s="4" t="s">
        <v>3917</v>
      </c>
    </row>
    <row r="172" spans="1:14" ht="13.5">
      <c r="A172" s="95">
        <f t="shared" si="11"/>
        <v>171</v>
      </c>
      <c r="B172" s="1068">
        <v>45900</v>
      </c>
      <c r="C172" s="1068">
        <v>45900</v>
      </c>
      <c r="H172" s="4">
        <v>1152590</v>
      </c>
      <c r="I172" s="116">
        <f t="shared" si="10"/>
        <v>1152590</v>
      </c>
      <c r="J172" s="4">
        <v>-21327997.530000001</v>
      </c>
      <c r="K172" s="1185" t="s">
        <v>3750</v>
      </c>
      <c r="L172" s="1186" t="s">
        <v>3721</v>
      </c>
      <c r="N172" s="4" t="s">
        <v>3916</v>
      </c>
    </row>
    <row r="173" spans="1:14" ht="13.5">
      <c r="A173" s="95">
        <f t="shared" si="11"/>
        <v>172</v>
      </c>
      <c r="B173" s="1068">
        <v>45900</v>
      </c>
      <c r="C173" s="1068">
        <v>45900</v>
      </c>
      <c r="G173" s="4">
        <v>670277</v>
      </c>
      <c r="I173" s="116">
        <f t="shared" si="10"/>
        <v>-670277</v>
      </c>
      <c r="J173" s="4">
        <v>-20657720.530000001</v>
      </c>
      <c r="K173" s="1184" t="s">
        <v>284</v>
      </c>
      <c r="L173" s="10" t="s">
        <v>3718</v>
      </c>
      <c r="N173" s="4" t="s">
        <v>3917</v>
      </c>
    </row>
    <row r="174" spans="1:14" ht="13.5">
      <c r="A174" s="95">
        <f t="shared" si="11"/>
        <v>173</v>
      </c>
      <c r="B174" s="1068">
        <v>45900</v>
      </c>
      <c r="C174" s="1068">
        <v>45900</v>
      </c>
      <c r="G174" s="4">
        <v>788812</v>
      </c>
      <c r="I174" s="116">
        <f t="shared" si="10"/>
        <v>-788812</v>
      </c>
      <c r="J174" s="4">
        <v>-19868908.530000001</v>
      </c>
      <c r="K174" s="1184" t="s">
        <v>286</v>
      </c>
      <c r="L174" s="10" t="s">
        <v>3718</v>
      </c>
      <c r="N174" s="4" t="s">
        <v>3917</v>
      </c>
    </row>
    <row r="175" spans="1:14" ht="13.5">
      <c r="A175" s="95">
        <f t="shared" si="11"/>
        <v>174</v>
      </c>
      <c r="B175" s="1078">
        <v>45900</v>
      </c>
      <c r="C175" s="1078">
        <v>45900</v>
      </c>
      <c r="G175" s="4">
        <v>670277</v>
      </c>
      <c r="I175" s="116">
        <f t="shared" si="10"/>
        <v>-670277</v>
      </c>
      <c r="J175" s="4">
        <v>-19198631.530000001</v>
      </c>
      <c r="K175" s="1187" t="s">
        <v>288</v>
      </c>
      <c r="L175" s="10" t="s">
        <v>3718</v>
      </c>
      <c r="N175" s="4" t="s">
        <v>3917</v>
      </c>
    </row>
    <row r="176" spans="1:14" ht="13.5">
      <c r="A176" s="95">
        <f t="shared" si="11"/>
        <v>175</v>
      </c>
      <c r="B176" s="1068">
        <v>45900</v>
      </c>
      <c r="C176" s="1068">
        <v>45900</v>
      </c>
      <c r="G176" s="4">
        <v>373184</v>
      </c>
      <c r="I176" s="116">
        <f t="shared" si="10"/>
        <v>-373184</v>
      </c>
      <c r="J176" s="4">
        <v>-18825447.530000001</v>
      </c>
      <c r="K176" s="1184" t="s">
        <v>290</v>
      </c>
      <c r="L176" s="1188" t="s">
        <v>3718</v>
      </c>
      <c r="N176" s="4" t="s">
        <v>3917</v>
      </c>
    </row>
    <row r="177" spans="1:14" ht="13.5">
      <c r="A177" s="95">
        <f t="shared" si="11"/>
        <v>176</v>
      </c>
      <c r="B177" s="1079">
        <v>45901</v>
      </c>
      <c r="C177" s="1079">
        <v>45901</v>
      </c>
      <c r="G177" s="4">
        <v>400000</v>
      </c>
      <c r="I177" s="116">
        <f t="shared" si="10"/>
        <v>-400000</v>
      </c>
      <c r="J177" s="4">
        <v>-18425447.530000001</v>
      </c>
      <c r="K177" s="1189" t="s">
        <v>3751</v>
      </c>
      <c r="L177" s="1188" t="s">
        <v>3722</v>
      </c>
      <c r="N177" s="4" t="s">
        <v>3917</v>
      </c>
    </row>
    <row r="178" spans="1:14" ht="13.5">
      <c r="A178" s="95">
        <f t="shared" si="11"/>
        <v>177</v>
      </c>
      <c r="B178" s="1079">
        <v>45901</v>
      </c>
      <c r="C178" s="1079">
        <v>45901</v>
      </c>
      <c r="G178" s="4">
        <v>500000</v>
      </c>
      <c r="I178" s="116">
        <f t="shared" si="10"/>
        <v>-500000</v>
      </c>
      <c r="J178" s="4">
        <v>-17925447.530000001</v>
      </c>
      <c r="K178" s="1190" t="s">
        <v>3752</v>
      </c>
      <c r="L178" s="1191" t="s">
        <v>3718</v>
      </c>
      <c r="N178" s="4" t="s">
        <v>3917</v>
      </c>
    </row>
    <row r="179" spans="1:14" ht="13.5">
      <c r="A179" s="95">
        <f t="shared" si="11"/>
        <v>178</v>
      </c>
      <c r="B179" s="1079">
        <v>45901</v>
      </c>
      <c r="C179" s="1079">
        <v>45901</v>
      </c>
      <c r="H179" s="4">
        <v>1300000</v>
      </c>
      <c r="I179" s="116">
        <f t="shared" si="10"/>
        <v>1300000</v>
      </c>
      <c r="J179" s="4">
        <v>-19225447.530000001</v>
      </c>
      <c r="K179" s="1190" t="s">
        <v>3753</v>
      </c>
      <c r="L179" s="1191" t="s">
        <v>3718</v>
      </c>
      <c r="N179" s="4" t="s">
        <v>3917</v>
      </c>
    </row>
    <row r="180" spans="1:14" ht="13.5">
      <c r="A180" s="95">
        <f t="shared" si="11"/>
        <v>179</v>
      </c>
      <c r="B180" s="1079">
        <v>45901</v>
      </c>
      <c r="C180" s="1079">
        <v>45901</v>
      </c>
      <c r="G180" s="4">
        <v>35881</v>
      </c>
      <c r="I180" s="116">
        <f t="shared" si="10"/>
        <v>-35881</v>
      </c>
      <c r="J180" s="4">
        <v>-19189566.530000001</v>
      </c>
      <c r="K180" s="1189" t="s">
        <v>3754</v>
      </c>
      <c r="L180" s="1188" t="s">
        <v>542</v>
      </c>
      <c r="N180" s="4" t="s">
        <v>3917</v>
      </c>
    </row>
    <row r="181" spans="1:14" ht="13.5">
      <c r="A181" s="95">
        <f t="shared" si="11"/>
        <v>180</v>
      </c>
      <c r="B181" s="1079">
        <v>45901</v>
      </c>
      <c r="C181" s="1079">
        <v>45901</v>
      </c>
      <c r="G181" s="4">
        <v>40698</v>
      </c>
      <c r="I181" s="116">
        <f t="shared" si="10"/>
        <v>-40698</v>
      </c>
      <c r="J181" s="4">
        <v>-19148868.530000001</v>
      </c>
      <c r="K181" s="1189" t="s">
        <v>3755</v>
      </c>
      <c r="L181" s="1188" t="s">
        <v>542</v>
      </c>
      <c r="N181" s="4" t="s">
        <v>3917</v>
      </c>
    </row>
    <row r="182" spans="1:14" ht="13.5">
      <c r="A182" s="95">
        <f t="shared" si="11"/>
        <v>181</v>
      </c>
      <c r="B182" s="1079">
        <v>45901</v>
      </c>
      <c r="C182" s="1079">
        <v>45901</v>
      </c>
      <c r="G182" s="4">
        <v>7683</v>
      </c>
      <c r="I182" s="116">
        <f t="shared" si="10"/>
        <v>-7683</v>
      </c>
      <c r="J182" s="4">
        <v>-19141185.530000001</v>
      </c>
      <c r="K182" s="1189" t="s">
        <v>3756</v>
      </c>
      <c r="L182" s="1188" t="s">
        <v>542</v>
      </c>
      <c r="N182" s="4" t="s">
        <v>3917</v>
      </c>
    </row>
    <row r="183" spans="1:14" ht="13.5">
      <c r="A183" s="95">
        <f t="shared" si="11"/>
        <v>182</v>
      </c>
      <c r="B183" s="1079">
        <v>45901</v>
      </c>
      <c r="C183" s="1079">
        <v>45901</v>
      </c>
      <c r="G183" s="4">
        <v>142230</v>
      </c>
      <c r="I183" s="116">
        <f t="shared" si="10"/>
        <v>-142230</v>
      </c>
      <c r="J183" s="4">
        <v>-18998955.530000001</v>
      </c>
      <c r="K183" s="1189" t="s">
        <v>3757</v>
      </c>
      <c r="L183" s="1188" t="s">
        <v>542</v>
      </c>
      <c r="N183" s="4" t="s">
        <v>3917</v>
      </c>
    </row>
    <row r="184" spans="1:14" ht="13.5">
      <c r="A184" s="95">
        <f t="shared" si="11"/>
        <v>183</v>
      </c>
      <c r="B184" s="1079">
        <v>45901</v>
      </c>
      <c r="C184" s="1079">
        <v>45901</v>
      </c>
      <c r="G184" s="4">
        <v>200000</v>
      </c>
      <c r="I184" s="116">
        <f t="shared" si="10"/>
        <v>-200000</v>
      </c>
      <c r="J184" s="4">
        <v>-18798955.530000001</v>
      </c>
      <c r="K184" s="1189" t="s">
        <v>3758</v>
      </c>
      <c r="L184" s="1188" t="s">
        <v>3722</v>
      </c>
      <c r="N184" s="4" t="s">
        <v>3917</v>
      </c>
    </row>
    <row r="185" spans="1:14" ht="13.5">
      <c r="A185" s="95">
        <f t="shared" si="11"/>
        <v>184</v>
      </c>
      <c r="B185" s="1079">
        <v>45901</v>
      </c>
      <c r="C185" s="1079">
        <v>45901</v>
      </c>
      <c r="G185" s="4">
        <v>308989</v>
      </c>
      <c r="I185" s="116">
        <f t="shared" si="10"/>
        <v>-308989</v>
      </c>
      <c r="J185" s="4">
        <v>-18489966.530000001</v>
      </c>
      <c r="K185" s="1189" t="s">
        <v>3759</v>
      </c>
      <c r="L185" s="1188" t="s">
        <v>542</v>
      </c>
      <c r="N185" s="4" t="s">
        <v>3917</v>
      </c>
    </row>
    <row r="186" spans="1:14" ht="13.5">
      <c r="A186" s="95">
        <f t="shared" si="11"/>
        <v>185</v>
      </c>
      <c r="B186" s="1079">
        <v>45901</v>
      </c>
      <c r="C186" s="1079">
        <v>45901</v>
      </c>
      <c r="G186" s="4">
        <v>270746</v>
      </c>
      <c r="I186" s="116">
        <f t="shared" si="10"/>
        <v>-270746</v>
      </c>
      <c r="J186" s="4">
        <v>-18219220.530000001</v>
      </c>
      <c r="K186" s="1189" t="s">
        <v>3760</v>
      </c>
      <c r="L186" s="1188" t="s">
        <v>542</v>
      </c>
      <c r="N186" s="4" t="s">
        <v>3917</v>
      </c>
    </row>
    <row r="187" spans="1:14" ht="15.75">
      <c r="A187" s="95">
        <f t="shared" si="11"/>
        <v>186</v>
      </c>
      <c r="B187" s="1080">
        <v>45902</v>
      </c>
      <c r="C187" s="1080">
        <v>45902</v>
      </c>
      <c r="G187" s="4">
        <v>1152590</v>
      </c>
      <c r="H187" s="1144">
        <v>0</v>
      </c>
      <c r="I187" s="116">
        <f t="shared" si="10"/>
        <v>-1152590</v>
      </c>
      <c r="J187" s="4">
        <v>-17066630.530000001</v>
      </c>
      <c r="K187" s="1192" t="s">
        <v>3761</v>
      </c>
      <c r="L187" s="1192" t="s">
        <v>542</v>
      </c>
      <c r="N187" s="4" t="s">
        <v>3917</v>
      </c>
    </row>
    <row r="188" spans="1:14" ht="15.75">
      <c r="A188" s="95">
        <f t="shared" si="11"/>
        <v>187</v>
      </c>
      <c r="B188" s="1080">
        <v>45902</v>
      </c>
      <c r="C188" s="1080">
        <v>45902</v>
      </c>
      <c r="G188" s="4">
        <v>11000</v>
      </c>
      <c r="H188" s="1144">
        <v>0</v>
      </c>
      <c r="I188" s="116">
        <f t="shared" si="10"/>
        <v>-11000</v>
      </c>
      <c r="J188" s="4">
        <v>-17055630.530000001</v>
      </c>
      <c r="K188" s="1192" t="s">
        <v>3762</v>
      </c>
      <c r="L188" s="1192" t="s">
        <v>542</v>
      </c>
      <c r="N188" s="4" t="s">
        <v>3917</v>
      </c>
    </row>
    <row r="189" spans="1:14" ht="16.5" thickBot="1">
      <c r="A189" s="95">
        <f t="shared" si="11"/>
        <v>188</v>
      </c>
      <c r="B189" s="1080">
        <v>45902</v>
      </c>
      <c r="C189" s="1080">
        <v>45902</v>
      </c>
      <c r="G189" s="4">
        <v>0</v>
      </c>
      <c r="H189" s="1144">
        <v>1152590</v>
      </c>
      <c r="I189" s="116">
        <f t="shared" si="10"/>
        <v>1152590</v>
      </c>
      <c r="J189" s="4">
        <v>-18208220.530000001</v>
      </c>
      <c r="K189" s="1193" t="s">
        <v>3750</v>
      </c>
      <c r="L189" s="1177" t="s">
        <v>3721</v>
      </c>
      <c r="N189" s="4" t="s">
        <v>3916</v>
      </c>
    </row>
  </sheetData>
  <autoFilter ref="A1:O189" xr:uid="{94352294-954B-421A-A359-870D47B0AB2C}"/>
  <dataValidations count="1">
    <dataValidation type="list" allowBlank="1" showInputMessage="1" showErrorMessage="1" sqref="L2:L3 L24 L22 L30:L34 L17 L11:L15 L5" xr:uid="{FC28821A-2AB9-4966-BBDC-66EC1EE84410}">
      <formula1>#REF!</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0DF16-B52F-4AD4-B26A-CDADC37A6842}">
  <dimension ref="A1:N83"/>
  <sheetViews>
    <sheetView workbookViewId="0">
      <pane ySplit="1" topLeftCell="A2" activePane="bottomLeft" state="frozen"/>
      <selection activeCell="J61" sqref="J61"/>
      <selection pane="bottomLeft" activeCell="G1" sqref="G1"/>
    </sheetView>
  </sheetViews>
  <sheetFormatPr defaultRowHeight="15.75"/>
  <cols>
    <col min="2" max="3" width="9.88671875" bestFit="1" customWidth="1"/>
    <col min="4" max="4" width="9.88671875" customWidth="1"/>
    <col min="7" max="8" width="12.21875" bestFit="1" customWidth="1"/>
    <col min="9" max="9" width="14.44140625" bestFit="1" customWidth="1"/>
    <col min="10" max="10" width="13.109375" bestFit="1" customWidth="1"/>
    <col min="11" max="11" width="12.21875" bestFit="1" customWidth="1"/>
  </cols>
  <sheetData>
    <row r="1" spans="1:14">
      <c r="A1" s="148" t="s">
        <v>897</v>
      </c>
      <c r="B1" s="148" t="s">
        <v>363</v>
      </c>
      <c r="C1" s="149" t="s">
        <v>54</v>
      </c>
      <c r="D1" s="105" t="s">
        <v>93</v>
      </c>
      <c r="E1" s="148" t="s">
        <v>364</v>
      </c>
      <c r="F1" s="148" t="s">
        <v>365</v>
      </c>
      <c r="G1" s="92" t="s">
        <v>375</v>
      </c>
      <c r="H1" s="92" t="s">
        <v>6</v>
      </c>
      <c r="I1" s="92" t="s">
        <v>993</v>
      </c>
      <c r="J1" s="150" t="s">
        <v>123</v>
      </c>
      <c r="K1" s="148" t="s">
        <v>366</v>
      </c>
      <c r="L1" s="92" t="s">
        <v>376</v>
      </c>
      <c r="M1" s="130" t="s">
        <v>7</v>
      </c>
      <c r="N1" t="s">
        <v>3915</v>
      </c>
    </row>
    <row r="2" spans="1:14">
      <c r="A2" s="52">
        <v>1</v>
      </c>
      <c r="B2" s="51">
        <f>B3-1</f>
        <v>45837</v>
      </c>
      <c r="C2" s="51">
        <f>C3-1</f>
        <v>45837</v>
      </c>
      <c r="D2" s="51"/>
      <c r="E2" s="148"/>
      <c r="F2" s="148"/>
      <c r="G2" s="151">
        <v>0</v>
      </c>
      <c r="H2" s="151">
        <v>0</v>
      </c>
      <c r="I2" s="103">
        <f>H2-G2</f>
        <v>0</v>
      </c>
      <c r="J2" s="106">
        <f>J3-H3+G3</f>
        <v>2192444</v>
      </c>
      <c r="K2" s="148"/>
      <c r="L2" s="439" t="s">
        <v>3718</v>
      </c>
      <c r="M2" s="152" t="str">
        <f>L2</f>
        <v>Intra company transfer</v>
      </c>
      <c r="N2" t="s">
        <v>3917</v>
      </c>
    </row>
    <row r="3" spans="1:14">
      <c r="A3" s="52">
        <f>A2+1</f>
        <v>2</v>
      </c>
      <c r="B3" s="104">
        <v>45838</v>
      </c>
      <c r="C3" s="104">
        <v>45838</v>
      </c>
      <c r="D3" s="52"/>
      <c r="E3" s="52"/>
      <c r="F3" s="52" t="s">
        <v>367</v>
      </c>
      <c r="G3" s="106">
        <v>0</v>
      </c>
      <c r="H3" s="106">
        <v>2400000</v>
      </c>
      <c r="I3" s="103">
        <f t="shared" ref="I3:I19" si="0">H3-G3</f>
        <v>2400000</v>
      </c>
      <c r="J3" s="106">
        <v>4592444</v>
      </c>
      <c r="K3" s="52" t="s">
        <v>368</v>
      </c>
      <c r="L3" s="439" t="s">
        <v>3718</v>
      </c>
      <c r="M3" s="152" t="s">
        <v>377</v>
      </c>
      <c r="N3" t="s">
        <v>3917</v>
      </c>
    </row>
    <row r="4" spans="1:14">
      <c r="A4" s="52">
        <f t="shared" ref="A4:A67" si="1">A3+1</f>
        <v>3</v>
      </c>
      <c r="B4" s="104">
        <v>45838</v>
      </c>
      <c r="C4" s="104">
        <v>45838</v>
      </c>
      <c r="D4" s="52"/>
      <c r="E4" s="52"/>
      <c r="F4" s="52" t="s">
        <v>369</v>
      </c>
      <c r="G4" s="106">
        <v>128082</v>
      </c>
      <c r="H4" s="106">
        <v>0</v>
      </c>
      <c r="I4" s="103">
        <f t="shared" si="0"/>
        <v>-128082</v>
      </c>
      <c r="J4" s="106">
        <v>4464362</v>
      </c>
      <c r="K4" s="52" t="s">
        <v>370</v>
      </c>
      <c r="L4" s="52" t="s">
        <v>3717</v>
      </c>
      <c r="M4" s="152" t="str">
        <f t="shared" ref="M4:M8" si="2">L4</f>
        <v>Repayment of  Loan &amp; interest</v>
      </c>
      <c r="N4" t="s">
        <v>3918</v>
      </c>
    </row>
    <row r="5" spans="1:14">
      <c r="A5" s="52">
        <f t="shared" si="1"/>
        <v>4</v>
      </c>
      <c r="B5" s="104">
        <v>45838</v>
      </c>
      <c r="C5" s="104">
        <v>45838</v>
      </c>
      <c r="D5" s="52"/>
      <c r="E5" s="52"/>
      <c r="F5" s="52" t="s">
        <v>371</v>
      </c>
      <c r="G5" s="106">
        <v>456336</v>
      </c>
      <c r="H5" s="106">
        <v>0</v>
      </c>
      <c r="I5" s="103">
        <f t="shared" si="0"/>
        <v>-456336</v>
      </c>
      <c r="J5" s="106">
        <v>4008026</v>
      </c>
      <c r="K5" s="52" t="s">
        <v>370</v>
      </c>
      <c r="L5" s="52" t="s">
        <v>3717</v>
      </c>
      <c r="M5" s="152" t="str">
        <f t="shared" si="2"/>
        <v>Repayment of  Loan &amp; interest</v>
      </c>
      <c r="N5" t="s">
        <v>3918</v>
      </c>
    </row>
    <row r="6" spans="1:14">
      <c r="A6" s="52">
        <f t="shared" si="1"/>
        <v>5</v>
      </c>
      <c r="B6" s="104">
        <v>45838</v>
      </c>
      <c r="C6" s="104">
        <v>45838</v>
      </c>
      <c r="D6" s="52"/>
      <c r="E6" s="52"/>
      <c r="F6" s="52" t="s">
        <v>372</v>
      </c>
      <c r="G6" s="106">
        <v>232877</v>
      </c>
      <c r="H6" s="106">
        <v>0</v>
      </c>
      <c r="I6" s="103">
        <f t="shared" si="0"/>
        <v>-232877</v>
      </c>
      <c r="J6" s="106">
        <v>3775149</v>
      </c>
      <c r="K6" s="52" t="s">
        <v>370</v>
      </c>
      <c r="L6" s="52" t="s">
        <v>3717</v>
      </c>
      <c r="M6" s="152" t="str">
        <f t="shared" si="2"/>
        <v>Repayment of  Loan &amp; interest</v>
      </c>
      <c r="N6" t="s">
        <v>3918</v>
      </c>
    </row>
    <row r="7" spans="1:14">
      <c r="A7" s="52">
        <f t="shared" si="1"/>
        <v>6</v>
      </c>
      <c r="B7" s="104">
        <v>45838</v>
      </c>
      <c r="C7" s="104">
        <v>45838</v>
      </c>
      <c r="D7" s="52"/>
      <c r="E7" s="52"/>
      <c r="F7" s="52" t="s">
        <v>373</v>
      </c>
      <c r="G7" s="106">
        <v>1052055</v>
      </c>
      <c r="H7" s="106">
        <v>0</v>
      </c>
      <c r="I7" s="103">
        <f t="shared" si="0"/>
        <v>-1052055</v>
      </c>
      <c r="J7" s="106">
        <v>2723094</v>
      </c>
      <c r="K7" s="52" t="s">
        <v>370</v>
      </c>
      <c r="L7" s="52" t="s">
        <v>3717</v>
      </c>
      <c r="M7" s="152" t="str">
        <f t="shared" si="2"/>
        <v>Repayment of  Loan &amp; interest</v>
      </c>
      <c r="N7" t="s">
        <v>3918</v>
      </c>
    </row>
    <row r="8" spans="1:14">
      <c r="A8" s="52">
        <f t="shared" si="1"/>
        <v>7</v>
      </c>
      <c r="B8" s="104">
        <v>45838</v>
      </c>
      <c r="C8" s="104">
        <v>45838</v>
      </c>
      <c r="D8" s="52"/>
      <c r="E8" s="52"/>
      <c r="F8" s="52" t="s">
        <v>374</v>
      </c>
      <c r="G8" s="106">
        <v>236610</v>
      </c>
      <c r="H8" s="106">
        <v>0</v>
      </c>
      <c r="I8" s="103">
        <f t="shared" si="0"/>
        <v>-236610</v>
      </c>
      <c r="J8" s="106">
        <v>2486484</v>
      </c>
      <c r="K8" s="52" t="s">
        <v>370</v>
      </c>
      <c r="L8" s="52" t="s">
        <v>3717</v>
      </c>
      <c r="M8" s="152" t="str">
        <f t="shared" si="2"/>
        <v>Repayment of  Loan &amp; interest</v>
      </c>
      <c r="N8" t="s">
        <v>3918</v>
      </c>
    </row>
    <row r="9" spans="1:14">
      <c r="A9" s="52">
        <f t="shared" si="1"/>
        <v>8</v>
      </c>
      <c r="B9" s="104">
        <v>45839</v>
      </c>
      <c r="C9" s="104">
        <v>45839</v>
      </c>
      <c r="D9" s="104"/>
      <c r="E9" s="52"/>
      <c r="F9" s="52"/>
      <c r="G9" s="52">
        <v>0</v>
      </c>
      <c r="H9" s="52">
        <v>0</v>
      </c>
      <c r="I9" s="103">
        <f t="shared" si="0"/>
        <v>0</v>
      </c>
      <c r="J9" s="106">
        <v>2486484</v>
      </c>
      <c r="K9" s="52"/>
      <c r="L9" s="130" t="s">
        <v>3717</v>
      </c>
      <c r="M9" s="130" t="s">
        <v>542</v>
      </c>
      <c r="N9" t="s">
        <v>3918</v>
      </c>
    </row>
    <row r="10" spans="1:14">
      <c r="A10" s="52">
        <f t="shared" si="1"/>
        <v>9</v>
      </c>
      <c r="B10" s="104">
        <v>45840</v>
      </c>
      <c r="C10" s="104">
        <v>45840</v>
      </c>
      <c r="D10" s="104"/>
      <c r="E10" s="52"/>
      <c r="F10" s="52"/>
      <c r="G10" s="52">
        <v>0</v>
      </c>
      <c r="H10" s="52">
        <v>0</v>
      </c>
      <c r="I10" s="103">
        <f t="shared" si="0"/>
        <v>0</v>
      </c>
      <c r="J10" s="106">
        <v>2486484</v>
      </c>
      <c r="K10" s="52"/>
      <c r="L10" s="52" t="s">
        <v>3717</v>
      </c>
      <c r="M10" s="130" t="s">
        <v>542</v>
      </c>
      <c r="N10" t="s">
        <v>3918</v>
      </c>
    </row>
    <row r="11" spans="1:14">
      <c r="A11" s="52">
        <f t="shared" si="1"/>
        <v>10</v>
      </c>
      <c r="B11" s="104">
        <v>45841</v>
      </c>
      <c r="C11" s="104">
        <v>45841</v>
      </c>
      <c r="D11" s="104"/>
      <c r="E11" s="52"/>
      <c r="F11" s="52"/>
      <c r="G11" s="52">
        <v>0</v>
      </c>
      <c r="H11" s="52">
        <v>0</v>
      </c>
      <c r="I11" s="103">
        <f t="shared" si="0"/>
        <v>0</v>
      </c>
      <c r="J11" s="106">
        <v>2486484</v>
      </c>
      <c r="K11" s="52"/>
      <c r="L11" s="52" t="s">
        <v>3717</v>
      </c>
      <c r="M11" s="130" t="s">
        <v>542</v>
      </c>
      <c r="N11" t="s">
        <v>3918</v>
      </c>
    </row>
    <row r="12" spans="1:14">
      <c r="A12" s="52">
        <f t="shared" si="1"/>
        <v>11</v>
      </c>
      <c r="B12" s="104">
        <v>45842</v>
      </c>
      <c r="C12" s="104">
        <v>45842</v>
      </c>
      <c r="D12" s="104"/>
      <c r="E12" s="52"/>
      <c r="F12" s="52"/>
      <c r="G12" s="52">
        <v>0</v>
      </c>
      <c r="H12" s="52">
        <v>0</v>
      </c>
      <c r="I12" s="103">
        <f t="shared" si="0"/>
        <v>0</v>
      </c>
      <c r="J12" s="106">
        <v>2486484</v>
      </c>
      <c r="K12" s="52"/>
      <c r="L12" s="52" t="s">
        <v>3717</v>
      </c>
      <c r="M12" s="130" t="s">
        <v>542</v>
      </c>
      <c r="N12" t="s">
        <v>3918</v>
      </c>
    </row>
    <row r="13" spans="1:14">
      <c r="A13" s="52">
        <f t="shared" si="1"/>
        <v>12</v>
      </c>
      <c r="B13" s="104">
        <f t="shared" ref="B13:C26" si="3">B12+1</f>
        <v>45843</v>
      </c>
      <c r="C13" s="104">
        <f t="shared" si="3"/>
        <v>45843</v>
      </c>
      <c r="D13" s="104"/>
      <c r="E13" s="52"/>
      <c r="F13" s="52"/>
      <c r="G13" s="52">
        <v>0</v>
      </c>
      <c r="H13" s="52">
        <v>0</v>
      </c>
      <c r="I13" s="103">
        <f t="shared" si="0"/>
        <v>0</v>
      </c>
      <c r="J13" s="106">
        <v>2486484</v>
      </c>
      <c r="K13" s="52"/>
      <c r="L13" s="52" t="s">
        <v>3717</v>
      </c>
      <c r="M13" s="130" t="s">
        <v>542</v>
      </c>
      <c r="N13" t="s">
        <v>3918</v>
      </c>
    </row>
    <row r="14" spans="1:14">
      <c r="A14" s="52">
        <f t="shared" si="1"/>
        <v>13</v>
      </c>
      <c r="B14" s="104">
        <f t="shared" si="3"/>
        <v>45844</v>
      </c>
      <c r="C14" s="104">
        <f t="shared" si="3"/>
        <v>45844</v>
      </c>
      <c r="D14" s="104"/>
      <c r="E14" s="52"/>
      <c r="F14" s="52"/>
      <c r="G14" s="52">
        <v>0</v>
      </c>
      <c r="H14" s="52">
        <v>0</v>
      </c>
      <c r="I14" s="103">
        <f t="shared" si="0"/>
        <v>0</v>
      </c>
      <c r="J14" s="106">
        <v>2486484</v>
      </c>
      <c r="K14" s="52"/>
      <c r="L14" s="52" t="s">
        <v>3717</v>
      </c>
      <c r="M14" s="130" t="s">
        <v>542</v>
      </c>
      <c r="N14" t="s">
        <v>3918</v>
      </c>
    </row>
    <row r="15" spans="1:14">
      <c r="A15" s="52">
        <f t="shared" si="1"/>
        <v>14</v>
      </c>
      <c r="B15" s="104">
        <f t="shared" si="3"/>
        <v>45845</v>
      </c>
      <c r="C15" s="104">
        <f t="shared" si="3"/>
        <v>45845</v>
      </c>
      <c r="D15" s="104"/>
      <c r="E15" s="52"/>
      <c r="F15" s="52"/>
      <c r="G15" s="52">
        <v>0</v>
      </c>
      <c r="H15" s="52">
        <v>0</v>
      </c>
      <c r="I15" s="103">
        <f t="shared" si="0"/>
        <v>0</v>
      </c>
      <c r="J15" s="106">
        <v>2486484</v>
      </c>
      <c r="K15" s="52"/>
      <c r="L15" s="52" t="s">
        <v>3717</v>
      </c>
      <c r="M15" s="130" t="s">
        <v>542</v>
      </c>
      <c r="N15" t="s">
        <v>3918</v>
      </c>
    </row>
    <row r="16" spans="1:14">
      <c r="A16" s="52">
        <f t="shared" si="1"/>
        <v>15</v>
      </c>
      <c r="B16" s="104">
        <f t="shared" si="3"/>
        <v>45846</v>
      </c>
      <c r="C16" s="104">
        <f t="shared" si="3"/>
        <v>45846</v>
      </c>
      <c r="D16" s="104"/>
      <c r="E16" s="52"/>
      <c r="F16" s="52"/>
      <c r="G16" s="52">
        <v>0</v>
      </c>
      <c r="H16" s="52">
        <v>0</v>
      </c>
      <c r="I16" s="103">
        <f t="shared" si="0"/>
        <v>0</v>
      </c>
      <c r="J16" s="106">
        <v>2486484</v>
      </c>
      <c r="K16" s="52"/>
      <c r="L16" s="52" t="s">
        <v>3717</v>
      </c>
      <c r="M16" s="130" t="s">
        <v>542</v>
      </c>
      <c r="N16" t="s">
        <v>3918</v>
      </c>
    </row>
    <row r="17" spans="1:14">
      <c r="A17" s="52">
        <f t="shared" si="1"/>
        <v>16</v>
      </c>
      <c r="B17" s="104">
        <f t="shared" si="3"/>
        <v>45847</v>
      </c>
      <c r="C17" s="104">
        <f>C16+1</f>
        <v>45847</v>
      </c>
      <c r="D17" s="104"/>
      <c r="E17" s="52"/>
      <c r="F17" s="52"/>
      <c r="G17" s="52">
        <v>0</v>
      </c>
      <c r="H17" s="52">
        <v>0</v>
      </c>
      <c r="I17" s="103">
        <f t="shared" si="0"/>
        <v>0</v>
      </c>
      <c r="J17" s="106">
        <v>2486484</v>
      </c>
      <c r="K17" s="52"/>
      <c r="L17" s="52" t="s">
        <v>3717</v>
      </c>
      <c r="M17" s="130" t="s">
        <v>542</v>
      </c>
      <c r="N17" t="s">
        <v>3918</v>
      </c>
    </row>
    <row r="18" spans="1:14">
      <c r="A18" s="52">
        <f t="shared" si="1"/>
        <v>17</v>
      </c>
      <c r="B18" s="104">
        <f t="shared" si="3"/>
        <v>45848</v>
      </c>
      <c r="C18" s="104">
        <f>C17+1</f>
        <v>45848</v>
      </c>
      <c r="D18" s="104"/>
      <c r="E18" s="52"/>
      <c r="F18" s="52"/>
      <c r="G18" s="52">
        <v>0</v>
      </c>
      <c r="H18" s="52">
        <v>0</v>
      </c>
      <c r="I18" s="103">
        <f t="shared" si="0"/>
        <v>0</v>
      </c>
      <c r="J18" s="106">
        <v>2486484</v>
      </c>
      <c r="K18" s="52"/>
      <c r="L18" s="52" t="s">
        <v>3717</v>
      </c>
      <c r="M18" s="130" t="s">
        <v>542</v>
      </c>
      <c r="N18" t="s">
        <v>3918</v>
      </c>
    </row>
    <row r="19" spans="1:14">
      <c r="A19" s="52">
        <f t="shared" si="1"/>
        <v>18</v>
      </c>
      <c r="B19" s="104">
        <f t="shared" si="3"/>
        <v>45849</v>
      </c>
      <c r="C19" s="104">
        <f>C18+1</f>
        <v>45849</v>
      </c>
      <c r="D19" s="104"/>
      <c r="E19" s="52"/>
      <c r="F19" s="52"/>
      <c r="G19" s="52">
        <v>0</v>
      </c>
      <c r="H19" s="52">
        <v>0</v>
      </c>
      <c r="I19" s="103">
        <f t="shared" si="0"/>
        <v>0</v>
      </c>
      <c r="J19" s="106">
        <v>2486484</v>
      </c>
      <c r="K19" s="52"/>
      <c r="L19" s="52" t="s">
        <v>3717</v>
      </c>
      <c r="M19" s="130" t="s">
        <v>542</v>
      </c>
      <c r="N19" t="s">
        <v>3918</v>
      </c>
    </row>
    <row r="20" spans="1:14">
      <c r="A20" s="52">
        <f t="shared" si="1"/>
        <v>19</v>
      </c>
      <c r="B20" s="104">
        <f t="shared" si="3"/>
        <v>45850</v>
      </c>
      <c r="C20" s="104">
        <f t="shared" si="3"/>
        <v>45850</v>
      </c>
      <c r="D20" s="52"/>
      <c r="E20" s="52"/>
      <c r="F20" s="52"/>
      <c r="G20" s="52">
        <v>0</v>
      </c>
      <c r="H20" s="52">
        <v>0</v>
      </c>
      <c r="I20" s="103">
        <f t="shared" ref="I20:J83" si="4">H20-G20</f>
        <v>0</v>
      </c>
      <c r="J20" s="106">
        <v>2486484</v>
      </c>
      <c r="K20" s="52"/>
      <c r="L20" s="52" t="s">
        <v>3717</v>
      </c>
      <c r="M20" s="130" t="s">
        <v>542</v>
      </c>
      <c r="N20" t="s">
        <v>3918</v>
      </c>
    </row>
    <row r="21" spans="1:14">
      <c r="A21" s="52">
        <f t="shared" si="1"/>
        <v>20</v>
      </c>
      <c r="B21" s="104">
        <f t="shared" si="3"/>
        <v>45851</v>
      </c>
      <c r="C21" s="104">
        <f t="shared" si="3"/>
        <v>45851</v>
      </c>
      <c r="D21" s="52"/>
      <c r="E21" s="52"/>
      <c r="F21" s="52"/>
      <c r="G21" s="52">
        <v>0</v>
      </c>
      <c r="H21" s="52">
        <v>0</v>
      </c>
      <c r="I21" s="103">
        <f t="shared" si="4"/>
        <v>0</v>
      </c>
      <c r="J21" s="106">
        <v>2486484</v>
      </c>
      <c r="K21" s="52"/>
      <c r="L21" s="52" t="s">
        <v>3717</v>
      </c>
      <c r="M21" s="130" t="s">
        <v>542</v>
      </c>
      <c r="N21" t="s">
        <v>3918</v>
      </c>
    </row>
    <row r="22" spans="1:14">
      <c r="A22" s="52">
        <f t="shared" si="1"/>
        <v>21</v>
      </c>
      <c r="B22" s="104">
        <f t="shared" si="3"/>
        <v>45852</v>
      </c>
      <c r="C22" s="104">
        <f t="shared" si="3"/>
        <v>45852</v>
      </c>
      <c r="D22" s="52"/>
      <c r="E22" s="52"/>
      <c r="F22" s="52"/>
      <c r="G22" s="52">
        <v>0</v>
      </c>
      <c r="H22" s="52">
        <v>0</v>
      </c>
      <c r="I22" s="103">
        <f t="shared" si="4"/>
        <v>0</v>
      </c>
      <c r="J22" s="106">
        <v>2486484</v>
      </c>
      <c r="K22" s="52"/>
      <c r="L22" s="52" t="s">
        <v>3717</v>
      </c>
      <c r="M22" s="130" t="s">
        <v>542</v>
      </c>
      <c r="N22" t="s">
        <v>3918</v>
      </c>
    </row>
    <row r="23" spans="1:14">
      <c r="A23" s="52">
        <f t="shared" si="1"/>
        <v>22</v>
      </c>
      <c r="B23" s="104">
        <f t="shared" si="3"/>
        <v>45853</v>
      </c>
      <c r="C23" s="104">
        <f t="shared" si="3"/>
        <v>45853</v>
      </c>
      <c r="D23" s="52"/>
      <c r="E23" s="52"/>
      <c r="F23" s="52"/>
      <c r="G23" s="52">
        <v>0</v>
      </c>
      <c r="H23" s="52">
        <v>0</v>
      </c>
      <c r="I23" s="103">
        <f t="shared" si="4"/>
        <v>0</v>
      </c>
      <c r="J23" s="106">
        <v>2486484</v>
      </c>
      <c r="K23" s="52"/>
      <c r="L23" s="52" t="s">
        <v>3717</v>
      </c>
      <c r="M23" s="130" t="s">
        <v>542</v>
      </c>
      <c r="N23" t="s">
        <v>3918</v>
      </c>
    </row>
    <row r="24" spans="1:14">
      <c r="A24" s="52">
        <f t="shared" si="1"/>
        <v>23</v>
      </c>
      <c r="B24" s="104">
        <f t="shared" si="3"/>
        <v>45854</v>
      </c>
      <c r="C24" s="104">
        <f t="shared" si="3"/>
        <v>45854</v>
      </c>
      <c r="D24" s="52"/>
      <c r="E24" s="52"/>
      <c r="F24" s="52"/>
      <c r="G24" s="52">
        <v>0</v>
      </c>
      <c r="H24" s="52">
        <v>0</v>
      </c>
      <c r="I24" s="103">
        <f t="shared" si="4"/>
        <v>0</v>
      </c>
      <c r="J24" s="106">
        <v>2486484</v>
      </c>
      <c r="K24" s="52"/>
      <c r="L24" s="52" t="s">
        <v>3717</v>
      </c>
      <c r="M24" s="130" t="s">
        <v>542</v>
      </c>
      <c r="N24" t="s">
        <v>3918</v>
      </c>
    </row>
    <row r="25" spans="1:14">
      <c r="A25" s="52">
        <f t="shared" si="1"/>
        <v>24</v>
      </c>
      <c r="B25" s="104">
        <f t="shared" si="3"/>
        <v>45855</v>
      </c>
      <c r="C25" s="104">
        <f t="shared" si="3"/>
        <v>45855</v>
      </c>
      <c r="D25" s="52"/>
      <c r="E25" s="52"/>
      <c r="F25" s="52"/>
      <c r="G25" s="52">
        <v>0</v>
      </c>
      <c r="H25" s="52">
        <v>0</v>
      </c>
      <c r="I25" s="103">
        <f t="shared" si="4"/>
        <v>0</v>
      </c>
      <c r="J25" s="106">
        <v>2486484</v>
      </c>
      <c r="K25" s="52"/>
      <c r="L25" s="52" t="s">
        <v>3717</v>
      </c>
      <c r="M25" s="130" t="s">
        <v>542</v>
      </c>
      <c r="N25" t="s">
        <v>3918</v>
      </c>
    </row>
    <row r="26" spans="1:14">
      <c r="A26" s="52">
        <f t="shared" si="1"/>
        <v>25</v>
      </c>
      <c r="B26" s="104">
        <f t="shared" si="3"/>
        <v>45856</v>
      </c>
      <c r="C26" s="104">
        <f t="shared" si="3"/>
        <v>45856</v>
      </c>
      <c r="D26" s="52"/>
      <c r="E26" s="52"/>
      <c r="F26" s="52"/>
      <c r="G26" s="52">
        <v>0</v>
      </c>
      <c r="H26" s="52">
        <v>0</v>
      </c>
      <c r="I26" s="103">
        <f t="shared" si="4"/>
        <v>0</v>
      </c>
      <c r="J26" s="106">
        <v>2486484</v>
      </c>
      <c r="K26" s="52"/>
      <c r="L26" s="52" t="s">
        <v>3717</v>
      </c>
      <c r="M26" s="130" t="s">
        <v>542</v>
      </c>
      <c r="N26" t="s">
        <v>3918</v>
      </c>
    </row>
    <row r="27" spans="1:14">
      <c r="A27" s="52">
        <f t="shared" si="1"/>
        <v>26</v>
      </c>
      <c r="B27" s="104">
        <f t="shared" ref="B27:C29" si="5">B26+1</f>
        <v>45857</v>
      </c>
      <c r="C27" s="104">
        <f t="shared" si="5"/>
        <v>45857</v>
      </c>
      <c r="D27" s="52"/>
      <c r="E27" s="52"/>
      <c r="F27" s="52"/>
      <c r="G27" s="52"/>
      <c r="H27" s="52"/>
      <c r="I27" s="103">
        <f t="shared" si="4"/>
        <v>0</v>
      </c>
      <c r="J27" s="106">
        <v>2486484</v>
      </c>
      <c r="K27" s="52"/>
      <c r="L27" s="52" t="s">
        <v>3717</v>
      </c>
      <c r="M27" s="130" t="s">
        <v>542</v>
      </c>
      <c r="N27" t="s">
        <v>3918</v>
      </c>
    </row>
    <row r="28" spans="1:14">
      <c r="A28" s="52">
        <f t="shared" si="1"/>
        <v>27</v>
      </c>
      <c r="B28" s="104">
        <f t="shared" si="5"/>
        <v>45858</v>
      </c>
      <c r="C28" s="104">
        <f t="shared" si="5"/>
        <v>45858</v>
      </c>
      <c r="D28" s="52"/>
      <c r="E28" s="52"/>
      <c r="F28" s="52"/>
      <c r="G28" s="52"/>
      <c r="H28" s="52"/>
      <c r="I28" s="103">
        <f t="shared" si="4"/>
        <v>0</v>
      </c>
      <c r="J28" s="106">
        <v>2486484</v>
      </c>
      <c r="K28" s="52"/>
      <c r="L28" s="52" t="s">
        <v>3717</v>
      </c>
      <c r="M28" s="130" t="s">
        <v>542</v>
      </c>
      <c r="N28" t="s">
        <v>3918</v>
      </c>
    </row>
    <row r="29" spans="1:14">
      <c r="A29" s="52">
        <f t="shared" si="1"/>
        <v>28</v>
      </c>
      <c r="B29" s="104">
        <f t="shared" si="5"/>
        <v>45859</v>
      </c>
      <c r="C29" s="104">
        <f t="shared" si="5"/>
        <v>45859</v>
      </c>
      <c r="D29" s="52"/>
      <c r="E29" s="52"/>
      <c r="F29" s="52"/>
      <c r="G29" s="52"/>
      <c r="H29" s="52"/>
      <c r="I29" s="103">
        <f t="shared" si="4"/>
        <v>0</v>
      </c>
      <c r="J29" s="106">
        <v>2486484</v>
      </c>
      <c r="K29" s="52"/>
      <c r="L29" s="52" t="s">
        <v>3717</v>
      </c>
      <c r="M29" s="130" t="s">
        <v>542</v>
      </c>
      <c r="N29" t="s">
        <v>3918</v>
      </c>
    </row>
    <row r="30" spans="1:14">
      <c r="A30" s="52">
        <f t="shared" si="1"/>
        <v>29</v>
      </c>
      <c r="B30" s="104">
        <f t="shared" ref="B30:C33" si="6">B29+1</f>
        <v>45860</v>
      </c>
      <c r="C30" s="104">
        <f t="shared" si="6"/>
        <v>45860</v>
      </c>
      <c r="D30" s="52"/>
      <c r="E30" s="52"/>
      <c r="F30" s="52"/>
      <c r="G30" s="52"/>
      <c r="H30" s="52"/>
      <c r="I30" s="103">
        <f t="shared" si="4"/>
        <v>0</v>
      </c>
      <c r="J30" s="106">
        <v>2486484</v>
      </c>
      <c r="K30" s="52"/>
      <c r="L30" s="52" t="s">
        <v>3717</v>
      </c>
      <c r="M30" s="130" t="s">
        <v>542</v>
      </c>
      <c r="N30" t="s">
        <v>3918</v>
      </c>
    </row>
    <row r="31" spans="1:14">
      <c r="A31" s="52">
        <f t="shared" si="1"/>
        <v>30</v>
      </c>
      <c r="B31" s="104">
        <f t="shared" si="6"/>
        <v>45861</v>
      </c>
      <c r="C31" s="104">
        <f t="shared" si="6"/>
        <v>45861</v>
      </c>
      <c r="D31" s="52"/>
      <c r="E31" s="52"/>
      <c r="F31" s="52"/>
      <c r="G31" s="52"/>
      <c r="H31" s="52"/>
      <c r="I31" s="103">
        <f t="shared" si="4"/>
        <v>0</v>
      </c>
      <c r="J31" s="106">
        <v>2486484</v>
      </c>
      <c r="K31" s="52"/>
      <c r="L31" s="52" t="s">
        <v>3717</v>
      </c>
      <c r="M31" s="130" t="s">
        <v>542</v>
      </c>
      <c r="N31" t="s">
        <v>3918</v>
      </c>
    </row>
    <row r="32" spans="1:14">
      <c r="A32" s="52">
        <f t="shared" si="1"/>
        <v>31</v>
      </c>
      <c r="B32" s="104">
        <f t="shared" si="6"/>
        <v>45862</v>
      </c>
      <c r="C32" s="440">
        <f t="shared" si="6"/>
        <v>45862</v>
      </c>
      <c r="D32" s="52"/>
      <c r="E32" s="52"/>
      <c r="F32" s="439"/>
      <c r="G32" s="1097">
        <v>0</v>
      </c>
      <c r="H32" s="1097">
        <v>0</v>
      </c>
      <c r="I32" s="103">
        <f t="shared" si="4"/>
        <v>0</v>
      </c>
      <c r="J32" s="1098">
        <v>2486484</v>
      </c>
      <c r="K32" s="52"/>
      <c r="L32" s="439" t="s">
        <v>3717</v>
      </c>
      <c r="M32" s="130" t="s">
        <v>542</v>
      </c>
      <c r="N32" t="s">
        <v>3918</v>
      </c>
    </row>
    <row r="33" spans="1:14">
      <c r="A33" s="52">
        <f t="shared" si="1"/>
        <v>32</v>
      </c>
      <c r="B33" s="104"/>
      <c r="C33" s="440">
        <f t="shared" si="6"/>
        <v>45863</v>
      </c>
      <c r="D33" s="52"/>
      <c r="E33" s="52"/>
      <c r="F33" s="439"/>
      <c r="G33" s="1097">
        <v>0</v>
      </c>
      <c r="H33" s="1097">
        <v>0</v>
      </c>
      <c r="I33" s="103">
        <f t="shared" si="4"/>
        <v>0</v>
      </c>
      <c r="J33" s="1098">
        <v>2486484</v>
      </c>
      <c r="K33" s="52"/>
      <c r="L33" s="439" t="s">
        <v>3717</v>
      </c>
      <c r="M33" s="130"/>
      <c r="N33" t="s">
        <v>3918</v>
      </c>
    </row>
    <row r="34" spans="1:14">
      <c r="A34" s="52">
        <f t="shared" si="1"/>
        <v>33</v>
      </c>
      <c r="B34" s="52"/>
      <c r="C34" s="440">
        <f>C33+1</f>
        <v>45864</v>
      </c>
      <c r="D34" s="52"/>
      <c r="E34" s="52"/>
      <c r="F34" s="439"/>
      <c r="G34" s="1097">
        <v>0</v>
      </c>
      <c r="H34" s="1097">
        <v>0</v>
      </c>
      <c r="I34" s="103">
        <f t="shared" si="4"/>
        <v>0</v>
      </c>
      <c r="J34" s="1099">
        <f>J33+1</f>
        <v>2486485</v>
      </c>
      <c r="K34" s="52"/>
      <c r="L34" s="1101" t="s">
        <v>542</v>
      </c>
      <c r="M34" s="52"/>
      <c r="N34" t="s">
        <v>3917</v>
      </c>
    </row>
    <row r="35" spans="1:14">
      <c r="A35" s="52">
        <f t="shared" si="1"/>
        <v>34</v>
      </c>
      <c r="B35" s="52"/>
      <c r="C35" s="440">
        <f>C34+1</f>
        <v>45865</v>
      </c>
      <c r="D35" s="52"/>
      <c r="E35" s="52"/>
      <c r="F35" s="439"/>
      <c r="G35" s="1097">
        <v>0</v>
      </c>
      <c r="H35" s="1097">
        <v>0</v>
      </c>
      <c r="I35" s="103">
        <f t="shared" si="4"/>
        <v>0</v>
      </c>
      <c r="J35" s="1099">
        <f t="shared" ref="J35:J36" si="7">J34+1</f>
        <v>2486486</v>
      </c>
      <c r="K35" s="52"/>
      <c r="L35" s="1101" t="s">
        <v>542</v>
      </c>
      <c r="M35" s="52"/>
      <c r="N35" t="s">
        <v>3917</v>
      </c>
    </row>
    <row r="36" spans="1:14">
      <c r="A36" s="52">
        <f t="shared" si="1"/>
        <v>35</v>
      </c>
      <c r="B36" s="52"/>
      <c r="C36" s="440">
        <f>C35+1</f>
        <v>45866</v>
      </c>
      <c r="D36" s="52"/>
      <c r="E36" s="52"/>
      <c r="F36" s="439"/>
      <c r="G36" s="1097">
        <v>0</v>
      </c>
      <c r="H36" s="1097">
        <v>0</v>
      </c>
      <c r="I36" s="103">
        <f t="shared" si="4"/>
        <v>0</v>
      </c>
      <c r="J36" s="1099">
        <f t="shared" si="7"/>
        <v>2486487</v>
      </c>
      <c r="K36" s="52"/>
      <c r="L36" s="1101" t="s">
        <v>542</v>
      </c>
      <c r="M36" s="52"/>
      <c r="N36" t="s">
        <v>3917</v>
      </c>
    </row>
    <row r="37" spans="1:14">
      <c r="A37" s="52">
        <f t="shared" si="1"/>
        <v>36</v>
      </c>
      <c r="B37" s="52"/>
      <c r="C37" s="440">
        <f>C36+1</f>
        <v>45867</v>
      </c>
      <c r="D37" s="52"/>
      <c r="E37" s="52"/>
      <c r="F37" s="439"/>
      <c r="G37" s="1097">
        <v>0</v>
      </c>
      <c r="H37" s="1097">
        <v>0</v>
      </c>
      <c r="I37" s="103">
        <f t="shared" si="4"/>
        <v>0</v>
      </c>
      <c r="J37" s="1099">
        <f>J36</f>
        <v>2486487</v>
      </c>
      <c r="K37" s="52"/>
      <c r="L37" s="1101" t="s">
        <v>542</v>
      </c>
      <c r="M37" s="52"/>
      <c r="N37" t="s">
        <v>3917</v>
      </c>
    </row>
    <row r="38" spans="1:14">
      <c r="A38" s="52">
        <f t="shared" si="1"/>
        <v>37</v>
      </c>
      <c r="B38" s="52"/>
      <c r="C38" s="440">
        <f>C37+1</f>
        <v>45868</v>
      </c>
      <c r="D38" s="52"/>
      <c r="E38" s="52"/>
      <c r="F38" s="439"/>
      <c r="G38" s="1097">
        <v>0</v>
      </c>
      <c r="H38" s="1097">
        <v>0</v>
      </c>
      <c r="I38" s="103">
        <f t="shared" si="4"/>
        <v>0</v>
      </c>
      <c r="J38" s="1099">
        <f>J37</f>
        <v>2486487</v>
      </c>
      <c r="K38" s="52"/>
      <c r="L38" s="1101" t="s">
        <v>542</v>
      </c>
      <c r="M38" s="52"/>
      <c r="N38" t="s">
        <v>3917</v>
      </c>
    </row>
    <row r="39" spans="1:14">
      <c r="A39" s="52">
        <f t="shared" si="1"/>
        <v>38</v>
      </c>
      <c r="B39" s="52"/>
      <c r="C39" s="440">
        <v>45869</v>
      </c>
      <c r="D39" s="52"/>
      <c r="E39" s="52"/>
      <c r="F39" s="439" t="s">
        <v>3305</v>
      </c>
      <c r="G39" s="20">
        <v>0</v>
      </c>
      <c r="H39" s="1097">
        <v>2900000</v>
      </c>
      <c r="I39" s="103">
        <f t="shared" si="4"/>
        <v>2900000</v>
      </c>
      <c r="J39" s="1100">
        <v>5385711</v>
      </c>
      <c r="K39" s="52"/>
      <c r="L39" s="439" t="s">
        <v>3718</v>
      </c>
      <c r="M39" s="52"/>
      <c r="N39" t="s">
        <v>3917</v>
      </c>
    </row>
    <row r="40" spans="1:14">
      <c r="A40" s="52">
        <f t="shared" si="1"/>
        <v>39</v>
      </c>
      <c r="B40" s="52"/>
      <c r="C40" s="440">
        <v>45869</v>
      </c>
      <c r="D40" s="52"/>
      <c r="E40" s="52"/>
      <c r="F40" s="439" t="s">
        <v>372</v>
      </c>
      <c r="G40" s="1097">
        <v>721918</v>
      </c>
      <c r="H40" s="1097">
        <v>0</v>
      </c>
      <c r="I40" s="103">
        <f t="shared" si="4"/>
        <v>-721918</v>
      </c>
      <c r="J40" s="1100">
        <v>4663793</v>
      </c>
      <c r="K40" s="52"/>
      <c r="L40" s="439" t="s">
        <v>3717</v>
      </c>
      <c r="M40" s="52"/>
      <c r="N40" t="s">
        <v>3918</v>
      </c>
    </row>
    <row r="41" spans="1:14">
      <c r="A41" s="52">
        <f t="shared" si="1"/>
        <v>40</v>
      </c>
      <c r="B41" s="52"/>
      <c r="C41" s="440">
        <v>45869</v>
      </c>
      <c r="D41" s="52"/>
      <c r="E41" s="52"/>
      <c r="F41" s="439" t="s">
        <v>369</v>
      </c>
      <c r="G41" s="1097">
        <v>360959</v>
      </c>
      <c r="H41" s="1097">
        <v>0</v>
      </c>
      <c r="I41" s="103">
        <f t="shared" si="4"/>
        <v>-360959</v>
      </c>
      <c r="J41" s="1100">
        <v>4302834</v>
      </c>
      <c r="K41" s="52"/>
      <c r="L41" s="439" t="s">
        <v>3717</v>
      </c>
      <c r="M41" s="52"/>
      <c r="N41" t="s">
        <v>3918</v>
      </c>
    </row>
    <row r="42" spans="1:14">
      <c r="A42" s="52">
        <f t="shared" si="1"/>
        <v>41</v>
      </c>
      <c r="B42" s="52"/>
      <c r="C42" s="440">
        <v>45869</v>
      </c>
      <c r="D42" s="52"/>
      <c r="E42" s="52"/>
      <c r="F42" s="439" t="s">
        <v>374</v>
      </c>
      <c r="G42" s="1097">
        <v>237808</v>
      </c>
      <c r="H42" s="1097">
        <v>0</v>
      </c>
      <c r="I42" s="103">
        <f t="shared" si="4"/>
        <v>-237808</v>
      </c>
      <c r="J42" s="1100">
        <v>4065026</v>
      </c>
      <c r="K42" s="52"/>
      <c r="L42" s="439" t="s">
        <v>3717</v>
      </c>
      <c r="M42" s="52"/>
      <c r="N42" t="s">
        <v>3918</v>
      </c>
    </row>
    <row r="43" spans="1:14">
      <c r="A43" s="52">
        <f t="shared" si="1"/>
        <v>42</v>
      </c>
      <c r="B43" s="52"/>
      <c r="C43" s="440">
        <v>45869</v>
      </c>
      <c r="D43" s="52"/>
      <c r="E43" s="52"/>
      <c r="F43" s="439" t="s">
        <v>373</v>
      </c>
      <c r="G43" s="1097">
        <v>1082877</v>
      </c>
      <c r="H43" s="1097">
        <v>0</v>
      </c>
      <c r="I43" s="103">
        <f t="shared" si="4"/>
        <v>-1082877</v>
      </c>
      <c r="J43" s="1100">
        <v>2982149</v>
      </c>
      <c r="K43" s="52"/>
      <c r="L43" s="439" t="s">
        <v>3717</v>
      </c>
      <c r="M43" s="52"/>
      <c r="N43" t="s">
        <v>3918</v>
      </c>
    </row>
    <row r="44" spans="1:14">
      <c r="A44" s="52">
        <f t="shared" si="1"/>
        <v>43</v>
      </c>
      <c r="B44" s="52"/>
      <c r="C44" s="440">
        <v>45869</v>
      </c>
      <c r="D44" s="52"/>
      <c r="E44" s="52"/>
      <c r="F44" s="439" t="s">
        <v>371</v>
      </c>
      <c r="G44" s="1097">
        <v>469247</v>
      </c>
      <c r="H44" s="1097">
        <v>0</v>
      </c>
      <c r="I44" s="103">
        <f t="shared" si="4"/>
        <v>-469247</v>
      </c>
      <c r="J44" s="1100">
        <v>2512902</v>
      </c>
      <c r="K44" s="52"/>
      <c r="L44" s="439" t="s">
        <v>3717</v>
      </c>
      <c r="M44" s="52"/>
      <c r="N44" t="s">
        <v>3918</v>
      </c>
    </row>
    <row r="45" spans="1:14">
      <c r="A45" s="52">
        <f t="shared" si="1"/>
        <v>44</v>
      </c>
      <c r="B45" s="52"/>
      <c r="C45" s="440">
        <f t="shared" ref="C45:C48" si="8">C44+1</f>
        <v>45870</v>
      </c>
      <c r="D45" s="52"/>
      <c r="E45" s="52"/>
      <c r="F45" s="439"/>
      <c r="G45" s="1097">
        <v>0</v>
      </c>
      <c r="H45" s="1097">
        <v>0</v>
      </c>
      <c r="I45" s="103">
        <f t="shared" si="4"/>
        <v>0</v>
      </c>
      <c r="J45" s="1100">
        <v>2512902</v>
      </c>
      <c r="K45" s="52"/>
      <c r="L45" s="250" t="s">
        <v>3717</v>
      </c>
      <c r="M45" s="52"/>
      <c r="N45" t="s">
        <v>3918</v>
      </c>
    </row>
    <row r="46" spans="1:14">
      <c r="A46" s="52">
        <f t="shared" si="1"/>
        <v>45</v>
      </c>
      <c r="B46" s="52"/>
      <c r="C46" s="440">
        <f t="shared" si="8"/>
        <v>45871</v>
      </c>
      <c r="D46" s="52"/>
      <c r="E46" s="52"/>
      <c r="F46" s="439"/>
      <c r="G46" s="1097">
        <v>0</v>
      </c>
      <c r="H46" s="1097">
        <v>0</v>
      </c>
      <c r="I46" s="103">
        <f t="shared" si="4"/>
        <v>0</v>
      </c>
      <c r="J46" s="1100">
        <v>2512902</v>
      </c>
      <c r="K46" s="52"/>
      <c r="L46" s="439" t="s">
        <v>3717</v>
      </c>
      <c r="M46" s="52"/>
      <c r="N46" t="s">
        <v>3918</v>
      </c>
    </row>
    <row r="47" spans="1:14">
      <c r="A47" s="52">
        <f t="shared" si="1"/>
        <v>46</v>
      </c>
      <c r="B47" s="52"/>
      <c r="C47" s="440">
        <f t="shared" si="8"/>
        <v>45872</v>
      </c>
      <c r="D47" s="52"/>
      <c r="E47" s="52"/>
      <c r="F47" s="439"/>
      <c r="G47" s="1097">
        <v>0</v>
      </c>
      <c r="H47" s="1097">
        <v>0</v>
      </c>
      <c r="I47" s="103">
        <f t="shared" si="4"/>
        <v>0</v>
      </c>
      <c r="J47" s="1100">
        <v>2512902</v>
      </c>
      <c r="K47" s="52"/>
      <c r="L47" s="439" t="s">
        <v>3717</v>
      </c>
      <c r="M47" s="52"/>
      <c r="N47" t="s">
        <v>3918</v>
      </c>
    </row>
    <row r="48" spans="1:14">
      <c r="A48" s="52">
        <f t="shared" si="1"/>
        <v>47</v>
      </c>
      <c r="B48" s="52"/>
      <c r="C48" s="440">
        <f t="shared" si="8"/>
        <v>45873</v>
      </c>
      <c r="D48" s="52"/>
      <c r="E48" s="52"/>
      <c r="F48" s="439"/>
      <c r="G48" s="1097">
        <v>0</v>
      </c>
      <c r="H48" s="1097">
        <v>0</v>
      </c>
      <c r="I48" s="103">
        <f t="shared" si="4"/>
        <v>0</v>
      </c>
      <c r="J48" s="1100">
        <v>2512902</v>
      </c>
      <c r="K48" s="52"/>
      <c r="L48" s="439" t="s">
        <v>3717</v>
      </c>
      <c r="M48" s="52"/>
      <c r="N48" t="s">
        <v>3918</v>
      </c>
    </row>
    <row r="49" spans="1:14">
      <c r="A49" s="52">
        <f t="shared" si="1"/>
        <v>48</v>
      </c>
      <c r="B49" s="52"/>
      <c r="C49" s="440">
        <f>C48+1</f>
        <v>45874</v>
      </c>
      <c r="D49" s="52"/>
      <c r="E49" s="52"/>
      <c r="F49" s="439"/>
      <c r="G49" s="1097">
        <v>0</v>
      </c>
      <c r="H49" s="1097">
        <v>0</v>
      </c>
      <c r="I49" s="103">
        <f t="shared" si="4"/>
        <v>0</v>
      </c>
      <c r="J49" s="1100">
        <v>2512902</v>
      </c>
      <c r="K49" s="52"/>
      <c r="L49" s="439" t="s">
        <v>3717</v>
      </c>
      <c r="M49" s="52"/>
      <c r="N49" t="s">
        <v>3918</v>
      </c>
    </row>
    <row r="50" spans="1:14">
      <c r="A50" s="52">
        <f t="shared" si="1"/>
        <v>49</v>
      </c>
      <c r="B50" s="52"/>
      <c r="C50" s="440">
        <f t="shared" ref="C50:C54" si="9">C49+1</f>
        <v>45875</v>
      </c>
      <c r="D50" s="52"/>
      <c r="E50" s="52"/>
      <c r="F50" s="439"/>
      <c r="G50" s="1097">
        <v>0</v>
      </c>
      <c r="H50" s="1097">
        <v>0</v>
      </c>
      <c r="I50" s="103">
        <f t="shared" si="4"/>
        <v>0</v>
      </c>
      <c r="J50" s="1100">
        <v>2512902</v>
      </c>
      <c r="K50" s="52"/>
      <c r="L50" s="439" t="s">
        <v>3717</v>
      </c>
      <c r="M50" s="52"/>
      <c r="N50" t="s">
        <v>3918</v>
      </c>
    </row>
    <row r="51" spans="1:14">
      <c r="A51" s="52">
        <f t="shared" si="1"/>
        <v>50</v>
      </c>
      <c r="B51" s="52"/>
      <c r="C51" s="440">
        <f t="shared" si="9"/>
        <v>45876</v>
      </c>
      <c r="D51" s="52"/>
      <c r="E51" s="52"/>
      <c r="F51" s="439"/>
      <c r="G51" s="1097">
        <v>0</v>
      </c>
      <c r="H51" s="1097">
        <v>0</v>
      </c>
      <c r="I51" s="103">
        <f t="shared" si="4"/>
        <v>0</v>
      </c>
      <c r="J51" s="1100">
        <v>2512902</v>
      </c>
      <c r="K51" s="52"/>
      <c r="L51" s="250" t="s">
        <v>3717</v>
      </c>
      <c r="M51" s="52"/>
      <c r="N51" t="s">
        <v>3918</v>
      </c>
    </row>
    <row r="52" spans="1:14">
      <c r="A52" s="52">
        <f t="shared" si="1"/>
        <v>51</v>
      </c>
      <c r="B52" s="52"/>
      <c r="C52" s="440">
        <f t="shared" si="9"/>
        <v>45877</v>
      </c>
      <c r="D52" s="52"/>
      <c r="E52" s="52"/>
      <c r="F52" s="439"/>
      <c r="G52" s="1097">
        <v>0</v>
      </c>
      <c r="H52" s="1097">
        <v>0</v>
      </c>
      <c r="I52" s="103">
        <f t="shared" si="4"/>
        <v>0</v>
      </c>
      <c r="J52" s="1100">
        <v>2512902</v>
      </c>
      <c r="K52" s="52"/>
      <c r="L52" s="439" t="s">
        <v>3717</v>
      </c>
      <c r="M52" s="52"/>
      <c r="N52" t="s">
        <v>3918</v>
      </c>
    </row>
    <row r="53" spans="1:14">
      <c r="A53" s="52">
        <f t="shared" si="1"/>
        <v>52</v>
      </c>
      <c r="B53" s="52"/>
      <c r="C53" s="440">
        <f t="shared" si="9"/>
        <v>45878</v>
      </c>
      <c r="D53" s="52"/>
      <c r="E53" s="52"/>
      <c r="F53" s="439"/>
      <c r="G53" s="1097">
        <v>0</v>
      </c>
      <c r="H53" s="1097">
        <v>0</v>
      </c>
      <c r="I53" s="103">
        <f t="shared" si="4"/>
        <v>0</v>
      </c>
      <c r="J53" s="1100">
        <v>2512902</v>
      </c>
      <c r="K53" s="52"/>
      <c r="L53" s="439" t="s">
        <v>3717</v>
      </c>
      <c r="M53" s="52"/>
      <c r="N53" t="s">
        <v>3918</v>
      </c>
    </row>
    <row r="54" spans="1:14">
      <c r="A54" s="52">
        <f t="shared" si="1"/>
        <v>53</v>
      </c>
      <c r="B54" s="52"/>
      <c r="C54" s="440">
        <f t="shared" si="9"/>
        <v>45879</v>
      </c>
      <c r="D54" s="52"/>
      <c r="E54" s="52"/>
      <c r="F54" s="439"/>
      <c r="G54" s="1097">
        <v>0</v>
      </c>
      <c r="H54" s="1097">
        <v>0</v>
      </c>
      <c r="I54" s="103">
        <f t="shared" si="4"/>
        <v>0</v>
      </c>
      <c r="J54" s="1100">
        <v>2512902</v>
      </c>
      <c r="K54" s="52"/>
      <c r="L54" s="439" t="s">
        <v>3717</v>
      </c>
      <c r="M54" s="52"/>
      <c r="N54" t="s">
        <v>3918</v>
      </c>
    </row>
    <row r="55" spans="1:14">
      <c r="A55" s="52">
        <f t="shared" si="1"/>
        <v>54</v>
      </c>
      <c r="B55" s="52"/>
      <c r="C55" s="440">
        <f>C54+1</f>
        <v>45880</v>
      </c>
      <c r="D55" s="52"/>
      <c r="E55" s="52"/>
      <c r="F55" s="439"/>
      <c r="G55" s="1097">
        <v>0</v>
      </c>
      <c r="H55" s="1097">
        <v>0</v>
      </c>
      <c r="I55" s="103">
        <f t="shared" si="4"/>
        <v>0</v>
      </c>
      <c r="J55" s="1101">
        <v>2512902</v>
      </c>
      <c r="K55" s="52"/>
      <c r="L55" s="439" t="s">
        <v>3717</v>
      </c>
      <c r="M55" s="52"/>
      <c r="N55" t="s">
        <v>3918</v>
      </c>
    </row>
    <row r="56" spans="1:14">
      <c r="A56" s="52">
        <f t="shared" si="1"/>
        <v>55</v>
      </c>
      <c r="B56" s="52"/>
      <c r="C56" s="233">
        <v>45881</v>
      </c>
      <c r="D56" s="52"/>
      <c r="E56" s="52"/>
      <c r="F56" s="55" t="s">
        <v>3306</v>
      </c>
      <c r="G56" s="1102">
        <v>2000000</v>
      </c>
      <c r="H56" s="1102">
        <v>0</v>
      </c>
      <c r="I56" s="103">
        <f t="shared" si="4"/>
        <v>-2000000</v>
      </c>
      <c r="J56" s="1084">
        <v>439928</v>
      </c>
      <c r="K56" s="52"/>
      <c r="L56" t="s">
        <v>3718</v>
      </c>
      <c r="M56" s="52"/>
      <c r="N56" t="s">
        <v>3917</v>
      </c>
    </row>
    <row r="57" spans="1:14">
      <c r="A57" s="52">
        <f t="shared" si="1"/>
        <v>56</v>
      </c>
      <c r="B57" s="52"/>
      <c r="C57" s="233">
        <f>C56+1</f>
        <v>45882</v>
      </c>
      <c r="D57" s="52"/>
      <c r="E57" s="52"/>
      <c r="F57" s="439"/>
      <c r="G57" s="1097">
        <v>0</v>
      </c>
      <c r="H57" s="1097">
        <v>0</v>
      </c>
      <c r="I57" s="103">
        <f t="shared" si="4"/>
        <v>0</v>
      </c>
      <c r="J57" s="1084">
        <v>439928</v>
      </c>
      <c r="K57" s="52"/>
      <c r="L57" s="439" t="s">
        <v>3718</v>
      </c>
      <c r="M57" s="52"/>
      <c r="N57" t="s">
        <v>3917</v>
      </c>
    </row>
    <row r="58" spans="1:14">
      <c r="A58" s="52">
        <f t="shared" si="1"/>
        <v>57</v>
      </c>
      <c r="B58" s="52"/>
      <c r="C58" s="440">
        <f>C57+1</f>
        <v>45883</v>
      </c>
      <c r="D58" s="52"/>
      <c r="E58" s="52"/>
      <c r="F58" s="439"/>
      <c r="G58" s="1097">
        <v>0</v>
      </c>
      <c r="H58" s="1097">
        <v>0</v>
      </c>
      <c r="I58" s="103">
        <f t="shared" si="4"/>
        <v>0</v>
      </c>
      <c r="J58" s="1103">
        <f>J57</f>
        <v>439928</v>
      </c>
      <c r="K58" s="52"/>
      <c r="L58" s="439" t="s">
        <v>3718</v>
      </c>
      <c r="M58" s="52"/>
      <c r="N58" t="s">
        <v>3917</v>
      </c>
    </row>
    <row r="59" spans="1:14">
      <c r="A59" s="52">
        <f t="shared" si="1"/>
        <v>58</v>
      </c>
      <c r="B59" s="52"/>
      <c r="C59" s="440">
        <f t="shared" ref="C59:C62" si="10">C58+1</f>
        <v>45884</v>
      </c>
      <c r="D59" s="52"/>
      <c r="E59" s="52"/>
      <c r="F59" s="439"/>
      <c r="G59" s="1097">
        <v>0</v>
      </c>
      <c r="H59" s="1097">
        <v>0</v>
      </c>
      <c r="I59" s="103">
        <f t="shared" si="4"/>
        <v>0</v>
      </c>
      <c r="J59" s="1103">
        <f t="shared" ref="J59:J73" si="11">J58</f>
        <v>439928</v>
      </c>
      <c r="K59" s="52"/>
      <c r="L59" s="439" t="s">
        <v>3718</v>
      </c>
      <c r="M59" s="52"/>
      <c r="N59" t="s">
        <v>3917</v>
      </c>
    </row>
    <row r="60" spans="1:14">
      <c r="A60" s="52">
        <f t="shared" si="1"/>
        <v>59</v>
      </c>
      <c r="B60" s="52"/>
      <c r="C60" s="440">
        <f t="shared" si="10"/>
        <v>45885</v>
      </c>
      <c r="D60" s="52"/>
      <c r="E60" s="52"/>
      <c r="F60" s="439"/>
      <c r="G60" s="1097">
        <v>0</v>
      </c>
      <c r="H60" s="1097">
        <v>0</v>
      </c>
      <c r="I60" s="103">
        <f t="shared" si="4"/>
        <v>0</v>
      </c>
      <c r="J60" s="1103">
        <f t="shared" si="11"/>
        <v>439928</v>
      </c>
      <c r="K60" s="52"/>
      <c r="L60" s="439" t="s">
        <v>3718</v>
      </c>
      <c r="M60" s="52"/>
      <c r="N60" t="s">
        <v>3917</v>
      </c>
    </row>
    <row r="61" spans="1:14">
      <c r="A61" s="52">
        <f t="shared" si="1"/>
        <v>60</v>
      </c>
      <c r="B61" s="52"/>
      <c r="C61" s="440">
        <f t="shared" si="10"/>
        <v>45886</v>
      </c>
      <c r="D61" s="52"/>
      <c r="E61" s="52"/>
      <c r="F61" s="439"/>
      <c r="G61" s="1097">
        <v>0</v>
      </c>
      <c r="H61" s="1097">
        <v>0</v>
      </c>
      <c r="I61" s="103">
        <f t="shared" si="4"/>
        <v>0</v>
      </c>
      <c r="J61" s="1103">
        <f t="shared" si="11"/>
        <v>439928</v>
      </c>
      <c r="K61" s="52"/>
      <c r="L61" s="439" t="s">
        <v>3718</v>
      </c>
      <c r="M61" s="52"/>
      <c r="N61" t="s">
        <v>3917</v>
      </c>
    </row>
    <row r="62" spans="1:14">
      <c r="A62" s="52">
        <f t="shared" si="1"/>
        <v>61</v>
      </c>
      <c r="C62" s="440">
        <f t="shared" si="10"/>
        <v>45887</v>
      </c>
      <c r="F62" s="439"/>
      <c r="G62" s="1097">
        <v>0</v>
      </c>
      <c r="H62" s="1097">
        <v>0</v>
      </c>
      <c r="I62" s="103">
        <f t="shared" si="4"/>
        <v>0</v>
      </c>
      <c r="J62" s="1103">
        <f t="shared" si="11"/>
        <v>439928</v>
      </c>
      <c r="L62" s="439" t="s">
        <v>3718</v>
      </c>
      <c r="N62" t="s">
        <v>3917</v>
      </c>
    </row>
    <row r="63" spans="1:14">
      <c r="A63" s="52">
        <f t="shared" si="1"/>
        <v>62</v>
      </c>
      <c r="C63" s="440">
        <f>C62+1</f>
        <v>45888</v>
      </c>
      <c r="F63" s="439"/>
      <c r="G63" s="1097">
        <v>0</v>
      </c>
      <c r="H63" s="1097">
        <v>0</v>
      </c>
      <c r="I63" s="103">
        <f t="shared" si="4"/>
        <v>0</v>
      </c>
      <c r="J63" s="1103">
        <f t="shared" si="11"/>
        <v>439928</v>
      </c>
      <c r="L63" s="439" t="s">
        <v>3718</v>
      </c>
      <c r="N63" t="s">
        <v>3917</v>
      </c>
    </row>
    <row r="64" spans="1:14">
      <c r="A64" s="52">
        <f t="shared" si="1"/>
        <v>63</v>
      </c>
      <c r="C64" s="440">
        <f>C63+1</f>
        <v>45889</v>
      </c>
      <c r="F64" s="439"/>
      <c r="G64" s="1097">
        <v>0</v>
      </c>
      <c r="H64" s="1097">
        <v>0</v>
      </c>
      <c r="I64" s="103">
        <f t="shared" si="4"/>
        <v>0</v>
      </c>
      <c r="J64" s="1103">
        <f t="shared" si="11"/>
        <v>439928</v>
      </c>
      <c r="L64" s="439" t="s">
        <v>3718</v>
      </c>
      <c r="N64" t="s">
        <v>3917</v>
      </c>
    </row>
    <row r="65" spans="1:14">
      <c r="A65" s="52">
        <f t="shared" si="1"/>
        <v>64</v>
      </c>
      <c r="C65" s="440">
        <f t="shared" ref="C65" si="12">C64+1</f>
        <v>45890</v>
      </c>
      <c r="F65" s="439"/>
      <c r="G65" s="1097">
        <v>0</v>
      </c>
      <c r="H65" s="1097">
        <v>0</v>
      </c>
      <c r="I65" s="103">
        <f t="shared" si="4"/>
        <v>0</v>
      </c>
      <c r="J65" s="1103">
        <f t="shared" si="11"/>
        <v>439928</v>
      </c>
      <c r="L65" s="439" t="s">
        <v>3718</v>
      </c>
      <c r="N65" t="s">
        <v>3917</v>
      </c>
    </row>
    <row r="66" spans="1:14">
      <c r="A66" s="52">
        <f t="shared" si="1"/>
        <v>65</v>
      </c>
      <c r="C66" s="1095">
        <v>45891</v>
      </c>
      <c r="F66" s="439"/>
      <c r="G66" s="1097">
        <v>0</v>
      </c>
      <c r="H66" s="1097">
        <v>0</v>
      </c>
      <c r="I66" s="103">
        <f t="shared" si="4"/>
        <v>0</v>
      </c>
      <c r="J66" s="1103">
        <f t="shared" si="11"/>
        <v>439928</v>
      </c>
      <c r="L66" s="439" t="s">
        <v>3718</v>
      </c>
      <c r="N66" t="s">
        <v>3917</v>
      </c>
    </row>
    <row r="67" spans="1:14">
      <c r="A67" s="52">
        <f t="shared" si="1"/>
        <v>66</v>
      </c>
      <c r="C67" s="440">
        <f t="shared" ref="C67:C72" si="13">C66+1</f>
        <v>45892</v>
      </c>
      <c r="F67" s="439"/>
      <c r="G67" s="1097">
        <v>0</v>
      </c>
      <c r="H67" s="1097">
        <v>0</v>
      </c>
      <c r="I67" s="103">
        <f t="shared" si="4"/>
        <v>0</v>
      </c>
      <c r="J67" s="1103">
        <f t="shared" si="11"/>
        <v>439928</v>
      </c>
      <c r="L67" s="439" t="s">
        <v>3718</v>
      </c>
      <c r="N67" t="s">
        <v>3917</v>
      </c>
    </row>
    <row r="68" spans="1:14">
      <c r="A68" s="52">
        <f t="shared" ref="A68:A82" si="14">A67+1</f>
        <v>67</v>
      </c>
      <c r="C68" s="440">
        <f t="shared" si="13"/>
        <v>45893</v>
      </c>
      <c r="F68" s="439"/>
      <c r="G68" s="1097">
        <v>0</v>
      </c>
      <c r="H68" s="1097">
        <v>0</v>
      </c>
      <c r="I68" s="103">
        <f t="shared" si="4"/>
        <v>0</v>
      </c>
      <c r="J68" s="1103">
        <f t="shared" si="11"/>
        <v>439928</v>
      </c>
      <c r="L68" s="439" t="s">
        <v>3718</v>
      </c>
      <c r="N68" t="s">
        <v>3917</v>
      </c>
    </row>
    <row r="69" spans="1:14">
      <c r="A69" s="52">
        <f t="shared" si="14"/>
        <v>68</v>
      </c>
      <c r="C69" s="440">
        <f t="shared" si="13"/>
        <v>45894</v>
      </c>
      <c r="F69" s="439"/>
      <c r="G69" s="1097">
        <v>0</v>
      </c>
      <c r="H69" s="1097">
        <v>0</v>
      </c>
      <c r="I69" s="103">
        <f t="shared" si="4"/>
        <v>0</v>
      </c>
      <c r="J69" s="1103">
        <f t="shared" si="11"/>
        <v>439928</v>
      </c>
      <c r="L69" s="439" t="s">
        <v>3718</v>
      </c>
      <c r="N69" t="s">
        <v>3917</v>
      </c>
    </row>
    <row r="70" spans="1:14">
      <c r="A70" s="52">
        <f t="shared" si="14"/>
        <v>69</v>
      </c>
      <c r="C70" s="440">
        <f t="shared" si="13"/>
        <v>45895</v>
      </c>
      <c r="F70" s="439"/>
      <c r="G70" s="1097">
        <v>0</v>
      </c>
      <c r="H70" s="1097">
        <v>0</v>
      </c>
      <c r="I70" s="103">
        <f t="shared" si="4"/>
        <v>0</v>
      </c>
      <c r="J70" s="1103">
        <f t="shared" si="11"/>
        <v>439928</v>
      </c>
      <c r="L70" s="439" t="s">
        <v>3718</v>
      </c>
      <c r="N70" t="s">
        <v>3917</v>
      </c>
    </row>
    <row r="71" spans="1:14">
      <c r="A71" s="52">
        <f t="shared" si="14"/>
        <v>70</v>
      </c>
      <c r="C71" s="440">
        <f t="shared" si="13"/>
        <v>45896</v>
      </c>
      <c r="F71" s="439"/>
      <c r="G71" s="439"/>
      <c r="H71" s="439"/>
      <c r="I71" s="103">
        <f t="shared" si="4"/>
        <v>0</v>
      </c>
      <c r="J71" s="1103">
        <f t="shared" si="11"/>
        <v>439928</v>
      </c>
      <c r="L71" s="439" t="s">
        <v>3718</v>
      </c>
      <c r="N71" t="s">
        <v>3917</v>
      </c>
    </row>
    <row r="72" spans="1:14">
      <c r="A72" s="52">
        <f t="shared" si="14"/>
        <v>71</v>
      </c>
      <c r="C72" s="440">
        <f t="shared" si="13"/>
        <v>45897</v>
      </c>
      <c r="F72" s="439"/>
      <c r="G72" s="439"/>
      <c r="H72" s="439"/>
      <c r="I72" s="103">
        <f t="shared" si="4"/>
        <v>0</v>
      </c>
      <c r="J72" s="1103">
        <f t="shared" si="11"/>
        <v>439928</v>
      </c>
      <c r="L72" s="439" t="s">
        <v>3718</v>
      </c>
      <c r="N72" t="s">
        <v>3917</v>
      </c>
    </row>
    <row r="73" spans="1:14">
      <c r="A73" s="52">
        <f t="shared" si="14"/>
        <v>72</v>
      </c>
      <c r="C73" s="440">
        <f>C72+1</f>
        <v>45898</v>
      </c>
      <c r="F73" s="439"/>
      <c r="G73" s="439"/>
      <c r="H73" s="439"/>
      <c r="I73" s="103">
        <f t="shared" si="4"/>
        <v>0</v>
      </c>
      <c r="J73" s="1103">
        <f t="shared" si="11"/>
        <v>439928</v>
      </c>
      <c r="L73" s="439" t="s">
        <v>3718</v>
      </c>
      <c r="N73" t="s">
        <v>3917</v>
      </c>
    </row>
    <row r="74" spans="1:14">
      <c r="A74" s="52">
        <f t="shared" si="14"/>
        <v>73</v>
      </c>
      <c r="C74" s="1096">
        <v>45899</v>
      </c>
      <c r="F74" s="1104" t="s">
        <v>3307</v>
      </c>
      <c r="G74" s="1105">
        <v>0</v>
      </c>
      <c r="H74" s="1105">
        <v>3000000</v>
      </c>
      <c r="I74" s="103">
        <f t="shared" si="4"/>
        <v>3000000</v>
      </c>
      <c r="J74" s="1106">
        <v>3439928</v>
      </c>
      <c r="L74" s="439" t="s">
        <v>3718</v>
      </c>
      <c r="N74" t="s">
        <v>3917</v>
      </c>
    </row>
    <row r="75" spans="1:14">
      <c r="A75" s="52">
        <f t="shared" si="14"/>
        <v>74</v>
      </c>
      <c r="C75" s="1096">
        <v>45900</v>
      </c>
      <c r="F75" s="1104" t="s">
        <v>372</v>
      </c>
      <c r="G75" s="1105">
        <v>721918</v>
      </c>
      <c r="H75" s="1105"/>
      <c r="I75" s="103">
        <f t="shared" si="4"/>
        <v>-721918</v>
      </c>
      <c r="J75" s="1106">
        <v>2718010</v>
      </c>
      <c r="L75" s="439" t="s">
        <v>3717</v>
      </c>
      <c r="N75" t="s">
        <v>3918</v>
      </c>
    </row>
    <row r="76" spans="1:14">
      <c r="A76" s="52">
        <f t="shared" si="14"/>
        <v>75</v>
      </c>
      <c r="C76" s="1096">
        <v>45900</v>
      </c>
      <c r="F76" s="1104" t="s">
        <v>373</v>
      </c>
      <c r="G76" s="1105">
        <v>1082877</v>
      </c>
      <c r="H76" s="1105"/>
      <c r="I76" s="103">
        <f t="shared" si="4"/>
        <v>-1082877</v>
      </c>
      <c r="J76" s="1106">
        <v>1635133</v>
      </c>
      <c r="L76" s="439" t="s">
        <v>3717</v>
      </c>
      <c r="N76" t="s">
        <v>3918</v>
      </c>
    </row>
    <row r="77" spans="1:14">
      <c r="A77" s="52">
        <f t="shared" si="14"/>
        <v>76</v>
      </c>
      <c r="C77" s="1096">
        <v>45900</v>
      </c>
      <c r="F77" s="1104" t="s">
        <v>371</v>
      </c>
      <c r="G77" s="1105">
        <v>469247</v>
      </c>
      <c r="H77" s="1105"/>
      <c r="I77" s="103">
        <f t="shared" si="4"/>
        <v>-469247</v>
      </c>
      <c r="J77" s="1106">
        <v>1165886</v>
      </c>
      <c r="L77" s="439" t="s">
        <v>3717</v>
      </c>
      <c r="N77" t="s">
        <v>3918</v>
      </c>
    </row>
    <row r="78" spans="1:14">
      <c r="A78" s="52">
        <f t="shared" si="14"/>
        <v>77</v>
      </c>
      <c r="C78" s="1096">
        <v>45900</v>
      </c>
      <c r="F78" s="1104" t="s">
        <v>374</v>
      </c>
      <c r="G78" s="1105">
        <v>237808</v>
      </c>
      <c r="H78" s="1105"/>
      <c r="I78" s="103">
        <f t="shared" si="4"/>
        <v>-237808</v>
      </c>
      <c r="J78" s="1106">
        <v>928078</v>
      </c>
      <c r="L78" s="439" t="s">
        <v>3717</v>
      </c>
      <c r="N78" t="s">
        <v>3918</v>
      </c>
    </row>
    <row r="79" spans="1:14">
      <c r="A79" s="52">
        <f t="shared" si="14"/>
        <v>78</v>
      </c>
      <c r="C79" s="1096">
        <v>45900</v>
      </c>
      <c r="F79" s="1104" t="s">
        <v>369</v>
      </c>
      <c r="G79" s="1105">
        <v>360959</v>
      </c>
      <c r="H79" s="1105"/>
      <c r="I79" s="103">
        <f t="shared" si="4"/>
        <v>-360959</v>
      </c>
      <c r="J79" s="1107">
        <v>567119</v>
      </c>
      <c r="L79" s="439" t="s">
        <v>3717</v>
      </c>
      <c r="N79" t="s">
        <v>3918</v>
      </c>
    </row>
    <row r="80" spans="1:14">
      <c r="A80" s="52">
        <f t="shared" si="14"/>
        <v>79</v>
      </c>
      <c r="C80" s="1096">
        <v>45901</v>
      </c>
      <c r="F80" s="1104" t="s">
        <v>3308</v>
      </c>
      <c r="G80" s="1105">
        <v>150000000</v>
      </c>
      <c r="H80" s="1097"/>
      <c r="I80" s="103">
        <f t="shared" si="4"/>
        <v>-150000000</v>
      </c>
      <c r="J80" s="1107">
        <v>-149432881</v>
      </c>
      <c r="L80" s="1177" t="s">
        <v>542</v>
      </c>
      <c r="N80" t="s">
        <v>3917</v>
      </c>
    </row>
    <row r="81" spans="1:14">
      <c r="A81" s="52">
        <f t="shared" si="14"/>
        <v>80</v>
      </c>
      <c r="C81" s="440">
        <v>45902</v>
      </c>
      <c r="F81" s="246" t="s">
        <v>3309</v>
      </c>
      <c r="G81" s="1041">
        <v>65000000</v>
      </c>
      <c r="H81" s="1041">
        <v>0</v>
      </c>
      <c r="I81" s="103">
        <f t="shared" si="4"/>
        <v>-65000000</v>
      </c>
      <c r="J81" s="1041">
        <v>-214432881</v>
      </c>
      <c r="L81" s="1177" t="s">
        <v>542</v>
      </c>
      <c r="N81" t="s">
        <v>3917</v>
      </c>
    </row>
    <row r="82" spans="1:14">
      <c r="A82" s="52">
        <f t="shared" si="14"/>
        <v>81</v>
      </c>
      <c r="C82" s="440">
        <v>45902</v>
      </c>
      <c r="F82" s="246" t="s">
        <v>3310</v>
      </c>
      <c r="G82" s="1041">
        <v>0</v>
      </c>
      <c r="H82" s="1041">
        <v>27790220</v>
      </c>
      <c r="I82" s="103">
        <f t="shared" si="4"/>
        <v>27790220</v>
      </c>
      <c r="J82" s="1041">
        <v>-186642661</v>
      </c>
      <c r="L82" s="1177" t="s">
        <v>3721</v>
      </c>
      <c r="N82" t="s">
        <v>3917</v>
      </c>
    </row>
    <row r="83" spans="1:14">
      <c r="F83" s="246" t="s">
        <v>3310</v>
      </c>
      <c r="G83" s="1041">
        <v>0</v>
      </c>
      <c r="H83" s="1041">
        <v>27790220</v>
      </c>
      <c r="I83" s="103">
        <f t="shared" si="4"/>
        <v>27790220</v>
      </c>
      <c r="J83" s="103">
        <f t="shared" si="4"/>
        <v>0</v>
      </c>
      <c r="L83" t="s">
        <v>3725</v>
      </c>
      <c r="N83" t="s">
        <v>3918</v>
      </c>
    </row>
  </sheetData>
  <autoFilter ref="A1:N83" xr:uid="{4D70DF16-B52F-4AD4-B26A-CDADC37A6842}"/>
  <dataValidations disablePrompts="1" count="1">
    <dataValidation type="list" allowBlank="1" showInputMessage="1" showErrorMessage="1" sqref="L4:L8" xr:uid="{2EFC8E0E-CA74-47F3-BF67-6AD1E2296506}">
      <formula1>#REF!</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85689-9256-4C26-BCE7-CFEBC07B747D}">
  <dimension ref="A1:N86"/>
  <sheetViews>
    <sheetView topLeftCell="D1" workbookViewId="0">
      <pane ySplit="1" topLeftCell="A2" activePane="bottomLeft" state="frozen"/>
      <selection activeCell="J61" sqref="J61"/>
      <selection pane="bottomLeft" activeCell="N1" sqref="N1"/>
    </sheetView>
  </sheetViews>
  <sheetFormatPr defaultRowHeight="12.75"/>
  <cols>
    <col min="1" max="1" width="8.88671875" style="11"/>
    <col min="2" max="2" width="16.88671875" style="11" customWidth="1"/>
    <col min="3" max="3" width="8" style="11" bestFit="1" customWidth="1"/>
    <col min="4" max="4" width="9.6640625" style="11" customWidth="1"/>
    <col min="5" max="5" width="16.88671875" style="11" customWidth="1"/>
    <col min="6" max="6" width="15.77734375" style="11" bestFit="1" customWidth="1"/>
    <col min="7" max="7" width="11.21875" style="11" bestFit="1" customWidth="1"/>
    <col min="8" max="9" width="11.109375" style="11" customWidth="1"/>
    <col min="10" max="10" width="11.6640625" style="11" bestFit="1" customWidth="1"/>
    <col min="11" max="11" width="17" style="11" customWidth="1"/>
    <col min="12" max="12" width="13" style="11" bestFit="1" customWidth="1"/>
    <col min="13" max="13" width="8.44140625" style="11" bestFit="1" customWidth="1"/>
    <col min="14" max="16384" width="8.88671875" style="11"/>
  </cols>
  <sheetData>
    <row r="1" spans="1:14" ht="14.45" customHeight="1">
      <c r="A1" s="1194" t="s">
        <v>897</v>
      </c>
      <c r="B1" s="153" t="s">
        <v>53</v>
      </c>
      <c r="C1" s="154" t="s">
        <v>54</v>
      </c>
      <c r="D1" s="105" t="s">
        <v>93</v>
      </c>
      <c r="E1" s="153" t="s">
        <v>66</v>
      </c>
      <c r="F1" s="153" t="s">
        <v>122</v>
      </c>
      <c r="G1" s="92" t="s">
        <v>375</v>
      </c>
      <c r="H1" s="92" t="s">
        <v>6</v>
      </c>
      <c r="I1" s="92" t="s">
        <v>993</v>
      </c>
      <c r="J1" s="165" t="s">
        <v>123</v>
      </c>
      <c r="K1" s="135" t="s">
        <v>64</v>
      </c>
      <c r="L1" s="92" t="s">
        <v>376</v>
      </c>
      <c r="M1" s="1183" t="s">
        <v>7</v>
      </c>
      <c r="N1" s="11" t="s">
        <v>3915</v>
      </c>
    </row>
    <row r="2" spans="1:14" ht="15.75">
      <c r="A2" s="108">
        <v>1</v>
      </c>
      <c r="B2" s="155">
        <v>45833.748611000003</v>
      </c>
      <c r="C2" s="156">
        <v>45833</v>
      </c>
      <c r="D2" s="156"/>
      <c r="E2" s="109" t="s">
        <v>126</v>
      </c>
      <c r="F2" s="108" t="s">
        <v>1227</v>
      </c>
      <c r="G2" s="157">
        <v>590</v>
      </c>
      <c r="H2" s="157">
        <v>0</v>
      </c>
      <c r="I2" s="157">
        <f>H2-G2</f>
        <v>-590</v>
      </c>
      <c r="J2" s="169">
        <v>-33500211.18</v>
      </c>
      <c r="K2" s="158"/>
      <c r="L2" t="s">
        <v>3913</v>
      </c>
      <c r="M2" s="108" t="str">
        <f>L2</f>
        <v>Investment (Redemption) in FD</v>
      </c>
      <c r="N2" s="11" t="s">
        <v>3916</v>
      </c>
    </row>
    <row r="3" spans="1:14" ht="15.75">
      <c r="A3" s="108">
        <f>A2+1</f>
        <v>2</v>
      </c>
      <c r="B3" s="155">
        <v>45833.748611000003</v>
      </c>
      <c r="C3" s="156">
        <v>45833</v>
      </c>
      <c r="D3" s="156"/>
      <c r="E3" s="109" t="s">
        <v>127</v>
      </c>
      <c r="F3" s="108" t="s">
        <v>1227</v>
      </c>
      <c r="G3" s="157">
        <v>10400000</v>
      </c>
      <c r="H3" s="157">
        <v>0</v>
      </c>
      <c r="I3" s="157">
        <f t="shared" ref="I3:I39" si="0">H3-G3</f>
        <v>-10400000</v>
      </c>
      <c r="J3" s="169">
        <v>-43900211.18</v>
      </c>
      <c r="K3" s="158"/>
      <c r="L3" t="s">
        <v>3913</v>
      </c>
      <c r="M3" s="108" t="str">
        <f t="shared" ref="M3:M19" si="1">L3</f>
        <v>Investment (Redemption) in FD</v>
      </c>
      <c r="N3" s="11" t="s">
        <v>3916</v>
      </c>
    </row>
    <row r="4" spans="1:14" ht="15.75">
      <c r="A4" s="108">
        <f t="shared" ref="A4:A45" si="2">A3+1</f>
        <v>3</v>
      </c>
      <c r="B4" s="155">
        <v>45833.748611000003</v>
      </c>
      <c r="C4" s="156">
        <v>45833</v>
      </c>
      <c r="D4" s="156"/>
      <c r="E4" s="109" t="s">
        <v>126</v>
      </c>
      <c r="F4" s="108" t="s">
        <v>1227</v>
      </c>
      <c r="G4" s="157">
        <v>1112150</v>
      </c>
      <c r="H4" s="157">
        <v>0</v>
      </c>
      <c r="I4" s="157">
        <f t="shared" si="0"/>
        <v>-1112150</v>
      </c>
      <c r="J4" s="169">
        <v>-45012361.18</v>
      </c>
      <c r="K4" s="158"/>
      <c r="L4" t="s">
        <v>3913</v>
      </c>
      <c r="M4" s="108" t="str">
        <f t="shared" si="1"/>
        <v>Investment (Redemption) in FD</v>
      </c>
      <c r="N4" s="11" t="s">
        <v>3916</v>
      </c>
    </row>
    <row r="5" spans="1:14" ht="13.5">
      <c r="A5" s="108">
        <f t="shared" si="2"/>
        <v>4</v>
      </c>
      <c r="B5" s="155">
        <v>45834.603472000003</v>
      </c>
      <c r="C5" s="156">
        <v>45834</v>
      </c>
      <c r="D5" s="156"/>
      <c r="E5" s="109" t="s">
        <v>128</v>
      </c>
      <c r="F5" s="109"/>
      <c r="G5" s="157">
        <v>7500</v>
      </c>
      <c r="H5" s="157">
        <v>0</v>
      </c>
      <c r="I5" s="157">
        <f t="shared" si="0"/>
        <v>-7500</v>
      </c>
      <c r="J5" s="169">
        <v>-45019861.18</v>
      </c>
      <c r="K5" s="158"/>
      <c r="L5" s="1177" t="s">
        <v>542</v>
      </c>
      <c r="M5" s="108" t="str">
        <f t="shared" si="1"/>
        <v>Other Expenses</v>
      </c>
      <c r="N5" s="11" t="s">
        <v>3917</v>
      </c>
    </row>
    <row r="6" spans="1:14" ht="13.5">
      <c r="A6" s="108">
        <f t="shared" si="2"/>
        <v>5</v>
      </c>
      <c r="B6" s="197">
        <v>45834.604166999998</v>
      </c>
      <c r="C6" s="156">
        <v>45834</v>
      </c>
      <c r="D6" s="156"/>
      <c r="E6" s="109" t="s">
        <v>129</v>
      </c>
      <c r="F6" s="109"/>
      <c r="G6" s="157">
        <v>1350</v>
      </c>
      <c r="H6" s="157">
        <v>0</v>
      </c>
      <c r="I6" s="157">
        <f t="shared" si="0"/>
        <v>-1350</v>
      </c>
      <c r="J6" s="169">
        <v>-45021211.18</v>
      </c>
      <c r="K6" s="158"/>
      <c r="L6" s="52" t="s">
        <v>542</v>
      </c>
      <c r="M6" s="108" t="str">
        <f t="shared" si="1"/>
        <v>Other Expenses</v>
      </c>
      <c r="N6" s="11" t="s">
        <v>3917</v>
      </c>
    </row>
    <row r="7" spans="1:14" ht="13.5">
      <c r="A7" s="108">
        <f t="shared" si="2"/>
        <v>6</v>
      </c>
      <c r="B7" s="159"/>
      <c r="C7" s="156">
        <f>C6+1</f>
        <v>45835</v>
      </c>
      <c r="D7" s="156"/>
      <c r="E7" s="108"/>
      <c r="F7" s="108"/>
      <c r="G7" s="94">
        <v>0</v>
      </c>
      <c r="H7" s="94">
        <v>0</v>
      </c>
      <c r="I7" s="157">
        <f t="shared" si="0"/>
        <v>0</v>
      </c>
      <c r="J7" s="169">
        <v>-45021211.18</v>
      </c>
      <c r="K7" s="158"/>
      <c r="L7" s="52" t="s">
        <v>542</v>
      </c>
      <c r="M7" s="108" t="str">
        <f t="shared" si="1"/>
        <v>Other Expenses</v>
      </c>
      <c r="N7" s="11" t="s">
        <v>3917</v>
      </c>
    </row>
    <row r="8" spans="1:14" ht="13.5">
      <c r="A8" s="108">
        <f t="shared" si="2"/>
        <v>7</v>
      </c>
      <c r="B8" s="159"/>
      <c r="C8" s="156">
        <f>C7+1</f>
        <v>45836</v>
      </c>
      <c r="D8" s="156"/>
      <c r="E8" s="108"/>
      <c r="F8" s="108"/>
      <c r="G8" s="94">
        <v>0</v>
      </c>
      <c r="H8" s="94">
        <v>0</v>
      </c>
      <c r="I8" s="157">
        <f t="shared" si="0"/>
        <v>0</v>
      </c>
      <c r="J8" s="169">
        <v>-45021211.18</v>
      </c>
      <c r="K8" s="158"/>
      <c r="L8" s="52" t="s">
        <v>542</v>
      </c>
      <c r="M8" s="108" t="str">
        <f t="shared" si="1"/>
        <v>Other Expenses</v>
      </c>
      <c r="N8" s="11" t="s">
        <v>3917</v>
      </c>
    </row>
    <row r="9" spans="1:14" ht="13.5">
      <c r="A9" s="108">
        <f t="shared" si="2"/>
        <v>8</v>
      </c>
      <c r="B9" s="159">
        <v>45837</v>
      </c>
      <c r="C9" s="107">
        <v>45837</v>
      </c>
      <c r="D9" s="107"/>
      <c r="E9" s="108" t="s">
        <v>124</v>
      </c>
      <c r="F9" s="94">
        <v>0</v>
      </c>
      <c r="G9" s="94">
        <v>0</v>
      </c>
      <c r="H9" s="94">
        <v>0</v>
      </c>
      <c r="I9" s="157">
        <f t="shared" si="0"/>
        <v>0</v>
      </c>
      <c r="J9" s="139">
        <v>-45021211.18</v>
      </c>
      <c r="K9" s="110"/>
      <c r="L9" s="52" t="s">
        <v>542</v>
      </c>
      <c r="M9" s="108" t="str">
        <f t="shared" si="1"/>
        <v>Other Expenses</v>
      </c>
      <c r="N9" s="11" t="s">
        <v>3917</v>
      </c>
    </row>
    <row r="10" spans="1:14" ht="13.5">
      <c r="A10" s="108">
        <f t="shared" si="2"/>
        <v>9</v>
      </c>
      <c r="B10" s="159">
        <v>45838.462453703702</v>
      </c>
      <c r="C10" s="107">
        <v>45838</v>
      </c>
      <c r="D10" s="107"/>
      <c r="E10" s="109" t="s">
        <v>292</v>
      </c>
      <c r="F10" s="108" t="s">
        <v>293</v>
      </c>
      <c r="G10" s="94">
        <v>0</v>
      </c>
      <c r="H10" s="94">
        <v>31000000</v>
      </c>
      <c r="I10" s="157">
        <f t="shared" si="0"/>
        <v>31000000</v>
      </c>
      <c r="J10" s="139">
        <v>-14021211.18</v>
      </c>
      <c r="K10" s="110"/>
      <c r="L10" s="1153" t="s">
        <v>3718</v>
      </c>
      <c r="M10" s="108" t="str">
        <f t="shared" si="1"/>
        <v>Intra company transfer</v>
      </c>
      <c r="N10" s="11" t="s">
        <v>3917</v>
      </c>
    </row>
    <row r="11" spans="1:14" ht="13.5">
      <c r="A11" s="108">
        <f t="shared" si="2"/>
        <v>10</v>
      </c>
      <c r="B11" s="159">
        <v>45838.530601851853</v>
      </c>
      <c r="C11" s="107">
        <v>45838</v>
      </c>
      <c r="D11" s="107"/>
      <c r="E11" s="109" t="s">
        <v>294</v>
      </c>
      <c r="F11" s="108" t="s">
        <v>295</v>
      </c>
      <c r="G11" s="94">
        <v>0</v>
      </c>
      <c r="H11" s="94">
        <v>600000</v>
      </c>
      <c r="I11" s="157">
        <f t="shared" si="0"/>
        <v>600000</v>
      </c>
      <c r="J11" s="139">
        <v>-13421211.18</v>
      </c>
      <c r="K11" s="110"/>
      <c r="L11" s="108" t="s">
        <v>3718</v>
      </c>
      <c r="M11" s="108" t="str">
        <f t="shared" si="1"/>
        <v>Intra company transfer</v>
      </c>
      <c r="N11" s="11" t="s">
        <v>3917</v>
      </c>
    </row>
    <row r="12" spans="1:14" ht="15.75">
      <c r="A12" s="108">
        <f t="shared" si="2"/>
        <v>11</v>
      </c>
      <c r="B12" s="159">
        <v>45838.613043981481</v>
      </c>
      <c r="C12" s="107">
        <v>45838</v>
      </c>
      <c r="D12" s="107"/>
      <c r="E12" s="109" t="s">
        <v>296</v>
      </c>
      <c r="F12" s="108" t="s">
        <v>297</v>
      </c>
      <c r="G12" s="94">
        <v>590</v>
      </c>
      <c r="H12" s="94">
        <v>0</v>
      </c>
      <c r="I12" s="157">
        <f t="shared" si="0"/>
        <v>-590</v>
      </c>
      <c r="J12" s="139">
        <v>-13421801.18</v>
      </c>
      <c r="K12" s="110"/>
      <c r="L12" t="s">
        <v>3726</v>
      </c>
      <c r="M12" s="108" t="str">
        <f t="shared" si="1"/>
        <v>Other finance charges</v>
      </c>
      <c r="N12" s="11" t="s">
        <v>3917</v>
      </c>
    </row>
    <row r="13" spans="1:14" ht="15.75">
      <c r="A13" s="108">
        <f t="shared" si="2"/>
        <v>12</v>
      </c>
      <c r="B13" s="159">
        <v>45838.613043981481</v>
      </c>
      <c r="C13" s="107">
        <v>45838</v>
      </c>
      <c r="D13" s="107"/>
      <c r="E13" s="109" t="s">
        <v>298</v>
      </c>
      <c r="F13" s="108" t="s">
        <v>297</v>
      </c>
      <c r="G13" s="94">
        <v>5055000</v>
      </c>
      <c r="H13" s="94">
        <v>0</v>
      </c>
      <c r="I13" s="157">
        <f t="shared" si="0"/>
        <v>-5055000</v>
      </c>
      <c r="J13" s="139">
        <v>-18476801.18</v>
      </c>
      <c r="K13" s="110"/>
      <c r="L13" t="s">
        <v>984</v>
      </c>
      <c r="M13" s="108" t="str">
        <f t="shared" si="1"/>
        <v>LC/BG Payable</v>
      </c>
      <c r="N13" s="11" t="s">
        <v>3917</v>
      </c>
    </row>
    <row r="14" spans="1:14" ht="13.5">
      <c r="A14" s="108">
        <f t="shared" si="2"/>
        <v>13</v>
      </c>
      <c r="B14" s="159">
        <v>45838.613055555557</v>
      </c>
      <c r="C14" s="107">
        <v>45838</v>
      </c>
      <c r="D14" s="107"/>
      <c r="E14" s="109" t="s">
        <v>299</v>
      </c>
      <c r="F14" s="108" t="s">
        <v>297</v>
      </c>
      <c r="G14" s="94">
        <v>300</v>
      </c>
      <c r="H14" s="94">
        <v>0</v>
      </c>
      <c r="I14" s="157">
        <f t="shared" si="0"/>
        <v>-300</v>
      </c>
      <c r="J14" s="139">
        <v>-18477101.18</v>
      </c>
      <c r="K14" s="110"/>
      <c r="L14" s="52" t="s">
        <v>3726</v>
      </c>
      <c r="M14" s="108" t="str">
        <f t="shared" si="1"/>
        <v>Other finance charges</v>
      </c>
      <c r="N14" s="11" t="s">
        <v>3917</v>
      </c>
    </row>
    <row r="15" spans="1:14" ht="13.5">
      <c r="A15" s="108">
        <f t="shared" si="2"/>
        <v>14</v>
      </c>
      <c r="B15" s="159">
        <v>45838.61310185185</v>
      </c>
      <c r="C15" s="107">
        <v>45838</v>
      </c>
      <c r="D15" s="107"/>
      <c r="E15" s="109" t="s">
        <v>296</v>
      </c>
      <c r="F15" s="108" t="s">
        <v>297</v>
      </c>
      <c r="G15" s="94">
        <v>770466.25</v>
      </c>
      <c r="H15" s="94">
        <v>0</v>
      </c>
      <c r="I15" s="157">
        <f t="shared" si="0"/>
        <v>-770466.25</v>
      </c>
      <c r="J15" s="139">
        <v>-19247567.43</v>
      </c>
      <c r="K15" s="110"/>
      <c r="L15" s="52" t="s">
        <v>3726</v>
      </c>
      <c r="M15" s="108" t="str">
        <f t="shared" si="1"/>
        <v>Other finance charges</v>
      </c>
      <c r="N15" s="11" t="s">
        <v>3917</v>
      </c>
    </row>
    <row r="16" spans="1:14" ht="13.5">
      <c r="A16" s="108">
        <f t="shared" si="2"/>
        <v>15</v>
      </c>
      <c r="B16" s="159">
        <v>45838.7340625</v>
      </c>
      <c r="C16" s="107">
        <v>45838</v>
      </c>
      <c r="D16" s="107"/>
      <c r="E16" s="109" t="s">
        <v>300</v>
      </c>
      <c r="F16" s="108" t="s">
        <v>297</v>
      </c>
      <c r="G16" s="94">
        <v>0</v>
      </c>
      <c r="H16" s="94">
        <v>300</v>
      </c>
      <c r="I16" s="157">
        <f t="shared" si="0"/>
        <v>300</v>
      </c>
      <c r="J16" s="139">
        <v>-19247267.43</v>
      </c>
      <c r="K16" s="110"/>
      <c r="L16" s="1177" t="s">
        <v>3721</v>
      </c>
      <c r="M16" s="108" t="str">
        <f t="shared" si="1"/>
        <v>Other Income</v>
      </c>
      <c r="N16" s="11" t="s">
        <v>3917</v>
      </c>
    </row>
    <row r="17" spans="1:14" ht="15.75">
      <c r="A17" s="108">
        <f t="shared" si="2"/>
        <v>16</v>
      </c>
      <c r="B17" s="159">
        <v>45838.811261574076</v>
      </c>
      <c r="C17" s="107">
        <v>45838</v>
      </c>
      <c r="D17" s="107"/>
      <c r="E17" s="109" t="s">
        <v>301</v>
      </c>
      <c r="F17" s="108" t="s">
        <v>302</v>
      </c>
      <c r="G17" s="94">
        <v>25340000</v>
      </c>
      <c r="H17" s="94">
        <v>0</v>
      </c>
      <c r="I17" s="157">
        <f t="shared" si="0"/>
        <v>-25340000</v>
      </c>
      <c r="J17" s="139">
        <v>-44587267.43</v>
      </c>
      <c r="K17" s="110"/>
      <c r="L17" t="s">
        <v>984</v>
      </c>
      <c r="M17" s="108" t="str">
        <f t="shared" si="1"/>
        <v>LC/BG Payable</v>
      </c>
      <c r="N17" s="11" t="s">
        <v>3917</v>
      </c>
    </row>
    <row r="18" spans="1:14" ht="13.5">
      <c r="A18" s="108">
        <f t="shared" si="2"/>
        <v>17</v>
      </c>
      <c r="B18" s="159">
        <v>45838.811273148145</v>
      </c>
      <c r="C18" s="107">
        <v>45838</v>
      </c>
      <c r="D18" s="107"/>
      <c r="E18" s="109" t="s">
        <v>303</v>
      </c>
      <c r="F18" s="108" t="s">
        <v>302</v>
      </c>
      <c r="G18" s="94">
        <v>562183.52</v>
      </c>
      <c r="H18" s="94">
        <v>0</v>
      </c>
      <c r="I18" s="157">
        <f t="shared" si="0"/>
        <v>-562183.52</v>
      </c>
      <c r="J18" s="139">
        <v>-45149450.950000003</v>
      </c>
      <c r="K18" s="110"/>
      <c r="L18" s="52" t="s">
        <v>3726</v>
      </c>
      <c r="M18" s="108" t="str">
        <f t="shared" si="1"/>
        <v>Other finance charges</v>
      </c>
      <c r="N18" s="11" t="s">
        <v>3917</v>
      </c>
    </row>
    <row r="19" spans="1:14" ht="13.5">
      <c r="A19" s="108">
        <f t="shared" si="2"/>
        <v>18</v>
      </c>
      <c r="B19" s="159">
        <v>45839.121770833335</v>
      </c>
      <c r="C19" s="107">
        <v>45838</v>
      </c>
      <c r="D19" s="107"/>
      <c r="E19" s="109" t="s">
        <v>304</v>
      </c>
      <c r="F19" s="108" t="s">
        <v>125</v>
      </c>
      <c r="G19" s="94">
        <v>304661</v>
      </c>
      <c r="H19" s="94">
        <v>0</v>
      </c>
      <c r="I19" s="157">
        <f t="shared" si="0"/>
        <v>-304661</v>
      </c>
      <c r="J19" s="139">
        <v>-45149450.950000003</v>
      </c>
      <c r="K19" s="110"/>
      <c r="L19" s="52" t="s">
        <v>3717</v>
      </c>
      <c r="M19" s="108" t="str">
        <f t="shared" si="1"/>
        <v>Repayment of  Loan &amp; interest</v>
      </c>
    </row>
    <row r="20" spans="1:14" ht="13.5">
      <c r="A20" s="108">
        <f t="shared" si="2"/>
        <v>19</v>
      </c>
      <c r="B20" s="107">
        <v>45839</v>
      </c>
      <c r="C20" s="107">
        <v>45839</v>
      </c>
      <c r="D20" s="107"/>
      <c r="E20" s="108"/>
      <c r="F20" s="108"/>
      <c r="G20" s="94">
        <v>0</v>
      </c>
      <c r="H20" s="94">
        <v>0</v>
      </c>
      <c r="I20" s="157">
        <f t="shared" si="0"/>
        <v>0</v>
      </c>
      <c r="J20" s="139">
        <v>-45149450.950000003</v>
      </c>
      <c r="K20" s="110"/>
      <c r="L20" s="130" t="s">
        <v>542</v>
      </c>
      <c r="M20" s="130" t="s">
        <v>542</v>
      </c>
      <c r="N20" s="11" t="s">
        <v>3917</v>
      </c>
    </row>
    <row r="21" spans="1:14" ht="13.5">
      <c r="A21" s="108">
        <f t="shared" si="2"/>
        <v>20</v>
      </c>
      <c r="B21" s="107">
        <v>45840</v>
      </c>
      <c r="C21" s="107">
        <v>45840</v>
      </c>
      <c r="D21" s="107"/>
      <c r="E21" s="108"/>
      <c r="F21" s="108"/>
      <c r="G21" s="94">
        <v>0</v>
      </c>
      <c r="H21" s="94">
        <v>0</v>
      </c>
      <c r="I21" s="157">
        <f t="shared" si="0"/>
        <v>0</v>
      </c>
      <c r="J21" s="139">
        <v>-45149450.950000003</v>
      </c>
      <c r="K21" s="110"/>
      <c r="L21" s="108" t="s">
        <v>542</v>
      </c>
      <c r="M21" s="130" t="s">
        <v>542</v>
      </c>
      <c r="N21" s="11" t="s">
        <v>3917</v>
      </c>
    </row>
    <row r="22" spans="1:14" ht="13.5">
      <c r="A22" s="108">
        <f t="shared" si="2"/>
        <v>21</v>
      </c>
      <c r="B22" s="159" t="s">
        <v>852</v>
      </c>
      <c r="C22" s="159">
        <v>45841</v>
      </c>
      <c r="D22" s="159"/>
      <c r="E22" s="108" t="s">
        <v>853</v>
      </c>
      <c r="F22" s="108" t="s">
        <v>854</v>
      </c>
      <c r="G22" s="160">
        <v>1770</v>
      </c>
      <c r="H22" s="94">
        <v>0</v>
      </c>
      <c r="I22" s="157">
        <f t="shared" si="0"/>
        <v>-1770</v>
      </c>
      <c r="J22" s="139">
        <v>-45456481.950000003</v>
      </c>
      <c r="K22" s="110"/>
      <c r="L22" s="52" t="s">
        <v>3726</v>
      </c>
      <c r="M22" s="108" t="s">
        <v>855</v>
      </c>
      <c r="N22" s="11" t="s">
        <v>3917</v>
      </c>
    </row>
    <row r="23" spans="1:14" ht="13.5">
      <c r="A23" s="108">
        <f t="shared" si="2"/>
        <v>22</v>
      </c>
      <c r="B23" s="159" t="s">
        <v>856</v>
      </c>
      <c r="C23" s="159">
        <v>45841</v>
      </c>
      <c r="D23" s="159"/>
      <c r="E23" s="108" t="s">
        <v>857</v>
      </c>
      <c r="F23" s="108" t="s">
        <v>854</v>
      </c>
      <c r="G23" s="161">
        <v>500</v>
      </c>
      <c r="H23" s="94">
        <v>0</v>
      </c>
      <c r="I23" s="157">
        <f t="shared" si="0"/>
        <v>-500</v>
      </c>
      <c r="J23" s="139">
        <v>-45456981.950000003</v>
      </c>
      <c r="K23" s="110"/>
      <c r="L23" s="52" t="s">
        <v>3726</v>
      </c>
      <c r="M23" s="108" t="s">
        <v>858</v>
      </c>
      <c r="N23" s="11" t="s">
        <v>3917</v>
      </c>
    </row>
    <row r="24" spans="1:14" ht="13.5">
      <c r="A24" s="108">
        <f t="shared" si="2"/>
        <v>23</v>
      </c>
      <c r="B24" s="159" t="s">
        <v>859</v>
      </c>
      <c r="C24" s="159">
        <v>45841</v>
      </c>
      <c r="D24" s="159"/>
      <c r="E24" s="108" t="s">
        <v>857</v>
      </c>
      <c r="F24" s="108" t="s">
        <v>854</v>
      </c>
      <c r="G24" s="161">
        <v>90</v>
      </c>
      <c r="H24" s="94">
        <v>0</v>
      </c>
      <c r="I24" s="157">
        <f t="shared" si="0"/>
        <v>-90</v>
      </c>
      <c r="J24" s="139">
        <v>-45457071.950000003</v>
      </c>
      <c r="K24" s="110"/>
      <c r="L24" s="52" t="s">
        <v>3726</v>
      </c>
      <c r="M24" s="108" t="s">
        <v>858</v>
      </c>
      <c r="N24" s="11" t="s">
        <v>3917</v>
      </c>
    </row>
    <row r="25" spans="1:14" ht="13.5">
      <c r="A25" s="108">
        <f t="shared" si="2"/>
        <v>24</v>
      </c>
      <c r="B25" s="107">
        <v>45842</v>
      </c>
      <c r="C25" s="107">
        <v>45842</v>
      </c>
      <c r="D25" s="107"/>
      <c r="E25" s="108"/>
      <c r="F25" s="108"/>
      <c r="G25" s="162">
        <v>0</v>
      </c>
      <c r="H25" s="94">
        <v>0</v>
      </c>
      <c r="I25" s="157">
        <f t="shared" si="0"/>
        <v>0</v>
      </c>
      <c r="J25" s="188">
        <v>-45457071.950000003</v>
      </c>
      <c r="K25" s="163"/>
      <c r="L25" s="108" t="s">
        <v>542</v>
      </c>
      <c r="M25" s="130" t="s">
        <v>542</v>
      </c>
      <c r="N25" s="11" t="s">
        <v>3917</v>
      </c>
    </row>
    <row r="26" spans="1:14" ht="13.5">
      <c r="A26" s="108">
        <f t="shared" si="2"/>
        <v>25</v>
      </c>
      <c r="B26" s="107">
        <v>45843</v>
      </c>
      <c r="C26" s="107">
        <v>45843</v>
      </c>
      <c r="D26" s="107"/>
      <c r="E26" s="108"/>
      <c r="F26" s="108"/>
      <c r="G26" s="162">
        <v>0</v>
      </c>
      <c r="H26" s="94">
        <v>0</v>
      </c>
      <c r="I26" s="157">
        <f t="shared" si="0"/>
        <v>0</v>
      </c>
      <c r="J26" s="188">
        <v>-45457071.950000003</v>
      </c>
      <c r="K26" s="163"/>
      <c r="L26" s="108" t="s">
        <v>542</v>
      </c>
      <c r="M26" s="130" t="s">
        <v>542</v>
      </c>
      <c r="N26" s="11" t="s">
        <v>3917</v>
      </c>
    </row>
    <row r="27" spans="1:14" ht="13.5">
      <c r="A27" s="108">
        <f t="shared" si="2"/>
        <v>26</v>
      </c>
      <c r="B27" s="107">
        <v>45844</v>
      </c>
      <c r="C27" s="107">
        <v>45844</v>
      </c>
      <c r="D27" s="107"/>
      <c r="E27" s="108"/>
      <c r="F27" s="108"/>
      <c r="G27" s="162">
        <v>0</v>
      </c>
      <c r="H27" s="94">
        <v>0</v>
      </c>
      <c r="I27" s="157">
        <f t="shared" si="0"/>
        <v>0</v>
      </c>
      <c r="J27" s="188">
        <v>-45457071.950000003</v>
      </c>
      <c r="K27" s="163"/>
      <c r="L27" s="108" t="s">
        <v>542</v>
      </c>
      <c r="M27" s="130" t="s">
        <v>542</v>
      </c>
      <c r="N27" s="11" t="s">
        <v>3917</v>
      </c>
    </row>
    <row r="28" spans="1:14" ht="13.5">
      <c r="A28" s="108">
        <f t="shared" si="2"/>
        <v>27</v>
      </c>
      <c r="B28" s="107">
        <v>45845</v>
      </c>
      <c r="C28" s="107">
        <v>45845</v>
      </c>
      <c r="D28" s="107"/>
      <c r="E28" s="108"/>
      <c r="F28" s="108"/>
      <c r="G28" s="162">
        <v>0</v>
      </c>
      <c r="H28" s="94">
        <v>0</v>
      </c>
      <c r="I28" s="157">
        <f t="shared" si="0"/>
        <v>0</v>
      </c>
      <c r="J28" s="188">
        <v>-45457071.950000003</v>
      </c>
      <c r="K28" s="163"/>
      <c r="L28" s="108" t="s">
        <v>542</v>
      </c>
      <c r="M28" s="130" t="s">
        <v>542</v>
      </c>
      <c r="N28" s="11" t="s">
        <v>3917</v>
      </c>
    </row>
    <row r="29" spans="1:14" ht="13.5">
      <c r="A29" s="108">
        <f t="shared" si="2"/>
        <v>28</v>
      </c>
      <c r="B29" s="107">
        <v>45846</v>
      </c>
      <c r="C29" s="107">
        <v>45846</v>
      </c>
      <c r="D29" s="107"/>
      <c r="E29" s="108"/>
      <c r="F29" s="108"/>
      <c r="G29" s="162">
        <v>0</v>
      </c>
      <c r="H29" s="94">
        <v>0</v>
      </c>
      <c r="I29" s="157">
        <f t="shared" si="0"/>
        <v>0</v>
      </c>
      <c r="J29" s="188">
        <v>-45457071.950000003</v>
      </c>
      <c r="K29" s="163"/>
      <c r="L29" s="108" t="s">
        <v>542</v>
      </c>
      <c r="M29" s="130" t="s">
        <v>542</v>
      </c>
      <c r="N29" s="11" t="s">
        <v>3917</v>
      </c>
    </row>
    <row r="30" spans="1:14" ht="13.5">
      <c r="A30" s="108">
        <f t="shared" si="2"/>
        <v>29</v>
      </c>
      <c r="B30" s="107">
        <v>45847</v>
      </c>
      <c r="C30" s="107">
        <v>45847</v>
      </c>
      <c r="D30" s="107"/>
      <c r="E30" s="108"/>
      <c r="F30" s="108"/>
      <c r="G30" s="162">
        <v>0</v>
      </c>
      <c r="H30" s="94">
        <v>0</v>
      </c>
      <c r="I30" s="157">
        <f t="shared" si="0"/>
        <v>0</v>
      </c>
      <c r="J30" s="188">
        <v>-45457071.950000003</v>
      </c>
      <c r="K30" s="163"/>
      <c r="L30" s="108" t="s">
        <v>542</v>
      </c>
      <c r="M30" s="130" t="s">
        <v>542</v>
      </c>
      <c r="N30" s="11" t="s">
        <v>3917</v>
      </c>
    </row>
    <row r="31" spans="1:14" ht="13.5">
      <c r="A31" s="108">
        <f t="shared" si="2"/>
        <v>30</v>
      </c>
      <c r="B31" s="107">
        <v>45848</v>
      </c>
      <c r="C31" s="107">
        <v>45848</v>
      </c>
      <c r="D31" s="107"/>
      <c r="E31" s="108"/>
      <c r="F31" s="108"/>
      <c r="G31" s="162">
        <v>0</v>
      </c>
      <c r="H31" s="94">
        <v>0</v>
      </c>
      <c r="I31" s="157">
        <f t="shared" si="0"/>
        <v>0</v>
      </c>
      <c r="J31" s="188">
        <v>-45457071.950000003</v>
      </c>
      <c r="K31" s="163"/>
      <c r="L31" s="108" t="s">
        <v>542</v>
      </c>
      <c r="M31" s="130" t="s">
        <v>542</v>
      </c>
      <c r="N31" s="11" t="s">
        <v>3917</v>
      </c>
    </row>
    <row r="32" spans="1:14" ht="13.5">
      <c r="A32" s="108">
        <f t="shared" si="2"/>
        <v>31</v>
      </c>
      <c r="B32" s="107">
        <v>45849</v>
      </c>
      <c r="C32" s="107">
        <v>45849</v>
      </c>
      <c r="D32" s="107"/>
      <c r="E32" s="108"/>
      <c r="F32" s="108"/>
      <c r="G32" s="162">
        <v>0</v>
      </c>
      <c r="H32" s="94">
        <v>0</v>
      </c>
      <c r="I32" s="157">
        <f t="shared" si="0"/>
        <v>0</v>
      </c>
      <c r="J32" s="188">
        <v>-45457071.950000003</v>
      </c>
      <c r="K32" s="163"/>
      <c r="L32" s="108" t="s">
        <v>542</v>
      </c>
      <c r="M32" s="130" t="s">
        <v>542</v>
      </c>
      <c r="N32" s="11" t="s">
        <v>3917</v>
      </c>
    </row>
    <row r="33" spans="1:14" ht="13.5">
      <c r="A33" s="108">
        <f t="shared" si="2"/>
        <v>32</v>
      </c>
      <c r="B33" s="107">
        <f t="shared" ref="B33:C40" si="3">B32+1</f>
        <v>45850</v>
      </c>
      <c r="C33" s="107">
        <f t="shared" si="3"/>
        <v>45850</v>
      </c>
      <c r="D33" s="108"/>
      <c r="E33" s="108"/>
      <c r="F33" s="108"/>
      <c r="G33" s="162">
        <v>0</v>
      </c>
      <c r="H33" s="94">
        <v>0</v>
      </c>
      <c r="I33" s="157">
        <f t="shared" si="0"/>
        <v>0</v>
      </c>
      <c r="J33" s="188">
        <v>-45457071.950000003</v>
      </c>
      <c r="K33" s="108"/>
      <c r="L33" s="108" t="s">
        <v>542</v>
      </c>
      <c r="M33" s="108"/>
      <c r="N33" s="11" t="s">
        <v>3917</v>
      </c>
    </row>
    <row r="34" spans="1:14" ht="13.5">
      <c r="A34" s="108">
        <f t="shared" si="2"/>
        <v>33</v>
      </c>
      <c r="B34" s="107">
        <f t="shared" si="3"/>
        <v>45851</v>
      </c>
      <c r="C34" s="107">
        <f t="shared" si="3"/>
        <v>45851</v>
      </c>
      <c r="D34" s="108"/>
      <c r="E34" s="108"/>
      <c r="F34" s="108"/>
      <c r="G34" s="162">
        <v>0</v>
      </c>
      <c r="H34" s="94">
        <v>0</v>
      </c>
      <c r="I34" s="157">
        <f t="shared" si="0"/>
        <v>0</v>
      </c>
      <c r="J34" s="188">
        <v>-45457071.950000003</v>
      </c>
      <c r="K34" s="108"/>
      <c r="L34" s="108" t="s">
        <v>542</v>
      </c>
      <c r="M34" s="108"/>
      <c r="N34" s="11" t="s">
        <v>3917</v>
      </c>
    </row>
    <row r="35" spans="1:14" ht="13.5">
      <c r="A35" s="108">
        <f t="shared" si="2"/>
        <v>34</v>
      </c>
      <c r="B35" s="107">
        <f t="shared" si="3"/>
        <v>45852</v>
      </c>
      <c r="C35" s="107">
        <f t="shared" si="3"/>
        <v>45852</v>
      </c>
      <c r="D35" s="108"/>
      <c r="E35" s="108"/>
      <c r="F35" s="108"/>
      <c r="G35" s="162">
        <v>0</v>
      </c>
      <c r="H35" s="94">
        <v>0</v>
      </c>
      <c r="I35" s="157">
        <f t="shared" si="0"/>
        <v>0</v>
      </c>
      <c r="J35" s="188">
        <v>-45457071.950000003</v>
      </c>
      <c r="K35" s="108"/>
      <c r="L35" s="108" t="s">
        <v>542</v>
      </c>
      <c r="M35" s="108"/>
      <c r="N35" s="11" t="s">
        <v>3917</v>
      </c>
    </row>
    <row r="36" spans="1:14" ht="13.5">
      <c r="A36" s="108">
        <f t="shared" si="2"/>
        <v>35</v>
      </c>
      <c r="B36" s="107">
        <f t="shared" si="3"/>
        <v>45853</v>
      </c>
      <c r="C36" s="107">
        <f t="shared" si="3"/>
        <v>45853</v>
      </c>
      <c r="D36" s="108"/>
      <c r="E36" s="108"/>
      <c r="F36" s="108"/>
      <c r="G36" s="162">
        <v>0</v>
      </c>
      <c r="H36" s="94">
        <v>0</v>
      </c>
      <c r="I36" s="157">
        <f t="shared" si="0"/>
        <v>0</v>
      </c>
      <c r="J36" s="188">
        <v>-45457071.950000003</v>
      </c>
      <c r="K36" s="108"/>
      <c r="L36" s="108" t="s">
        <v>542</v>
      </c>
      <c r="M36" s="108"/>
      <c r="N36" s="11" t="s">
        <v>3917</v>
      </c>
    </row>
    <row r="37" spans="1:14" ht="13.5">
      <c r="A37" s="108">
        <f t="shared" si="2"/>
        <v>36</v>
      </c>
      <c r="B37" s="107">
        <f t="shared" si="3"/>
        <v>45854</v>
      </c>
      <c r="C37" s="107">
        <f t="shared" si="3"/>
        <v>45854</v>
      </c>
      <c r="D37" s="108"/>
      <c r="E37" s="108"/>
      <c r="F37" s="108"/>
      <c r="G37" s="162">
        <v>0</v>
      </c>
      <c r="H37" s="94">
        <v>0</v>
      </c>
      <c r="I37" s="157">
        <f t="shared" si="0"/>
        <v>0</v>
      </c>
      <c r="J37" s="188">
        <v>-45457071.950000003</v>
      </c>
      <c r="K37" s="108"/>
      <c r="L37" s="108" t="s">
        <v>542</v>
      </c>
      <c r="M37" s="108"/>
      <c r="N37" s="11" t="s">
        <v>3917</v>
      </c>
    </row>
    <row r="38" spans="1:14" ht="13.5">
      <c r="A38" s="108">
        <f t="shared" si="2"/>
        <v>37</v>
      </c>
      <c r="B38" s="107">
        <f t="shared" si="3"/>
        <v>45855</v>
      </c>
      <c r="C38" s="107">
        <f t="shared" si="3"/>
        <v>45855</v>
      </c>
      <c r="D38" s="108"/>
      <c r="E38" s="108"/>
      <c r="F38" s="108"/>
      <c r="G38" s="162">
        <v>0</v>
      </c>
      <c r="H38" s="94">
        <v>0</v>
      </c>
      <c r="I38" s="157">
        <f t="shared" si="0"/>
        <v>0</v>
      </c>
      <c r="J38" s="188">
        <v>-45457071.950000003</v>
      </c>
      <c r="K38" s="108"/>
      <c r="L38" s="108" t="s">
        <v>542</v>
      </c>
      <c r="M38" s="108"/>
      <c r="N38" s="11" t="s">
        <v>3917</v>
      </c>
    </row>
    <row r="39" spans="1:14" ht="13.5">
      <c r="A39" s="108">
        <f t="shared" si="2"/>
        <v>38</v>
      </c>
      <c r="B39" s="107">
        <f t="shared" si="3"/>
        <v>45856</v>
      </c>
      <c r="C39" s="107">
        <f t="shared" si="3"/>
        <v>45856</v>
      </c>
      <c r="D39" s="108"/>
      <c r="E39" s="108"/>
      <c r="F39" s="108"/>
      <c r="G39" s="162">
        <v>0</v>
      </c>
      <c r="H39" s="94">
        <v>0</v>
      </c>
      <c r="I39" s="157">
        <f t="shared" si="0"/>
        <v>0</v>
      </c>
      <c r="J39" s="188">
        <v>-45457071.950000003</v>
      </c>
      <c r="K39" s="108"/>
      <c r="L39" s="108" t="s">
        <v>542</v>
      </c>
      <c r="M39" s="108"/>
      <c r="N39" s="11" t="s">
        <v>3917</v>
      </c>
    </row>
    <row r="40" spans="1:14" ht="13.5">
      <c r="A40" s="108">
        <f t="shared" si="2"/>
        <v>39</v>
      </c>
      <c r="B40" s="107">
        <f t="shared" si="3"/>
        <v>45857</v>
      </c>
      <c r="C40" s="107">
        <f t="shared" si="3"/>
        <v>45857</v>
      </c>
      <c r="D40" s="108"/>
      <c r="E40" s="108"/>
      <c r="F40" s="108"/>
      <c r="G40" s="162">
        <v>0</v>
      </c>
      <c r="H40" s="94">
        <v>0</v>
      </c>
      <c r="I40" s="157">
        <f t="shared" ref="I40" si="4">H40-G40</f>
        <v>0</v>
      </c>
      <c r="J40" s="188">
        <v>-45457071.950000003</v>
      </c>
      <c r="K40" s="108"/>
      <c r="L40" s="108" t="s">
        <v>542</v>
      </c>
      <c r="M40" s="108"/>
      <c r="N40" s="11" t="s">
        <v>3917</v>
      </c>
    </row>
    <row r="41" spans="1:14" ht="13.5">
      <c r="A41" s="108">
        <f t="shared" si="2"/>
        <v>40</v>
      </c>
      <c r="B41" s="107">
        <f t="shared" ref="B41:C56" si="5">B40+1</f>
        <v>45858</v>
      </c>
      <c r="C41" s="107">
        <f t="shared" si="5"/>
        <v>45858</v>
      </c>
      <c r="D41" s="108"/>
      <c r="E41" s="108"/>
      <c r="F41" s="108"/>
      <c r="G41" s="108"/>
      <c r="H41" s="108"/>
      <c r="I41" s="108"/>
      <c r="J41" s="188">
        <v>-45457071.950000003</v>
      </c>
      <c r="K41" s="108"/>
      <c r="L41" s="108" t="s">
        <v>542</v>
      </c>
      <c r="M41" s="108"/>
      <c r="N41" s="11" t="s">
        <v>3917</v>
      </c>
    </row>
    <row r="42" spans="1:14" ht="13.5">
      <c r="A42" s="108">
        <f t="shared" si="2"/>
        <v>41</v>
      </c>
      <c r="B42" s="107">
        <f t="shared" si="5"/>
        <v>45859</v>
      </c>
      <c r="C42" s="107">
        <f t="shared" si="5"/>
        <v>45859</v>
      </c>
      <c r="D42" s="108"/>
      <c r="E42" s="108"/>
      <c r="F42" s="108"/>
      <c r="G42" s="108"/>
      <c r="H42" s="108"/>
      <c r="I42" s="108"/>
      <c r="J42" s="188">
        <v>-45457071.950000003</v>
      </c>
      <c r="K42" s="108"/>
      <c r="L42" s="108" t="s">
        <v>542</v>
      </c>
      <c r="M42" s="108"/>
      <c r="N42" s="11" t="s">
        <v>3917</v>
      </c>
    </row>
    <row r="43" spans="1:14" ht="13.5">
      <c r="A43" s="108">
        <f t="shared" si="2"/>
        <v>42</v>
      </c>
      <c r="B43" s="107">
        <f t="shared" si="5"/>
        <v>45860</v>
      </c>
      <c r="C43" s="107">
        <f t="shared" si="5"/>
        <v>45860</v>
      </c>
      <c r="D43" s="108"/>
      <c r="E43" s="108"/>
      <c r="F43" s="108"/>
      <c r="G43" s="108"/>
      <c r="H43" s="108"/>
      <c r="I43" s="108"/>
      <c r="J43" s="188">
        <v>-45457071.950000003</v>
      </c>
      <c r="K43" s="108"/>
      <c r="L43" s="108" t="s">
        <v>542</v>
      </c>
      <c r="M43" s="108"/>
      <c r="N43" s="11" t="s">
        <v>3917</v>
      </c>
    </row>
    <row r="44" spans="1:14" ht="13.5">
      <c r="A44" s="108">
        <f t="shared" si="2"/>
        <v>43</v>
      </c>
      <c r="B44" s="107">
        <f t="shared" si="5"/>
        <v>45861</v>
      </c>
      <c r="C44" s="107">
        <f t="shared" si="5"/>
        <v>45861</v>
      </c>
      <c r="D44" s="108"/>
      <c r="E44" s="108"/>
      <c r="F44" s="108"/>
      <c r="G44" s="108"/>
      <c r="H44" s="108"/>
      <c r="I44" s="108"/>
      <c r="J44" s="188">
        <v>-45457071.950000003</v>
      </c>
      <c r="K44" s="108"/>
      <c r="L44" s="108" t="s">
        <v>542</v>
      </c>
      <c r="M44" s="108"/>
      <c r="N44" s="11" t="s">
        <v>3917</v>
      </c>
    </row>
    <row r="45" spans="1:14" ht="13.5">
      <c r="A45" s="108">
        <f t="shared" si="2"/>
        <v>44</v>
      </c>
      <c r="B45" s="107">
        <f t="shared" si="5"/>
        <v>45862</v>
      </c>
      <c r="C45" s="1175">
        <f t="shared" si="5"/>
        <v>45862</v>
      </c>
      <c r="D45" s="108"/>
      <c r="E45" s="108"/>
      <c r="F45" s="108"/>
      <c r="G45" s="108"/>
      <c r="H45" s="108"/>
      <c r="I45" s="108"/>
      <c r="J45" s="188">
        <v>-45457071.950000003</v>
      </c>
      <c r="K45" s="108"/>
      <c r="L45" s="108" t="s">
        <v>542</v>
      </c>
      <c r="M45" s="108"/>
      <c r="N45" s="11" t="s">
        <v>3917</v>
      </c>
    </row>
    <row r="46" spans="1:14" ht="13.5">
      <c r="A46" s="108"/>
      <c r="B46" s="108"/>
      <c r="C46" s="1175">
        <f t="shared" si="5"/>
        <v>45863</v>
      </c>
      <c r="D46" s="108"/>
      <c r="E46" s="108"/>
      <c r="F46" s="108"/>
      <c r="G46" s="108"/>
      <c r="H46" s="108"/>
      <c r="I46" s="254">
        <f>H46-G46</f>
        <v>0</v>
      </c>
      <c r="J46" s="108">
        <v>-45457058.950000003</v>
      </c>
      <c r="K46" s="108"/>
      <c r="L46" s="1213">
        <v>0</v>
      </c>
      <c r="M46" s="108"/>
      <c r="N46" s="11" t="s">
        <v>3917</v>
      </c>
    </row>
    <row r="47" spans="1:14" ht="13.5">
      <c r="A47" s="108"/>
      <c r="B47" s="108"/>
      <c r="C47" s="1175">
        <f t="shared" si="5"/>
        <v>45864</v>
      </c>
      <c r="D47" s="108"/>
      <c r="E47" s="108"/>
      <c r="F47" s="108"/>
      <c r="G47" s="108"/>
      <c r="H47" s="108"/>
      <c r="I47" s="254">
        <f t="shared" ref="I47:I86" si="6">H47-G47</f>
        <v>0</v>
      </c>
      <c r="J47" s="108">
        <v>-45457057.950000003</v>
      </c>
      <c r="K47" s="108"/>
      <c r="L47" s="1213">
        <v>0</v>
      </c>
      <c r="M47" s="108"/>
      <c r="N47" s="11" t="s">
        <v>3917</v>
      </c>
    </row>
    <row r="48" spans="1:14" ht="13.5">
      <c r="A48" s="108"/>
      <c r="B48" s="108"/>
      <c r="C48" s="1175">
        <f t="shared" si="5"/>
        <v>45865</v>
      </c>
      <c r="D48" s="108"/>
      <c r="E48" s="108"/>
      <c r="F48" s="108"/>
      <c r="G48" s="108"/>
      <c r="H48" s="108"/>
      <c r="I48" s="254">
        <f t="shared" si="6"/>
        <v>0</v>
      </c>
      <c r="J48" s="108">
        <v>-45457056.950000003</v>
      </c>
      <c r="K48" s="108"/>
      <c r="L48" s="1213">
        <v>0</v>
      </c>
      <c r="M48" s="108"/>
      <c r="N48" s="11" t="s">
        <v>3917</v>
      </c>
    </row>
    <row r="49" spans="1:14" ht="13.5">
      <c r="A49" s="108"/>
      <c r="B49" s="108"/>
      <c r="C49" s="1175">
        <f t="shared" si="5"/>
        <v>45866</v>
      </c>
      <c r="D49" s="108"/>
      <c r="E49" s="108"/>
      <c r="F49" s="108"/>
      <c r="G49" s="108"/>
      <c r="H49" s="108"/>
      <c r="I49" s="254">
        <f t="shared" si="6"/>
        <v>0</v>
      </c>
      <c r="J49" s="108">
        <v>-45457055.950000003</v>
      </c>
      <c r="K49" s="108"/>
      <c r="L49" s="1213">
        <v>0</v>
      </c>
      <c r="M49" s="108"/>
      <c r="N49" s="11" t="s">
        <v>3917</v>
      </c>
    </row>
    <row r="50" spans="1:14" ht="13.5">
      <c r="A50" s="108"/>
      <c r="B50" s="108"/>
      <c r="C50" s="1175">
        <f t="shared" si="5"/>
        <v>45867</v>
      </c>
      <c r="D50" s="108"/>
      <c r="E50" s="108"/>
      <c r="F50" s="108"/>
      <c r="G50" s="108"/>
      <c r="H50" s="108"/>
      <c r="I50" s="254">
        <f t="shared" si="6"/>
        <v>0</v>
      </c>
      <c r="J50" s="108">
        <v>-45457054.950000003</v>
      </c>
      <c r="K50" s="108"/>
      <c r="L50" s="1213">
        <v>0</v>
      </c>
      <c r="M50" s="108"/>
      <c r="N50" s="11" t="s">
        <v>3917</v>
      </c>
    </row>
    <row r="51" spans="1:14" ht="13.5">
      <c r="A51" s="108"/>
      <c r="B51" s="108"/>
      <c r="C51" s="1175">
        <f t="shared" si="5"/>
        <v>45868</v>
      </c>
      <c r="D51" s="108"/>
      <c r="E51" s="108"/>
      <c r="F51" s="108"/>
      <c r="G51" s="108"/>
      <c r="H51" s="108"/>
      <c r="I51" s="254">
        <f t="shared" si="6"/>
        <v>0</v>
      </c>
      <c r="J51" s="108">
        <v>-45457053.950000003</v>
      </c>
      <c r="K51" s="108"/>
      <c r="L51" s="1213">
        <v>0</v>
      </c>
      <c r="M51" s="108"/>
      <c r="N51" s="11" t="s">
        <v>3917</v>
      </c>
    </row>
    <row r="52" spans="1:14" ht="13.5">
      <c r="A52" s="108"/>
      <c r="B52" s="108"/>
      <c r="C52" s="1176">
        <f t="shared" si="5"/>
        <v>45869</v>
      </c>
      <c r="D52" s="108"/>
      <c r="E52" s="108"/>
      <c r="F52" s="108"/>
      <c r="G52" s="108">
        <v>347465</v>
      </c>
      <c r="H52" s="108"/>
      <c r="I52" s="254">
        <f t="shared" si="6"/>
        <v>-347465</v>
      </c>
      <c r="J52" s="108">
        <v>-45804536.950000003</v>
      </c>
      <c r="K52" s="108"/>
      <c r="L52" s="11" t="s">
        <v>3717</v>
      </c>
      <c r="M52" s="108"/>
    </row>
    <row r="53" spans="1:14" ht="13.5">
      <c r="A53" s="108"/>
      <c r="B53" s="108"/>
      <c r="C53" s="1176">
        <f t="shared" si="5"/>
        <v>45870</v>
      </c>
      <c r="D53" s="108"/>
      <c r="E53" s="108"/>
      <c r="F53" s="108"/>
      <c r="G53" s="108">
        <v>0</v>
      </c>
      <c r="H53" s="108">
        <v>500000</v>
      </c>
      <c r="I53" s="254">
        <f t="shared" si="6"/>
        <v>500000</v>
      </c>
      <c r="J53" s="108">
        <v>-45304536.950000003</v>
      </c>
      <c r="K53" s="108"/>
      <c r="L53" s="1177" t="s">
        <v>3718</v>
      </c>
      <c r="M53" s="108"/>
      <c r="N53" s="11" t="s">
        <v>3917</v>
      </c>
    </row>
    <row r="54" spans="1:14" ht="13.5">
      <c r="A54" s="108"/>
      <c r="B54" s="108"/>
      <c r="C54" s="1175">
        <f t="shared" si="5"/>
        <v>45871</v>
      </c>
      <c r="D54" s="108"/>
      <c r="E54" s="108"/>
      <c r="F54" s="108"/>
      <c r="G54" s="108"/>
      <c r="H54" s="108"/>
      <c r="I54" s="254">
        <f t="shared" si="6"/>
        <v>0</v>
      </c>
      <c r="J54" s="108">
        <v>-45304536.950000003</v>
      </c>
      <c r="K54" s="108"/>
      <c r="L54" s="1177" t="s">
        <v>3718</v>
      </c>
      <c r="M54" s="108"/>
      <c r="N54" s="11" t="s">
        <v>3917</v>
      </c>
    </row>
    <row r="55" spans="1:14" ht="13.5">
      <c r="A55" s="108"/>
      <c r="B55" s="108"/>
      <c r="C55" s="1175">
        <f t="shared" si="5"/>
        <v>45872</v>
      </c>
      <c r="D55" s="108"/>
      <c r="E55" s="108"/>
      <c r="F55" s="108"/>
      <c r="G55" s="108"/>
      <c r="H55" s="108"/>
      <c r="I55" s="254">
        <f t="shared" si="6"/>
        <v>0</v>
      </c>
      <c r="J55" s="108">
        <v>-45304536.950000003</v>
      </c>
      <c r="K55" s="108"/>
      <c r="L55" s="1177" t="s">
        <v>3718</v>
      </c>
      <c r="M55" s="108"/>
      <c r="N55" s="11" t="s">
        <v>3917</v>
      </c>
    </row>
    <row r="56" spans="1:14" ht="13.5">
      <c r="A56" s="108"/>
      <c r="B56" s="108"/>
      <c r="C56" s="1175">
        <f t="shared" si="5"/>
        <v>45873</v>
      </c>
      <c r="D56" s="108"/>
      <c r="E56" s="108"/>
      <c r="F56" s="108"/>
      <c r="G56" s="108"/>
      <c r="H56" s="108"/>
      <c r="I56" s="254">
        <f t="shared" si="6"/>
        <v>0</v>
      </c>
      <c r="J56" s="108">
        <v>-45304536.950000003</v>
      </c>
      <c r="K56" s="108"/>
      <c r="L56" s="1177" t="s">
        <v>3718</v>
      </c>
      <c r="M56" s="108"/>
      <c r="N56" s="11" t="s">
        <v>3917</v>
      </c>
    </row>
    <row r="57" spans="1:14" ht="13.5">
      <c r="A57" s="108"/>
      <c r="B57" s="108"/>
      <c r="C57" s="1175">
        <f>C56+1</f>
        <v>45874</v>
      </c>
      <c r="D57" s="108"/>
      <c r="E57" s="108"/>
      <c r="F57" s="108"/>
      <c r="G57" s="108"/>
      <c r="H57" s="108"/>
      <c r="I57" s="254">
        <f t="shared" si="6"/>
        <v>0</v>
      </c>
      <c r="J57" s="108">
        <v>-45304536.950000003</v>
      </c>
      <c r="K57" s="108"/>
      <c r="L57" s="1177" t="s">
        <v>3718</v>
      </c>
      <c r="M57" s="108"/>
      <c r="N57" s="11" t="s">
        <v>3917</v>
      </c>
    </row>
    <row r="58" spans="1:14" ht="13.5">
      <c r="A58" s="108"/>
      <c r="B58" s="108"/>
      <c r="C58" s="1175">
        <f t="shared" ref="C58:C62" si="7">C57+1</f>
        <v>45875</v>
      </c>
      <c r="D58" s="108"/>
      <c r="E58" s="108"/>
      <c r="F58" s="108"/>
      <c r="G58" s="108"/>
      <c r="H58" s="108"/>
      <c r="I58" s="254">
        <f t="shared" si="6"/>
        <v>0</v>
      </c>
      <c r="J58" s="108">
        <v>-45304536.950000003</v>
      </c>
      <c r="K58" s="108"/>
      <c r="L58" s="1177" t="s">
        <v>3718</v>
      </c>
      <c r="M58" s="108"/>
      <c r="N58" s="11" t="s">
        <v>3917</v>
      </c>
    </row>
    <row r="59" spans="1:14" ht="15.75">
      <c r="A59" s="108"/>
      <c r="B59" s="108"/>
      <c r="C59" s="1175">
        <f t="shared" si="7"/>
        <v>45876</v>
      </c>
      <c r="D59" s="108"/>
      <c r="E59" s="108"/>
      <c r="F59" s="108"/>
      <c r="G59" s="108"/>
      <c r="H59" s="108"/>
      <c r="I59" s="254">
        <f t="shared" si="6"/>
        <v>0</v>
      </c>
      <c r="J59" s="108">
        <v>-45304536.950000003</v>
      </c>
      <c r="K59" s="108"/>
      <c r="L59" s="250" t="s">
        <v>3718</v>
      </c>
      <c r="M59" s="108"/>
      <c r="N59" s="11" t="s">
        <v>3917</v>
      </c>
    </row>
    <row r="60" spans="1:14" ht="13.5">
      <c r="A60" s="108"/>
      <c r="B60" s="108"/>
      <c r="C60" s="1175">
        <f t="shared" si="7"/>
        <v>45877</v>
      </c>
      <c r="D60" s="108"/>
      <c r="E60" s="108"/>
      <c r="F60" s="108"/>
      <c r="G60" s="108"/>
      <c r="H60" s="108"/>
      <c r="I60" s="254">
        <f t="shared" si="6"/>
        <v>0</v>
      </c>
      <c r="J60" s="108">
        <v>-45304536.950000003</v>
      </c>
      <c r="K60" s="108"/>
      <c r="L60" s="1177" t="s">
        <v>3718</v>
      </c>
      <c r="M60" s="108"/>
      <c r="N60" s="11" t="s">
        <v>3917</v>
      </c>
    </row>
    <row r="61" spans="1:14" ht="13.5">
      <c r="A61" s="108"/>
      <c r="B61" s="108"/>
      <c r="C61" s="1175">
        <f t="shared" si="7"/>
        <v>45878</v>
      </c>
      <c r="D61" s="108"/>
      <c r="E61" s="108"/>
      <c r="F61" s="108"/>
      <c r="G61" s="108"/>
      <c r="H61" s="108"/>
      <c r="I61" s="254">
        <f t="shared" si="6"/>
        <v>0</v>
      </c>
      <c r="J61" s="108">
        <v>-45304536.950000003</v>
      </c>
      <c r="K61" s="108"/>
      <c r="L61" s="1177" t="s">
        <v>3718</v>
      </c>
      <c r="M61" s="108"/>
      <c r="N61" s="11" t="s">
        <v>3917</v>
      </c>
    </row>
    <row r="62" spans="1:14" ht="14.25" thickBot="1">
      <c r="C62" s="1175">
        <f t="shared" si="7"/>
        <v>45879</v>
      </c>
      <c r="I62" s="254">
        <f t="shared" si="6"/>
        <v>0</v>
      </c>
      <c r="J62" s="11">
        <v>-45304536.950000003</v>
      </c>
      <c r="L62" s="1177" t="s">
        <v>3718</v>
      </c>
      <c r="N62" s="11" t="s">
        <v>3917</v>
      </c>
    </row>
    <row r="63" spans="1:14" ht="14.25" thickBot="1">
      <c r="C63" s="1174">
        <v>45880</v>
      </c>
      <c r="G63" s="11">
        <v>4000000</v>
      </c>
      <c r="H63" s="11">
        <v>0</v>
      </c>
      <c r="I63" s="254">
        <f t="shared" si="6"/>
        <v>-4000000</v>
      </c>
      <c r="J63" s="11">
        <v>-49304536.950000003</v>
      </c>
      <c r="L63" s="1177" t="s">
        <v>3718</v>
      </c>
      <c r="N63" s="11" t="s">
        <v>3917</v>
      </c>
    </row>
    <row r="64" spans="1:14" ht="14.25" thickBot="1">
      <c r="C64" s="1174">
        <v>45880</v>
      </c>
      <c r="G64" s="11">
        <v>483582</v>
      </c>
      <c r="H64" s="11">
        <v>0</v>
      </c>
      <c r="I64" s="254">
        <f t="shared" si="6"/>
        <v>-483582</v>
      </c>
      <c r="J64" s="11">
        <v>-49788118.950000003</v>
      </c>
      <c r="L64" s="1177" t="s">
        <v>542</v>
      </c>
      <c r="N64" s="11" t="s">
        <v>3917</v>
      </c>
    </row>
    <row r="65" spans="3:14" ht="13.5">
      <c r="C65" s="1175">
        <f t="shared" ref="C65:C70" si="8">C64+1</f>
        <v>45881</v>
      </c>
      <c r="I65" s="254">
        <f t="shared" si="6"/>
        <v>0</v>
      </c>
      <c r="J65" s="11">
        <v>-49788118.950000003</v>
      </c>
      <c r="L65" s="1177" t="s">
        <v>542</v>
      </c>
      <c r="N65" s="11" t="s">
        <v>3917</v>
      </c>
    </row>
    <row r="66" spans="3:14" ht="13.5">
      <c r="C66" s="1175">
        <f t="shared" si="8"/>
        <v>45882</v>
      </c>
      <c r="I66" s="254">
        <f t="shared" si="6"/>
        <v>0</v>
      </c>
      <c r="J66" s="11">
        <v>-49788118.950000003</v>
      </c>
      <c r="L66" s="1177" t="s">
        <v>542</v>
      </c>
      <c r="N66" s="11" t="s">
        <v>3917</v>
      </c>
    </row>
    <row r="67" spans="3:14" ht="13.5">
      <c r="C67" s="1175">
        <f t="shared" si="8"/>
        <v>45883</v>
      </c>
      <c r="G67" s="11">
        <v>11729</v>
      </c>
      <c r="I67" s="254">
        <f t="shared" si="6"/>
        <v>-11729</v>
      </c>
      <c r="J67" s="11">
        <v>-49799847.950000003</v>
      </c>
      <c r="L67" s="1177" t="s">
        <v>3726</v>
      </c>
      <c r="N67" s="11" t="s">
        <v>3917</v>
      </c>
    </row>
    <row r="68" spans="3:14" ht="13.5">
      <c r="C68" s="1175">
        <f t="shared" si="8"/>
        <v>45884</v>
      </c>
      <c r="I68" s="254">
        <f t="shared" si="6"/>
        <v>0</v>
      </c>
      <c r="J68" s="11">
        <v>-49799847.950000003</v>
      </c>
      <c r="L68" s="1177" t="s">
        <v>3726</v>
      </c>
      <c r="N68" s="11" t="s">
        <v>3917</v>
      </c>
    </row>
    <row r="69" spans="3:14" ht="13.5">
      <c r="C69" s="1175">
        <f t="shared" si="8"/>
        <v>45885</v>
      </c>
      <c r="I69" s="254">
        <f t="shared" si="6"/>
        <v>0</v>
      </c>
      <c r="J69" s="11">
        <v>-49799847.950000003</v>
      </c>
      <c r="L69" s="1177" t="s">
        <v>3726</v>
      </c>
      <c r="N69" s="11" t="s">
        <v>3917</v>
      </c>
    </row>
    <row r="70" spans="3:14" ht="13.5">
      <c r="C70" s="1175">
        <f t="shared" si="8"/>
        <v>45886</v>
      </c>
      <c r="I70" s="254">
        <f t="shared" si="6"/>
        <v>0</v>
      </c>
      <c r="J70" s="11">
        <v>-49799847.950000003</v>
      </c>
      <c r="L70" s="1177" t="s">
        <v>3726</v>
      </c>
      <c r="N70" s="11" t="s">
        <v>3917</v>
      </c>
    </row>
    <row r="71" spans="3:14" ht="13.5">
      <c r="C71" s="1175">
        <f>C70+1</f>
        <v>45887</v>
      </c>
      <c r="H71" s="11">
        <v>50000000</v>
      </c>
      <c r="I71" s="254">
        <f t="shared" si="6"/>
        <v>50000000</v>
      </c>
      <c r="J71" s="11">
        <v>200152.04999999702</v>
      </c>
      <c r="L71" s="1177" t="s">
        <v>3721</v>
      </c>
      <c r="N71" s="11" t="s">
        <v>3917</v>
      </c>
    </row>
    <row r="72" spans="3:14" ht="13.5">
      <c r="C72" s="1175">
        <f>C71+1</f>
        <v>45888</v>
      </c>
      <c r="I72" s="254">
        <f t="shared" si="6"/>
        <v>0</v>
      </c>
      <c r="J72" s="11">
        <v>200152.04999999702</v>
      </c>
      <c r="L72" s="1177" t="s">
        <v>3721</v>
      </c>
      <c r="N72" s="11" t="s">
        <v>3917</v>
      </c>
    </row>
    <row r="73" spans="3:14" ht="13.5">
      <c r="C73" s="1175">
        <v>45889</v>
      </c>
      <c r="I73" s="254">
        <f t="shared" si="6"/>
        <v>0</v>
      </c>
      <c r="J73" s="11">
        <v>200152.04999999702</v>
      </c>
      <c r="L73" s="1177" t="s">
        <v>3721</v>
      </c>
      <c r="N73" s="11" t="s">
        <v>3917</v>
      </c>
    </row>
    <row r="74" spans="3:14" ht="13.5">
      <c r="C74" s="1175">
        <f t="shared" ref="C74:C79" si="9">C73+1</f>
        <v>45890</v>
      </c>
      <c r="I74" s="254">
        <f t="shared" si="6"/>
        <v>0</v>
      </c>
      <c r="J74" s="11">
        <v>200152.04999999702</v>
      </c>
      <c r="L74" s="1177" t="s">
        <v>3721</v>
      </c>
      <c r="N74" s="11" t="s">
        <v>3917</v>
      </c>
    </row>
    <row r="75" spans="3:14" ht="13.5">
      <c r="C75" s="1175">
        <f t="shared" si="9"/>
        <v>45891</v>
      </c>
      <c r="I75" s="254">
        <f t="shared" si="6"/>
        <v>0</v>
      </c>
      <c r="J75" s="11">
        <v>200152.04999999702</v>
      </c>
      <c r="L75" s="1177" t="s">
        <v>3721</v>
      </c>
      <c r="N75" s="11" t="s">
        <v>3917</v>
      </c>
    </row>
    <row r="76" spans="3:14" ht="13.5">
      <c r="C76" s="1175">
        <f t="shared" si="9"/>
        <v>45892</v>
      </c>
      <c r="I76" s="254">
        <f t="shared" si="6"/>
        <v>0</v>
      </c>
      <c r="J76" s="11">
        <v>200152.04999999702</v>
      </c>
      <c r="L76" s="1177" t="s">
        <v>3721</v>
      </c>
      <c r="N76" s="11" t="s">
        <v>3917</v>
      </c>
    </row>
    <row r="77" spans="3:14" ht="13.5">
      <c r="C77" s="1175">
        <f t="shared" si="9"/>
        <v>45893</v>
      </c>
      <c r="I77" s="254">
        <f t="shared" si="6"/>
        <v>0</v>
      </c>
      <c r="J77" s="11">
        <v>200152.04999999702</v>
      </c>
      <c r="L77" s="1177" t="s">
        <v>3721</v>
      </c>
      <c r="N77" s="11" t="s">
        <v>3917</v>
      </c>
    </row>
    <row r="78" spans="3:14" ht="13.5">
      <c r="C78" s="1175">
        <f t="shared" si="9"/>
        <v>45894</v>
      </c>
      <c r="I78" s="254">
        <f t="shared" si="6"/>
        <v>0</v>
      </c>
      <c r="J78" s="11">
        <v>200152.04999999702</v>
      </c>
      <c r="L78" s="1177" t="s">
        <v>3721</v>
      </c>
      <c r="N78" s="11" t="s">
        <v>3917</v>
      </c>
    </row>
    <row r="79" spans="3:14" ht="13.5">
      <c r="C79" s="1175">
        <f t="shared" si="9"/>
        <v>45895</v>
      </c>
      <c r="I79" s="254">
        <f t="shared" si="6"/>
        <v>0</v>
      </c>
      <c r="J79" s="11">
        <v>200152.04999999702</v>
      </c>
      <c r="L79" s="1177" t="s">
        <v>3721</v>
      </c>
      <c r="N79" s="11" t="s">
        <v>3917</v>
      </c>
    </row>
    <row r="80" spans="3:14" ht="13.5">
      <c r="C80" s="1175">
        <f>C79+1</f>
        <v>45896</v>
      </c>
      <c r="I80" s="254">
        <f t="shared" si="6"/>
        <v>0</v>
      </c>
      <c r="J80" s="11">
        <v>200152.04999999702</v>
      </c>
      <c r="L80" s="1177" t="s">
        <v>3721</v>
      </c>
      <c r="N80" s="11" t="s">
        <v>3917</v>
      </c>
    </row>
    <row r="81" spans="3:14" ht="13.5">
      <c r="C81" s="1175">
        <f t="shared" ref="C81:C82" si="10">C80+1</f>
        <v>45897</v>
      </c>
      <c r="I81" s="254">
        <f t="shared" si="6"/>
        <v>0</v>
      </c>
      <c r="J81" s="11">
        <v>200152.04999999702</v>
      </c>
      <c r="L81" s="1177" t="s">
        <v>3721</v>
      </c>
      <c r="N81" s="11" t="s">
        <v>3917</v>
      </c>
    </row>
    <row r="82" spans="3:14" ht="14.25" thickBot="1">
      <c r="C82" s="1175">
        <f t="shared" si="10"/>
        <v>45898</v>
      </c>
      <c r="I82" s="254">
        <f t="shared" si="6"/>
        <v>0</v>
      </c>
      <c r="J82" s="11">
        <v>200152.04999999702</v>
      </c>
      <c r="L82" s="1177" t="s">
        <v>3721</v>
      </c>
      <c r="N82" s="11" t="s">
        <v>3917</v>
      </c>
    </row>
    <row r="83" spans="3:14" ht="14.25" thickBot="1">
      <c r="C83" s="1174">
        <v>45899</v>
      </c>
      <c r="G83" s="11">
        <v>0</v>
      </c>
      <c r="H83" s="11">
        <v>500000</v>
      </c>
      <c r="I83" s="254">
        <f t="shared" si="6"/>
        <v>500000</v>
      </c>
      <c r="J83" s="11">
        <v>700152.04999999702</v>
      </c>
      <c r="L83" s="1178" t="s">
        <v>3718</v>
      </c>
      <c r="N83" s="11" t="s">
        <v>3917</v>
      </c>
    </row>
    <row r="84" spans="3:14" ht="14.25" thickBot="1">
      <c r="C84" s="1174">
        <v>45900</v>
      </c>
      <c r="I84" s="254">
        <f t="shared" si="6"/>
        <v>0</v>
      </c>
      <c r="J84" s="11">
        <v>700152.04999999702</v>
      </c>
      <c r="L84" s="1177" t="s">
        <v>3718</v>
      </c>
      <c r="N84" s="11" t="s">
        <v>3917</v>
      </c>
    </row>
    <row r="85" spans="3:14" ht="14.25" thickBot="1">
      <c r="C85" s="1174">
        <v>45901</v>
      </c>
      <c r="G85" s="11">
        <v>197657</v>
      </c>
      <c r="H85" s="11">
        <v>0</v>
      </c>
      <c r="I85" s="254">
        <f t="shared" si="6"/>
        <v>-197657</v>
      </c>
      <c r="J85" s="11">
        <v>502495.04999999702</v>
      </c>
      <c r="L85" s="1177" t="s">
        <v>3717</v>
      </c>
    </row>
    <row r="86" spans="3:14" ht="13.5">
      <c r="C86" s="1175">
        <f>C85+1</f>
        <v>45902</v>
      </c>
      <c r="I86" s="254">
        <f t="shared" si="6"/>
        <v>0</v>
      </c>
      <c r="J86" s="11">
        <v>502495.04999999702</v>
      </c>
      <c r="L86" s="11" t="s">
        <v>3717</v>
      </c>
    </row>
  </sheetData>
  <autoFilter ref="A1:N86" xr:uid="{83C85689-9256-4C26-BCE7-CFEBC07B747D}"/>
  <dataValidations disablePrompts="1" count="1">
    <dataValidation type="list" allowBlank="1" showInputMessage="1" showErrorMessage="1" sqref="L6:L9 L12:L15 L2:L4 L17:L19" xr:uid="{8A51887B-80A2-43F8-87DF-080A9EC889D5}">
      <formula1>#REF!</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3ADC9-2AF4-41A0-96EA-081D62DA60CA}">
  <dimension ref="A1:AI1411"/>
  <sheetViews>
    <sheetView tabSelected="1" zoomScale="90" zoomScaleNormal="90" workbookViewId="0">
      <pane xSplit="7" ySplit="1" topLeftCell="K2" activePane="bottomRight" state="frozen"/>
      <selection activeCell="J61" sqref="J61"/>
      <selection pane="topRight" activeCell="J61" sqref="J61"/>
      <selection pane="bottomLeft" activeCell="J61" sqref="J61"/>
      <selection pane="bottomRight"/>
    </sheetView>
  </sheetViews>
  <sheetFormatPr defaultRowHeight="15.75"/>
  <cols>
    <col min="1" max="1" width="13.33203125" customWidth="1"/>
    <col min="2" max="2" width="8.88671875" style="29" bestFit="1" customWidth="1"/>
    <col min="3" max="3" width="8.5546875" style="29" customWidth="1"/>
    <col min="4" max="4" width="10.6640625" bestFit="1" customWidth="1"/>
    <col min="5" max="5" width="12.21875" style="1" bestFit="1" customWidth="1"/>
    <col min="6" max="6" width="12" bestFit="1" customWidth="1"/>
    <col min="7" max="7" width="14.77734375" bestFit="1" customWidth="1"/>
    <col min="8" max="8" width="10.6640625" customWidth="1"/>
    <col min="9" max="9" width="12.33203125" bestFit="1" customWidth="1"/>
    <col min="10" max="10" width="14.77734375" bestFit="1" customWidth="1"/>
    <col min="11" max="11" width="14.88671875" bestFit="1" customWidth="1"/>
    <col min="13" max="13" width="7.21875" bestFit="1" customWidth="1"/>
    <col min="14" max="14" width="9" style="55" bestFit="1" customWidth="1"/>
    <col min="17" max="17" width="13" customWidth="1"/>
  </cols>
  <sheetData>
    <row r="1" spans="1:35" ht="30.75" thickBot="1">
      <c r="A1" s="1252" t="s">
        <v>898</v>
      </c>
      <c r="B1" s="1253" t="s">
        <v>860</v>
      </c>
      <c r="C1" s="1254" t="s">
        <v>4903</v>
      </c>
      <c r="D1" s="1255" t="s">
        <v>899</v>
      </c>
      <c r="E1" s="1256" t="s">
        <v>2</v>
      </c>
      <c r="F1" s="1257" t="s">
        <v>900</v>
      </c>
      <c r="G1" s="1258" t="s">
        <v>1242</v>
      </c>
      <c r="H1" s="1256" t="s">
        <v>901</v>
      </c>
      <c r="I1" s="1259" t="s">
        <v>902</v>
      </c>
      <c r="J1" s="1260" t="s">
        <v>903</v>
      </c>
      <c r="K1" s="1256" t="s">
        <v>904</v>
      </c>
      <c r="L1" s="1256" t="s">
        <v>905</v>
      </c>
      <c r="M1" s="1256" t="s">
        <v>906</v>
      </c>
      <c r="N1" s="79" t="s">
        <v>861</v>
      </c>
      <c r="O1" s="80" t="s">
        <v>907</v>
      </c>
      <c r="P1" s="81" t="s">
        <v>4667</v>
      </c>
      <c r="Q1" s="1306" t="s">
        <v>4910</v>
      </c>
      <c r="R1" s="23"/>
      <c r="S1" s="23"/>
      <c r="T1" s="23"/>
      <c r="U1" s="23"/>
      <c r="V1" s="23"/>
      <c r="W1" s="23"/>
      <c r="X1" s="23"/>
      <c r="Y1" s="23"/>
      <c r="Z1" s="23"/>
      <c r="AA1" s="23"/>
      <c r="AB1" s="23"/>
      <c r="AC1" s="23"/>
      <c r="AD1" s="23"/>
      <c r="AE1" s="23"/>
      <c r="AF1" s="23"/>
      <c r="AG1" s="23"/>
      <c r="AH1" s="23"/>
      <c r="AI1" s="23"/>
    </row>
    <row r="2" spans="1:35">
      <c r="A2" s="1305" t="s">
        <v>3719</v>
      </c>
      <c r="B2" s="1262">
        <v>45809</v>
      </c>
      <c r="C2" s="1262" cm="1">
        <f t="array" aca="1" ref="C2" ca="1">_xlfn.IFS(I2&gt;1,B2,B2&lt;TODAY(),TODAY(),B2&gt;TODAY(),B2,B2=TODAY(),TODAY())</f>
        <v>45809</v>
      </c>
      <c r="D2" s="1263" t="s">
        <v>908</v>
      </c>
      <c r="E2" s="1264">
        <v>45719</v>
      </c>
      <c r="F2" s="1265" t="s">
        <v>4668</v>
      </c>
      <c r="G2" s="1266">
        <v>52215</v>
      </c>
      <c r="H2" s="1262">
        <v>45831</v>
      </c>
      <c r="I2" s="1267">
        <f t="shared" ref="I2:I27" si="0">G2</f>
        <v>52215</v>
      </c>
      <c r="J2" s="1268">
        <f t="shared" ref="J2:J65" si="1">G2-I2</f>
        <v>0</v>
      </c>
      <c r="K2" s="1269">
        <f>G2-I2</f>
        <v>0</v>
      </c>
      <c r="L2" s="1270"/>
      <c r="M2" s="1270"/>
      <c r="N2" s="1271"/>
      <c r="O2" s="1272"/>
      <c r="P2" s="49" t="s">
        <v>1215</v>
      </c>
      <c r="Q2" s="1307" t="s">
        <v>4911</v>
      </c>
    </row>
    <row r="3" spans="1:35">
      <c r="A3" s="1305" t="s">
        <v>3719</v>
      </c>
      <c r="B3" s="1262">
        <v>45809</v>
      </c>
      <c r="C3" s="1262" cm="1">
        <f t="array" aca="1" ref="C3" ca="1">_xlfn.IFS(I3&gt;1,B3,B3&lt;TODAY(),TODAY(),B3&gt;TODAY(),B3,B3=TODAY(),TODAY())</f>
        <v>45809</v>
      </c>
      <c r="D3" s="1263" t="s">
        <v>908</v>
      </c>
      <c r="E3" s="1264">
        <v>45719</v>
      </c>
      <c r="F3" s="1265" t="s">
        <v>4669</v>
      </c>
      <c r="G3" s="1266">
        <v>1333164</v>
      </c>
      <c r="H3" s="1262">
        <v>45831</v>
      </c>
      <c r="I3" s="1267">
        <f t="shared" si="0"/>
        <v>1333164</v>
      </c>
      <c r="J3" s="1268">
        <f t="shared" si="1"/>
        <v>0</v>
      </c>
      <c r="K3" s="1269">
        <f t="shared" ref="K3:K66" si="2">K2+G3-I3</f>
        <v>0</v>
      </c>
      <c r="L3" s="1270"/>
      <c r="M3" s="1270"/>
      <c r="N3" s="1271"/>
      <c r="O3" s="1272"/>
      <c r="P3" s="49" t="s">
        <v>1215</v>
      </c>
      <c r="Q3" s="1308" t="s">
        <v>4911</v>
      </c>
      <c r="R3" s="22"/>
      <c r="S3" s="22"/>
      <c r="T3" s="22"/>
      <c r="U3" s="22"/>
      <c r="V3" s="22"/>
      <c r="W3" s="22"/>
      <c r="X3" s="22"/>
      <c r="Y3" s="22"/>
      <c r="Z3" s="22"/>
      <c r="AA3" s="22"/>
      <c r="AB3" s="22"/>
      <c r="AC3" s="22"/>
      <c r="AD3" s="22"/>
      <c r="AE3" s="22"/>
      <c r="AF3" s="22"/>
      <c r="AG3" s="22"/>
      <c r="AH3" s="22"/>
      <c r="AI3" s="22"/>
    </row>
    <row r="4" spans="1:35">
      <c r="A4" s="1305" t="s">
        <v>3719</v>
      </c>
      <c r="B4" s="1262">
        <v>45809</v>
      </c>
      <c r="C4" s="1262" cm="1">
        <f t="array" aca="1" ref="C4" ca="1">_xlfn.IFS(I4&gt;1,B4,B4&lt;TODAY(),TODAY(),B4&gt;TODAY(),B4,B4=TODAY(),TODAY())</f>
        <v>45809</v>
      </c>
      <c r="D4" s="1263" t="s">
        <v>908</v>
      </c>
      <c r="E4" s="1264">
        <v>45719</v>
      </c>
      <c r="F4" s="1265" t="s">
        <v>4670</v>
      </c>
      <c r="G4" s="1266">
        <v>12189518</v>
      </c>
      <c r="H4" s="1262">
        <v>45831</v>
      </c>
      <c r="I4" s="1267">
        <f t="shared" si="0"/>
        <v>12189518</v>
      </c>
      <c r="J4" s="1268">
        <f t="shared" si="1"/>
        <v>0</v>
      </c>
      <c r="K4" s="1269">
        <f t="shared" si="2"/>
        <v>0</v>
      </c>
      <c r="L4" s="1270"/>
      <c r="M4" s="1270"/>
      <c r="N4" s="1271"/>
      <c r="O4" s="1272"/>
      <c r="P4" s="49" t="s">
        <v>1215</v>
      </c>
      <c r="Q4" s="1308" t="s">
        <v>4911</v>
      </c>
      <c r="R4" s="22"/>
      <c r="S4" s="22"/>
      <c r="T4" s="22"/>
      <c r="U4" s="22"/>
      <c r="V4" s="22"/>
      <c r="W4" s="22"/>
      <c r="X4" s="22"/>
      <c r="Y4" s="22"/>
      <c r="Z4" s="22"/>
      <c r="AA4" s="22"/>
      <c r="AB4" s="22"/>
      <c r="AC4" s="22"/>
      <c r="AD4" s="22"/>
      <c r="AE4" s="22"/>
      <c r="AF4" s="22"/>
      <c r="AG4" s="22"/>
      <c r="AH4" s="22"/>
      <c r="AI4" s="22"/>
    </row>
    <row r="5" spans="1:35">
      <c r="A5" s="1305" t="s">
        <v>3719</v>
      </c>
      <c r="B5" s="1262">
        <v>45809</v>
      </c>
      <c r="C5" s="1262" cm="1">
        <f t="array" aca="1" ref="C5" ca="1">_xlfn.IFS(I5&gt;1,B5,B5&lt;TODAY(),TODAY(),B5&gt;TODAY(),B5,B5=TODAY(),TODAY())</f>
        <v>45809</v>
      </c>
      <c r="D5" s="1263" t="s">
        <v>908</v>
      </c>
      <c r="E5" s="1264">
        <v>45719</v>
      </c>
      <c r="F5" s="1265" t="s">
        <v>4671</v>
      </c>
      <c r="G5" s="1266">
        <v>1416000</v>
      </c>
      <c r="H5" s="1262">
        <v>45831</v>
      </c>
      <c r="I5" s="1267">
        <f t="shared" si="0"/>
        <v>1416000</v>
      </c>
      <c r="J5" s="1268">
        <f t="shared" si="1"/>
        <v>0</v>
      </c>
      <c r="K5" s="1269">
        <f t="shared" si="2"/>
        <v>0</v>
      </c>
      <c r="L5" s="1270"/>
      <c r="M5" s="1270"/>
      <c r="N5" s="1271"/>
      <c r="O5" s="1272"/>
      <c r="P5" s="49" t="s">
        <v>1215</v>
      </c>
      <c r="Q5" s="1308" t="s">
        <v>4911</v>
      </c>
      <c r="R5" s="22"/>
      <c r="S5" s="22"/>
      <c r="T5" s="22"/>
      <c r="U5" s="22"/>
      <c r="V5" s="22"/>
      <c r="W5" s="22"/>
      <c r="X5" s="22"/>
      <c r="Y5" s="22"/>
      <c r="Z5" s="22"/>
      <c r="AA5" s="22"/>
      <c r="AB5" s="22"/>
      <c r="AC5" s="22"/>
      <c r="AD5" s="22"/>
      <c r="AE5" s="22"/>
      <c r="AF5" s="22"/>
      <c r="AG5" s="22"/>
      <c r="AH5" s="22"/>
      <c r="AI5" s="22"/>
    </row>
    <row r="6" spans="1:35">
      <c r="A6" s="1305" t="s">
        <v>3719</v>
      </c>
      <c r="B6" s="1262">
        <v>45809</v>
      </c>
      <c r="C6" s="1262" cm="1">
        <f t="array" aca="1" ref="C6" ca="1">_xlfn.IFS(I6&gt;1,B6,B6&lt;TODAY(),TODAY(),B6&gt;TODAY(),B6,B6=TODAY(),TODAY())</f>
        <v>45809</v>
      </c>
      <c r="D6" s="1263" t="s">
        <v>908</v>
      </c>
      <c r="E6" s="1264">
        <v>45719</v>
      </c>
      <c r="F6" s="1265" t="s">
        <v>4672</v>
      </c>
      <c r="G6" s="1266">
        <v>95122</v>
      </c>
      <c r="H6" s="1262">
        <v>45831</v>
      </c>
      <c r="I6" s="1267">
        <f t="shared" si="0"/>
        <v>95122</v>
      </c>
      <c r="J6" s="1268">
        <f t="shared" si="1"/>
        <v>0</v>
      </c>
      <c r="K6" s="1269">
        <f t="shared" si="2"/>
        <v>0</v>
      </c>
      <c r="L6" s="1270"/>
      <c r="M6" s="1270"/>
      <c r="N6" s="1271"/>
      <c r="O6" s="1272"/>
      <c r="P6" s="49" t="s">
        <v>1215</v>
      </c>
      <c r="Q6" s="1308" t="s">
        <v>4911</v>
      </c>
      <c r="R6" s="22"/>
      <c r="S6" s="22"/>
      <c r="T6" s="22"/>
      <c r="U6" s="22"/>
      <c r="V6" s="22"/>
      <c r="W6" s="22"/>
      <c r="X6" s="22"/>
      <c r="Y6" s="22"/>
      <c r="Z6" s="22"/>
      <c r="AA6" s="22"/>
      <c r="AB6" s="22"/>
      <c r="AC6" s="22"/>
      <c r="AD6" s="22"/>
      <c r="AE6" s="22"/>
      <c r="AF6" s="22"/>
      <c r="AG6" s="22"/>
      <c r="AH6" s="22"/>
      <c r="AI6" s="22"/>
    </row>
    <row r="7" spans="1:35">
      <c r="A7" s="1305" t="s">
        <v>3719</v>
      </c>
      <c r="B7" s="1262">
        <v>45809</v>
      </c>
      <c r="C7" s="1262" cm="1">
        <f t="array" aca="1" ref="C7" ca="1">_xlfn.IFS(I7&gt;1,B7,B7&lt;TODAY(),TODAY(),B7&gt;TODAY(),B7,B7=TODAY(),TODAY())</f>
        <v>45809</v>
      </c>
      <c r="D7" s="1263" t="s">
        <v>908</v>
      </c>
      <c r="E7" s="1264">
        <v>45719</v>
      </c>
      <c r="F7" s="1265" t="s">
        <v>4673</v>
      </c>
      <c r="G7" s="1266">
        <v>1168117</v>
      </c>
      <c r="H7" s="1262">
        <v>45831</v>
      </c>
      <c r="I7" s="1267">
        <f t="shared" si="0"/>
        <v>1168117</v>
      </c>
      <c r="J7" s="1268">
        <f t="shared" si="1"/>
        <v>0</v>
      </c>
      <c r="K7" s="1269">
        <f t="shared" si="2"/>
        <v>0</v>
      </c>
      <c r="L7" s="1270"/>
      <c r="M7" s="1270"/>
      <c r="N7" s="1271"/>
      <c r="O7" s="1272"/>
      <c r="P7" s="49" t="s">
        <v>1215</v>
      </c>
      <c r="Q7" s="1308" t="s">
        <v>4911</v>
      </c>
      <c r="R7" s="22"/>
      <c r="S7" s="22"/>
      <c r="T7" s="22"/>
      <c r="U7" s="22"/>
      <c r="V7" s="22"/>
      <c r="W7" s="22"/>
      <c r="X7" s="22"/>
      <c r="Y7" s="22"/>
      <c r="Z7" s="22"/>
      <c r="AA7" s="22"/>
      <c r="AB7" s="22"/>
      <c r="AC7" s="22"/>
      <c r="AD7" s="22"/>
      <c r="AE7" s="22"/>
      <c r="AF7" s="22"/>
      <c r="AG7" s="22"/>
      <c r="AH7" s="22"/>
      <c r="AI7" s="22"/>
    </row>
    <row r="8" spans="1:35">
      <c r="A8" s="1305" t="s">
        <v>3719</v>
      </c>
      <c r="B8" s="1262">
        <v>45809</v>
      </c>
      <c r="C8" s="1262" cm="1">
        <f t="array" aca="1" ref="C8" ca="1">_xlfn.IFS(I8&gt;1,B8,B8&lt;TODAY(),TODAY(),B8&gt;TODAY(),B8,B8=TODAY(),TODAY())</f>
        <v>45809</v>
      </c>
      <c r="D8" s="1263" t="s">
        <v>908</v>
      </c>
      <c r="E8" s="1264">
        <v>45719</v>
      </c>
      <c r="F8" s="1265" t="s">
        <v>4674</v>
      </c>
      <c r="G8" s="1266">
        <v>1354640</v>
      </c>
      <c r="H8" s="1262">
        <v>45831</v>
      </c>
      <c r="I8" s="1267">
        <f t="shared" si="0"/>
        <v>1354640</v>
      </c>
      <c r="J8" s="1268">
        <f t="shared" si="1"/>
        <v>0</v>
      </c>
      <c r="K8" s="1269">
        <f t="shared" si="2"/>
        <v>0</v>
      </c>
      <c r="L8" s="1270"/>
      <c r="M8" s="1270"/>
      <c r="N8" s="1271"/>
      <c r="O8" s="1272"/>
      <c r="P8" s="49" t="s">
        <v>1215</v>
      </c>
      <c r="Q8" s="1308" t="s">
        <v>4911</v>
      </c>
      <c r="R8" s="22"/>
      <c r="S8" s="22"/>
      <c r="T8" s="22"/>
      <c r="U8" s="22"/>
      <c r="V8" s="22"/>
      <c r="W8" s="22"/>
      <c r="X8" s="22"/>
      <c r="Y8" s="22"/>
      <c r="Z8" s="22"/>
      <c r="AA8" s="22"/>
      <c r="AB8" s="22"/>
      <c r="AC8" s="22"/>
      <c r="AD8" s="22"/>
      <c r="AE8" s="22"/>
      <c r="AF8" s="22"/>
      <c r="AG8" s="22"/>
      <c r="AH8" s="22"/>
      <c r="AI8" s="22"/>
    </row>
    <row r="9" spans="1:35">
      <c r="A9" s="1305" t="s">
        <v>3719</v>
      </c>
      <c r="B9" s="1262">
        <v>45809</v>
      </c>
      <c r="C9" s="1262" cm="1">
        <f t="array" aca="1" ref="C9" ca="1">_xlfn.IFS(I9&gt;1,B9,B9&lt;TODAY(),TODAY(),B9&gt;TODAY(),B9,B9=TODAY(),TODAY())</f>
        <v>45809</v>
      </c>
      <c r="D9" s="1263" t="s">
        <v>908</v>
      </c>
      <c r="E9" s="1264">
        <v>45719</v>
      </c>
      <c r="F9" s="1265" t="s">
        <v>4675</v>
      </c>
      <c r="G9" s="1266">
        <v>60025</v>
      </c>
      <c r="H9" s="1262">
        <v>45831</v>
      </c>
      <c r="I9" s="1267">
        <f t="shared" si="0"/>
        <v>60025</v>
      </c>
      <c r="J9" s="1268">
        <f t="shared" si="1"/>
        <v>0</v>
      </c>
      <c r="K9" s="1269">
        <f t="shared" si="2"/>
        <v>0</v>
      </c>
      <c r="L9" s="1270"/>
      <c r="M9" s="1270"/>
      <c r="N9" s="1271"/>
      <c r="O9" s="1272"/>
      <c r="P9" s="49" t="s">
        <v>1215</v>
      </c>
      <c r="Q9" s="1308" t="s">
        <v>4911</v>
      </c>
      <c r="R9" s="22"/>
      <c r="S9" s="22"/>
      <c r="T9" s="22"/>
      <c r="U9" s="22"/>
      <c r="V9" s="22"/>
      <c r="W9" s="22"/>
      <c r="X9" s="22"/>
      <c r="Y9" s="22"/>
      <c r="Z9" s="22"/>
      <c r="AA9" s="22"/>
      <c r="AB9" s="22"/>
      <c r="AC9" s="22"/>
      <c r="AD9" s="22"/>
      <c r="AE9" s="22"/>
      <c r="AF9" s="22"/>
      <c r="AG9" s="22"/>
      <c r="AH9" s="22"/>
      <c r="AI9" s="22"/>
    </row>
    <row r="10" spans="1:35">
      <c r="A10" s="1305" t="s">
        <v>3719</v>
      </c>
      <c r="B10" s="1262">
        <v>45809</v>
      </c>
      <c r="C10" s="1262" cm="1">
        <f t="array" aca="1" ref="C10" ca="1">_xlfn.IFS(I10&gt;1,B10,B10&lt;TODAY(),TODAY(),B10&gt;TODAY(),B10,B10=TODAY(),TODAY())</f>
        <v>45809</v>
      </c>
      <c r="D10" s="1263" t="s">
        <v>908</v>
      </c>
      <c r="E10" s="1264">
        <v>45719</v>
      </c>
      <c r="F10" s="1265" t="s">
        <v>4676</v>
      </c>
      <c r="G10" s="1266">
        <v>4860000</v>
      </c>
      <c r="H10" s="1262">
        <v>45831</v>
      </c>
      <c r="I10" s="1267">
        <f t="shared" si="0"/>
        <v>4860000</v>
      </c>
      <c r="J10" s="1268">
        <f t="shared" si="1"/>
        <v>0</v>
      </c>
      <c r="K10" s="1269">
        <f t="shared" si="2"/>
        <v>0</v>
      </c>
      <c r="L10" s="1270"/>
      <c r="M10" s="1270"/>
      <c r="N10" s="1271"/>
      <c r="O10" s="1272"/>
      <c r="P10" s="49" t="s">
        <v>1215</v>
      </c>
      <c r="Q10" s="1308" t="s">
        <v>4911</v>
      </c>
      <c r="R10" s="22"/>
      <c r="S10" s="22"/>
      <c r="T10" s="22"/>
      <c r="U10" s="22"/>
      <c r="V10" s="22"/>
      <c r="W10" s="22"/>
      <c r="X10" s="22"/>
      <c r="Y10" s="22"/>
      <c r="Z10" s="22"/>
      <c r="AA10" s="22"/>
      <c r="AB10" s="22"/>
      <c r="AC10" s="22"/>
      <c r="AD10" s="22"/>
      <c r="AE10" s="22"/>
      <c r="AF10" s="22"/>
      <c r="AG10" s="22"/>
      <c r="AH10" s="22"/>
      <c r="AI10" s="22"/>
    </row>
    <row r="11" spans="1:35">
      <c r="A11" s="1305" t="s">
        <v>3719</v>
      </c>
      <c r="B11" s="1262">
        <v>45811</v>
      </c>
      <c r="C11" s="1262" cm="1">
        <f t="array" aca="1" ref="C11" ca="1">_xlfn.IFS(I11&gt;1,B11,B11&lt;TODAY(),TODAY(),B11&gt;TODAY(),B11,B11=TODAY(),TODAY())</f>
        <v>45811</v>
      </c>
      <c r="D11" s="1263" t="s">
        <v>908</v>
      </c>
      <c r="E11" s="1264">
        <v>45721</v>
      </c>
      <c r="F11" s="1265" t="s">
        <v>4677</v>
      </c>
      <c r="G11" s="1266">
        <v>29453</v>
      </c>
      <c r="H11" s="1262">
        <v>45831</v>
      </c>
      <c r="I11" s="1267">
        <f t="shared" si="0"/>
        <v>29453</v>
      </c>
      <c r="J11" s="1268">
        <f t="shared" si="1"/>
        <v>0</v>
      </c>
      <c r="K11" s="1269">
        <f t="shared" si="2"/>
        <v>0</v>
      </c>
      <c r="L11" s="1270"/>
      <c r="M11" s="1270"/>
      <c r="N11" s="1271">
        <f t="shared" ref="N11:N16" si="3">I11/10000000</f>
        <v>2.9453000000000001E-3</v>
      </c>
      <c r="O11" s="1272"/>
      <c r="P11" s="49" t="s">
        <v>1215</v>
      </c>
      <c r="Q11" s="1308" t="s">
        <v>4911</v>
      </c>
      <c r="R11" s="22"/>
      <c r="S11" s="22"/>
      <c r="T11" s="22"/>
      <c r="U11" s="22"/>
      <c r="V11" s="22"/>
      <c r="W11" s="22"/>
      <c r="X11" s="22"/>
      <c r="Y11" s="22"/>
      <c r="Z11" s="22"/>
      <c r="AA11" s="22"/>
      <c r="AB11" s="22"/>
      <c r="AC11" s="22"/>
      <c r="AD11" s="22"/>
      <c r="AE11" s="22"/>
      <c r="AF11" s="22"/>
      <c r="AG11" s="22"/>
      <c r="AH11" s="22"/>
      <c r="AI11" s="22"/>
    </row>
    <row r="12" spans="1:35">
      <c r="A12" s="1305" t="s">
        <v>3719</v>
      </c>
      <c r="B12" s="1262">
        <v>45811</v>
      </c>
      <c r="C12" s="1262" cm="1">
        <f t="array" aca="1" ref="C12" ca="1">_xlfn.IFS(I12&gt;1,B12,B12&lt;TODAY(),TODAY(),B12&gt;TODAY(),B12,B12=TODAY(),TODAY())</f>
        <v>45811</v>
      </c>
      <c r="D12" s="1263" t="s">
        <v>908</v>
      </c>
      <c r="E12" s="1264">
        <v>45721</v>
      </c>
      <c r="F12" s="1265" t="s">
        <v>4678</v>
      </c>
      <c r="G12" s="1266">
        <v>637200</v>
      </c>
      <c r="H12" s="1262">
        <v>45831</v>
      </c>
      <c r="I12" s="1267">
        <f t="shared" si="0"/>
        <v>637200</v>
      </c>
      <c r="J12" s="1268">
        <f t="shared" si="1"/>
        <v>0</v>
      </c>
      <c r="K12" s="1269">
        <f t="shared" si="2"/>
        <v>0</v>
      </c>
      <c r="L12" s="1270"/>
      <c r="M12" s="1270"/>
      <c r="N12" s="1271">
        <f t="shared" si="3"/>
        <v>6.3719999999999999E-2</v>
      </c>
      <c r="O12" s="1272"/>
      <c r="P12" s="49" t="s">
        <v>1215</v>
      </c>
      <c r="Q12" s="1308" t="s">
        <v>4911</v>
      </c>
      <c r="R12" s="22"/>
      <c r="S12" s="22"/>
      <c r="T12" s="22"/>
      <c r="U12" s="22"/>
      <c r="V12" s="22"/>
      <c r="W12" s="22"/>
      <c r="X12" s="22"/>
      <c r="Y12" s="22"/>
      <c r="Z12" s="22"/>
      <c r="AA12" s="22"/>
      <c r="AB12" s="22"/>
      <c r="AC12" s="22"/>
      <c r="AD12" s="22"/>
      <c r="AE12" s="22"/>
      <c r="AF12" s="22"/>
      <c r="AG12" s="22"/>
      <c r="AH12" s="22"/>
      <c r="AI12" s="22"/>
    </row>
    <row r="13" spans="1:35">
      <c r="A13" s="1305" t="s">
        <v>3719</v>
      </c>
      <c r="B13" s="1262">
        <v>45811</v>
      </c>
      <c r="C13" s="1262" cm="1">
        <f t="array" aca="1" ref="C13" ca="1">_xlfn.IFS(I13&gt;1,B13,B13&lt;TODAY(),TODAY(),B13&gt;TODAY(),B13,B13=TODAY(),TODAY())</f>
        <v>45811</v>
      </c>
      <c r="D13" s="1263" t="s">
        <v>908</v>
      </c>
      <c r="E13" s="1264">
        <v>45721</v>
      </c>
      <c r="F13" s="1265" t="s">
        <v>4679</v>
      </c>
      <c r="G13" s="1266">
        <v>3950360.4000000004</v>
      </c>
      <c r="H13" s="1262">
        <v>45831</v>
      </c>
      <c r="I13" s="1267">
        <f t="shared" si="0"/>
        <v>3950360.4000000004</v>
      </c>
      <c r="J13" s="1268">
        <f t="shared" si="1"/>
        <v>0</v>
      </c>
      <c r="K13" s="1269">
        <f t="shared" si="2"/>
        <v>0</v>
      </c>
      <c r="L13" s="1270"/>
      <c r="M13" s="1270"/>
      <c r="N13" s="1271">
        <f t="shared" si="3"/>
        <v>0.39503604000000003</v>
      </c>
      <c r="O13" s="1272"/>
      <c r="P13" s="49" t="s">
        <v>1215</v>
      </c>
      <c r="Q13" s="1308" t="s">
        <v>4911</v>
      </c>
      <c r="R13" s="22"/>
      <c r="S13" s="22"/>
      <c r="T13" s="22"/>
      <c r="U13" s="22"/>
      <c r="V13" s="22"/>
      <c r="W13" s="22"/>
      <c r="X13" s="22"/>
      <c r="Y13" s="22"/>
      <c r="Z13" s="22"/>
      <c r="AA13" s="22"/>
      <c r="AB13" s="22"/>
      <c r="AC13" s="22"/>
      <c r="AD13" s="22"/>
      <c r="AE13" s="22"/>
      <c r="AF13" s="22"/>
      <c r="AG13" s="22"/>
      <c r="AH13" s="22"/>
      <c r="AI13" s="22"/>
    </row>
    <row r="14" spans="1:35">
      <c r="A14" s="1305" t="s">
        <v>3719</v>
      </c>
      <c r="B14" s="1262">
        <v>45811</v>
      </c>
      <c r="C14" s="1262" cm="1">
        <f t="array" aca="1" ref="C14" ca="1">_xlfn.IFS(I14&gt;1,B14,B14&lt;TODAY(),TODAY(),B14&gt;TODAY(),B14,B14=TODAY(),TODAY())</f>
        <v>45811</v>
      </c>
      <c r="D14" s="1263" t="s">
        <v>908</v>
      </c>
      <c r="E14" s="1264">
        <v>45721</v>
      </c>
      <c r="F14" s="1265" t="s">
        <v>4680</v>
      </c>
      <c r="G14" s="1266">
        <v>44405.760000000002</v>
      </c>
      <c r="H14" s="1262">
        <v>45831</v>
      </c>
      <c r="I14" s="1267">
        <f t="shared" si="0"/>
        <v>44405.760000000002</v>
      </c>
      <c r="J14" s="1268">
        <f t="shared" si="1"/>
        <v>0</v>
      </c>
      <c r="K14" s="1269">
        <f t="shared" si="2"/>
        <v>0</v>
      </c>
      <c r="L14" s="1270"/>
      <c r="M14" s="1270"/>
      <c r="N14" s="1271">
        <f t="shared" si="3"/>
        <v>4.4405759999999999E-3</v>
      </c>
      <c r="O14" s="1272"/>
      <c r="P14" s="49" t="s">
        <v>1215</v>
      </c>
      <c r="Q14" s="1308" t="s">
        <v>4911</v>
      </c>
      <c r="R14" s="22"/>
      <c r="S14" s="22"/>
      <c r="T14" s="22"/>
      <c r="U14" s="22"/>
      <c r="V14" s="22"/>
      <c r="W14" s="22"/>
      <c r="X14" s="22"/>
      <c r="Y14" s="22"/>
      <c r="Z14" s="22"/>
      <c r="AA14" s="22"/>
      <c r="AB14" s="22"/>
      <c r="AC14" s="22"/>
      <c r="AD14" s="22"/>
      <c r="AE14" s="22"/>
      <c r="AF14" s="22"/>
      <c r="AG14" s="22"/>
      <c r="AH14" s="22"/>
      <c r="AI14" s="22"/>
    </row>
    <row r="15" spans="1:35">
      <c r="A15" s="1305" t="s">
        <v>3719</v>
      </c>
      <c r="B15" s="1262">
        <v>45811</v>
      </c>
      <c r="C15" s="1262" cm="1">
        <f t="array" aca="1" ref="C15" ca="1">_xlfn.IFS(I15&gt;1,B15,B15&lt;TODAY(),TODAY(),B15&gt;TODAY(),B15,B15=TODAY(),TODAY())</f>
        <v>45811</v>
      </c>
      <c r="D15" s="1263" t="s">
        <v>908</v>
      </c>
      <c r="E15" s="1264">
        <v>45721</v>
      </c>
      <c r="F15" s="1265" t="s">
        <v>4681</v>
      </c>
      <c r="G15" s="1266">
        <v>361080</v>
      </c>
      <c r="H15" s="1262">
        <v>45831</v>
      </c>
      <c r="I15" s="1267">
        <f t="shared" si="0"/>
        <v>361080</v>
      </c>
      <c r="J15" s="1268">
        <f t="shared" si="1"/>
        <v>0</v>
      </c>
      <c r="K15" s="1269">
        <f t="shared" si="2"/>
        <v>0</v>
      </c>
      <c r="L15" s="1270"/>
      <c r="M15" s="1270"/>
      <c r="N15" s="1271">
        <f t="shared" si="3"/>
        <v>3.6108000000000001E-2</v>
      </c>
      <c r="O15" s="1272"/>
      <c r="P15" s="49" t="s">
        <v>1215</v>
      </c>
      <c r="Q15" s="1308" t="s">
        <v>4911</v>
      </c>
      <c r="R15" s="22"/>
      <c r="S15" s="22"/>
      <c r="T15" s="22"/>
      <c r="U15" s="22"/>
      <c r="V15" s="22"/>
      <c r="W15" s="22"/>
      <c r="X15" s="22"/>
      <c r="Y15" s="22"/>
      <c r="Z15" s="22"/>
      <c r="AA15" s="22"/>
      <c r="AB15" s="22"/>
      <c r="AC15" s="22"/>
      <c r="AD15" s="22"/>
      <c r="AE15" s="22"/>
      <c r="AF15" s="22"/>
      <c r="AG15" s="22"/>
      <c r="AH15" s="22"/>
      <c r="AI15" s="22"/>
    </row>
    <row r="16" spans="1:35">
      <c r="A16" s="1305" t="s">
        <v>3719</v>
      </c>
      <c r="B16" s="1262">
        <v>45811</v>
      </c>
      <c r="C16" s="1262" cm="1">
        <f t="array" aca="1" ref="C16" ca="1">_xlfn.IFS(I16&gt;1,B16,B16&lt;TODAY(),TODAY(),B16&gt;TODAY(),B16,B16=TODAY(),TODAY())</f>
        <v>45811</v>
      </c>
      <c r="D16" s="1263" t="s">
        <v>908</v>
      </c>
      <c r="E16" s="1264">
        <v>45721</v>
      </c>
      <c r="F16" s="1265" t="s">
        <v>4682</v>
      </c>
      <c r="G16" s="1266">
        <v>218890</v>
      </c>
      <c r="H16" s="1262">
        <v>45831</v>
      </c>
      <c r="I16" s="1267">
        <f t="shared" si="0"/>
        <v>218890</v>
      </c>
      <c r="J16" s="1268">
        <f t="shared" si="1"/>
        <v>0</v>
      </c>
      <c r="K16" s="1269">
        <f t="shared" si="2"/>
        <v>0</v>
      </c>
      <c r="L16" s="1270"/>
      <c r="M16" s="1270"/>
      <c r="N16" s="1271">
        <f t="shared" si="3"/>
        <v>2.1888999999999999E-2</v>
      </c>
      <c r="O16" s="1272"/>
      <c r="P16" s="49" t="s">
        <v>1215</v>
      </c>
      <c r="Q16" s="1308" t="s">
        <v>4911</v>
      </c>
      <c r="R16" s="22"/>
      <c r="S16" s="22"/>
      <c r="T16" s="22"/>
      <c r="U16" s="22"/>
      <c r="V16" s="22"/>
      <c r="W16" s="22"/>
      <c r="X16" s="22"/>
      <c r="Y16" s="22"/>
      <c r="Z16" s="22"/>
      <c r="AA16" s="22"/>
      <c r="AB16" s="22"/>
      <c r="AC16" s="22"/>
      <c r="AD16" s="22"/>
      <c r="AE16" s="22"/>
      <c r="AF16" s="22"/>
      <c r="AG16" s="22"/>
      <c r="AH16" s="22"/>
      <c r="AI16" s="22"/>
    </row>
    <row r="17" spans="1:35">
      <c r="A17" s="1305" t="s">
        <v>3719</v>
      </c>
      <c r="B17" s="1262">
        <v>45811</v>
      </c>
      <c r="C17" s="1262" cm="1">
        <f t="array" aca="1" ref="C17" ca="1">_xlfn.IFS(I17&gt;1,B17,B17&lt;TODAY(),TODAY(),B17&gt;TODAY(),B17,B17=TODAY(),TODAY())</f>
        <v>45811</v>
      </c>
      <c r="D17" s="1263" t="s">
        <v>908</v>
      </c>
      <c r="E17" s="1264">
        <v>45721</v>
      </c>
      <c r="F17" s="1265" t="s">
        <v>4683</v>
      </c>
      <c r="G17" s="1266">
        <v>27159</v>
      </c>
      <c r="H17" s="1262">
        <v>45831</v>
      </c>
      <c r="I17" s="1267">
        <f t="shared" si="0"/>
        <v>27159</v>
      </c>
      <c r="J17" s="1268">
        <f t="shared" si="1"/>
        <v>0</v>
      </c>
      <c r="K17" s="1269">
        <f t="shared" si="2"/>
        <v>0</v>
      </c>
      <c r="L17" s="1270"/>
      <c r="M17" s="1270"/>
      <c r="N17" s="1271"/>
      <c r="O17" s="1272"/>
      <c r="P17" s="49" t="s">
        <v>1215</v>
      </c>
      <c r="Q17" s="1308" t="s">
        <v>4911</v>
      </c>
      <c r="R17" s="22"/>
      <c r="S17" s="22"/>
      <c r="T17" s="22"/>
      <c r="U17" s="22"/>
      <c r="V17" s="22"/>
      <c r="W17" s="22"/>
      <c r="X17" s="22"/>
      <c r="Y17" s="22"/>
      <c r="Z17" s="22"/>
      <c r="AA17" s="22"/>
      <c r="AB17" s="22"/>
      <c r="AC17" s="22"/>
      <c r="AD17" s="22"/>
      <c r="AE17" s="22"/>
      <c r="AF17" s="22"/>
      <c r="AG17" s="22"/>
      <c r="AH17" s="22"/>
      <c r="AI17" s="22"/>
    </row>
    <row r="18" spans="1:35">
      <c r="A18" s="1305" t="s">
        <v>3719</v>
      </c>
      <c r="B18" s="1262">
        <v>45811</v>
      </c>
      <c r="C18" s="1262" cm="1">
        <f t="array" aca="1" ref="C18" ca="1">_xlfn.IFS(I18&gt;1,B18,B18&lt;TODAY(),TODAY(),B18&gt;TODAY(),B18,B18=TODAY(),TODAY())</f>
        <v>45811</v>
      </c>
      <c r="D18" s="1263" t="s">
        <v>908</v>
      </c>
      <c r="E18" s="1264">
        <v>45721</v>
      </c>
      <c r="F18" s="1265" t="s">
        <v>4684</v>
      </c>
      <c r="G18" s="1266">
        <v>470877</v>
      </c>
      <c r="H18" s="1262">
        <v>45831</v>
      </c>
      <c r="I18" s="1267">
        <f t="shared" si="0"/>
        <v>470877</v>
      </c>
      <c r="J18" s="1268">
        <f t="shared" si="1"/>
        <v>0</v>
      </c>
      <c r="K18" s="1269">
        <f t="shared" si="2"/>
        <v>0</v>
      </c>
      <c r="L18" s="1270"/>
      <c r="M18" s="1270"/>
      <c r="N18" s="1271">
        <f t="shared" ref="N18:N24" si="4">I18/10000000</f>
        <v>4.7087700000000003E-2</v>
      </c>
      <c r="O18" s="1272"/>
      <c r="P18" s="49" t="s">
        <v>1215</v>
      </c>
      <c r="Q18" s="1308" t="s">
        <v>4911</v>
      </c>
      <c r="R18" s="22"/>
      <c r="S18" s="22"/>
      <c r="T18" s="22"/>
      <c r="U18" s="22"/>
      <c r="V18" s="22"/>
      <c r="W18" s="22"/>
      <c r="X18" s="22"/>
      <c r="Y18" s="22"/>
      <c r="Z18" s="22"/>
      <c r="AA18" s="22"/>
      <c r="AB18" s="22"/>
      <c r="AC18" s="22"/>
      <c r="AD18" s="22"/>
      <c r="AE18" s="22"/>
      <c r="AF18" s="22"/>
      <c r="AG18" s="22"/>
      <c r="AH18" s="22"/>
      <c r="AI18" s="22"/>
    </row>
    <row r="19" spans="1:35">
      <c r="A19" s="1305" t="s">
        <v>3719</v>
      </c>
      <c r="B19" s="1262">
        <v>45811</v>
      </c>
      <c r="C19" s="1262" cm="1">
        <f t="array" aca="1" ref="C19" ca="1">_xlfn.IFS(I19&gt;1,B19,B19&lt;TODAY(),TODAY(),B19&gt;TODAY(),B19,B19=TODAY(),TODAY())</f>
        <v>45811</v>
      </c>
      <c r="D19" s="1263" t="s">
        <v>908</v>
      </c>
      <c r="E19" s="1264">
        <v>45721</v>
      </c>
      <c r="F19" s="1265" t="s">
        <v>4685</v>
      </c>
      <c r="G19" s="1266">
        <v>49560</v>
      </c>
      <c r="H19" s="1262">
        <v>45831</v>
      </c>
      <c r="I19" s="1267">
        <f t="shared" si="0"/>
        <v>49560</v>
      </c>
      <c r="J19" s="1268">
        <f t="shared" si="1"/>
        <v>0</v>
      </c>
      <c r="K19" s="1269">
        <f t="shared" si="2"/>
        <v>0</v>
      </c>
      <c r="L19" s="1270"/>
      <c r="M19" s="1270"/>
      <c r="N19" s="1271">
        <f t="shared" si="4"/>
        <v>4.9560000000000003E-3</v>
      </c>
      <c r="O19" s="1272"/>
      <c r="P19" s="49" t="s">
        <v>1215</v>
      </c>
      <c r="Q19" s="1308" t="s">
        <v>4911</v>
      </c>
      <c r="R19" s="22"/>
      <c r="S19" s="22"/>
      <c r="T19" s="22"/>
      <c r="U19" s="22"/>
      <c r="V19" s="22"/>
      <c r="W19" s="22"/>
      <c r="X19" s="22"/>
      <c r="Y19" s="22"/>
      <c r="Z19" s="22"/>
      <c r="AA19" s="22"/>
      <c r="AB19" s="22"/>
      <c r="AC19" s="22"/>
      <c r="AD19" s="22"/>
      <c r="AE19" s="22"/>
      <c r="AF19" s="22"/>
      <c r="AG19" s="22"/>
      <c r="AH19" s="22"/>
      <c r="AI19" s="22"/>
    </row>
    <row r="20" spans="1:35">
      <c r="A20" s="1305" t="s">
        <v>3719</v>
      </c>
      <c r="B20" s="1262">
        <v>45811</v>
      </c>
      <c r="C20" s="1262" cm="1">
        <f t="array" aca="1" ref="C20" ca="1">_xlfn.IFS(I20&gt;1,B20,B20&lt;TODAY(),TODAY(),B20&gt;TODAY(),B20,B20=TODAY(),TODAY())</f>
        <v>45811</v>
      </c>
      <c r="D20" s="1263" t="s">
        <v>908</v>
      </c>
      <c r="E20" s="1264">
        <v>45721</v>
      </c>
      <c r="F20" s="1265" t="s">
        <v>4686</v>
      </c>
      <c r="G20" s="1266">
        <v>1345200</v>
      </c>
      <c r="H20" s="1262">
        <v>45831</v>
      </c>
      <c r="I20" s="1267">
        <f t="shared" si="0"/>
        <v>1345200</v>
      </c>
      <c r="J20" s="1268">
        <f t="shared" si="1"/>
        <v>0</v>
      </c>
      <c r="K20" s="1269">
        <f t="shared" si="2"/>
        <v>0</v>
      </c>
      <c r="L20" s="1270"/>
      <c r="M20" s="1270"/>
      <c r="N20" s="1271">
        <f t="shared" si="4"/>
        <v>0.13452</v>
      </c>
      <c r="O20" s="1272"/>
      <c r="P20" s="49" t="s">
        <v>1215</v>
      </c>
      <c r="Q20" s="1308" t="s">
        <v>4911</v>
      </c>
      <c r="R20" s="22"/>
      <c r="S20" s="22"/>
      <c r="T20" s="22"/>
      <c r="U20" s="22"/>
      <c r="V20" s="22"/>
      <c r="W20" s="22"/>
      <c r="X20" s="22"/>
      <c r="Y20" s="22"/>
      <c r="Z20" s="22"/>
      <c r="AA20" s="22"/>
      <c r="AB20" s="22"/>
      <c r="AC20" s="22"/>
      <c r="AD20" s="22"/>
      <c r="AE20" s="22"/>
      <c r="AF20" s="22"/>
      <c r="AG20" s="22"/>
      <c r="AH20" s="22"/>
      <c r="AI20" s="22"/>
    </row>
    <row r="21" spans="1:35">
      <c r="A21" s="1305" t="s">
        <v>3719</v>
      </c>
      <c r="B21" s="1262">
        <v>45811</v>
      </c>
      <c r="C21" s="1262" cm="1">
        <f t="array" aca="1" ref="C21" ca="1">_xlfn.IFS(I21&gt;1,B21,B21&lt;TODAY(),TODAY(),B21&gt;TODAY(),B21,B21=TODAY(),TODAY())</f>
        <v>45811</v>
      </c>
      <c r="D21" s="1263" t="s">
        <v>908</v>
      </c>
      <c r="E21" s="1264">
        <v>45721</v>
      </c>
      <c r="F21" s="1265" t="s">
        <v>4687</v>
      </c>
      <c r="G21" s="1266">
        <v>1263056</v>
      </c>
      <c r="H21" s="1262">
        <v>45831</v>
      </c>
      <c r="I21" s="1267">
        <f t="shared" si="0"/>
        <v>1263056</v>
      </c>
      <c r="J21" s="1268">
        <f t="shared" si="1"/>
        <v>0</v>
      </c>
      <c r="K21" s="1269">
        <f t="shared" si="2"/>
        <v>0</v>
      </c>
      <c r="L21" s="1270"/>
      <c r="M21" s="1270"/>
      <c r="N21" s="1271">
        <f t="shared" si="4"/>
        <v>0.12630559999999999</v>
      </c>
      <c r="O21" s="1272"/>
      <c r="P21" s="49" t="s">
        <v>1215</v>
      </c>
      <c r="Q21" s="1308" t="s">
        <v>4911</v>
      </c>
      <c r="R21" s="22"/>
      <c r="S21" s="22"/>
      <c r="T21" s="22"/>
      <c r="U21" s="22"/>
      <c r="V21" s="22"/>
      <c r="W21" s="22"/>
      <c r="X21" s="22"/>
      <c r="Y21" s="22"/>
      <c r="Z21" s="22"/>
      <c r="AA21" s="22"/>
      <c r="AB21" s="22"/>
      <c r="AC21" s="22"/>
      <c r="AD21" s="22"/>
      <c r="AE21" s="22"/>
      <c r="AF21" s="22"/>
      <c r="AG21" s="22"/>
      <c r="AH21" s="22"/>
      <c r="AI21" s="22"/>
    </row>
    <row r="22" spans="1:35">
      <c r="A22" s="1305" t="s">
        <v>3719</v>
      </c>
      <c r="B22" s="1262">
        <v>45811</v>
      </c>
      <c r="C22" s="1262" cm="1">
        <f t="array" aca="1" ref="C22" ca="1">_xlfn.IFS(I22&gt;1,B22,B22&lt;TODAY(),TODAY(),B22&gt;TODAY(),B22,B22=TODAY(),TODAY())</f>
        <v>45811</v>
      </c>
      <c r="D22" s="1263" t="s">
        <v>908</v>
      </c>
      <c r="E22" s="1264">
        <v>45721</v>
      </c>
      <c r="F22" s="1265" t="s">
        <v>4688</v>
      </c>
      <c r="G22" s="1266">
        <v>626460.53</v>
      </c>
      <c r="H22" s="1262">
        <v>45831</v>
      </c>
      <c r="I22" s="1267">
        <f t="shared" si="0"/>
        <v>626460.53</v>
      </c>
      <c r="J22" s="1268">
        <f t="shared" si="1"/>
        <v>0</v>
      </c>
      <c r="K22" s="1269">
        <f t="shared" si="2"/>
        <v>0</v>
      </c>
      <c r="L22" s="1270"/>
      <c r="M22" s="1270"/>
      <c r="N22" s="1271">
        <f t="shared" si="4"/>
        <v>6.2646053000000007E-2</v>
      </c>
      <c r="O22" s="1272"/>
      <c r="P22" s="49" t="s">
        <v>1215</v>
      </c>
      <c r="Q22" s="1308" t="s">
        <v>4911</v>
      </c>
      <c r="R22" s="22"/>
      <c r="S22" s="22"/>
      <c r="T22" s="22"/>
      <c r="U22" s="22"/>
      <c r="V22" s="22"/>
      <c r="W22" s="22"/>
      <c r="X22" s="22"/>
      <c r="Y22" s="22"/>
      <c r="Z22" s="22"/>
      <c r="AA22" s="22"/>
      <c r="AB22" s="22"/>
      <c r="AC22" s="22"/>
      <c r="AD22" s="22"/>
      <c r="AE22" s="22"/>
      <c r="AF22" s="22"/>
      <c r="AG22" s="22"/>
      <c r="AH22" s="22"/>
      <c r="AI22" s="22"/>
    </row>
    <row r="23" spans="1:35">
      <c r="A23" s="1305" t="s">
        <v>3719</v>
      </c>
      <c r="B23" s="1262">
        <v>45811</v>
      </c>
      <c r="C23" s="1262" cm="1">
        <f t="array" aca="1" ref="C23" ca="1">_xlfn.IFS(I23&gt;1,B23,B23&lt;TODAY(),TODAY(),B23&gt;TODAY(),B23,B23=TODAY(),TODAY())</f>
        <v>45811</v>
      </c>
      <c r="D23" s="1263" t="s">
        <v>908</v>
      </c>
      <c r="E23" s="1264">
        <v>45721</v>
      </c>
      <c r="F23" s="1265" t="s">
        <v>4689</v>
      </c>
      <c r="G23" s="1266">
        <v>1776365</v>
      </c>
      <c r="H23" s="1262">
        <v>45831</v>
      </c>
      <c r="I23" s="1267">
        <f t="shared" si="0"/>
        <v>1776365</v>
      </c>
      <c r="J23" s="1268">
        <f t="shared" si="1"/>
        <v>0</v>
      </c>
      <c r="K23" s="1269">
        <f t="shared" si="2"/>
        <v>0</v>
      </c>
      <c r="L23" s="1270"/>
      <c r="M23" s="1270"/>
      <c r="N23" s="1271">
        <f t="shared" si="4"/>
        <v>0.1776365</v>
      </c>
      <c r="O23" s="1272"/>
      <c r="P23" s="49" t="s">
        <v>1215</v>
      </c>
      <c r="Q23" s="1308" t="s">
        <v>4911</v>
      </c>
      <c r="R23" s="22"/>
      <c r="S23" s="22"/>
      <c r="T23" s="22"/>
      <c r="U23" s="22"/>
      <c r="V23" s="22"/>
      <c r="W23" s="22"/>
      <c r="X23" s="22"/>
      <c r="Y23" s="22"/>
      <c r="Z23" s="22"/>
      <c r="AA23" s="22"/>
      <c r="AB23" s="22"/>
      <c r="AC23" s="22"/>
      <c r="AD23" s="22"/>
      <c r="AE23" s="22"/>
      <c r="AF23" s="22"/>
      <c r="AG23" s="22"/>
      <c r="AH23" s="22"/>
      <c r="AI23" s="22"/>
    </row>
    <row r="24" spans="1:35">
      <c r="A24" s="1305" t="s">
        <v>3719</v>
      </c>
      <c r="B24" s="1262">
        <v>45811</v>
      </c>
      <c r="C24" s="1262" cm="1">
        <f t="array" aca="1" ref="C24" ca="1">_xlfn.IFS(I24&gt;1,B24,B24&lt;TODAY(),TODAY(),B24&gt;TODAY(),B24,B24=TODAY(),TODAY())</f>
        <v>45811</v>
      </c>
      <c r="D24" s="1263" t="s">
        <v>908</v>
      </c>
      <c r="E24" s="1264">
        <v>45721</v>
      </c>
      <c r="F24" s="1265" t="s">
        <v>4690</v>
      </c>
      <c r="G24" s="1266">
        <v>930784</v>
      </c>
      <c r="H24" s="1262">
        <v>45831</v>
      </c>
      <c r="I24" s="1267">
        <f t="shared" si="0"/>
        <v>930784</v>
      </c>
      <c r="J24" s="1268">
        <f t="shared" si="1"/>
        <v>0</v>
      </c>
      <c r="K24" s="1269">
        <f t="shared" si="2"/>
        <v>0</v>
      </c>
      <c r="L24" s="1270"/>
      <c r="M24" s="1270"/>
      <c r="N24" s="1271">
        <f t="shared" si="4"/>
        <v>9.3078400000000006E-2</v>
      </c>
      <c r="O24" s="1272"/>
      <c r="P24" s="49" t="s">
        <v>1215</v>
      </c>
      <c r="Q24" s="1308" t="s">
        <v>4911</v>
      </c>
      <c r="R24" s="22"/>
      <c r="S24" s="22"/>
      <c r="T24" s="22"/>
      <c r="U24" s="22"/>
      <c r="V24" s="22"/>
      <c r="W24" s="22"/>
      <c r="X24" s="22"/>
      <c r="Y24" s="22"/>
      <c r="Z24" s="22"/>
      <c r="AA24" s="22"/>
      <c r="AB24" s="22"/>
      <c r="AC24" s="22"/>
      <c r="AD24" s="22"/>
      <c r="AE24" s="22"/>
      <c r="AF24" s="22"/>
      <c r="AG24" s="22"/>
      <c r="AH24" s="22"/>
      <c r="AI24" s="22"/>
    </row>
    <row r="25" spans="1:35">
      <c r="A25" s="1305" t="s">
        <v>3719</v>
      </c>
      <c r="B25" s="1262">
        <v>45813</v>
      </c>
      <c r="C25" s="1262" cm="1">
        <f t="array" aca="1" ref="C25" ca="1">_xlfn.IFS(I25&gt;1,B25,B25&lt;TODAY(),TODAY(),B25&gt;TODAY(),B25,B25=TODAY(),TODAY())</f>
        <v>45813</v>
      </c>
      <c r="D25" s="1263" t="s">
        <v>908</v>
      </c>
      <c r="E25" s="1264">
        <v>45723</v>
      </c>
      <c r="F25" s="1265" t="s">
        <v>4691</v>
      </c>
      <c r="G25" s="1266">
        <v>173888</v>
      </c>
      <c r="H25" s="1262">
        <v>45831</v>
      </c>
      <c r="I25" s="1267">
        <f t="shared" si="0"/>
        <v>173888</v>
      </c>
      <c r="J25" s="1268">
        <f t="shared" si="1"/>
        <v>0</v>
      </c>
      <c r="K25" s="1269">
        <f t="shared" si="2"/>
        <v>0</v>
      </c>
      <c r="L25" s="1270"/>
      <c r="M25" s="1270"/>
      <c r="N25" s="1271"/>
      <c r="O25" s="1272"/>
      <c r="P25" s="49" t="s">
        <v>1215</v>
      </c>
      <c r="Q25" s="1308" t="s">
        <v>4911</v>
      </c>
      <c r="R25" s="22"/>
      <c r="S25" s="22"/>
      <c r="T25" s="22"/>
      <c r="U25" s="22"/>
      <c r="V25" s="22"/>
      <c r="W25" s="22"/>
      <c r="X25" s="22"/>
      <c r="Y25" s="22"/>
      <c r="Z25" s="22"/>
      <c r="AA25" s="22"/>
      <c r="AB25" s="22"/>
      <c r="AC25" s="22"/>
      <c r="AD25" s="22"/>
      <c r="AE25" s="22"/>
      <c r="AF25" s="22"/>
      <c r="AG25" s="22"/>
      <c r="AH25" s="22"/>
      <c r="AI25" s="22"/>
    </row>
    <row r="26" spans="1:35">
      <c r="A26" s="1305" t="s">
        <v>3719</v>
      </c>
      <c r="B26" s="1262">
        <v>45813</v>
      </c>
      <c r="C26" s="1262" cm="1">
        <f t="array" aca="1" ref="C26" ca="1">_xlfn.IFS(I26&gt;1,B26,B26&lt;TODAY(),TODAY(),B26&gt;TODAY(),B26,B26=TODAY(),TODAY())</f>
        <v>45813</v>
      </c>
      <c r="D26" s="1263" t="s">
        <v>908</v>
      </c>
      <c r="E26" s="1264">
        <v>45723</v>
      </c>
      <c r="F26" s="1265" t="s">
        <v>4692</v>
      </c>
      <c r="G26" s="1266">
        <v>37000</v>
      </c>
      <c r="H26" s="1262">
        <v>45832</v>
      </c>
      <c r="I26" s="1267">
        <f t="shared" si="0"/>
        <v>37000</v>
      </c>
      <c r="J26" s="1268">
        <f t="shared" si="1"/>
        <v>0</v>
      </c>
      <c r="K26" s="1269">
        <f t="shared" si="2"/>
        <v>0</v>
      </c>
      <c r="L26" s="1270"/>
      <c r="M26" s="1270"/>
      <c r="N26" s="1271">
        <f>I26/10000000</f>
        <v>3.7000000000000002E-3</v>
      </c>
      <c r="O26" s="1272"/>
      <c r="P26" s="49" t="s">
        <v>1215</v>
      </c>
      <c r="Q26" s="1308" t="s">
        <v>4911</v>
      </c>
      <c r="R26" s="22"/>
      <c r="S26" s="22"/>
      <c r="T26" s="22"/>
      <c r="U26" s="22"/>
      <c r="V26" s="22"/>
      <c r="W26" s="22"/>
      <c r="X26" s="22"/>
      <c r="Y26" s="22"/>
      <c r="Z26" s="22"/>
      <c r="AA26" s="22"/>
      <c r="AB26" s="22"/>
      <c r="AC26" s="22"/>
      <c r="AD26" s="22"/>
      <c r="AE26" s="22"/>
      <c r="AF26" s="22"/>
      <c r="AG26" s="22"/>
      <c r="AH26" s="22"/>
      <c r="AI26" s="22"/>
    </row>
    <row r="27" spans="1:35">
      <c r="A27" s="1305" t="s">
        <v>3719</v>
      </c>
      <c r="B27" s="1262">
        <v>45813</v>
      </c>
      <c r="C27" s="1262" cm="1">
        <f t="array" aca="1" ref="C27" ca="1">_xlfn.IFS(I27&gt;1,B27,B27&lt;TODAY(),TODAY(),B27&gt;TODAY(),B27,B27=TODAY(),TODAY())</f>
        <v>45813</v>
      </c>
      <c r="D27" s="1263" t="s">
        <v>908</v>
      </c>
      <c r="E27" s="1264">
        <v>45723</v>
      </c>
      <c r="F27" s="1265" t="s">
        <v>4693</v>
      </c>
      <c r="G27" s="1266">
        <v>7096638</v>
      </c>
      <c r="H27" s="1262">
        <v>45832</v>
      </c>
      <c r="I27" s="1267">
        <f t="shared" si="0"/>
        <v>7096638</v>
      </c>
      <c r="J27" s="1268">
        <f t="shared" si="1"/>
        <v>0</v>
      </c>
      <c r="K27" s="1269">
        <f t="shared" si="2"/>
        <v>0</v>
      </c>
      <c r="L27" s="1270"/>
      <c r="M27" s="1270"/>
      <c r="N27" s="1271"/>
      <c r="O27" s="1272"/>
      <c r="P27" s="49" t="s">
        <v>1215</v>
      </c>
      <c r="Q27" s="1308" t="s">
        <v>4911</v>
      </c>
      <c r="R27" s="22"/>
      <c r="S27" s="22"/>
      <c r="T27" s="22"/>
      <c r="U27" s="22"/>
      <c r="V27" s="22"/>
      <c r="W27" s="22"/>
      <c r="X27" s="22"/>
      <c r="Y27" s="22"/>
      <c r="Z27" s="22"/>
      <c r="AA27" s="22"/>
      <c r="AB27" s="22"/>
      <c r="AC27" s="22"/>
      <c r="AD27" s="22"/>
      <c r="AE27" s="22"/>
      <c r="AF27" s="22"/>
      <c r="AG27" s="22"/>
      <c r="AH27" s="22"/>
      <c r="AI27" s="22"/>
    </row>
    <row r="28" spans="1:35">
      <c r="A28" s="1305" t="s">
        <v>3719</v>
      </c>
      <c r="B28" s="1262">
        <v>45813</v>
      </c>
      <c r="C28" s="1262" cm="1">
        <f t="array" aca="1" ref="C28" ca="1">_xlfn.IFS(I28&gt;1,B28,B28&lt;TODAY(),TODAY(),B28&gt;TODAY(),B28,B28=TODAY(),TODAY())</f>
        <v>45935</v>
      </c>
      <c r="D28" s="1263" t="s">
        <v>908</v>
      </c>
      <c r="E28" s="1264">
        <v>45723</v>
      </c>
      <c r="F28" s="1265" t="s">
        <v>4694</v>
      </c>
      <c r="G28" s="1266">
        <v>318600</v>
      </c>
      <c r="H28" s="1273"/>
      <c r="I28" s="1273"/>
      <c r="J28" s="1268">
        <f t="shared" si="1"/>
        <v>318600</v>
      </c>
      <c r="K28" s="1269">
        <f t="shared" si="2"/>
        <v>318600</v>
      </c>
      <c r="L28" s="1270"/>
      <c r="M28" s="1270"/>
      <c r="N28" s="1271">
        <f t="shared" ref="N28:N91" si="5">I28/10000000</f>
        <v>0</v>
      </c>
      <c r="O28" s="1272"/>
      <c r="P28" s="49" t="s">
        <v>1215</v>
      </c>
      <c r="Q28" s="1308" t="s">
        <v>4911</v>
      </c>
      <c r="R28" s="22"/>
      <c r="S28" s="22"/>
      <c r="T28" s="22"/>
      <c r="U28" s="22"/>
      <c r="V28" s="22"/>
      <c r="W28" s="22"/>
      <c r="X28" s="22"/>
      <c r="Y28" s="22"/>
      <c r="Z28" s="22"/>
      <c r="AA28" s="22"/>
      <c r="AB28" s="22"/>
      <c r="AC28" s="22"/>
      <c r="AD28" s="22"/>
      <c r="AE28" s="22"/>
      <c r="AF28" s="22"/>
      <c r="AG28" s="22"/>
      <c r="AH28" s="22"/>
      <c r="AI28" s="22"/>
    </row>
    <row r="29" spans="1:35">
      <c r="A29" s="1305" t="s">
        <v>3719</v>
      </c>
      <c r="B29" s="1262">
        <v>45813</v>
      </c>
      <c r="C29" s="1262" cm="1">
        <f t="array" aca="1" ref="C29" ca="1">_xlfn.IFS(I29&gt;1,B29,B29&lt;TODAY(),TODAY(),B29&gt;TODAY(),B29,B29=TODAY(),TODAY())</f>
        <v>45935</v>
      </c>
      <c r="D29" s="1263" t="s">
        <v>908</v>
      </c>
      <c r="E29" s="1264">
        <v>45723</v>
      </c>
      <c r="F29" s="1265" t="s">
        <v>4695</v>
      </c>
      <c r="G29" s="1266">
        <v>1470976</v>
      </c>
      <c r="H29" s="1273"/>
      <c r="I29" s="1273"/>
      <c r="J29" s="1268">
        <f t="shared" si="1"/>
        <v>1470976</v>
      </c>
      <c r="K29" s="1269">
        <f t="shared" si="2"/>
        <v>1789576</v>
      </c>
      <c r="L29" s="1270"/>
      <c r="M29" s="1270"/>
      <c r="N29" s="1271">
        <f t="shared" si="5"/>
        <v>0</v>
      </c>
      <c r="O29" s="1272"/>
      <c r="P29" s="49" t="s">
        <v>1215</v>
      </c>
      <c r="Q29" s="1308" t="s">
        <v>4911</v>
      </c>
      <c r="R29" s="22"/>
      <c r="S29" s="22"/>
      <c r="T29" s="22"/>
      <c r="U29" s="22"/>
      <c r="V29" s="22"/>
      <c r="W29" s="22"/>
      <c r="X29" s="22"/>
      <c r="Y29" s="22"/>
      <c r="Z29" s="22"/>
      <c r="AA29" s="22"/>
      <c r="AB29" s="22"/>
      <c r="AC29" s="22"/>
      <c r="AD29" s="22"/>
      <c r="AE29" s="22"/>
      <c r="AF29" s="22"/>
      <c r="AG29" s="22"/>
      <c r="AH29" s="22"/>
      <c r="AI29" s="22"/>
    </row>
    <row r="30" spans="1:35">
      <c r="A30" s="1305" t="s">
        <v>3719</v>
      </c>
      <c r="B30" s="1262">
        <v>45813</v>
      </c>
      <c r="C30" s="1262" cm="1">
        <f t="array" aca="1" ref="C30" ca="1">_xlfn.IFS(I30&gt;1,B30,B30&lt;TODAY(),TODAY(),B30&gt;TODAY(),B30,B30=TODAY(),TODAY())</f>
        <v>45935</v>
      </c>
      <c r="D30" s="1263" t="s">
        <v>908</v>
      </c>
      <c r="E30" s="1264">
        <v>45723</v>
      </c>
      <c r="F30" s="1265" t="s">
        <v>4696</v>
      </c>
      <c r="G30" s="1266">
        <v>29264</v>
      </c>
      <c r="H30" s="1273"/>
      <c r="I30" s="1273"/>
      <c r="J30" s="1268">
        <f t="shared" si="1"/>
        <v>29264</v>
      </c>
      <c r="K30" s="1269">
        <f t="shared" si="2"/>
        <v>1818840</v>
      </c>
      <c r="L30" s="1270"/>
      <c r="M30" s="1270"/>
      <c r="N30" s="1271">
        <f t="shared" si="5"/>
        <v>0</v>
      </c>
      <c r="O30" s="1272"/>
      <c r="P30" s="49" t="s">
        <v>1215</v>
      </c>
      <c r="Q30" s="1308" t="s">
        <v>4911</v>
      </c>
      <c r="R30" s="22"/>
      <c r="S30" s="22"/>
      <c r="T30" s="22"/>
      <c r="U30" s="22"/>
      <c r="V30" s="22"/>
      <c r="W30" s="22"/>
      <c r="X30" s="22"/>
      <c r="Y30" s="22"/>
      <c r="Z30" s="22"/>
      <c r="AA30" s="22"/>
      <c r="AB30" s="22"/>
      <c r="AC30" s="22"/>
      <c r="AD30" s="22"/>
      <c r="AE30" s="22"/>
      <c r="AF30" s="22"/>
      <c r="AG30" s="22"/>
      <c r="AH30" s="22"/>
      <c r="AI30" s="22"/>
    </row>
    <row r="31" spans="1:35">
      <c r="A31" s="1305" t="s">
        <v>3719</v>
      </c>
      <c r="B31" s="1262">
        <v>45813</v>
      </c>
      <c r="C31" s="1262" cm="1">
        <f t="array" aca="1" ref="C31" ca="1">_xlfn.IFS(I31&gt;1,B31,B31&lt;TODAY(),TODAY(),B31&gt;TODAY(),B31,B31=TODAY(),TODAY())</f>
        <v>45935</v>
      </c>
      <c r="D31" s="1263" t="s">
        <v>908</v>
      </c>
      <c r="E31" s="1264">
        <v>45723</v>
      </c>
      <c r="F31" s="1265" t="s">
        <v>4697</v>
      </c>
      <c r="G31" s="1266">
        <v>198108</v>
      </c>
      <c r="H31" s="1273"/>
      <c r="I31" s="1273"/>
      <c r="J31" s="1268">
        <f t="shared" si="1"/>
        <v>198108</v>
      </c>
      <c r="K31" s="1269">
        <f t="shared" si="2"/>
        <v>2016948</v>
      </c>
      <c r="L31" s="1270"/>
      <c r="M31" s="1270"/>
      <c r="N31" s="1271">
        <f t="shared" si="5"/>
        <v>0</v>
      </c>
      <c r="O31" s="1272"/>
      <c r="P31" s="49" t="s">
        <v>1215</v>
      </c>
      <c r="Q31" s="1308" t="s">
        <v>4911</v>
      </c>
      <c r="R31" s="22"/>
      <c r="S31" s="22"/>
      <c r="T31" s="22"/>
      <c r="U31" s="22"/>
      <c r="V31" s="22"/>
      <c r="W31" s="22"/>
      <c r="X31" s="22"/>
      <c r="Y31" s="22"/>
      <c r="Z31" s="22"/>
      <c r="AA31" s="22"/>
      <c r="AB31" s="22"/>
      <c r="AC31" s="22"/>
      <c r="AD31" s="22"/>
      <c r="AE31" s="22"/>
      <c r="AF31" s="22"/>
      <c r="AG31" s="22"/>
      <c r="AH31" s="22"/>
      <c r="AI31" s="22"/>
    </row>
    <row r="32" spans="1:35">
      <c r="A32" s="1305" t="s">
        <v>3719</v>
      </c>
      <c r="B32" s="1262">
        <v>45813</v>
      </c>
      <c r="C32" s="1262" cm="1">
        <f t="array" aca="1" ref="C32" ca="1">_xlfn.IFS(I32&gt;1,B32,B32&lt;TODAY(),TODAY(),B32&gt;TODAY(),B32,B32=TODAY(),TODAY())</f>
        <v>45935</v>
      </c>
      <c r="D32" s="1263" t="s">
        <v>908</v>
      </c>
      <c r="E32" s="1264">
        <v>45723</v>
      </c>
      <c r="F32" s="1265" t="s">
        <v>4698</v>
      </c>
      <c r="G32" s="1266">
        <v>808300</v>
      </c>
      <c r="H32" s="1273"/>
      <c r="I32" s="1273"/>
      <c r="J32" s="1268">
        <f t="shared" si="1"/>
        <v>808300</v>
      </c>
      <c r="K32" s="1269">
        <f t="shared" si="2"/>
        <v>2825248</v>
      </c>
      <c r="L32" s="1270"/>
      <c r="M32" s="1270"/>
      <c r="N32" s="1271">
        <f t="shared" si="5"/>
        <v>0</v>
      </c>
      <c r="O32" s="1272"/>
      <c r="P32" s="49" t="s">
        <v>1215</v>
      </c>
      <c r="Q32" s="1308" t="s">
        <v>4911</v>
      </c>
      <c r="R32" s="22"/>
      <c r="S32" s="22"/>
      <c r="T32" s="22"/>
      <c r="U32" s="22"/>
      <c r="V32" s="22"/>
      <c r="W32" s="22"/>
      <c r="X32" s="22"/>
      <c r="Y32" s="22"/>
      <c r="Z32" s="22"/>
      <c r="AA32" s="22"/>
      <c r="AB32" s="22"/>
      <c r="AC32" s="22"/>
      <c r="AD32" s="22"/>
      <c r="AE32" s="22"/>
      <c r="AF32" s="22"/>
      <c r="AG32" s="22"/>
      <c r="AH32" s="22"/>
      <c r="AI32" s="22"/>
    </row>
    <row r="33" spans="1:35">
      <c r="A33" s="1305" t="s">
        <v>3719</v>
      </c>
      <c r="B33" s="1262">
        <v>45813</v>
      </c>
      <c r="C33" s="1262" cm="1">
        <f t="array" aca="1" ref="C33" ca="1">_xlfn.IFS(I33&gt;1,B33,B33&lt;TODAY(),TODAY(),B33&gt;TODAY(),B33,B33=TODAY(),TODAY())</f>
        <v>45935</v>
      </c>
      <c r="D33" s="1263" t="s">
        <v>908</v>
      </c>
      <c r="E33" s="1264">
        <v>45723</v>
      </c>
      <c r="F33" s="1265" t="s">
        <v>4699</v>
      </c>
      <c r="G33" s="1266">
        <v>1662880</v>
      </c>
      <c r="H33" s="1273"/>
      <c r="I33" s="1273"/>
      <c r="J33" s="1268">
        <f t="shared" si="1"/>
        <v>1662880</v>
      </c>
      <c r="K33" s="1269">
        <f t="shared" si="2"/>
        <v>4488128</v>
      </c>
      <c r="L33" s="1270"/>
      <c r="M33" s="1270"/>
      <c r="N33" s="1271">
        <f t="shared" si="5"/>
        <v>0</v>
      </c>
      <c r="O33" s="1272"/>
      <c r="P33" s="49" t="s">
        <v>1215</v>
      </c>
      <c r="Q33" s="1308" t="s">
        <v>4911</v>
      </c>
      <c r="R33" s="22"/>
      <c r="S33" s="22"/>
      <c r="T33" s="22"/>
      <c r="U33" s="22"/>
      <c r="V33" s="22"/>
      <c r="W33" s="22"/>
      <c r="X33" s="22"/>
      <c r="Y33" s="22"/>
      <c r="Z33" s="22"/>
      <c r="AA33" s="22"/>
      <c r="AB33" s="22"/>
      <c r="AC33" s="22"/>
      <c r="AD33" s="22"/>
      <c r="AE33" s="22"/>
      <c r="AF33" s="22"/>
      <c r="AG33" s="22"/>
      <c r="AH33" s="22"/>
      <c r="AI33" s="22"/>
    </row>
    <row r="34" spans="1:35">
      <c r="A34" s="1305" t="s">
        <v>3719</v>
      </c>
      <c r="B34" s="1262">
        <v>45816</v>
      </c>
      <c r="C34" s="1262" cm="1">
        <f t="array" aca="1" ref="C34" ca="1">_xlfn.IFS(I34&gt;1,B34,B34&lt;TODAY(),TODAY(),B34&gt;TODAY(),B34,B34=TODAY(),TODAY())</f>
        <v>45935</v>
      </c>
      <c r="D34" s="1263" t="s">
        <v>908</v>
      </c>
      <c r="E34" s="1264">
        <v>45726</v>
      </c>
      <c r="F34" s="1265" t="s">
        <v>4700</v>
      </c>
      <c r="G34" s="1266">
        <v>5417728</v>
      </c>
      <c r="H34" s="1273"/>
      <c r="I34" s="1273"/>
      <c r="J34" s="1268">
        <f t="shared" si="1"/>
        <v>5417728</v>
      </c>
      <c r="K34" s="1269">
        <f t="shared" si="2"/>
        <v>9905856</v>
      </c>
      <c r="L34" s="1270"/>
      <c r="M34" s="1270"/>
      <c r="N34" s="1271">
        <f t="shared" si="5"/>
        <v>0</v>
      </c>
      <c r="O34" s="1272"/>
      <c r="P34" s="49" t="s">
        <v>1215</v>
      </c>
      <c r="Q34" s="1308" t="s">
        <v>4911</v>
      </c>
      <c r="R34" s="22"/>
      <c r="S34" s="22"/>
      <c r="T34" s="22"/>
      <c r="U34" s="22"/>
      <c r="V34" s="22"/>
      <c r="W34" s="22"/>
      <c r="X34" s="22"/>
      <c r="Y34" s="22"/>
      <c r="Z34" s="22"/>
      <c r="AA34" s="22"/>
      <c r="AB34" s="22"/>
      <c r="AC34" s="22"/>
      <c r="AD34" s="22"/>
      <c r="AE34" s="22"/>
      <c r="AF34" s="22"/>
      <c r="AG34" s="22"/>
      <c r="AH34" s="22"/>
      <c r="AI34" s="22"/>
    </row>
    <row r="35" spans="1:35">
      <c r="A35" s="1305" t="s">
        <v>3719</v>
      </c>
      <c r="B35" s="1262">
        <v>45816</v>
      </c>
      <c r="C35" s="1262" cm="1">
        <f t="array" aca="1" ref="C35" ca="1">_xlfn.IFS(I35&gt;1,B35,B35&lt;TODAY(),TODAY(),B35&gt;TODAY(),B35,B35=TODAY(),TODAY())</f>
        <v>45935</v>
      </c>
      <c r="D35" s="1263" t="s">
        <v>908</v>
      </c>
      <c r="E35" s="1264">
        <v>45726</v>
      </c>
      <c r="F35" s="1265" t="s">
        <v>4701</v>
      </c>
      <c r="G35" s="1266">
        <v>147382</v>
      </c>
      <c r="H35" s="1273"/>
      <c r="I35" s="1273"/>
      <c r="J35" s="1268">
        <f t="shared" si="1"/>
        <v>147382</v>
      </c>
      <c r="K35" s="1269">
        <f t="shared" si="2"/>
        <v>10053238</v>
      </c>
      <c r="L35" s="1270"/>
      <c r="M35" s="1270"/>
      <c r="N35" s="1271">
        <f t="shared" si="5"/>
        <v>0</v>
      </c>
      <c r="O35" s="1272"/>
      <c r="P35" s="49" t="s">
        <v>1215</v>
      </c>
      <c r="Q35" s="1308" t="s">
        <v>4911</v>
      </c>
      <c r="R35" s="22"/>
      <c r="S35" s="22"/>
      <c r="T35" s="22"/>
      <c r="U35" s="22"/>
      <c r="V35" s="22"/>
      <c r="W35" s="22"/>
      <c r="X35" s="22"/>
      <c r="Y35" s="22"/>
      <c r="Z35" s="22"/>
      <c r="AA35" s="22"/>
      <c r="AB35" s="22"/>
      <c r="AC35" s="22"/>
      <c r="AD35" s="22"/>
      <c r="AE35" s="22"/>
      <c r="AF35" s="22"/>
      <c r="AG35" s="22"/>
      <c r="AH35" s="22"/>
      <c r="AI35" s="22"/>
    </row>
    <row r="36" spans="1:35">
      <c r="A36" s="1305" t="s">
        <v>3719</v>
      </c>
      <c r="B36" s="1262">
        <v>45816</v>
      </c>
      <c r="C36" s="1262" cm="1">
        <f t="array" aca="1" ref="C36" ca="1">_xlfn.IFS(I36&gt;1,B36,B36&lt;TODAY(),TODAY(),B36&gt;TODAY(),B36,B36=TODAY(),TODAY())</f>
        <v>45935</v>
      </c>
      <c r="D36" s="1263" t="s">
        <v>908</v>
      </c>
      <c r="E36" s="1264">
        <v>45726</v>
      </c>
      <c r="F36" s="1265" t="s">
        <v>4702</v>
      </c>
      <c r="G36" s="1266">
        <v>410263</v>
      </c>
      <c r="H36" s="1273"/>
      <c r="I36" s="1273"/>
      <c r="J36" s="1268">
        <f t="shared" si="1"/>
        <v>410263</v>
      </c>
      <c r="K36" s="1269">
        <f t="shared" si="2"/>
        <v>10463501</v>
      </c>
      <c r="L36" s="1270"/>
      <c r="M36" s="1270"/>
      <c r="N36" s="1271">
        <f t="shared" si="5"/>
        <v>0</v>
      </c>
      <c r="O36" s="1272"/>
      <c r="P36" s="49" t="s">
        <v>1215</v>
      </c>
      <c r="Q36" s="1308" t="s">
        <v>4911</v>
      </c>
      <c r="R36" s="22"/>
      <c r="S36" s="22"/>
      <c r="T36" s="22"/>
      <c r="U36" s="22"/>
      <c r="V36" s="22"/>
      <c r="W36" s="22"/>
      <c r="X36" s="22"/>
      <c r="Y36" s="22"/>
      <c r="Z36" s="22"/>
      <c r="AA36" s="22"/>
      <c r="AB36" s="22"/>
      <c r="AC36" s="22"/>
      <c r="AD36" s="22"/>
      <c r="AE36" s="22"/>
      <c r="AF36" s="22"/>
      <c r="AG36" s="22"/>
      <c r="AH36" s="22"/>
      <c r="AI36" s="22"/>
    </row>
    <row r="37" spans="1:35">
      <c r="A37" s="1305" t="s">
        <v>3719</v>
      </c>
      <c r="B37" s="1262">
        <v>45816</v>
      </c>
      <c r="C37" s="1262" cm="1">
        <f t="array" aca="1" ref="C37" ca="1">_xlfn.IFS(I37&gt;1,B37,B37&lt;TODAY(),TODAY(),B37&gt;TODAY(),B37,B37=TODAY(),TODAY())</f>
        <v>45935</v>
      </c>
      <c r="D37" s="1263" t="s">
        <v>908</v>
      </c>
      <c r="E37" s="1264">
        <v>45726</v>
      </c>
      <c r="F37" s="1265" t="s">
        <v>4703</v>
      </c>
      <c r="G37" s="1266">
        <v>160574</v>
      </c>
      <c r="H37" s="1273"/>
      <c r="I37" s="1273"/>
      <c r="J37" s="1268">
        <f t="shared" si="1"/>
        <v>160574</v>
      </c>
      <c r="K37" s="1269">
        <f t="shared" si="2"/>
        <v>10624075</v>
      </c>
      <c r="L37" s="1270"/>
      <c r="M37" s="1270"/>
      <c r="N37" s="1271">
        <f t="shared" si="5"/>
        <v>0</v>
      </c>
      <c r="O37" s="1272"/>
      <c r="P37" s="49" t="s">
        <v>1215</v>
      </c>
      <c r="Q37" s="1308" t="s">
        <v>4911</v>
      </c>
      <c r="R37" s="22"/>
      <c r="S37" s="22"/>
      <c r="T37" s="22"/>
      <c r="U37" s="22"/>
      <c r="V37" s="22"/>
      <c r="W37" s="22"/>
      <c r="X37" s="22"/>
      <c r="Y37" s="22"/>
      <c r="Z37" s="22"/>
      <c r="AA37" s="22"/>
      <c r="AB37" s="22"/>
      <c r="AC37" s="22"/>
      <c r="AD37" s="22"/>
      <c r="AE37" s="22"/>
      <c r="AF37" s="22"/>
      <c r="AG37" s="22"/>
      <c r="AH37" s="22"/>
      <c r="AI37" s="22"/>
    </row>
    <row r="38" spans="1:35">
      <c r="A38" s="1305" t="s">
        <v>3719</v>
      </c>
      <c r="B38" s="1262">
        <v>45816</v>
      </c>
      <c r="C38" s="1262" cm="1">
        <f t="array" aca="1" ref="C38" ca="1">_xlfn.IFS(I38&gt;1,B38,B38&lt;TODAY(),TODAY(),B38&gt;TODAY(),B38,B38=TODAY(),TODAY())</f>
        <v>45935</v>
      </c>
      <c r="D38" s="1263" t="s">
        <v>908</v>
      </c>
      <c r="E38" s="1264">
        <v>45726</v>
      </c>
      <c r="F38" s="1265" t="s">
        <v>4704</v>
      </c>
      <c r="G38" s="1266">
        <v>1378712</v>
      </c>
      <c r="H38" s="1273"/>
      <c r="I38" s="1273"/>
      <c r="J38" s="1268">
        <f t="shared" si="1"/>
        <v>1378712</v>
      </c>
      <c r="K38" s="1269">
        <f t="shared" si="2"/>
        <v>12002787</v>
      </c>
      <c r="L38" s="1270"/>
      <c r="M38" s="1270"/>
      <c r="N38" s="1271">
        <f t="shared" si="5"/>
        <v>0</v>
      </c>
      <c r="O38" s="1272"/>
      <c r="P38" s="49" t="s">
        <v>1215</v>
      </c>
      <c r="Q38" s="1308" t="s">
        <v>4911</v>
      </c>
    </row>
    <row r="39" spans="1:35">
      <c r="A39" s="1305" t="s">
        <v>3719</v>
      </c>
      <c r="B39" s="1262">
        <v>45816</v>
      </c>
      <c r="C39" s="1262" cm="1">
        <f t="array" aca="1" ref="C39" ca="1">_xlfn.IFS(I39&gt;1,B39,B39&lt;TODAY(),TODAY(),B39&gt;TODAY(),B39,B39=TODAY(),TODAY())</f>
        <v>45935</v>
      </c>
      <c r="D39" s="1263" t="s">
        <v>908</v>
      </c>
      <c r="E39" s="1264">
        <v>45726</v>
      </c>
      <c r="F39" s="1265" t="s">
        <v>4705</v>
      </c>
      <c r="G39" s="1266">
        <v>864468</v>
      </c>
      <c r="H39" s="1273"/>
      <c r="I39" s="1273"/>
      <c r="J39" s="1268">
        <f t="shared" si="1"/>
        <v>864468</v>
      </c>
      <c r="K39" s="1269">
        <f t="shared" si="2"/>
        <v>12867255</v>
      </c>
      <c r="L39" s="1270"/>
      <c r="M39" s="1270"/>
      <c r="N39" s="1271">
        <f t="shared" si="5"/>
        <v>0</v>
      </c>
      <c r="O39" s="1272"/>
      <c r="P39" s="49" t="s">
        <v>1215</v>
      </c>
      <c r="Q39" s="1308" t="s">
        <v>4911</v>
      </c>
    </row>
    <row r="40" spans="1:35">
      <c r="A40" s="1305" t="s">
        <v>3719</v>
      </c>
      <c r="B40" s="1262">
        <v>45816</v>
      </c>
      <c r="C40" s="1262" cm="1">
        <f t="array" aca="1" ref="C40" ca="1">_xlfn.IFS(I40&gt;1,B40,B40&lt;TODAY(),TODAY(),B40&gt;TODAY(),B40,B40=TODAY(),TODAY())</f>
        <v>45935</v>
      </c>
      <c r="D40" s="1263" t="s">
        <v>908</v>
      </c>
      <c r="E40" s="1264">
        <v>45726</v>
      </c>
      <c r="F40" s="1265" t="s">
        <v>4706</v>
      </c>
      <c r="G40" s="1266">
        <v>95970</v>
      </c>
      <c r="H40" s="1273"/>
      <c r="I40" s="1273"/>
      <c r="J40" s="1268">
        <f t="shared" si="1"/>
        <v>95970</v>
      </c>
      <c r="K40" s="1269">
        <f t="shared" si="2"/>
        <v>12963225</v>
      </c>
      <c r="L40" s="1270"/>
      <c r="M40" s="1270"/>
      <c r="N40" s="1271">
        <f t="shared" si="5"/>
        <v>0</v>
      </c>
      <c r="O40" s="1272"/>
      <c r="P40" s="49" t="s">
        <v>1215</v>
      </c>
      <c r="Q40" s="1308" t="s">
        <v>4911</v>
      </c>
    </row>
    <row r="41" spans="1:35">
      <c r="A41" s="1305" t="s">
        <v>3719</v>
      </c>
      <c r="B41" s="1262">
        <v>45816</v>
      </c>
      <c r="C41" s="1262" cm="1">
        <f t="array" aca="1" ref="C41" ca="1">_xlfn.IFS(I41&gt;1,B41,B41&lt;TODAY(),TODAY(),B41&gt;TODAY(),B41,B41=TODAY(),TODAY())</f>
        <v>45935</v>
      </c>
      <c r="D41" s="1263" t="s">
        <v>908</v>
      </c>
      <c r="E41" s="1264">
        <v>45726</v>
      </c>
      <c r="F41" s="1265" t="s">
        <v>4707</v>
      </c>
      <c r="G41" s="1266">
        <v>70800</v>
      </c>
      <c r="H41" s="1273"/>
      <c r="I41" s="1273"/>
      <c r="J41" s="1268">
        <f t="shared" si="1"/>
        <v>70800</v>
      </c>
      <c r="K41" s="1269">
        <f t="shared" si="2"/>
        <v>13034025</v>
      </c>
      <c r="L41" s="1270"/>
      <c r="M41" s="1270"/>
      <c r="N41" s="1271">
        <f t="shared" si="5"/>
        <v>0</v>
      </c>
      <c r="O41" s="1272"/>
      <c r="P41" s="49" t="s">
        <v>1215</v>
      </c>
      <c r="Q41" s="1308" t="s">
        <v>4911</v>
      </c>
    </row>
    <row r="42" spans="1:35">
      <c r="A42" s="1305" t="s">
        <v>3719</v>
      </c>
      <c r="B42" s="1262">
        <v>45816</v>
      </c>
      <c r="C42" s="1262" cm="1">
        <f t="array" aca="1" ref="C42" ca="1">_xlfn.IFS(I42&gt;1,B42,B42&lt;TODAY(),TODAY(),B42&gt;TODAY(),B42,B42=TODAY(),TODAY())</f>
        <v>45935</v>
      </c>
      <c r="D42" s="1263" t="s">
        <v>908</v>
      </c>
      <c r="E42" s="1264">
        <v>45726</v>
      </c>
      <c r="F42" s="1265" t="s">
        <v>4708</v>
      </c>
      <c r="G42" s="1266">
        <v>11500</v>
      </c>
      <c r="H42" s="1273"/>
      <c r="I42" s="1273"/>
      <c r="J42" s="1268">
        <f t="shared" si="1"/>
        <v>11500</v>
      </c>
      <c r="K42" s="1269">
        <f t="shared" si="2"/>
        <v>13045525</v>
      </c>
      <c r="L42" s="1270"/>
      <c r="M42" s="1270"/>
      <c r="N42" s="1271">
        <f t="shared" si="5"/>
        <v>0</v>
      </c>
      <c r="O42" s="1272"/>
      <c r="P42" s="49" t="s">
        <v>1215</v>
      </c>
      <c r="Q42" s="1308" t="s">
        <v>4911</v>
      </c>
    </row>
    <row r="43" spans="1:35">
      <c r="A43" s="1305" t="s">
        <v>3719</v>
      </c>
      <c r="B43" s="1262">
        <v>45816</v>
      </c>
      <c r="C43" s="1262" cm="1">
        <f t="array" aca="1" ref="C43" ca="1">_xlfn.IFS(I43&gt;1,B43,B43&lt;TODAY(),TODAY(),B43&gt;TODAY(),B43,B43=TODAY(),TODAY())</f>
        <v>45935</v>
      </c>
      <c r="D43" s="1263" t="s">
        <v>908</v>
      </c>
      <c r="E43" s="1264">
        <v>45726</v>
      </c>
      <c r="F43" s="1265" t="s">
        <v>4709</v>
      </c>
      <c r="G43" s="1266">
        <v>257276</v>
      </c>
      <c r="H43" s="1273"/>
      <c r="I43" s="1273"/>
      <c r="J43" s="1268">
        <f t="shared" si="1"/>
        <v>257276</v>
      </c>
      <c r="K43" s="1269">
        <f t="shared" si="2"/>
        <v>13302801</v>
      </c>
      <c r="L43" s="1270"/>
      <c r="M43" s="1270"/>
      <c r="N43" s="1271">
        <f t="shared" si="5"/>
        <v>0</v>
      </c>
      <c r="O43" s="1272"/>
      <c r="P43" s="49" t="s">
        <v>1215</v>
      </c>
      <c r="Q43" s="1308" t="s">
        <v>4911</v>
      </c>
    </row>
    <row r="44" spans="1:35">
      <c r="A44" s="1305" t="s">
        <v>3719</v>
      </c>
      <c r="B44" s="1262">
        <v>45816</v>
      </c>
      <c r="C44" s="1262" cm="1">
        <f t="array" aca="1" ref="C44" ca="1">_xlfn.IFS(I44&gt;1,B44,B44&lt;TODAY(),TODAY(),B44&gt;TODAY(),B44,B44=TODAY(),TODAY())</f>
        <v>45935</v>
      </c>
      <c r="D44" s="1263" t="s">
        <v>908</v>
      </c>
      <c r="E44" s="1264">
        <v>45726</v>
      </c>
      <c r="F44" s="1265" t="s">
        <v>4710</v>
      </c>
      <c r="G44" s="1266">
        <v>6616705</v>
      </c>
      <c r="H44" s="1273"/>
      <c r="I44" s="1273"/>
      <c r="J44" s="1268">
        <f t="shared" si="1"/>
        <v>6616705</v>
      </c>
      <c r="K44" s="1269">
        <f t="shared" si="2"/>
        <v>19919506</v>
      </c>
      <c r="L44" s="1270"/>
      <c r="M44" s="1270"/>
      <c r="N44" s="1271">
        <f t="shared" si="5"/>
        <v>0</v>
      </c>
      <c r="O44" s="1272"/>
      <c r="P44" s="49" t="s">
        <v>1215</v>
      </c>
      <c r="Q44" s="1308" t="s">
        <v>4911</v>
      </c>
    </row>
    <row r="45" spans="1:35">
      <c r="A45" s="1305" t="s">
        <v>3719</v>
      </c>
      <c r="B45" s="1262">
        <v>45816</v>
      </c>
      <c r="C45" s="1262" cm="1">
        <f t="array" aca="1" ref="C45" ca="1">_xlfn.IFS(I45&gt;1,B45,B45&lt;TODAY(),TODAY(),B45&gt;TODAY(),B45,B45=TODAY(),TODAY())</f>
        <v>45935</v>
      </c>
      <c r="D45" s="1263" t="s">
        <v>908</v>
      </c>
      <c r="E45" s="1264">
        <v>45726</v>
      </c>
      <c r="F45" s="1265" t="s">
        <v>4711</v>
      </c>
      <c r="G45" s="1266">
        <v>531000</v>
      </c>
      <c r="H45" s="1273"/>
      <c r="I45" s="1273"/>
      <c r="J45" s="1268">
        <f t="shared" si="1"/>
        <v>531000</v>
      </c>
      <c r="K45" s="1269">
        <f t="shared" si="2"/>
        <v>20450506</v>
      </c>
      <c r="L45" s="1270"/>
      <c r="M45" s="1270"/>
      <c r="N45" s="1271">
        <f t="shared" si="5"/>
        <v>0</v>
      </c>
      <c r="O45" s="1272"/>
      <c r="P45" s="49" t="s">
        <v>1215</v>
      </c>
      <c r="Q45" s="1308" t="s">
        <v>4911</v>
      </c>
    </row>
    <row r="46" spans="1:35">
      <c r="A46" s="1305" t="s">
        <v>3719</v>
      </c>
      <c r="B46" s="1262">
        <v>45816</v>
      </c>
      <c r="C46" s="1262" cm="1">
        <f t="array" aca="1" ref="C46" ca="1">_xlfn.IFS(I46&gt;1,B46,B46&lt;TODAY(),TODAY(),B46&gt;TODAY(),B46,B46=TODAY(),TODAY())</f>
        <v>45935</v>
      </c>
      <c r="D46" s="1263" t="s">
        <v>908</v>
      </c>
      <c r="E46" s="1264">
        <v>45726</v>
      </c>
      <c r="F46" s="1265" t="s">
        <v>4712</v>
      </c>
      <c r="G46" s="1266">
        <v>776500</v>
      </c>
      <c r="H46" s="1273"/>
      <c r="I46" s="1273"/>
      <c r="J46" s="1268">
        <f t="shared" si="1"/>
        <v>776500</v>
      </c>
      <c r="K46" s="1269">
        <f t="shared" si="2"/>
        <v>21227006</v>
      </c>
      <c r="L46" s="1270"/>
      <c r="M46" s="1270"/>
      <c r="N46" s="1271">
        <f t="shared" si="5"/>
        <v>0</v>
      </c>
      <c r="O46" s="1272"/>
      <c r="P46" s="49" t="s">
        <v>1215</v>
      </c>
      <c r="Q46" s="1308" t="s">
        <v>4911</v>
      </c>
    </row>
    <row r="47" spans="1:35">
      <c r="A47" s="1305" t="s">
        <v>3719</v>
      </c>
      <c r="B47" s="1262">
        <v>45817</v>
      </c>
      <c r="C47" s="1262" cm="1">
        <f t="array" aca="1" ref="C47" ca="1">_xlfn.IFS(I47&gt;1,B47,B47&lt;TODAY(),TODAY(),B47&gt;TODAY(),B47,B47=TODAY(),TODAY())</f>
        <v>45935</v>
      </c>
      <c r="D47" s="1263" t="s">
        <v>908</v>
      </c>
      <c r="E47" s="1264">
        <v>45727</v>
      </c>
      <c r="F47" s="1265" t="s">
        <v>4713</v>
      </c>
      <c r="G47" s="1266">
        <v>472236</v>
      </c>
      <c r="H47" s="1273"/>
      <c r="I47" s="1273"/>
      <c r="J47" s="1268">
        <f t="shared" si="1"/>
        <v>472236</v>
      </c>
      <c r="K47" s="1269">
        <f t="shared" si="2"/>
        <v>21699242</v>
      </c>
      <c r="L47" s="1270"/>
      <c r="M47" s="1270"/>
      <c r="N47" s="1271">
        <f t="shared" si="5"/>
        <v>0</v>
      </c>
      <c r="O47" s="1272"/>
      <c r="P47" s="49" t="s">
        <v>1215</v>
      </c>
      <c r="Q47" s="1308" t="s">
        <v>4911</v>
      </c>
    </row>
    <row r="48" spans="1:35">
      <c r="A48" s="1305" t="s">
        <v>3719</v>
      </c>
      <c r="B48" s="1262">
        <v>45817</v>
      </c>
      <c r="C48" s="1262" cm="1">
        <f t="array" aca="1" ref="C48" ca="1">_xlfn.IFS(I48&gt;1,B48,B48&lt;TODAY(),TODAY(),B48&gt;TODAY(),B48,B48=TODAY(),TODAY())</f>
        <v>45935</v>
      </c>
      <c r="D48" s="1263" t="s">
        <v>908</v>
      </c>
      <c r="E48" s="1264">
        <v>45727</v>
      </c>
      <c r="F48" s="1265" t="s">
        <v>4714</v>
      </c>
      <c r="G48" s="1266">
        <v>126715</v>
      </c>
      <c r="H48" s="1273"/>
      <c r="I48" s="1273"/>
      <c r="J48" s="1268">
        <f t="shared" si="1"/>
        <v>126715</v>
      </c>
      <c r="K48" s="1269">
        <f t="shared" si="2"/>
        <v>21825957</v>
      </c>
      <c r="L48" s="1270"/>
      <c r="M48" s="1270"/>
      <c r="N48" s="1271">
        <f t="shared" si="5"/>
        <v>0</v>
      </c>
      <c r="O48" s="1272"/>
      <c r="P48" s="49" t="s">
        <v>1215</v>
      </c>
      <c r="Q48" s="1308" t="s">
        <v>4911</v>
      </c>
    </row>
    <row r="49" spans="1:17">
      <c r="A49" s="1305" t="s">
        <v>3719</v>
      </c>
      <c r="B49" s="1262">
        <v>45817</v>
      </c>
      <c r="C49" s="1262" cm="1">
        <f t="array" aca="1" ref="C49" ca="1">_xlfn.IFS(I49&gt;1,B49,B49&lt;TODAY(),TODAY(),B49&gt;TODAY(),B49,B49=TODAY(),TODAY())</f>
        <v>45935</v>
      </c>
      <c r="D49" s="1263" t="s">
        <v>908</v>
      </c>
      <c r="E49" s="1264">
        <v>45727</v>
      </c>
      <c r="F49" s="1265" t="s">
        <v>4715</v>
      </c>
      <c r="G49" s="1266">
        <v>53000</v>
      </c>
      <c r="H49" s="1273"/>
      <c r="I49" s="1273"/>
      <c r="J49" s="1268">
        <f t="shared" si="1"/>
        <v>53000</v>
      </c>
      <c r="K49" s="1269">
        <f t="shared" si="2"/>
        <v>21878957</v>
      </c>
      <c r="L49" s="1270"/>
      <c r="M49" s="1270"/>
      <c r="N49" s="1271">
        <f t="shared" si="5"/>
        <v>0</v>
      </c>
      <c r="O49" s="1272"/>
      <c r="P49" s="49" t="s">
        <v>1215</v>
      </c>
      <c r="Q49" s="1308" t="s">
        <v>4911</v>
      </c>
    </row>
    <row r="50" spans="1:17">
      <c r="A50" s="1305" t="s">
        <v>3719</v>
      </c>
      <c r="B50" s="1262">
        <v>45817</v>
      </c>
      <c r="C50" s="1262" cm="1">
        <f t="array" aca="1" ref="C50" ca="1">_xlfn.IFS(I50&gt;1,B50,B50&lt;TODAY(),TODAY(),B50&gt;TODAY(),B50,B50=TODAY(),TODAY())</f>
        <v>45935</v>
      </c>
      <c r="D50" s="1263" t="s">
        <v>908</v>
      </c>
      <c r="E50" s="1264">
        <v>45727</v>
      </c>
      <c r="F50" s="1265" t="s">
        <v>4716</v>
      </c>
      <c r="G50" s="1266">
        <v>2342300</v>
      </c>
      <c r="H50" s="1273"/>
      <c r="I50" s="1273"/>
      <c r="J50" s="1268">
        <f t="shared" si="1"/>
        <v>2342300</v>
      </c>
      <c r="K50" s="1269">
        <f t="shared" si="2"/>
        <v>24221257</v>
      </c>
      <c r="L50" s="1270"/>
      <c r="M50" s="1270"/>
      <c r="N50" s="1271">
        <f t="shared" si="5"/>
        <v>0</v>
      </c>
      <c r="O50" s="1272"/>
      <c r="P50" s="49" t="s">
        <v>1215</v>
      </c>
      <c r="Q50" s="1308" t="s">
        <v>4911</v>
      </c>
    </row>
    <row r="51" spans="1:17">
      <c r="A51" s="1305" t="s">
        <v>3719</v>
      </c>
      <c r="B51" s="1262">
        <v>45817</v>
      </c>
      <c r="C51" s="1262" cm="1">
        <f t="array" aca="1" ref="C51" ca="1">_xlfn.IFS(I51&gt;1,B51,B51&lt;TODAY(),TODAY(),B51&gt;TODAY(),B51,B51=TODAY(),TODAY())</f>
        <v>45935</v>
      </c>
      <c r="D51" s="1263" t="s">
        <v>908</v>
      </c>
      <c r="E51" s="1264">
        <v>45727</v>
      </c>
      <c r="F51" s="1265" t="s">
        <v>4717</v>
      </c>
      <c r="G51" s="1266">
        <v>16478026</v>
      </c>
      <c r="H51" s="1273"/>
      <c r="I51" s="1273"/>
      <c r="J51" s="1268">
        <f t="shared" si="1"/>
        <v>16478026</v>
      </c>
      <c r="K51" s="1269">
        <f t="shared" si="2"/>
        <v>40699283</v>
      </c>
      <c r="L51" s="1270"/>
      <c r="M51" s="1270"/>
      <c r="N51" s="1271">
        <f t="shared" si="5"/>
        <v>0</v>
      </c>
      <c r="O51" s="1272"/>
      <c r="P51" s="49" t="s">
        <v>1215</v>
      </c>
      <c r="Q51" s="1308" t="s">
        <v>4911</v>
      </c>
    </row>
    <row r="52" spans="1:17">
      <c r="A52" s="1305" t="s">
        <v>3719</v>
      </c>
      <c r="B52" s="1262">
        <v>45817</v>
      </c>
      <c r="C52" s="1262" cm="1">
        <f t="array" aca="1" ref="C52" ca="1">_xlfn.IFS(I52&gt;1,B52,B52&lt;TODAY(),TODAY(),B52&gt;TODAY(),B52,B52=TODAY(),TODAY())</f>
        <v>45935</v>
      </c>
      <c r="D52" s="1263" t="s">
        <v>908</v>
      </c>
      <c r="E52" s="1264">
        <v>45727</v>
      </c>
      <c r="F52" s="1265" t="s">
        <v>4718</v>
      </c>
      <c r="G52" s="1266">
        <v>402380</v>
      </c>
      <c r="H52" s="1273"/>
      <c r="I52" s="1273"/>
      <c r="J52" s="1268">
        <f t="shared" si="1"/>
        <v>402380</v>
      </c>
      <c r="K52" s="1269">
        <f t="shared" si="2"/>
        <v>41101663</v>
      </c>
      <c r="L52" s="1270"/>
      <c r="M52" s="1270"/>
      <c r="N52" s="1271">
        <f t="shared" si="5"/>
        <v>0</v>
      </c>
      <c r="O52" s="1272"/>
      <c r="P52" s="49" t="s">
        <v>1215</v>
      </c>
      <c r="Q52" s="1308" t="s">
        <v>4911</v>
      </c>
    </row>
    <row r="53" spans="1:17">
      <c r="A53" s="1305" t="s">
        <v>3719</v>
      </c>
      <c r="B53" s="1262">
        <v>45817</v>
      </c>
      <c r="C53" s="1262" cm="1">
        <f t="array" aca="1" ref="C53" ca="1">_xlfn.IFS(I53&gt;1,B53,B53&lt;TODAY(),TODAY(),B53&gt;TODAY(),B53,B53=TODAY(),TODAY())</f>
        <v>45935</v>
      </c>
      <c r="D53" s="1263" t="s">
        <v>908</v>
      </c>
      <c r="E53" s="1264">
        <v>45727</v>
      </c>
      <c r="F53" s="1265" t="s">
        <v>4719</v>
      </c>
      <c r="G53" s="1266">
        <v>77880</v>
      </c>
      <c r="H53" s="1273"/>
      <c r="I53" s="1273"/>
      <c r="J53" s="1268">
        <f t="shared" si="1"/>
        <v>77880</v>
      </c>
      <c r="K53" s="1269">
        <f t="shared" si="2"/>
        <v>41179543</v>
      </c>
      <c r="L53" s="1270"/>
      <c r="M53" s="1270"/>
      <c r="N53" s="1271">
        <f t="shared" si="5"/>
        <v>0</v>
      </c>
      <c r="O53" s="1272"/>
      <c r="P53" s="49" t="s">
        <v>1215</v>
      </c>
      <c r="Q53" s="1308" t="s">
        <v>4911</v>
      </c>
    </row>
    <row r="54" spans="1:17">
      <c r="A54" s="1305" t="s">
        <v>3719</v>
      </c>
      <c r="B54" s="1262">
        <v>45817</v>
      </c>
      <c r="C54" s="1262" cm="1">
        <f t="array" aca="1" ref="C54" ca="1">_xlfn.IFS(I54&gt;1,B54,B54&lt;TODAY(),TODAY(),B54&gt;TODAY(),B54,B54=TODAY(),TODAY())</f>
        <v>45935</v>
      </c>
      <c r="D54" s="1263" t="s">
        <v>908</v>
      </c>
      <c r="E54" s="1264">
        <v>45727</v>
      </c>
      <c r="F54" s="1265" t="s">
        <v>4720</v>
      </c>
      <c r="G54" s="1266">
        <v>16602097.67</v>
      </c>
      <c r="H54" s="1273"/>
      <c r="I54" s="1273"/>
      <c r="J54" s="1268">
        <f t="shared" si="1"/>
        <v>16602097.67</v>
      </c>
      <c r="K54" s="1269">
        <f t="shared" si="2"/>
        <v>57781640.670000002</v>
      </c>
      <c r="L54" s="1270"/>
      <c r="M54" s="1270"/>
      <c r="N54" s="1271">
        <f t="shared" si="5"/>
        <v>0</v>
      </c>
      <c r="O54" s="1272"/>
      <c r="P54" s="49" t="s">
        <v>1215</v>
      </c>
      <c r="Q54" s="1308" t="s">
        <v>4911</v>
      </c>
    </row>
    <row r="55" spans="1:17">
      <c r="A55" s="1305" t="s">
        <v>3719</v>
      </c>
      <c r="B55" s="1262">
        <v>45817</v>
      </c>
      <c r="C55" s="1262" cm="1">
        <f t="array" aca="1" ref="C55" ca="1">_xlfn.IFS(I55&gt;1,B55,B55&lt;TODAY(),TODAY(),B55&gt;TODAY(),B55,B55=TODAY(),TODAY())</f>
        <v>45935</v>
      </c>
      <c r="D55" s="1263" t="s">
        <v>908</v>
      </c>
      <c r="E55" s="1264">
        <v>45727</v>
      </c>
      <c r="F55" s="1265" t="s">
        <v>4721</v>
      </c>
      <c r="G55" s="1266">
        <v>7322696.6200000001</v>
      </c>
      <c r="H55" s="1273"/>
      <c r="I55" s="1273"/>
      <c r="J55" s="1268">
        <f t="shared" si="1"/>
        <v>7322696.6200000001</v>
      </c>
      <c r="K55" s="1269">
        <f t="shared" si="2"/>
        <v>65104337.289999999</v>
      </c>
      <c r="L55" s="1270"/>
      <c r="M55" s="1270"/>
      <c r="N55" s="1271">
        <f t="shared" si="5"/>
        <v>0</v>
      </c>
      <c r="O55" s="1272"/>
      <c r="P55" s="49" t="s">
        <v>1215</v>
      </c>
      <c r="Q55" s="1308" t="s">
        <v>4911</v>
      </c>
    </row>
    <row r="56" spans="1:17">
      <c r="A56" s="1305" t="s">
        <v>3719</v>
      </c>
      <c r="B56" s="1262">
        <v>45817</v>
      </c>
      <c r="C56" s="1262" cm="1">
        <f t="array" aca="1" ref="C56" ca="1">_xlfn.IFS(I56&gt;1,B56,B56&lt;TODAY(),TODAY(),B56&gt;TODAY(),B56,B56=TODAY(),TODAY())</f>
        <v>45935</v>
      </c>
      <c r="D56" s="1263" t="s">
        <v>908</v>
      </c>
      <c r="E56" s="1264">
        <v>45727</v>
      </c>
      <c r="F56" s="1265" t="s">
        <v>4722</v>
      </c>
      <c r="G56" s="1266">
        <v>417581</v>
      </c>
      <c r="H56" s="1273"/>
      <c r="I56" s="1273"/>
      <c r="J56" s="1268">
        <f t="shared" si="1"/>
        <v>417581</v>
      </c>
      <c r="K56" s="1269">
        <f t="shared" si="2"/>
        <v>65521918.289999999</v>
      </c>
      <c r="L56" s="1270"/>
      <c r="M56" s="1270"/>
      <c r="N56" s="1271">
        <f t="shared" si="5"/>
        <v>0</v>
      </c>
      <c r="O56" s="1272"/>
      <c r="P56" s="49" t="s">
        <v>1215</v>
      </c>
      <c r="Q56" s="1308" t="s">
        <v>4911</v>
      </c>
    </row>
    <row r="57" spans="1:17">
      <c r="A57" s="1305" t="s">
        <v>3719</v>
      </c>
      <c r="B57" s="1262">
        <v>45817</v>
      </c>
      <c r="C57" s="1262" cm="1">
        <f t="array" aca="1" ref="C57" ca="1">_xlfn.IFS(I57&gt;1,B57,B57&lt;TODAY(),TODAY(),B57&gt;TODAY(),B57,B57=TODAY(),TODAY())</f>
        <v>45935</v>
      </c>
      <c r="D57" s="1263" t="s">
        <v>908</v>
      </c>
      <c r="E57" s="1264">
        <v>45727</v>
      </c>
      <c r="F57" s="1265" t="s">
        <v>4723</v>
      </c>
      <c r="G57" s="1266">
        <v>332672</v>
      </c>
      <c r="H57" s="1273"/>
      <c r="I57" s="1273"/>
      <c r="J57" s="1268">
        <f t="shared" si="1"/>
        <v>332672</v>
      </c>
      <c r="K57" s="1269">
        <f t="shared" si="2"/>
        <v>65854590.289999999</v>
      </c>
      <c r="L57" s="1270"/>
      <c r="M57" s="1270"/>
      <c r="N57" s="1271">
        <f t="shared" si="5"/>
        <v>0</v>
      </c>
      <c r="O57" s="1272"/>
      <c r="P57" s="49" t="s">
        <v>1215</v>
      </c>
      <c r="Q57" s="1308" t="s">
        <v>4911</v>
      </c>
    </row>
    <row r="58" spans="1:17">
      <c r="A58" s="1305" t="s">
        <v>3719</v>
      </c>
      <c r="B58" s="1262">
        <v>45817</v>
      </c>
      <c r="C58" s="1262" cm="1">
        <f t="array" aca="1" ref="C58" ca="1">_xlfn.IFS(I58&gt;1,B58,B58&lt;TODAY(),TODAY(),B58&gt;TODAY(),B58,B58=TODAY(),TODAY())</f>
        <v>45935</v>
      </c>
      <c r="D58" s="1263" t="s">
        <v>908</v>
      </c>
      <c r="E58" s="1264">
        <v>45727</v>
      </c>
      <c r="F58" s="1265" t="s">
        <v>4724</v>
      </c>
      <c r="G58" s="1266">
        <v>7174</v>
      </c>
      <c r="H58" s="1273"/>
      <c r="I58" s="1273"/>
      <c r="J58" s="1268">
        <f t="shared" si="1"/>
        <v>7174</v>
      </c>
      <c r="K58" s="1269">
        <f t="shared" si="2"/>
        <v>65861764.289999999</v>
      </c>
      <c r="L58" s="1270"/>
      <c r="M58" s="1270"/>
      <c r="N58" s="1271">
        <f t="shared" si="5"/>
        <v>0</v>
      </c>
      <c r="O58" s="1272"/>
      <c r="P58" s="49" t="s">
        <v>1215</v>
      </c>
      <c r="Q58" s="1308" t="s">
        <v>4911</v>
      </c>
    </row>
    <row r="59" spans="1:17">
      <c r="A59" s="1305" t="s">
        <v>3719</v>
      </c>
      <c r="B59" s="1262">
        <v>45819</v>
      </c>
      <c r="C59" s="1262" cm="1">
        <f t="array" aca="1" ref="C59" ca="1">_xlfn.IFS(I59&gt;1,B59,B59&lt;TODAY(),TODAY(),B59&gt;TODAY(),B59,B59=TODAY(),TODAY())</f>
        <v>45935</v>
      </c>
      <c r="D59" s="1263" t="s">
        <v>908</v>
      </c>
      <c r="E59" s="1264">
        <v>45729</v>
      </c>
      <c r="F59" s="1265" t="s">
        <v>4725</v>
      </c>
      <c r="G59" s="1266">
        <v>12217</v>
      </c>
      <c r="H59" s="1273"/>
      <c r="I59" s="1273"/>
      <c r="J59" s="1268">
        <f t="shared" si="1"/>
        <v>12217</v>
      </c>
      <c r="K59" s="1269">
        <f t="shared" si="2"/>
        <v>65873981.289999999</v>
      </c>
      <c r="L59" s="1270"/>
      <c r="M59" s="1270"/>
      <c r="N59" s="1271">
        <f t="shared" si="5"/>
        <v>0</v>
      </c>
      <c r="O59" s="1272"/>
      <c r="P59" s="49" t="s">
        <v>1215</v>
      </c>
      <c r="Q59" s="1308" t="s">
        <v>4911</v>
      </c>
    </row>
    <row r="60" spans="1:17">
      <c r="A60" s="1305" t="s">
        <v>3719</v>
      </c>
      <c r="B60" s="1262">
        <v>45819</v>
      </c>
      <c r="C60" s="1262" cm="1">
        <f t="array" aca="1" ref="C60" ca="1">_xlfn.IFS(I60&gt;1,B60,B60&lt;TODAY(),TODAY(),B60&gt;TODAY(),B60,B60=TODAY(),TODAY())</f>
        <v>45935</v>
      </c>
      <c r="D60" s="1263" t="s">
        <v>908</v>
      </c>
      <c r="E60" s="1264">
        <v>45729</v>
      </c>
      <c r="F60" s="1265" t="s">
        <v>4726</v>
      </c>
      <c r="G60" s="1266">
        <v>212400</v>
      </c>
      <c r="H60" s="1273"/>
      <c r="I60" s="1273"/>
      <c r="J60" s="1268">
        <f t="shared" si="1"/>
        <v>212400</v>
      </c>
      <c r="K60" s="1269">
        <f t="shared" si="2"/>
        <v>66086381.289999999</v>
      </c>
      <c r="L60" s="1270"/>
      <c r="M60" s="1270"/>
      <c r="N60" s="1271">
        <f t="shared" si="5"/>
        <v>0</v>
      </c>
      <c r="O60" s="1272"/>
      <c r="P60" s="49" t="s">
        <v>1215</v>
      </c>
      <c r="Q60" s="1308" t="s">
        <v>4911</v>
      </c>
    </row>
    <row r="61" spans="1:17">
      <c r="A61" s="1305" t="s">
        <v>3719</v>
      </c>
      <c r="B61" s="1262">
        <v>45819</v>
      </c>
      <c r="C61" s="1262" cm="1">
        <f t="array" aca="1" ref="C61" ca="1">_xlfn.IFS(I61&gt;1,B61,B61&lt;TODAY(),TODAY(),B61&gt;TODAY(),B61,B61=TODAY(),TODAY())</f>
        <v>45935</v>
      </c>
      <c r="D61" s="1263" t="s">
        <v>908</v>
      </c>
      <c r="E61" s="1264">
        <v>45729</v>
      </c>
      <c r="F61" s="1265" t="s">
        <v>4727</v>
      </c>
      <c r="G61" s="1266">
        <v>19219060</v>
      </c>
      <c r="H61" s="1273"/>
      <c r="I61" s="1273"/>
      <c r="J61" s="1268">
        <f t="shared" si="1"/>
        <v>19219060</v>
      </c>
      <c r="K61" s="1269">
        <f t="shared" si="2"/>
        <v>85305441.289999992</v>
      </c>
      <c r="L61" s="1270"/>
      <c r="M61" s="1270"/>
      <c r="N61" s="1271">
        <f t="shared" si="5"/>
        <v>0</v>
      </c>
      <c r="O61" s="1272"/>
      <c r="P61" s="49" t="s">
        <v>1215</v>
      </c>
      <c r="Q61" s="1308" t="s">
        <v>4911</v>
      </c>
    </row>
    <row r="62" spans="1:17">
      <c r="A62" s="1305" t="s">
        <v>3719</v>
      </c>
      <c r="B62" s="1274">
        <v>45819</v>
      </c>
      <c r="C62" s="1274" cm="1">
        <f t="array" aca="1" ref="C62" ca="1">_xlfn.IFS(I62&gt;1,B62,B62&lt;TODAY(),TODAY(),B62&gt;TODAY(),B62,B62=TODAY(),TODAY())</f>
        <v>45935</v>
      </c>
      <c r="D62" s="1275" t="s">
        <v>908</v>
      </c>
      <c r="E62" s="1276">
        <v>45729</v>
      </c>
      <c r="F62" s="1277" t="s">
        <v>4728</v>
      </c>
      <c r="G62" s="1278">
        <v>109399</v>
      </c>
      <c r="H62" s="1279"/>
      <c r="I62" s="1279"/>
      <c r="J62" s="1280">
        <f t="shared" si="1"/>
        <v>109399</v>
      </c>
      <c r="K62" s="1281">
        <f t="shared" si="2"/>
        <v>85414840.289999992</v>
      </c>
      <c r="L62" s="1282"/>
      <c r="M62" s="1282"/>
      <c r="N62" s="1271">
        <f t="shared" si="5"/>
        <v>0</v>
      </c>
      <c r="O62" s="1272"/>
      <c r="P62" s="49" t="s">
        <v>1215</v>
      </c>
      <c r="Q62" s="1308" t="s">
        <v>4911</v>
      </c>
    </row>
    <row r="63" spans="1:17">
      <c r="A63" s="1305" t="s">
        <v>3719</v>
      </c>
      <c r="B63" s="1274">
        <v>45819</v>
      </c>
      <c r="C63" s="1274" cm="1">
        <f t="array" aca="1" ref="C63" ca="1">_xlfn.IFS(I63&gt;1,B63,B63&lt;TODAY(),TODAY(),B63&gt;TODAY(),B63,B63=TODAY(),TODAY())</f>
        <v>45935</v>
      </c>
      <c r="D63" s="1275" t="s">
        <v>908</v>
      </c>
      <c r="E63" s="1276">
        <v>45729</v>
      </c>
      <c r="F63" s="1277" t="s">
        <v>4729</v>
      </c>
      <c r="G63" s="1278">
        <v>345600</v>
      </c>
      <c r="H63" s="1279"/>
      <c r="I63" s="1279"/>
      <c r="J63" s="1280">
        <f t="shared" si="1"/>
        <v>345600</v>
      </c>
      <c r="K63" s="1281">
        <f t="shared" si="2"/>
        <v>85760440.289999992</v>
      </c>
      <c r="L63" s="1282"/>
      <c r="M63" s="1282"/>
      <c r="N63" s="1271">
        <f t="shared" si="5"/>
        <v>0</v>
      </c>
      <c r="O63" s="1272"/>
      <c r="P63" s="49" t="s">
        <v>1215</v>
      </c>
      <c r="Q63" s="1308" t="s">
        <v>4911</v>
      </c>
    </row>
    <row r="64" spans="1:17">
      <c r="A64" s="1305" t="s">
        <v>3719</v>
      </c>
      <c r="B64" s="1274">
        <v>45819</v>
      </c>
      <c r="C64" s="1274" cm="1">
        <f t="array" aca="1" ref="C64" ca="1">_xlfn.IFS(I64&gt;1,B64,B64&lt;TODAY(),TODAY(),B64&gt;TODAY(),B64,B64=TODAY(),TODAY())</f>
        <v>45935</v>
      </c>
      <c r="D64" s="1275" t="s">
        <v>908</v>
      </c>
      <c r="E64" s="1276">
        <v>45729</v>
      </c>
      <c r="F64" s="1277" t="s">
        <v>4730</v>
      </c>
      <c r="G64" s="1278">
        <v>188244</v>
      </c>
      <c r="H64" s="1279"/>
      <c r="I64" s="1279"/>
      <c r="J64" s="1280">
        <f t="shared" si="1"/>
        <v>188244</v>
      </c>
      <c r="K64" s="1281">
        <f t="shared" si="2"/>
        <v>85948684.289999992</v>
      </c>
      <c r="L64" s="1282"/>
      <c r="M64" s="1282"/>
      <c r="N64" s="1271">
        <f t="shared" si="5"/>
        <v>0</v>
      </c>
      <c r="O64" s="1272"/>
      <c r="P64" s="49" t="s">
        <v>1215</v>
      </c>
      <c r="Q64" s="1308" t="s">
        <v>4911</v>
      </c>
    </row>
    <row r="65" spans="1:17">
      <c r="A65" s="1305" t="s">
        <v>3719</v>
      </c>
      <c r="B65" s="1274">
        <v>45819</v>
      </c>
      <c r="C65" s="1274" cm="1">
        <f t="array" aca="1" ref="C65" ca="1">_xlfn.IFS(I65&gt;1,B65,B65&lt;TODAY(),TODAY(),B65&gt;TODAY(),B65,B65=TODAY(),TODAY())</f>
        <v>45935</v>
      </c>
      <c r="D65" s="1275" t="s">
        <v>908</v>
      </c>
      <c r="E65" s="1276">
        <v>45729</v>
      </c>
      <c r="F65" s="1277" t="s">
        <v>4731</v>
      </c>
      <c r="G65" s="1278">
        <v>12758</v>
      </c>
      <c r="H65" s="1279"/>
      <c r="I65" s="1279"/>
      <c r="J65" s="1280">
        <f t="shared" si="1"/>
        <v>12758</v>
      </c>
      <c r="K65" s="1281">
        <f t="shared" si="2"/>
        <v>85961442.289999992</v>
      </c>
      <c r="L65" s="1282"/>
      <c r="M65" s="1282"/>
      <c r="N65" s="1271">
        <f t="shared" si="5"/>
        <v>0</v>
      </c>
      <c r="O65" s="1272"/>
      <c r="P65" s="49" t="s">
        <v>1215</v>
      </c>
      <c r="Q65" s="1308" t="s">
        <v>4911</v>
      </c>
    </row>
    <row r="66" spans="1:17">
      <c r="A66" s="1305" t="s">
        <v>3719</v>
      </c>
      <c r="B66" s="1274">
        <v>45819</v>
      </c>
      <c r="C66" s="1274" cm="1">
        <f t="array" aca="1" ref="C66" ca="1">_xlfn.IFS(I66&gt;1,B66,B66&lt;TODAY(),TODAY(),B66&gt;TODAY(),B66,B66=TODAY(),TODAY())</f>
        <v>45935</v>
      </c>
      <c r="D66" s="1275" t="s">
        <v>908</v>
      </c>
      <c r="E66" s="1276">
        <v>45729</v>
      </c>
      <c r="F66" s="1277" t="s">
        <v>4732</v>
      </c>
      <c r="G66" s="1278">
        <v>112766</v>
      </c>
      <c r="H66" s="1279"/>
      <c r="I66" s="1279"/>
      <c r="J66" s="1280">
        <f t="shared" ref="J66:J129" si="6">G66-I66</f>
        <v>112766</v>
      </c>
      <c r="K66" s="1281">
        <f t="shared" si="2"/>
        <v>86074208.289999992</v>
      </c>
      <c r="L66" s="1282"/>
      <c r="M66" s="1282"/>
      <c r="N66" s="1271">
        <f t="shared" si="5"/>
        <v>0</v>
      </c>
      <c r="O66" s="1272"/>
      <c r="P66" s="49" t="s">
        <v>1215</v>
      </c>
      <c r="Q66" s="1308" t="s">
        <v>4911</v>
      </c>
    </row>
    <row r="67" spans="1:17">
      <c r="A67" s="1305" t="s">
        <v>3719</v>
      </c>
      <c r="B67" s="1274">
        <v>45819</v>
      </c>
      <c r="C67" s="1274" cm="1">
        <f t="array" aca="1" ref="C67" ca="1">_xlfn.IFS(I67&gt;1,B67,B67&lt;TODAY(),TODAY(),B67&gt;TODAY(),B67,B67=TODAY(),TODAY())</f>
        <v>45935</v>
      </c>
      <c r="D67" s="1275" t="s">
        <v>908</v>
      </c>
      <c r="E67" s="1276">
        <v>45729</v>
      </c>
      <c r="F67" s="1277" t="s">
        <v>4733</v>
      </c>
      <c r="G67" s="1278">
        <v>81019</v>
      </c>
      <c r="H67" s="1279"/>
      <c r="I67" s="1279"/>
      <c r="J67" s="1280">
        <f t="shared" si="6"/>
        <v>81019</v>
      </c>
      <c r="K67" s="1281">
        <f t="shared" ref="K67:K130" si="7">K66+G67-I67</f>
        <v>86155227.289999992</v>
      </c>
      <c r="L67" s="1282"/>
      <c r="M67" s="1282"/>
      <c r="N67" s="1271">
        <f t="shared" si="5"/>
        <v>0</v>
      </c>
      <c r="O67" s="1272"/>
      <c r="P67" s="49" t="s">
        <v>1215</v>
      </c>
      <c r="Q67" s="1308" t="s">
        <v>4911</v>
      </c>
    </row>
    <row r="68" spans="1:17">
      <c r="A68" s="1305" t="s">
        <v>3719</v>
      </c>
      <c r="B68" s="1274">
        <v>45819</v>
      </c>
      <c r="C68" s="1274" cm="1">
        <f t="array" aca="1" ref="C68" ca="1">_xlfn.IFS(I68&gt;1,B68,B68&lt;TODAY(),TODAY(),B68&gt;TODAY(),B68,B68=TODAY(),TODAY())</f>
        <v>45935</v>
      </c>
      <c r="D68" s="1275" t="s">
        <v>908</v>
      </c>
      <c r="E68" s="1276">
        <v>45729</v>
      </c>
      <c r="F68" s="1277" t="s">
        <v>4734</v>
      </c>
      <c r="G68" s="1278">
        <v>352445</v>
      </c>
      <c r="H68" s="1279"/>
      <c r="I68" s="1279"/>
      <c r="J68" s="1280">
        <f t="shared" si="6"/>
        <v>352445</v>
      </c>
      <c r="K68" s="1281">
        <f t="shared" si="7"/>
        <v>86507672.289999992</v>
      </c>
      <c r="L68" s="1282"/>
      <c r="M68" s="1282"/>
      <c r="N68" s="1271">
        <f t="shared" si="5"/>
        <v>0</v>
      </c>
      <c r="O68" s="1272"/>
      <c r="P68" s="49" t="s">
        <v>1215</v>
      </c>
      <c r="Q68" s="1308" t="s">
        <v>4911</v>
      </c>
    </row>
    <row r="69" spans="1:17">
      <c r="A69" s="1305" t="s">
        <v>3719</v>
      </c>
      <c r="B69" s="1274">
        <v>45823</v>
      </c>
      <c r="C69" s="1274" cm="1">
        <f t="array" aca="1" ref="C69" ca="1">_xlfn.IFS(I69&gt;1,B69,B69&lt;TODAY(),TODAY(),B69&gt;TODAY(),B69,B69=TODAY(),TODAY())</f>
        <v>45935</v>
      </c>
      <c r="D69" s="1275" t="s">
        <v>908</v>
      </c>
      <c r="E69" s="1276">
        <v>45733</v>
      </c>
      <c r="F69" s="1277" t="s">
        <v>4735</v>
      </c>
      <c r="G69" s="1278">
        <v>97581</v>
      </c>
      <c r="H69" s="1279"/>
      <c r="I69" s="1279"/>
      <c r="J69" s="1280">
        <f t="shared" si="6"/>
        <v>97581</v>
      </c>
      <c r="K69" s="1281">
        <f t="shared" si="7"/>
        <v>86605253.289999992</v>
      </c>
      <c r="L69" s="1282"/>
      <c r="M69" s="1282"/>
      <c r="N69" s="1271">
        <f t="shared" si="5"/>
        <v>0</v>
      </c>
      <c r="O69" s="1272"/>
      <c r="P69" s="49" t="s">
        <v>1215</v>
      </c>
      <c r="Q69" s="1308" t="s">
        <v>4911</v>
      </c>
    </row>
    <row r="70" spans="1:17">
      <c r="A70" s="1305" t="s">
        <v>3719</v>
      </c>
      <c r="B70" s="1274">
        <v>45823</v>
      </c>
      <c r="C70" s="1274" cm="1">
        <f t="array" aca="1" ref="C70" ca="1">_xlfn.IFS(I70&gt;1,B70,B70&lt;TODAY(),TODAY(),B70&gt;TODAY(),B70,B70=TODAY(),TODAY())</f>
        <v>45935</v>
      </c>
      <c r="D70" s="1275" t="s">
        <v>908</v>
      </c>
      <c r="E70" s="1276">
        <v>45733</v>
      </c>
      <c r="F70" s="1277" t="s">
        <v>4736</v>
      </c>
      <c r="G70" s="1278">
        <v>347869</v>
      </c>
      <c r="H70" s="1279"/>
      <c r="I70" s="1279"/>
      <c r="J70" s="1280">
        <f t="shared" si="6"/>
        <v>347869</v>
      </c>
      <c r="K70" s="1281">
        <f t="shared" si="7"/>
        <v>86953122.289999992</v>
      </c>
      <c r="L70" s="1282"/>
      <c r="M70" s="1282"/>
      <c r="N70" s="1271">
        <f t="shared" si="5"/>
        <v>0</v>
      </c>
      <c r="O70" s="1272"/>
      <c r="P70" s="49" t="s">
        <v>1215</v>
      </c>
      <c r="Q70" s="1308" t="s">
        <v>4911</v>
      </c>
    </row>
    <row r="71" spans="1:17">
      <c r="A71" s="1305" t="s">
        <v>3719</v>
      </c>
      <c r="B71" s="1274">
        <v>45823</v>
      </c>
      <c r="C71" s="1274" cm="1">
        <f t="array" aca="1" ref="C71" ca="1">_xlfn.IFS(I71&gt;1,B71,B71&lt;TODAY(),TODAY(),B71&gt;TODAY(),B71,B71=TODAY(),TODAY())</f>
        <v>45935</v>
      </c>
      <c r="D71" s="1275" t="s">
        <v>908</v>
      </c>
      <c r="E71" s="1276">
        <v>45733</v>
      </c>
      <c r="F71" s="1277" t="s">
        <v>4737</v>
      </c>
      <c r="G71" s="1278">
        <v>695468</v>
      </c>
      <c r="H71" s="1279"/>
      <c r="I71" s="1279"/>
      <c r="J71" s="1280">
        <f t="shared" si="6"/>
        <v>695468</v>
      </c>
      <c r="K71" s="1281">
        <f t="shared" si="7"/>
        <v>87648590.289999992</v>
      </c>
      <c r="L71" s="1282"/>
      <c r="M71" s="1282"/>
      <c r="N71" s="1271">
        <f t="shared" si="5"/>
        <v>0</v>
      </c>
      <c r="O71" s="1272"/>
      <c r="P71" s="49" t="s">
        <v>1215</v>
      </c>
      <c r="Q71" s="1308" t="s">
        <v>4911</v>
      </c>
    </row>
    <row r="72" spans="1:17">
      <c r="A72" s="1305" t="s">
        <v>3719</v>
      </c>
      <c r="B72" s="1274">
        <v>45823</v>
      </c>
      <c r="C72" s="1274" cm="1">
        <f t="array" aca="1" ref="C72" ca="1">_xlfn.IFS(I72&gt;1,B72,B72&lt;TODAY(),TODAY(),B72&gt;TODAY(),B72,B72=TODAY(),TODAY())</f>
        <v>45935</v>
      </c>
      <c r="D72" s="1275" t="s">
        <v>908</v>
      </c>
      <c r="E72" s="1276">
        <v>45733</v>
      </c>
      <c r="F72" s="1277" t="s">
        <v>4738</v>
      </c>
      <c r="G72" s="1278">
        <v>209544</v>
      </c>
      <c r="H72" s="1279"/>
      <c r="I72" s="1279"/>
      <c r="J72" s="1280">
        <f t="shared" si="6"/>
        <v>209544</v>
      </c>
      <c r="K72" s="1281">
        <f t="shared" si="7"/>
        <v>87858134.289999992</v>
      </c>
      <c r="L72" s="1282"/>
      <c r="M72" s="1282"/>
      <c r="N72" s="1271">
        <f t="shared" si="5"/>
        <v>0</v>
      </c>
      <c r="O72" s="1272"/>
      <c r="P72" s="49" t="s">
        <v>1215</v>
      </c>
      <c r="Q72" s="1308" t="s">
        <v>4911</v>
      </c>
    </row>
    <row r="73" spans="1:17">
      <c r="A73" s="1305" t="s">
        <v>3719</v>
      </c>
      <c r="B73" s="1274">
        <v>45823</v>
      </c>
      <c r="C73" s="1274" cm="1">
        <f t="array" aca="1" ref="C73" ca="1">_xlfn.IFS(I73&gt;1,B73,B73&lt;TODAY(),TODAY(),B73&gt;TODAY(),B73,B73=TODAY(),TODAY())</f>
        <v>45935</v>
      </c>
      <c r="D73" s="1275" t="s">
        <v>908</v>
      </c>
      <c r="E73" s="1276">
        <v>45733</v>
      </c>
      <c r="F73" s="1277" t="s">
        <v>4739</v>
      </c>
      <c r="G73" s="1278">
        <v>2725210</v>
      </c>
      <c r="H73" s="1279"/>
      <c r="I73" s="1279"/>
      <c r="J73" s="1280">
        <f t="shared" si="6"/>
        <v>2725210</v>
      </c>
      <c r="K73" s="1281">
        <f t="shared" si="7"/>
        <v>90583344.289999992</v>
      </c>
      <c r="L73" s="1282"/>
      <c r="M73" s="1282"/>
      <c r="N73" s="1271">
        <f t="shared" si="5"/>
        <v>0</v>
      </c>
      <c r="O73" s="1272"/>
      <c r="P73" s="49" t="s">
        <v>1215</v>
      </c>
      <c r="Q73" s="1308" t="s">
        <v>4911</v>
      </c>
    </row>
    <row r="74" spans="1:17">
      <c r="A74" s="1305" t="s">
        <v>3719</v>
      </c>
      <c r="B74" s="1274">
        <v>45823</v>
      </c>
      <c r="C74" s="1274" cm="1">
        <f t="array" aca="1" ref="C74" ca="1">_xlfn.IFS(I74&gt;1,B74,B74&lt;TODAY(),TODAY(),B74&gt;TODAY(),B74,B74=TODAY(),TODAY())</f>
        <v>45935</v>
      </c>
      <c r="D74" s="1275" t="s">
        <v>908</v>
      </c>
      <c r="E74" s="1276">
        <v>45733</v>
      </c>
      <c r="F74" s="1277" t="s">
        <v>4740</v>
      </c>
      <c r="G74" s="1278">
        <v>719101</v>
      </c>
      <c r="H74" s="1279"/>
      <c r="I74" s="1279"/>
      <c r="J74" s="1280">
        <f t="shared" si="6"/>
        <v>719101</v>
      </c>
      <c r="K74" s="1281">
        <f t="shared" si="7"/>
        <v>91302445.289999992</v>
      </c>
      <c r="L74" s="1282"/>
      <c r="M74" s="1282"/>
      <c r="N74" s="1271">
        <f t="shared" si="5"/>
        <v>0</v>
      </c>
      <c r="O74" s="1272"/>
      <c r="P74" s="49" t="s">
        <v>1215</v>
      </c>
      <c r="Q74" s="1308" t="s">
        <v>4911</v>
      </c>
    </row>
    <row r="75" spans="1:17">
      <c r="A75" s="1305" t="s">
        <v>3719</v>
      </c>
      <c r="B75" s="1274">
        <v>45824</v>
      </c>
      <c r="C75" s="1274" cm="1">
        <f t="array" aca="1" ref="C75" ca="1">_xlfn.IFS(I75&gt;1,B75,B75&lt;TODAY(),TODAY(),B75&gt;TODAY(),B75,B75=TODAY(),TODAY())</f>
        <v>45935</v>
      </c>
      <c r="D75" s="1275" t="s">
        <v>908</v>
      </c>
      <c r="E75" s="1276">
        <v>45734</v>
      </c>
      <c r="F75" s="1277" t="s">
        <v>4741</v>
      </c>
      <c r="G75" s="1278">
        <v>41890</v>
      </c>
      <c r="H75" s="1279"/>
      <c r="I75" s="1279"/>
      <c r="J75" s="1280">
        <f t="shared" si="6"/>
        <v>41890</v>
      </c>
      <c r="K75" s="1281">
        <f t="shared" si="7"/>
        <v>91344335.289999992</v>
      </c>
      <c r="L75" s="1282"/>
      <c r="M75" s="1282"/>
      <c r="N75" s="1271">
        <f t="shared" si="5"/>
        <v>0</v>
      </c>
      <c r="O75" s="1272"/>
      <c r="P75" s="49" t="s">
        <v>1215</v>
      </c>
      <c r="Q75" s="1308" t="s">
        <v>4911</v>
      </c>
    </row>
    <row r="76" spans="1:17">
      <c r="A76" s="1305" t="s">
        <v>3719</v>
      </c>
      <c r="B76" s="1274">
        <v>45824</v>
      </c>
      <c r="C76" s="1274" cm="1">
        <f t="array" aca="1" ref="C76" ca="1">_xlfn.IFS(I76&gt;1,B76,B76&lt;TODAY(),TODAY(),B76&gt;TODAY(),B76,B76=TODAY(),TODAY())</f>
        <v>45935</v>
      </c>
      <c r="D76" s="1275" t="s">
        <v>908</v>
      </c>
      <c r="E76" s="1276">
        <v>45734</v>
      </c>
      <c r="F76" s="1277" t="s">
        <v>4742</v>
      </c>
      <c r="G76" s="1278">
        <v>135417</v>
      </c>
      <c r="H76" s="1279"/>
      <c r="I76" s="1279"/>
      <c r="J76" s="1280">
        <f t="shared" si="6"/>
        <v>135417</v>
      </c>
      <c r="K76" s="1281">
        <f t="shared" si="7"/>
        <v>91479752.289999992</v>
      </c>
      <c r="L76" s="1282"/>
      <c r="M76" s="1282"/>
      <c r="N76" s="1271">
        <f t="shared" si="5"/>
        <v>0</v>
      </c>
      <c r="O76" s="1272"/>
      <c r="P76" s="49" t="s">
        <v>1215</v>
      </c>
      <c r="Q76" s="1308" t="s">
        <v>4911</v>
      </c>
    </row>
    <row r="77" spans="1:17">
      <c r="A77" s="1305" t="s">
        <v>3719</v>
      </c>
      <c r="B77" s="1274">
        <v>45824</v>
      </c>
      <c r="C77" s="1274" cm="1">
        <f t="array" aca="1" ref="C77" ca="1">_xlfn.IFS(I77&gt;1,B77,B77&lt;TODAY(),TODAY(),B77&gt;TODAY(),B77,B77=TODAY(),TODAY())</f>
        <v>45935</v>
      </c>
      <c r="D77" s="1275" t="s">
        <v>908</v>
      </c>
      <c r="E77" s="1276">
        <v>45734</v>
      </c>
      <c r="F77" s="1277" t="s">
        <v>4743</v>
      </c>
      <c r="G77" s="1278">
        <v>34296</v>
      </c>
      <c r="H77" s="1279"/>
      <c r="I77" s="1279"/>
      <c r="J77" s="1280">
        <f t="shared" si="6"/>
        <v>34296</v>
      </c>
      <c r="K77" s="1281">
        <f t="shared" si="7"/>
        <v>91514048.289999992</v>
      </c>
      <c r="L77" s="1282"/>
      <c r="M77" s="1282"/>
      <c r="N77" s="1271">
        <f t="shared" si="5"/>
        <v>0</v>
      </c>
      <c r="O77" s="1272"/>
      <c r="P77" s="49" t="s">
        <v>1215</v>
      </c>
      <c r="Q77" s="1308" t="s">
        <v>4911</v>
      </c>
    </row>
    <row r="78" spans="1:17">
      <c r="A78" s="1305" t="s">
        <v>3719</v>
      </c>
      <c r="B78" s="1274">
        <v>45824</v>
      </c>
      <c r="C78" s="1274" cm="1">
        <f t="array" aca="1" ref="C78" ca="1">_xlfn.IFS(I78&gt;1,B78,B78&lt;TODAY(),TODAY(),B78&gt;TODAY(),B78,B78=TODAY(),TODAY())</f>
        <v>45935</v>
      </c>
      <c r="D78" s="1275" t="s">
        <v>908</v>
      </c>
      <c r="E78" s="1276">
        <v>45734</v>
      </c>
      <c r="F78" s="1277" t="s">
        <v>4744</v>
      </c>
      <c r="G78" s="1278">
        <v>781569</v>
      </c>
      <c r="H78" s="1279"/>
      <c r="I78" s="1279"/>
      <c r="J78" s="1280">
        <f t="shared" si="6"/>
        <v>781569</v>
      </c>
      <c r="K78" s="1281">
        <f t="shared" si="7"/>
        <v>92295617.289999992</v>
      </c>
      <c r="L78" s="1282"/>
      <c r="M78" s="1282"/>
      <c r="N78" s="1271">
        <f t="shared" si="5"/>
        <v>0</v>
      </c>
      <c r="O78" s="1272"/>
      <c r="P78" s="49" t="s">
        <v>1215</v>
      </c>
      <c r="Q78" s="1308" t="s">
        <v>4911</v>
      </c>
    </row>
    <row r="79" spans="1:17">
      <c r="A79" s="1305" t="s">
        <v>3719</v>
      </c>
      <c r="B79" s="1274">
        <v>45824</v>
      </c>
      <c r="C79" s="1274" cm="1">
        <f t="array" aca="1" ref="C79" ca="1">_xlfn.IFS(I79&gt;1,B79,B79&lt;TODAY(),TODAY(),B79&gt;TODAY(),B79,B79=TODAY(),TODAY())</f>
        <v>45935</v>
      </c>
      <c r="D79" s="1275" t="s">
        <v>908</v>
      </c>
      <c r="E79" s="1276">
        <v>45734</v>
      </c>
      <c r="F79" s="1277" t="s">
        <v>4745</v>
      </c>
      <c r="G79" s="1278">
        <v>3193697</v>
      </c>
      <c r="H79" s="1279"/>
      <c r="I79" s="1279"/>
      <c r="J79" s="1280">
        <f t="shared" si="6"/>
        <v>3193697</v>
      </c>
      <c r="K79" s="1281">
        <f t="shared" si="7"/>
        <v>95489314.289999992</v>
      </c>
      <c r="L79" s="1282"/>
      <c r="M79" s="1282"/>
      <c r="N79" s="1271">
        <f t="shared" si="5"/>
        <v>0</v>
      </c>
      <c r="O79" s="1272"/>
      <c r="P79" s="49" t="s">
        <v>1215</v>
      </c>
      <c r="Q79" s="1308" t="s">
        <v>4911</v>
      </c>
    </row>
    <row r="80" spans="1:17">
      <c r="A80" s="1305" t="s">
        <v>3719</v>
      </c>
      <c r="B80" s="1274">
        <v>45824</v>
      </c>
      <c r="C80" s="1274" cm="1">
        <f t="array" aca="1" ref="C80" ca="1">_xlfn.IFS(I80&gt;1,B80,B80&lt;TODAY(),TODAY(),B80&gt;TODAY(),B80,B80=TODAY(),TODAY())</f>
        <v>45935</v>
      </c>
      <c r="D80" s="1275" t="s">
        <v>908</v>
      </c>
      <c r="E80" s="1276">
        <v>45734</v>
      </c>
      <c r="F80" s="1277" t="s">
        <v>4746</v>
      </c>
      <c r="G80" s="1278">
        <v>153400</v>
      </c>
      <c r="H80" s="1279"/>
      <c r="I80" s="1279"/>
      <c r="J80" s="1280">
        <f t="shared" si="6"/>
        <v>153400</v>
      </c>
      <c r="K80" s="1281">
        <f t="shared" si="7"/>
        <v>95642714.289999992</v>
      </c>
      <c r="L80" s="1282"/>
      <c r="M80" s="1282"/>
      <c r="N80" s="1271">
        <f t="shared" si="5"/>
        <v>0</v>
      </c>
      <c r="O80" s="1272"/>
      <c r="P80" s="49" t="s">
        <v>1215</v>
      </c>
      <c r="Q80" s="1308" t="s">
        <v>4911</v>
      </c>
    </row>
    <row r="81" spans="1:17">
      <c r="A81" s="1305" t="s">
        <v>3719</v>
      </c>
      <c r="B81" s="1274">
        <v>45824</v>
      </c>
      <c r="C81" s="1274" cm="1">
        <f t="array" aca="1" ref="C81" ca="1">_xlfn.IFS(I81&gt;1,B81,B81&lt;TODAY(),TODAY(),B81&gt;TODAY(),B81,B81=TODAY(),TODAY())</f>
        <v>45935</v>
      </c>
      <c r="D81" s="1275" t="s">
        <v>908</v>
      </c>
      <c r="E81" s="1276">
        <v>45734</v>
      </c>
      <c r="F81" s="1277" t="s">
        <v>4747</v>
      </c>
      <c r="G81" s="1278">
        <v>94400</v>
      </c>
      <c r="H81" s="1279"/>
      <c r="I81" s="1279"/>
      <c r="J81" s="1280">
        <f t="shared" si="6"/>
        <v>94400</v>
      </c>
      <c r="K81" s="1281">
        <f t="shared" si="7"/>
        <v>95737114.289999992</v>
      </c>
      <c r="L81" s="1282"/>
      <c r="M81" s="1282"/>
      <c r="N81" s="1271">
        <f t="shared" si="5"/>
        <v>0</v>
      </c>
      <c r="O81" s="1272"/>
      <c r="P81" s="49" t="s">
        <v>1215</v>
      </c>
      <c r="Q81" s="1308" t="s">
        <v>4911</v>
      </c>
    </row>
    <row r="82" spans="1:17">
      <c r="A82" s="1305" t="s">
        <v>3719</v>
      </c>
      <c r="B82" s="1274">
        <v>45824</v>
      </c>
      <c r="C82" s="1274" cm="1">
        <f t="array" aca="1" ref="C82" ca="1">_xlfn.IFS(I82&gt;1,B82,B82&lt;TODAY(),TODAY(),B82&gt;TODAY(),B82,B82=TODAY(),TODAY())</f>
        <v>45935</v>
      </c>
      <c r="D82" s="1275" t="s">
        <v>908</v>
      </c>
      <c r="E82" s="1276">
        <v>45734</v>
      </c>
      <c r="F82" s="1277" t="s">
        <v>4748</v>
      </c>
      <c r="G82" s="1278">
        <v>1799711</v>
      </c>
      <c r="H82" s="1279"/>
      <c r="I82" s="1279"/>
      <c r="J82" s="1280">
        <f t="shared" si="6"/>
        <v>1799711</v>
      </c>
      <c r="K82" s="1281">
        <f t="shared" si="7"/>
        <v>97536825.289999992</v>
      </c>
      <c r="L82" s="1282"/>
      <c r="M82" s="1282"/>
      <c r="N82" s="1271">
        <f t="shared" si="5"/>
        <v>0</v>
      </c>
      <c r="O82" s="1272"/>
      <c r="P82" s="49" t="s">
        <v>1215</v>
      </c>
      <c r="Q82" s="1308" t="s">
        <v>4911</v>
      </c>
    </row>
    <row r="83" spans="1:17">
      <c r="A83" s="1305" t="s">
        <v>3719</v>
      </c>
      <c r="B83" s="1274">
        <v>45824</v>
      </c>
      <c r="C83" s="1274" cm="1">
        <f t="array" aca="1" ref="C83" ca="1">_xlfn.IFS(I83&gt;1,B83,B83&lt;TODAY(),TODAY(),B83&gt;TODAY(),B83,B83=TODAY(),TODAY())</f>
        <v>45935</v>
      </c>
      <c r="D83" s="1275" t="s">
        <v>908</v>
      </c>
      <c r="E83" s="1276">
        <v>45734</v>
      </c>
      <c r="F83" s="1277" t="s">
        <v>4749</v>
      </c>
      <c r="G83" s="1278">
        <v>299985</v>
      </c>
      <c r="H83" s="1279"/>
      <c r="I83" s="1279"/>
      <c r="J83" s="1280">
        <f t="shared" si="6"/>
        <v>299985</v>
      </c>
      <c r="K83" s="1281">
        <f t="shared" si="7"/>
        <v>97836810.289999992</v>
      </c>
      <c r="L83" s="1282"/>
      <c r="M83" s="1282"/>
      <c r="N83" s="1271">
        <f t="shared" si="5"/>
        <v>0</v>
      </c>
      <c r="O83" s="1272"/>
      <c r="P83" s="49" t="s">
        <v>1215</v>
      </c>
      <c r="Q83" s="1308" t="s">
        <v>4911</v>
      </c>
    </row>
    <row r="84" spans="1:17">
      <c r="A84" s="1305" t="s">
        <v>3719</v>
      </c>
      <c r="B84" s="1274">
        <v>45824</v>
      </c>
      <c r="C84" s="1274" cm="1">
        <f t="array" aca="1" ref="C84" ca="1">_xlfn.IFS(I84&gt;1,B84,B84&lt;TODAY(),TODAY(),B84&gt;TODAY(),B84,B84=TODAY(),TODAY())</f>
        <v>45935</v>
      </c>
      <c r="D84" s="1275" t="s">
        <v>908</v>
      </c>
      <c r="E84" s="1276">
        <v>45734</v>
      </c>
      <c r="F84" s="1277" t="s">
        <v>4750</v>
      </c>
      <c r="G84" s="1278">
        <v>1955657</v>
      </c>
      <c r="H84" s="1279"/>
      <c r="I84" s="1279"/>
      <c r="J84" s="1280">
        <f t="shared" si="6"/>
        <v>1955657</v>
      </c>
      <c r="K84" s="1281">
        <f t="shared" si="7"/>
        <v>99792467.289999992</v>
      </c>
      <c r="L84" s="1282"/>
      <c r="M84" s="1282"/>
      <c r="N84" s="1271">
        <f t="shared" si="5"/>
        <v>0</v>
      </c>
      <c r="O84" s="1272"/>
      <c r="P84" s="49" t="s">
        <v>1215</v>
      </c>
      <c r="Q84" s="1308" t="s">
        <v>4911</v>
      </c>
    </row>
    <row r="85" spans="1:17">
      <c r="A85" s="1305" t="s">
        <v>3719</v>
      </c>
      <c r="B85" s="1274">
        <v>45824</v>
      </c>
      <c r="C85" s="1274" cm="1">
        <f t="array" aca="1" ref="C85" ca="1">_xlfn.IFS(I85&gt;1,B85,B85&lt;TODAY(),TODAY(),B85&gt;TODAY(),B85,B85=TODAY(),TODAY())</f>
        <v>45935</v>
      </c>
      <c r="D85" s="1275" t="s">
        <v>908</v>
      </c>
      <c r="E85" s="1276">
        <v>45734</v>
      </c>
      <c r="F85" s="1277" t="s">
        <v>4751</v>
      </c>
      <c r="G85" s="1278">
        <v>175009</v>
      </c>
      <c r="H85" s="1279"/>
      <c r="I85" s="1279"/>
      <c r="J85" s="1280">
        <f t="shared" si="6"/>
        <v>175009</v>
      </c>
      <c r="K85" s="1281">
        <f t="shared" si="7"/>
        <v>99967476.289999992</v>
      </c>
      <c r="L85" s="1282"/>
      <c r="M85" s="1282"/>
      <c r="N85" s="1271">
        <f t="shared" si="5"/>
        <v>0</v>
      </c>
      <c r="O85" s="1272"/>
      <c r="P85" s="49" t="s">
        <v>1215</v>
      </c>
      <c r="Q85" s="1308" t="s">
        <v>4911</v>
      </c>
    </row>
    <row r="86" spans="1:17">
      <c r="A86" s="1305" t="s">
        <v>3719</v>
      </c>
      <c r="B86" s="1274">
        <v>45824</v>
      </c>
      <c r="C86" s="1274" cm="1">
        <f t="array" aca="1" ref="C86" ca="1">_xlfn.IFS(I86&gt;1,B86,B86&lt;TODAY(),TODAY(),B86&gt;TODAY(),B86,B86=TODAY(),TODAY())</f>
        <v>45935</v>
      </c>
      <c r="D86" s="1275" t="s">
        <v>908</v>
      </c>
      <c r="E86" s="1276">
        <v>45734</v>
      </c>
      <c r="F86" s="1277" t="s">
        <v>4752</v>
      </c>
      <c r="G86" s="1278">
        <v>716083</v>
      </c>
      <c r="H86" s="1279"/>
      <c r="I86" s="1279"/>
      <c r="J86" s="1280">
        <f t="shared" si="6"/>
        <v>716083</v>
      </c>
      <c r="K86" s="1281">
        <f t="shared" si="7"/>
        <v>100683559.28999999</v>
      </c>
      <c r="L86" s="1282"/>
      <c r="M86" s="1282"/>
      <c r="N86" s="1271">
        <f t="shared" si="5"/>
        <v>0</v>
      </c>
      <c r="O86" s="1272"/>
      <c r="P86" s="49" t="s">
        <v>1215</v>
      </c>
      <c r="Q86" s="1308" t="s">
        <v>4911</v>
      </c>
    </row>
    <row r="87" spans="1:17">
      <c r="A87" s="1305" t="s">
        <v>3719</v>
      </c>
      <c r="B87" s="1274">
        <v>45824</v>
      </c>
      <c r="C87" s="1274" cm="1">
        <f t="array" aca="1" ref="C87" ca="1">_xlfn.IFS(I87&gt;1,B87,B87&lt;TODAY(),TODAY(),B87&gt;TODAY(),B87,B87=TODAY(),TODAY())</f>
        <v>45935</v>
      </c>
      <c r="D87" s="1275" t="s">
        <v>908</v>
      </c>
      <c r="E87" s="1276">
        <v>45734</v>
      </c>
      <c r="F87" s="1277" t="s">
        <v>4753</v>
      </c>
      <c r="G87" s="1278">
        <v>3777066</v>
      </c>
      <c r="H87" s="1279"/>
      <c r="I87" s="1279"/>
      <c r="J87" s="1280">
        <f t="shared" si="6"/>
        <v>3777066</v>
      </c>
      <c r="K87" s="1281">
        <f t="shared" si="7"/>
        <v>104460625.28999999</v>
      </c>
      <c r="L87" s="1282"/>
      <c r="M87" s="1282"/>
      <c r="N87" s="1271">
        <f t="shared" si="5"/>
        <v>0</v>
      </c>
      <c r="O87" s="1272"/>
      <c r="P87" s="49" t="s">
        <v>1215</v>
      </c>
      <c r="Q87" s="1308" t="s">
        <v>4911</v>
      </c>
    </row>
    <row r="88" spans="1:17">
      <c r="A88" s="1305" t="s">
        <v>3719</v>
      </c>
      <c r="B88" s="1274">
        <v>45824</v>
      </c>
      <c r="C88" s="1274" cm="1">
        <f t="array" aca="1" ref="C88" ca="1">_xlfn.IFS(I88&gt;1,B88,B88&lt;TODAY(),TODAY(),B88&gt;TODAY(),B88,B88=TODAY(),TODAY())</f>
        <v>45935</v>
      </c>
      <c r="D88" s="1275" t="s">
        <v>908</v>
      </c>
      <c r="E88" s="1276">
        <v>45734</v>
      </c>
      <c r="F88" s="1277" t="s">
        <v>4754</v>
      </c>
      <c r="G88" s="1278">
        <v>1547865</v>
      </c>
      <c r="H88" s="1279"/>
      <c r="I88" s="1279"/>
      <c r="J88" s="1280">
        <f t="shared" si="6"/>
        <v>1547865</v>
      </c>
      <c r="K88" s="1281">
        <f t="shared" si="7"/>
        <v>106008490.28999999</v>
      </c>
      <c r="L88" s="1282"/>
      <c r="M88" s="1282"/>
      <c r="N88" s="1271">
        <f t="shared" si="5"/>
        <v>0</v>
      </c>
      <c r="O88" s="1272"/>
      <c r="P88" s="49" t="s">
        <v>1215</v>
      </c>
      <c r="Q88" s="1308" t="s">
        <v>4911</v>
      </c>
    </row>
    <row r="89" spans="1:17">
      <c r="A89" s="1305" t="s">
        <v>3719</v>
      </c>
      <c r="B89" s="1274">
        <v>45824</v>
      </c>
      <c r="C89" s="1274" cm="1">
        <f t="array" aca="1" ref="C89" ca="1">_xlfn.IFS(I89&gt;1,B89,B89&lt;TODAY(),TODAY(),B89&gt;TODAY(),B89,B89=TODAY(),TODAY())</f>
        <v>45935</v>
      </c>
      <c r="D89" s="1275" t="s">
        <v>908</v>
      </c>
      <c r="E89" s="1276">
        <v>45734</v>
      </c>
      <c r="F89" s="1277" t="s">
        <v>4755</v>
      </c>
      <c r="G89" s="1278">
        <v>3106902</v>
      </c>
      <c r="H89" s="1279"/>
      <c r="I89" s="1279"/>
      <c r="J89" s="1280">
        <f t="shared" si="6"/>
        <v>3106902</v>
      </c>
      <c r="K89" s="1281">
        <f t="shared" si="7"/>
        <v>109115392.28999999</v>
      </c>
      <c r="L89" s="1282"/>
      <c r="M89" s="1282"/>
      <c r="N89" s="1271">
        <f t="shared" si="5"/>
        <v>0</v>
      </c>
      <c r="O89" s="1272"/>
      <c r="P89" s="49" t="s">
        <v>1215</v>
      </c>
      <c r="Q89" s="1308" t="s">
        <v>4911</v>
      </c>
    </row>
    <row r="90" spans="1:17">
      <c r="A90" s="1305" t="s">
        <v>3719</v>
      </c>
      <c r="B90" s="1274">
        <v>45824</v>
      </c>
      <c r="C90" s="1274" cm="1">
        <f t="array" aca="1" ref="C90" ca="1">_xlfn.IFS(I90&gt;1,B90,B90&lt;TODAY(),TODAY(),B90&gt;TODAY(),B90,B90=TODAY(),TODAY())</f>
        <v>45935</v>
      </c>
      <c r="D90" s="1275" t="s">
        <v>908</v>
      </c>
      <c r="E90" s="1276">
        <v>45734</v>
      </c>
      <c r="F90" s="1277" t="s">
        <v>4756</v>
      </c>
      <c r="G90" s="1278">
        <v>135122</v>
      </c>
      <c r="H90" s="1279"/>
      <c r="I90" s="1279"/>
      <c r="J90" s="1280">
        <f t="shared" si="6"/>
        <v>135122</v>
      </c>
      <c r="K90" s="1281">
        <f t="shared" si="7"/>
        <v>109250514.28999999</v>
      </c>
      <c r="L90" s="1282"/>
      <c r="M90" s="1282"/>
      <c r="N90" s="1271">
        <f t="shared" si="5"/>
        <v>0</v>
      </c>
      <c r="O90" s="1272"/>
      <c r="P90" s="49" t="s">
        <v>1215</v>
      </c>
      <c r="Q90" s="1308" t="s">
        <v>4911</v>
      </c>
    </row>
    <row r="91" spans="1:17">
      <c r="A91" s="1305" t="s">
        <v>3719</v>
      </c>
      <c r="B91" s="1274">
        <v>45824</v>
      </c>
      <c r="C91" s="1274" cm="1">
        <f t="array" aca="1" ref="C91" ca="1">_xlfn.IFS(I91&gt;1,B91,B91&lt;TODAY(),TODAY(),B91&gt;TODAY(),B91,B91=TODAY(),TODAY())</f>
        <v>45935</v>
      </c>
      <c r="D91" s="1275" t="s">
        <v>908</v>
      </c>
      <c r="E91" s="1276">
        <v>45734</v>
      </c>
      <c r="F91" s="1277" t="s">
        <v>4757</v>
      </c>
      <c r="G91" s="1278">
        <v>744972</v>
      </c>
      <c r="H91" s="1279"/>
      <c r="I91" s="1279"/>
      <c r="J91" s="1280">
        <f t="shared" si="6"/>
        <v>744972</v>
      </c>
      <c r="K91" s="1281">
        <f t="shared" si="7"/>
        <v>109995486.28999999</v>
      </c>
      <c r="L91" s="1282"/>
      <c r="M91" s="1282"/>
      <c r="N91" s="1271">
        <f t="shared" si="5"/>
        <v>0</v>
      </c>
      <c r="O91" s="1272"/>
      <c r="P91" s="49" t="s">
        <v>1215</v>
      </c>
      <c r="Q91" s="1308" t="s">
        <v>4911</v>
      </c>
    </row>
    <row r="92" spans="1:17">
      <c r="A92" s="1305" t="s">
        <v>3719</v>
      </c>
      <c r="B92" s="1274">
        <v>45824</v>
      </c>
      <c r="C92" s="1274" cm="1">
        <f t="array" aca="1" ref="C92" ca="1">_xlfn.IFS(I92&gt;1,B92,B92&lt;TODAY(),TODAY(),B92&gt;TODAY(),B92,B92=TODAY(),TODAY())</f>
        <v>45935</v>
      </c>
      <c r="D92" s="1275" t="s">
        <v>908</v>
      </c>
      <c r="E92" s="1276">
        <v>45734</v>
      </c>
      <c r="F92" s="1277" t="s">
        <v>4758</v>
      </c>
      <c r="G92" s="1278">
        <v>214873</v>
      </c>
      <c r="H92" s="1279"/>
      <c r="I92" s="1279"/>
      <c r="J92" s="1280">
        <f t="shared" si="6"/>
        <v>214873</v>
      </c>
      <c r="K92" s="1281">
        <f t="shared" si="7"/>
        <v>110210359.28999999</v>
      </c>
      <c r="L92" s="1282"/>
      <c r="M92" s="1282"/>
      <c r="N92" s="1271">
        <f t="shared" ref="N92:N155" si="8">I92/10000000</f>
        <v>0</v>
      </c>
      <c r="O92" s="1272"/>
      <c r="P92" s="49" t="s">
        <v>1215</v>
      </c>
      <c r="Q92" s="1308" t="s">
        <v>4911</v>
      </c>
    </row>
    <row r="93" spans="1:17">
      <c r="A93" s="1305" t="s">
        <v>3719</v>
      </c>
      <c r="B93" s="1274">
        <v>45824</v>
      </c>
      <c r="C93" s="1274" cm="1">
        <f t="array" aca="1" ref="C93" ca="1">_xlfn.IFS(I93&gt;1,B93,B93&lt;TODAY(),TODAY(),B93&gt;TODAY(),B93,B93=TODAY(),TODAY())</f>
        <v>45935</v>
      </c>
      <c r="D93" s="1275" t="s">
        <v>908</v>
      </c>
      <c r="E93" s="1276">
        <v>45734</v>
      </c>
      <c r="F93" s="1277" t="s">
        <v>4759</v>
      </c>
      <c r="G93" s="1278">
        <v>182550</v>
      </c>
      <c r="H93" s="1279"/>
      <c r="I93" s="1279"/>
      <c r="J93" s="1280">
        <f t="shared" si="6"/>
        <v>182550</v>
      </c>
      <c r="K93" s="1281">
        <f t="shared" si="7"/>
        <v>110392909.28999999</v>
      </c>
      <c r="L93" s="1282"/>
      <c r="M93" s="1282"/>
      <c r="N93" s="1271">
        <f t="shared" si="8"/>
        <v>0</v>
      </c>
      <c r="O93" s="1272"/>
      <c r="P93" s="49" t="s">
        <v>1215</v>
      </c>
      <c r="Q93" s="1308" t="s">
        <v>4911</v>
      </c>
    </row>
    <row r="94" spans="1:17">
      <c r="A94" s="1305" t="s">
        <v>3719</v>
      </c>
      <c r="B94" s="1274">
        <v>45824</v>
      </c>
      <c r="C94" s="1274" cm="1">
        <f t="array" aca="1" ref="C94" ca="1">_xlfn.IFS(I94&gt;1,B94,B94&lt;TODAY(),TODAY(),B94&gt;TODAY(),B94,B94=TODAY(),TODAY())</f>
        <v>45935</v>
      </c>
      <c r="D94" s="1275" t="s">
        <v>908</v>
      </c>
      <c r="E94" s="1276">
        <v>45734</v>
      </c>
      <c r="F94" s="1277" t="s">
        <v>4760</v>
      </c>
      <c r="G94" s="1278">
        <v>35400</v>
      </c>
      <c r="H94" s="1279"/>
      <c r="I94" s="1279"/>
      <c r="J94" s="1280">
        <f t="shared" si="6"/>
        <v>35400</v>
      </c>
      <c r="K94" s="1281">
        <f t="shared" si="7"/>
        <v>110428309.28999999</v>
      </c>
      <c r="L94" s="1282"/>
      <c r="M94" s="1282"/>
      <c r="N94" s="1271">
        <f t="shared" si="8"/>
        <v>0</v>
      </c>
      <c r="O94" s="1272"/>
      <c r="P94" s="49" t="s">
        <v>1215</v>
      </c>
      <c r="Q94" s="1308" t="s">
        <v>4911</v>
      </c>
    </row>
    <row r="95" spans="1:17">
      <c r="A95" s="1305" t="s">
        <v>3719</v>
      </c>
      <c r="B95" s="1274">
        <v>45824</v>
      </c>
      <c r="C95" s="1274" cm="1">
        <f t="array" aca="1" ref="C95" ca="1">_xlfn.IFS(I95&gt;1,B95,B95&lt;TODAY(),TODAY(),B95&gt;TODAY(),B95,B95=TODAY(),TODAY())</f>
        <v>45935</v>
      </c>
      <c r="D95" s="1275" t="s">
        <v>908</v>
      </c>
      <c r="E95" s="1276">
        <v>45734</v>
      </c>
      <c r="F95" s="1277" t="s">
        <v>4761</v>
      </c>
      <c r="G95" s="1278">
        <v>51920</v>
      </c>
      <c r="H95" s="1279"/>
      <c r="I95" s="1279"/>
      <c r="J95" s="1280">
        <f t="shared" si="6"/>
        <v>51920</v>
      </c>
      <c r="K95" s="1281">
        <f t="shared" si="7"/>
        <v>110480229.28999999</v>
      </c>
      <c r="L95" s="1282"/>
      <c r="M95" s="1282"/>
      <c r="N95" s="1271">
        <f t="shared" si="8"/>
        <v>0</v>
      </c>
      <c r="O95" s="1272"/>
      <c r="P95" s="49" t="s">
        <v>1215</v>
      </c>
      <c r="Q95" s="1308" t="s">
        <v>4911</v>
      </c>
    </row>
    <row r="96" spans="1:17">
      <c r="A96" s="1305" t="s">
        <v>3719</v>
      </c>
      <c r="B96" s="1274">
        <v>45824</v>
      </c>
      <c r="C96" s="1274" cm="1">
        <f t="array" aca="1" ref="C96" ca="1">_xlfn.IFS(I96&gt;1,B96,B96&lt;TODAY(),TODAY(),B96&gt;TODAY(),B96,B96=TODAY(),TODAY())</f>
        <v>45935</v>
      </c>
      <c r="D96" s="1275" t="s">
        <v>908</v>
      </c>
      <c r="E96" s="1276">
        <v>45734</v>
      </c>
      <c r="F96" s="1277" t="s">
        <v>4762</v>
      </c>
      <c r="G96" s="1278">
        <v>71366</v>
      </c>
      <c r="H96" s="1279"/>
      <c r="I96" s="1279"/>
      <c r="J96" s="1280">
        <f t="shared" si="6"/>
        <v>71366</v>
      </c>
      <c r="K96" s="1281">
        <f t="shared" si="7"/>
        <v>110551595.28999999</v>
      </c>
      <c r="L96" s="1282"/>
      <c r="M96" s="1282"/>
      <c r="N96" s="1271">
        <f t="shared" si="8"/>
        <v>0</v>
      </c>
      <c r="O96" s="1272"/>
      <c r="P96" s="49" t="s">
        <v>1215</v>
      </c>
      <c r="Q96" s="1308" t="s">
        <v>4911</v>
      </c>
    </row>
    <row r="97" spans="1:17">
      <c r="A97" s="1305" t="s">
        <v>3719</v>
      </c>
      <c r="B97" s="1274">
        <v>45826</v>
      </c>
      <c r="C97" s="1274" cm="1">
        <f t="array" aca="1" ref="C97" ca="1">_xlfn.IFS(I97&gt;1,B97,B97&lt;TODAY(),TODAY(),B97&gt;TODAY(),B97,B97=TODAY(),TODAY())</f>
        <v>45935</v>
      </c>
      <c r="D97" s="1275" t="s">
        <v>908</v>
      </c>
      <c r="E97" s="1276">
        <v>45736</v>
      </c>
      <c r="F97" s="1277" t="s">
        <v>4763</v>
      </c>
      <c r="G97" s="1278">
        <v>990917</v>
      </c>
      <c r="H97" s="1279"/>
      <c r="I97" s="1279"/>
      <c r="J97" s="1280">
        <f t="shared" si="6"/>
        <v>990917</v>
      </c>
      <c r="K97" s="1281">
        <f t="shared" si="7"/>
        <v>111542512.28999999</v>
      </c>
      <c r="L97" s="1282"/>
      <c r="M97" s="1282"/>
      <c r="N97" s="1271">
        <f t="shared" si="8"/>
        <v>0</v>
      </c>
      <c r="O97" s="1272"/>
      <c r="P97" s="49" t="s">
        <v>1215</v>
      </c>
      <c r="Q97" s="1308" t="s">
        <v>4911</v>
      </c>
    </row>
    <row r="98" spans="1:17">
      <c r="A98" s="1305" t="s">
        <v>3719</v>
      </c>
      <c r="B98" s="1274">
        <v>45826</v>
      </c>
      <c r="C98" s="1274" cm="1">
        <f t="array" aca="1" ref="C98" ca="1">_xlfn.IFS(I98&gt;1,B98,B98&lt;TODAY(),TODAY(),B98&gt;TODAY(),B98,B98=TODAY(),TODAY())</f>
        <v>45935</v>
      </c>
      <c r="D98" s="1275" t="s">
        <v>908</v>
      </c>
      <c r="E98" s="1276">
        <v>45736</v>
      </c>
      <c r="F98" s="1277" t="s">
        <v>4764</v>
      </c>
      <c r="G98" s="1278">
        <v>318600</v>
      </c>
      <c r="H98" s="1279"/>
      <c r="I98" s="1279"/>
      <c r="J98" s="1280">
        <f t="shared" si="6"/>
        <v>318600</v>
      </c>
      <c r="K98" s="1281">
        <f t="shared" si="7"/>
        <v>111861112.28999999</v>
      </c>
      <c r="L98" s="1282"/>
      <c r="M98" s="1282"/>
      <c r="N98" s="1271">
        <f t="shared" si="8"/>
        <v>0</v>
      </c>
      <c r="O98" s="1272"/>
      <c r="P98" s="49" t="s">
        <v>1215</v>
      </c>
      <c r="Q98" s="1308" t="s">
        <v>4911</v>
      </c>
    </row>
    <row r="99" spans="1:17">
      <c r="A99" s="1305" t="s">
        <v>3719</v>
      </c>
      <c r="B99" s="1274">
        <v>45826</v>
      </c>
      <c r="C99" s="1274" cm="1">
        <f t="array" aca="1" ref="C99" ca="1">_xlfn.IFS(I99&gt;1,B99,B99&lt;TODAY(),TODAY(),B99&gt;TODAY(),B99,B99=TODAY(),TODAY())</f>
        <v>45935</v>
      </c>
      <c r="D99" s="1275" t="s">
        <v>908</v>
      </c>
      <c r="E99" s="1276">
        <v>45736</v>
      </c>
      <c r="F99" s="1277" t="s">
        <v>4765</v>
      </c>
      <c r="G99" s="1278">
        <v>100000</v>
      </c>
      <c r="H99" s="1279"/>
      <c r="I99" s="1279"/>
      <c r="J99" s="1280">
        <f t="shared" si="6"/>
        <v>100000</v>
      </c>
      <c r="K99" s="1281">
        <f t="shared" si="7"/>
        <v>111961112.28999999</v>
      </c>
      <c r="L99" s="1282"/>
      <c r="M99" s="1282"/>
      <c r="N99" s="1271">
        <f t="shared" si="8"/>
        <v>0</v>
      </c>
      <c r="O99" s="1272"/>
      <c r="P99" s="49" t="s">
        <v>1215</v>
      </c>
      <c r="Q99" s="1308" t="s">
        <v>4911</v>
      </c>
    </row>
    <row r="100" spans="1:17">
      <c r="A100" s="1305" t="s">
        <v>3719</v>
      </c>
      <c r="B100" s="1274">
        <v>45826</v>
      </c>
      <c r="C100" s="1274" cm="1">
        <f t="array" aca="1" ref="C100" ca="1">_xlfn.IFS(I100&gt;1,B100,B100&lt;TODAY(),TODAY(),B100&gt;TODAY(),B100,B100=TODAY(),TODAY())</f>
        <v>45935</v>
      </c>
      <c r="D100" s="1275" t="s">
        <v>908</v>
      </c>
      <c r="E100" s="1276">
        <v>45736</v>
      </c>
      <c r="F100" s="1277" t="s">
        <v>4766</v>
      </c>
      <c r="G100" s="1278">
        <v>995029</v>
      </c>
      <c r="H100" s="1279"/>
      <c r="I100" s="1279"/>
      <c r="J100" s="1280">
        <f t="shared" si="6"/>
        <v>995029</v>
      </c>
      <c r="K100" s="1281">
        <f t="shared" si="7"/>
        <v>112956141.28999999</v>
      </c>
      <c r="L100" s="1282"/>
      <c r="M100" s="1282"/>
      <c r="N100" s="1271">
        <f t="shared" si="8"/>
        <v>0</v>
      </c>
      <c r="O100" s="1272"/>
      <c r="P100" s="49" t="s">
        <v>1215</v>
      </c>
      <c r="Q100" s="1308" t="s">
        <v>4911</v>
      </c>
    </row>
    <row r="101" spans="1:17">
      <c r="A101" s="1305" t="s">
        <v>3719</v>
      </c>
      <c r="B101" s="1274">
        <v>45826</v>
      </c>
      <c r="C101" s="1274" cm="1">
        <f t="array" aca="1" ref="C101" ca="1">_xlfn.IFS(I101&gt;1,B101,B101&lt;TODAY(),TODAY(),B101&gt;TODAY(),B101,B101=TODAY(),TODAY())</f>
        <v>45935</v>
      </c>
      <c r="D101" s="1275" t="s">
        <v>908</v>
      </c>
      <c r="E101" s="1276">
        <v>45736</v>
      </c>
      <c r="F101" s="1277" t="s">
        <v>4767</v>
      </c>
      <c r="G101" s="1278">
        <v>330282</v>
      </c>
      <c r="H101" s="1279"/>
      <c r="I101" s="1279"/>
      <c r="J101" s="1280">
        <f t="shared" si="6"/>
        <v>330282</v>
      </c>
      <c r="K101" s="1281">
        <f t="shared" si="7"/>
        <v>113286423.28999999</v>
      </c>
      <c r="L101" s="1282"/>
      <c r="M101" s="1282"/>
      <c r="N101" s="1271">
        <f t="shared" si="8"/>
        <v>0</v>
      </c>
      <c r="O101" s="1272"/>
      <c r="P101" s="49" t="s">
        <v>1215</v>
      </c>
      <c r="Q101" s="1308" t="s">
        <v>4911</v>
      </c>
    </row>
    <row r="102" spans="1:17">
      <c r="A102" s="1305" t="s">
        <v>3719</v>
      </c>
      <c r="B102" s="1274">
        <v>45826</v>
      </c>
      <c r="C102" s="1274" cm="1">
        <f t="array" aca="1" ref="C102" ca="1">_xlfn.IFS(I102&gt;1,B102,B102&lt;TODAY(),TODAY(),B102&gt;TODAY(),B102,B102=TODAY(),TODAY())</f>
        <v>45935</v>
      </c>
      <c r="D102" s="1275" t="s">
        <v>908</v>
      </c>
      <c r="E102" s="1276">
        <v>45736</v>
      </c>
      <c r="F102" s="1277" t="s">
        <v>4768</v>
      </c>
      <c r="G102" s="1278">
        <v>19972</v>
      </c>
      <c r="H102" s="1279"/>
      <c r="I102" s="1279"/>
      <c r="J102" s="1280">
        <f t="shared" si="6"/>
        <v>19972</v>
      </c>
      <c r="K102" s="1281">
        <f t="shared" si="7"/>
        <v>113306395.28999999</v>
      </c>
      <c r="L102" s="1282"/>
      <c r="M102" s="1282"/>
      <c r="N102" s="1271">
        <f t="shared" si="8"/>
        <v>0</v>
      </c>
      <c r="O102" s="1272"/>
      <c r="P102" s="49" t="s">
        <v>1215</v>
      </c>
      <c r="Q102" s="1308" t="s">
        <v>4911</v>
      </c>
    </row>
    <row r="103" spans="1:17">
      <c r="A103" s="1305" t="s">
        <v>3719</v>
      </c>
      <c r="B103" s="1274">
        <v>45826</v>
      </c>
      <c r="C103" s="1274" cm="1">
        <f t="array" aca="1" ref="C103" ca="1">_xlfn.IFS(I103&gt;1,B103,B103&lt;TODAY(),TODAY(),B103&gt;TODAY(),B103,B103=TODAY(),TODAY())</f>
        <v>45935</v>
      </c>
      <c r="D103" s="1275" t="s">
        <v>908</v>
      </c>
      <c r="E103" s="1276">
        <v>45736</v>
      </c>
      <c r="F103" s="1277" t="s">
        <v>4769</v>
      </c>
      <c r="G103" s="1278">
        <v>12860</v>
      </c>
      <c r="H103" s="1279"/>
      <c r="I103" s="1279"/>
      <c r="J103" s="1280">
        <f t="shared" si="6"/>
        <v>12860</v>
      </c>
      <c r="K103" s="1281">
        <f t="shared" si="7"/>
        <v>113319255.28999999</v>
      </c>
      <c r="L103" s="1282"/>
      <c r="M103" s="1282"/>
      <c r="N103" s="1271">
        <f t="shared" si="8"/>
        <v>0</v>
      </c>
      <c r="O103" s="1272"/>
      <c r="P103" s="49" t="s">
        <v>1215</v>
      </c>
      <c r="Q103" s="1308" t="s">
        <v>4911</v>
      </c>
    </row>
    <row r="104" spans="1:17">
      <c r="A104" s="1305" t="s">
        <v>3719</v>
      </c>
      <c r="B104" s="1274">
        <v>45826</v>
      </c>
      <c r="C104" s="1274" cm="1">
        <f t="array" aca="1" ref="C104" ca="1">_xlfn.IFS(I104&gt;1,B104,B104&lt;TODAY(),TODAY(),B104&gt;TODAY(),B104,B104=TODAY(),TODAY())</f>
        <v>45935</v>
      </c>
      <c r="D104" s="1275" t="s">
        <v>908</v>
      </c>
      <c r="E104" s="1276">
        <v>45736</v>
      </c>
      <c r="F104" s="1277" t="s">
        <v>4770</v>
      </c>
      <c r="G104" s="1278">
        <v>1331376</v>
      </c>
      <c r="H104" s="1279"/>
      <c r="I104" s="1279"/>
      <c r="J104" s="1280">
        <f t="shared" si="6"/>
        <v>1331376</v>
      </c>
      <c r="K104" s="1281">
        <f t="shared" si="7"/>
        <v>114650631.28999999</v>
      </c>
      <c r="L104" s="1282"/>
      <c r="M104" s="1282"/>
      <c r="N104" s="1271">
        <f t="shared" si="8"/>
        <v>0</v>
      </c>
      <c r="O104" s="1272"/>
      <c r="P104" s="49" t="s">
        <v>1215</v>
      </c>
      <c r="Q104" s="1308" t="s">
        <v>4911</v>
      </c>
    </row>
    <row r="105" spans="1:17">
      <c r="A105" s="1305" t="s">
        <v>3719</v>
      </c>
      <c r="B105" s="1274">
        <v>45826</v>
      </c>
      <c r="C105" s="1274" cm="1">
        <f t="array" aca="1" ref="C105" ca="1">_xlfn.IFS(I105&gt;1,B105,B105&lt;TODAY(),TODAY(),B105&gt;TODAY(),B105,B105=TODAY(),TODAY())</f>
        <v>45935</v>
      </c>
      <c r="D105" s="1275" t="s">
        <v>908</v>
      </c>
      <c r="E105" s="1276">
        <v>45736</v>
      </c>
      <c r="F105" s="1277" t="s">
        <v>4771</v>
      </c>
      <c r="G105" s="1278">
        <v>1840201</v>
      </c>
      <c r="H105" s="1279"/>
      <c r="I105" s="1279"/>
      <c r="J105" s="1280">
        <f t="shared" si="6"/>
        <v>1840201</v>
      </c>
      <c r="K105" s="1281">
        <f t="shared" si="7"/>
        <v>116490832.28999999</v>
      </c>
      <c r="L105" s="1282"/>
      <c r="M105" s="1282"/>
      <c r="N105" s="1271">
        <f t="shared" si="8"/>
        <v>0</v>
      </c>
      <c r="O105" s="1272"/>
      <c r="P105" s="49" t="s">
        <v>1215</v>
      </c>
      <c r="Q105" s="1308" t="s">
        <v>4911</v>
      </c>
    </row>
    <row r="106" spans="1:17">
      <c r="A106" s="1305" t="s">
        <v>3719</v>
      </c>
      <c r="B106" s="1274">
        <v>45826</v>
      </c>
      <c r="C106" s="1274" cm="1">
        <f t="array" aca="1" ref="C106" ca="1">_xlfn.IFS(I106&gt;1,B106,B106&lt;TODAY(),TODAY(),B106&gt;TODAY(),B106,B106=TODAY(),TODAY())</f>
        <v>45935</v>
      </c>
      <c r="D106" s="1275" t="s">
        <v>908</v>
      </c>
      <c r="E106" s="1276">
        <v>45736</v>
      </c>
      <c r="F106" s="1277" t="s">
        <v>4772</v>
      </c>
      <c r="G106" s="1278">
        <v>10620</v>
      </c>
      <c r="H106" s="1279"/>
      <c r="I106" s="1279"/>
      <c r="J106" s="1280">
        <f t="shared" si="6"/>
        <v>10620</v>
      </c>
      <c r="K106" s="1281">
        <f t="shared" si="7"/>
        <v>116501452.28999999</v>
      </c>
      <c r="L106" s="1282"/>
      <c r="M106" s="1282"/>
      <c r="N106" s="1271">
        <f t="shared" si="8"/>
        <v>0</v>
      </c>
      <c r="O106" s="1272"/>
      <c r="P106" s="49" t="s">
        <v>1215</v>
      </c>
      <c r="Q106" s="1308" t="s">
        <v>4911</v>
      </c>
    </row>
    <row r="107" spans="1:17">
      <c r="A107" s="1305" t="s">
        <v>3719</v>
      </c>
      <c r="B107" s="1274">
        <v>45826</v>
      </c>
      <c r="C107" s="1274" cm="1">
        <f t="array" aca="1" ref="C107" ca="1">_xlfn.IFS(I107&gt;1,B107,B107&lt;TODAY(),TODAY(),B107&gt;TODAY(),B107,B107=TODAY(),TODAY())</f>
        <v>45935</v>
      </c>
      <c r="D107" s="1275" t="s">
        <v>908</v>
      </c>
      <c r="E107" s="1276">
        <v>45736</v>
      </c>
      <c r="F107" s="1277" t="s">
        <v>4773</v>
      </c>
      <c r="G107" s="1278">
        <v>1020717</v>
      </c>
      <c r="H107" s="1279"/>
      <c r="I107" s="1279"/>
      <c r="J107" s="1280">
        <f t="shared" si="6"/>
        <v>1020717</v>
      </c>
      <c r="K107" s="1281">
        <f t="shared" si="7"/>
        <v>117522169.28999999</v>
      </c>
      <c r="L107" s="1282"/>
      <c r="M107" s="1282"/>
      <c r="N107" s="1271">
        <f t="shared" si="8"/>
        <v>0</v>
      </c>
      <c r="O107" s="1272"/>
      <c r="P107" s="49" t="s">
        <v>1215</v>
      </c>
      <c r="Q107" s="1308" t="s">
        <v>4911</v>
      </c>
    </row>
    <row r="108" spans="1:17">
      <c r="A108" s="1305" t="s">
        <v>3719</v>
      </c>
      <c r="B108" s="1274">
        <v>45826</v>
      </c>
      <c r="C108" s="1274" cm="1">
        <f t="array" aca="1" ref="C108" ca="1">_xlfn.IFS(I108&gt;1,B108,B108&lt;TODAY(),TODAY(),B108&gt;TODAY(),B108,B108=TODAY(),TODAY())</f>
        <v>45935</v>
      </c>
      <c r="D108" s="1275" t="s">
        <v>908</v>
      </c>
      <c r="E108" s="1276">
        <v>45736</v>
      </c>
      <c r="F108" s="1277" t="s">
        <v>4774</v>
      </c>
      <c r="G108" s="1278">
        <v>31896</v>
      </c>
      <c r="H108" s="1279"/>
      <c r="I108" s="1279"/>
      <c r="J108" s="1280">
        <f t="shared" si="6"/>
        <v>31896</v>
      </c>
      <c r="K108" s="1281">
        <f t="shared" si="7"/>
        <v>117554065.28999999</v>
      </c>
      <c r="L108" s="1282"/>
      <c r="M108" s="1282"/>
      <c r="N108" s="1271">
        <f t="shared" si="8"/>
        <v>0</v>
      </c>
      <c r="O108" s="1272"/>
      <c r="P108" s="49" t="s">
        <v>1215</v>
      </c>
      <c r="Q108" s="1308" t="s">
        <v>4911</v>
      </c>
    </row>
    <row r="109" spans="1:17">
      <c r="A109" s="1305" t="s">
        <v>3719</v>
      </c>
      <c r="B109" s="1274">
        <v>45826</v>
      </c>
      <c r="C109" s="1274" cm="1">
        <f t="array" aca="1" ref="C109" ca="1">_xlfn.IFS(I109&gt;1,B109,B109&lt;TODAY(),TODAY(),B109&gt;TODAY(),B109,B109=TODAY(),TODAY())</f>
        <v>45935</v>
      </c>
      <c r="D109" s="1275" t="s">
        <v>908</v>
      </c>
      <c r="E109" s="1276">
        <v>45736</v>
      </c>
      <c r="F109" s="1277" t="s">
        <v>4775</v>
      </c>
      <c r="G109" s="1278">
        <v>194570</v>
      </c>
      <c r="H109" s="1279"/>
      <c r="I109" s="1279"/>
      <c r="J109" s="1280">
        <f t="shared" si="6"/>
        <v>194570</v>
      </c>
      <c r="K109" s="1281">
        <f t="shared" si="7"/>
        <v>117748635.28999999</v>
      </c>
      <c r="L109" s="1282"/>
      <c r="M109" s="1282"/>
      <c r="N109" s="1271">
        <f t="shared" si="8"/>
        <v>0</v>
      </c>
      <c r="O109" s="1272"/>
      <c r="P109" s="49" t="s">
        <v>1215</v>
      </c>
      <c r="Q109" s="1308" t="s">
        <v>4911</v>
      </c>
    </row>
    <row r="110" spans="1:17">
      <c r="A110" s="1305" t="s">
        <v>3719</v>
      </c>
      <c r="B110" s="1274">
        <v>45826</v>
      </c>
      <c r="C110" s="1274" cm="1">
        <f t="array" aca="1" ref="C110" ca="1">_xlfn.IFS(I110&gt;1,B110,B110&lt;TODAY(),TODAY(),B110&gt;TODAY(),B110,B110=TODAY(),TODAY())</f>
        <v>45935</v>
      </c>
      <c r="D110" s="1275" t="s">
        <v>908</v>
      </c>
      <c r="E110" s="1276">
        <v>45736</v>
      </c>
      <c r="F110" s="1277" t="s">
        <v>4776</v>
      </c>
      <c r="G110" s="1278">
        <v>108948</v>
      </c>
      <c r="H110" s="1279"/>
      <c r="I110" s="1279"/>
      <c r="J110" s="1280">
        <f t="shared" si="6"/>
        <v>108948</v>
      </c>
      <c r="K110" s="1281">
        <f t="shared" si="7"/>
        <v>117857583.28999999</v>
      </c>
      <c r="L110" s="1282"/>
      <c r="M110" s="1282"/>
      <c r="N110" s="1271">
        <f t="shared" si="8"/>
        <v>0</v>
      </c>
      <c r="O110" s="1272"/>
      <c r="P110" s="49" t="s">
        <v>1215</v>
      </c>
      <c r="Q110" s="1308" t="s">
        <v>4911</v>
      </c>
    </row>
    <row r="111" spans="1:17">
      <c r="A111" s="1305" t="s">
        <v>3719</v>
      </c>
      <c r="B111" s="1274">
        <v>45826</v>
      </c>
      <c r="C111" s="1274" cm="1">
        <f t="array" aca="1" ref="C111" ca="1">_xlfn.IFS(I111&gt;1,B111,B111&lt;TODAY(),TODAY(),B111&gt;TODAY(),B111,B111=TODAY(),TODAY())</f>
        <v>45935</v>
      </c>
      <c r="D111" s="1275" t="s">
        <v>908</v>
      </c>
      <c r="E111" s="1276">
        <v>45736</v>
      </c>
      <c r="F111" s="1277" t="s">
        <v>4777</v>
      </c>
      <c r="G111" s="1278">
        <v>424800</v>
      </c>
      <c r="H111" s="1279"/>
      <c r="I111" s="1279"/>
      <c r="J111" s="1280">
        <f t="shared" si="6"/>
        <v>424800</v>
      </c>
      <c r="K111" s="1281">
        <f t="shared" si="7"/>
        <v>118282383.28999999</v>
      </c>
      <c r="L111" s="1282"/>
      <c r="M111" s="1282"/>
      <c r="N111" s="1271">
        <f t="shared" si="8"/>
        <v>0</v>
      </c>
      <c r="O111" s="1272"/>
      <c r="P111" s="49" t="s">
        <v>1215</v>
      </c>
      <c r="Q111" s="1308" t="s">
        <v>4911</v>
      </c>
    </row>
    <row r="112" spans="1:17">
      <c r="A112" s="1305" t="s">
        <v>3719</v>
      </c>
      <c r="B112" s="1274">
        <v>45826</v>
      </c>
      <c r="C112" s="1274" cm="1">
        <f t="array" aca="1" ref="C112" ca="1">_xlfn.IFS(I112&gt;1,B112,B112&lt;TODAY(),TODAY(),B112&gt;TODAY(),B112,B112=TODAY(),TODAY())</f>
        <v>45935</v>
      </c>
      <c r="D112" s="1275" t="s">
        <v>908</v>
      </c>
      <c r="E112" s="1276">
        <v>45736</v>
      </c>
      <c r="F112" s="1277" t="s">
        <v>4778</v>
      </c>
      <c r="G112" s="1278">
        <v>4929249</v>
      </c>
      <c r="H112" s="1279"/>
      <c r="I112" s="1279"/>
      <c r="J112" s="1280">
        <f t="shared" si="6"/>
        <v>4929249</v>
      </c>
      <c r="K112" s="1281">
        <f t="shared" si="7"/>
        <v>123211632.28999999</v>
      </c>
      <c r="L112" s="1282"/>
      <c r="M112" s="1282"/>
      <c r="N112" s="1271">
        <f t="shared" si="8"/>
        <v>0</v>
      </c>
      <c r="O112" s="1272"/>
      <c r="P112" s="49" t="s">
        <v>1215</v>
      </c>
      <c r="Q112" s="1308" t="s">
        <v>4911</v>
      </c>
    </row>
    <row r="113" spans="1:17">
      <c r="A113" s="1305" t="s">
        <v>3719</v>
      </c>
      <c r="B113" s="1274">
        <v>45826</v>
      </c>
      <c r="C113" s="1274" cm="1">
        <f t="array" aca="1" ref="C113" ca="1">_xlfn.IFS(I113&gt;1,B113,B113&lt;TODAY(),TODAY(),B113&gt;TODAY(),B113,B113=TODAY(),TODAY())</f>
        <v>45935</v>
      </c>
      <c r="D113" s="1275" t="s">
        <v>908</v>
      </c>
      <c r="E113" s="1276">
        <v>45736</v>
      </c>
      <c r="F113" s="1277" t="s">
        <v>4779</v>
      </c>
      <c r="G113" s="1278">
        <v>315945</v>
      </c>
      <c r="H113" s="1279"/>
      <c r="I113" s="1279"/>
      <c r="J113" s="1280">
        <f t="shared" si="6"/>
        <v>315945</v>
      </c>
      <c r="K113" s="1281">
        <f t="shared" si="7"/>
        <v>123527577.28999999</v>
      </c>
      <c r="L113" s="1282"/>
      <c r="M113" s="1282"/>
      <c r="N113" s="1271">
        <f t="shared" si="8"/>
        <v>0</v>
      </c>
      <c r="O113" s="1272"/>
      <c r="P113" s="49" t="s">
        <v>1215</v>
      </c>
      <c r="Q113" s="1308" t="s">
        <v>4911</v>
      </c>
    </row>
    <row r="114" spans="1:17">
      <c r="A114" s="1305" t="s">
        <v>3719</v>
      </c>
      <c r="B114" s="1274">
        <v>45826</v>
      </c>
      <c r="C114" s="1274" cm="1">
        <f t="array" aca="1" ref="C114" ca="1">_xlfn.IFS(I114&gt;1,B114,B114&lt;TODAY(),TODAY(),B114&gt;TODAY(),B114,B114=TODAY(),TODAY())</f>
        <v>45935</v>
      </c>
      <c r="D114" s="1275" t="s">
        <v>908</v>
      </c>
      <c r="E114" s="1276">
        <v>45736</v>
      </c>
      <c r="F114" s="1277" t="s">
        <v>4780</v>
      </c>
      <c r="G114" s="1278">
        <v>23800</v>
      </c>
      <c r="H114" s="1279"/>
      <c r="I114" s="1279"/>
      <c r="J114" s="1280">
        <f t="shared" si="6"/>
        <v>23800</v>
      </c>
      <c r="K114" s="1281">
        <f t="shared" si="7"/>
        <v>123551377.28999999</v>
      </c>
      <c r="L114" s="1282"/>
      <c r="M114" s="1282"/>
      <c r="N114" s="1271">
        <f t="shared" si="8"/>
        <v>0</v>
      </c>
      <c r="O114" s="1272"/>
      <c r="P114" s="49" t="s">
        <v>1215</v>
      </c>
      <c r="Q114" s="1308" t="s">
        <v>4911</v>
      </c>
    </row>
    <row r="115" spans="1:17">
      <c r="A115" s="1305" t="s">
        <v>3719</v>
      </c>
      <c r="B115" s="1274">
        <v>45826</v>
      </c>
      <c r="C115" s="1274" cm="1">
        <f t="array" aca="1" ref="C115" ca="1">_xlfn.IFS(I115&gt;1,B115,B115&lt;TODAY(),TODAY(),B115&gt;TODAY(),B115,B115=TODAY(),TODAY())</f>
        <v>45935</v>
      </c>
      <c r="D115" s="1275" t="s">
        <v>908</v>
      </c>
      <c r="E115" s="1276">
        <v>45736</v>
      </c>
      <c r="F115" s="1277" t="s">
        <v>4781</v>
      </c>
      <c r="G115" s="1278">
        <v>912494</v>
      </c>
      <c r="H115" s="1279"/>
      <c r="I115" s="1279"/>
      <c r="J115" s="1280">
        <f t="shared" si="6"/>
        <v>912494</v>
      </c>
      <c r="K115" s="1281">
        <f t="shared" si="7"/>
        <v>124463871.28999999</v>
      </c>
      <c r="L115" s="1282"/>
      <c r="M115" s="1282"/>
      <c r="N115" s="1271">
        <f t="shared" si="8"/>
        <v>0</v>
      </c>
      <c r="O115" s="1272"/>
      <c r="P115" s="49" t="s">
        <v>1215</v>
      </c>
      <c r="Q115" s="1308" t="s">
        <v>4911</v>
      </c>
    </row>
    <row r="116" spans="1:17">
      <c r="A116" s="1305" t="s">
        <v>3719</v>
      </c>
      <c r="B116" s="1274">
        <v>45826</v>
      </c>
      <c r="C116" s="1274" cm="1">
        <f t="array" aca="1" ref="C116" ca="1">_xlfn.IFS(I116&gt;1,B116,B116&lt;TODAY(),TODAY(),B116&gt;TODAY(),B116,B116=TODAY(),TODAY())</f>
        <v>45935</v>
      </c>
      <c r="D116" s="1275" t="s">
        <v>908</v>
      </c>
      <c r="E116" s="1276">
        <v>45736</v>
      </c>
      <c r="F116" s="1277" t="s">
        <v>4782</v>
      </c>
      <c r="G116" s="1278">
        <v>560094</v>
      </c>
      <c r="H116" s="1279"/>
      <c r="I116" s="1279"/>
      <c r="J116" s="1280">
        <f t="shared" si="6"/>
        <v>560094</v>
      </c>
      <c r="K116" s="1281">
        <f t="shared" si="7"/>
        <v>125023965.28999999</v>
      </c>
      <c r="L116" s="1282"/>
      <c r="M116" s="1282"/>
      <c r="N116" s="1271">
        <f t="shared" si="8"/>
        <v>0</v>
      </c>
      <c r="O116" s="1272"/>
      <c r="P116" s="49" t="s">
        <v>1215</v>
      </c>
      <c r="Q116" s="1308" t="s">
        <v>4911</v>
      </c>
    </row>
    <row r="117" spans="1:17">
      <c r="A117" s="1305" t="s">
        <v>3719</v>
      </c>
      <c r="B117" s="1274">
        <v>45826</v>
      </c>
      <c r="C117" s="1274" cm="1">
        <f t="array" aca="1" ref="C117" ca="1">_xlfn.IFS(I117&gt;1,B117,B117&lt;TODAY(),TODAY(),B117&gt;TODAY(),B117,B117=TODAY(),TODAY())</f>
        <v>45935</v>
      </c>
      <c r="D117" s="1275" t="s">
        <v>908</v>
      </c>
      <c r="E117" s="1276">
        <v>45736</v>
      </c>
      <c r="F117" s="1277" t="s">
        <v>4783</v>
      </c>
      <c r="G117" s="1278">
        <v>1701414</v>
      </c>
      <c r="H117" s="1279"/>
      <c r="I117" s="1279"/>
      <c r="J117" s="1280">
        <f t="shared" si="6"/>
        <v>1701414</v>
      </c>
      <c r="K117" s="1281">
        <f t="shared" si="7"/>
        <v>126725379.28999999</v>
      </c>
      <c r="L117" s="1282"/>
      <c r="M117" s="1282"/>
      <c r="N117" s="1271">
        <f t="shared" si="8"/>
        <v>0</v>
      </c>
      <c r="O117" s="1272"/>
      <c r="P117" s="49" t="s">
        <v>1215</v>
      </c>
      <c r="Q117" s="1308" t="s">
        <v>4911</v>
      </c>
    </row>
    <row r="118" spans="1:17">
      <c r="A118" s="1305" t="s">
        <v>3719</v>
      </c>
      <c r="B118" s="1274">
        <v>45826</v>
      </c>
      <c r="C118" s="1274" cm="1">
        <f t="array" aca="1" ref="C118" ca="1">_xlfn.IFS(I118&gt;1,B118,B118&lt;TODAY(),TODAY(),B118&gt;TODAY(),B118,B118=TODAY(),TODAY())</f>
        <v>45935</v>
      </c>
      <c r="D118" s="1275" t="s">
        <v>908</v>
      </c>
      <c r="E118" s="1276">
        <v>45736</v>
      </c>
      <c r="F118" s="1277" t="s">
        <v>4784</v>
      </c>
      <c r="G118" s="1278">
        <v>6490</v>
      </c>
      <c r="H118" s="1279"/>
      <c r="I118" s="1279"/>
      <c r="J118" s="1280">
        <f t="shared" si="6"/>
        <v>6490</v>
      </c>
      <c r="K118" s="1281">
        <f t="shared" si="7"/>
        <v>126731869.28999999</v>
      </c>
      <c r="L118" s="1282"/>
      <c r="M118" s="1282"/>
      <c r="N118" s="1271">
        <f t="shared" si="8"/>
        <v>0</v>
      </c>
      <c r="O118" s="1272"/>
      <c r="P118" s="49" t="s">
        <v>1215</v>
      </c>
      <c r="Q118" s="1308" t="s">
        <v>4911</v>
      </c>
    </row>
    <row r="119" spans="1:17">
      <c r="A119" s="1305" t="s">
        <v>3719</v>
      </c>
      <c r="B119" s="1274">
        <v>45826</v>
      </c>
      <c r="C119" s="1274" cm="1">
        <f t="array" aca="1" ref="C119" ca="1">_xlfn.IFS(I119&gt;1,B119,B119&lt;TODAY(),TODAY(),B119&gt;TODAY(),B119,B119=TODAY(),TODAY())</f>
        <v>45935</v>
      </c>
      <c r="D119" s="1275" t="s">
        <v>908</v>
      </c>
      <c r="E119" s="1276">
        <v>45736</v>
      </c>
      <c r="F119" s="1277" t="s">
        <v>4785</v>
      </c>
      <c r="G119" s="1278">
        <v>707056</v>
      </c>
      <c r="H119" s="1279"/>
      <c r="I119" s="1279"/>
      <c r="J119" s="1280">
        <f t="shared" si="6"/>
        <v>707056</v>
      </c>
      <c r="K119" s="1281">
        <f t="shared" si="7"/>
        <v>127438925.28999999</v>
      </c>
      <c r="L119" s="1282"/>
      <c r="M119" s="1282"/>
      <c r="N119" s="1271">
        <f t="shared" si="8"/>
        <v>0</v>
      </c>
      <c r="O119" s="1272"/>
      <c r="P119" s="49" t="s">
        <v>1215</v>
      </c>
      <c r="Q119" s="1308" t="s">
        <v>4911</v>
      </c>
    </row>
    <row r="120" spans="1:17">
      <c r="A120" s="1305" t="s">
        <v>3719</v>
      </c>
      <c r="B120" s="1274">
        <v>45826</v>
      </c>
      <c r="C120" s="1274" cm="1">
        <f t="array" aca="1" ref="C120" ca="1">_xlfn.IFS(I120&gt;1,B120,B120&lt;TODAY(),TODAY(),B120&gt;TODAY(),B120,B120=TODAY(),TODAY())</f>
        <v>45935</v>
      </c>
      <c r="D120" s="1275" t="s">
        <v>908</v>
      </c>
      <c r="E120" s="1276">
        <v>45736</v>
      </c>
      <c r="F120" s="1277" t="s">
        <v>4786</v>
      </c>
      <c r="G120" s="1278">
        <v>3210</v>
      </c>
      <c r="H120" s="1279"/>
      <c r="I120" s="1279"/>
      <c r="J120" s="1280">
        <f t="shared" si="6"/>
        <v>3210</v>
      </c>
      <c r="K120" s="1281">
        <f t="shared" si="7"/>
        <v>127442135.28999999</v>
      </c>
      <c r="L120" s="1282"/>
      <c r="M120" s="1282"/>
      <c r="N120" s="1271">
        <f t="shared" si="8"/>
        <v>0</v>
      </c>
      <c r="O120" s="1272"/>
      <c r="P120" s="49" t="s">
        <v>1215</v>
      </c>
      <c r="Q120" s="1308" t="s">
        <v>4911</v>
      </c>
    </row>
    <row r="121" spans="1:17">
      <c r="A121" s="1305" t="s">
        <v>3719</v>
      </c>
      <c r="B121" s="1274">
        <v>45826</v>
      </c>
      <c r="C121" s="1274" cm="1">
        <f t="array" aca="1" ref="C121" ca="1">_xlfn.IFS(I121&gt;1,B121,B121&lt;TODAY(),TODAY(),B121&gt;TODAY(),B121,B121=TODAY(),TODAY())</f>
        <v>45935</v>
      </c>
      <c r="D121" s="1275" t="s">
        <v>908</v>
      </c>
      <c r="E121" s="1276">
        <v>45736</v>
      </c>
      <c r="F121" s="1277" t="s">
        <v>4787</v>
      </c>
      <c r="G121" s="1278">
        <v>295186</v>
      </c>
      <c r="H121" s="1279"/>
      <c r="I121" s="1279"/>
      <c r="J121" s="1280">
        <f t="shared" si="6"/>
        <v>295186</v>
      </c>
      <c r="K121" s="1281">
        <f t="shared" si="7"/>
        <v>127737321.28999999</v>
      </c>
      <c r="L121" s="1282"/>
      <c r="M121" s="1282"/>
      <c r="N121" s="1271">
        <f t="shared" si="8"/>
        <v>0</v>
      </c>
      <c r="O121" s="1272"/>
      <c r="P121" s="49" t="s">
        <v>1215</v>
      </c>
      <c r="Q121" s="1308" t="s">
        <v>4911</v>
      </c>
    </row>
    <row r="122" spans="1:17">
      <c r="A122" s="1305" t="s">
        <v>3719</v>
      </c>
      <c r="B122" s="1274">
        <v>45826</v>
      </c>
      <c r="C122" s="1274" cm="1">
        <f t="array" aca="1" ref="C122" ca="1">_xlfn.IFS(I122&gt;1,B122,B122&lt;TODAY(),TODAY(),B122&gt;TODAY(),B122,B122=TODAY(),TODAY())</f>
        <v>45935</v>
      </c>
      <c r="D122" s="1275" t="s">
        <v>908</v>
      </c>
      <c r="E122" s="1276">
        <v>45736</v>
      </c>
      <c r="F122" s="1277" t="s">
        <v>4788</v>
      </c>
      <c r="G122" s="1278">
        <v>1859680</v>
      </c>
      <c r="H122" s="1279"/>
      <c r="I122" s="1279"/>
      <c r="J122" s="1280">
        <f t="shared" si="6"/>
        <v>1859680</v>
      </c>
      <c r="K122" s="1281">
        <f t="shared" si="7"/>
        <v>129597001.28999999</v>
      </c>
      <c r="L122" s="1282"/>
      <c r="M122" s="1282"/>
      <c r="N122" s="1271">
        <f t="shared" si="8"/>
        <v>0</v>
      </c>
      <c r="O122" s="1272"/>
      <c r="P122" s="49" t="s">
        <v>1215</v>
      </c>
      <c r="Q122" s="1308" t="s">
        <v>4911</v>
      </c>
    </row>
    <row r="123" spans="1:17">
      <c r="A123" s="1305" t="s">
        <v>3719</v>
      </c>
      <c r="B123" s="1274">
        <v>45826</v>
      </c>
      <c r="C123" s="1274" cm="1">
        <f t="array" aca="1" ref="C123" ca="1">_xlfn.IFS(I123&gt;1,B123,B123&lt;TODAY(),TODAY(),B123&gt;TODAY(),B123,B123=TODAY(),TODAY())</f>
        <v>45935</v>
      </c>
      <c r="D123" s="1275" t="s">
        <v>908</v>
      </c>
      <c r="E123" s="1276">
        <v>45736</v>
      </c>
      <c r="F123" s="1277" t="s">
        <v>4789</v>
      </c>
      <c r="G123" s="1278">
        <v>83606</v>
      </c>
      <c r="H123" s="1279"/>
      <c r="I123" s="1279"/>
      <c r="J123" s="1280">
        <f t="shared" si="6"/>
        <v>83606</v>
      </c>
      <c r="K123" s="1281">
        <f t="shared" si="7"/>
        <v>129680607.28999999</v>
      </c>
      <c r="L123" s="1282"/>
      <c r="M123" s="1282"/>
      <c r="N123" s="1271">
        <f t="shared" si="8"/>
        <v>0</v>
      </c>
      <c r="O123" s="1272"/>
      <c r="P123" s="49" t="s">
        <v>1215</v>
      </c>
      <c r="Q123" s="1308" t="s">
        <v>4911</v>
      </c>
    </row>
    <row r="124" spans="1:17">
      <c r="A124" s="1305" t="s">
        <v>3719</v>
      </c>
      <c r="B124" s="1274">
        <v>45826</v>
      </c>
      <c r="C124" s="1274" cm="1">
        <f t="array" aca="1" ref="C124" ca="1">_xlfn.IFS(I124&gt;1,B124,B124&lt;TODAY(),TODAY(),B124&gt;TODAY(),B124,B124=TODAY(),TODAY())</f>
        <v>45935</v>
      </c>
      <c r="D124" s="1275" t="s">
        <v>908</v>
      </c>
      <c r="E124" s="1276">
        <v>45736</v>
      </c>
      <c r="F124" s="1277" t="s">
        <v>4790</v>
      </c>
      <c r="G124" s="1278">
        <v>2416734</v>
      </c>
      <c r="H124" s="1279"/>
      <c r="I124" s="1279"/>
      <c r="J124" s="1280">
        <f t="shared" si="6"/>
        <v>2416734</v>
      </c>
      <c r="K124" s="1281">
        <f t="shared" si="7"/>
        <v>132097341.28999999</v>
      </c>
      <c r="L124" s="1282"/>
      <c r="M124" s="1282"/>
      <c r="N124" s="1271">
        <f t="shared" si="8"/>
        <v>0</v>
      </c>
      <c r="O124" s="1272"/>
      <c r="P124" s="49" t="s">
        <v>1215</v>
      </c>
      <c r="Q124" s="1308" t="s">
        <v>4911</v>
      </c>
    </row>
    <row r="125" spans="1:17">
      <c r="A125" s="1305" t="s">
        <v>3719</v>
      </c>
      <c r="B125" s="1274">
        <v>45826</v>
      </c>
      <c r="C125" s="1274" cm="1">
        <f t="array" aca="1" ref="C125" ca="1">_xlfn.IFS(I125&gt;1,B125,B125&lt;TODAY(),TODAY(),B125&gt;TODAY(),B125,B125=TODAY(),TODAY())</f>
        <v>45935</v>
      </c>
      <c r="D125" s="1275" t="s">
        <v>908</v>
      </c>
      <c r="E125" s="1276">
        <v>45736</v>
      </c>
      <c r="F125" s="1277" t="s">
        <v>4791</v>
      </c>
      <c r="G125" s="1278">
        <v>38190</v>
      </c>
      <c r="H125" s="1279"/>
      <c r="I125" s="1279"/>
      <c r="J125" s="1280">
        <f t="shared" si="6"/>
        <v>38190</v>
      </c>
      <c r="K125" s="1281">
        <f t="shared" si="7"/>
        <v>132135531.28999999</v>
      </c>
      <c r="L125" s="1282"/>
      <c r="M125" s="1282"/>
      <c r="N125" s="1271">
        <f t="shared" si="8"/>
        <v>0</v>
      </c>
      <c r="O125" s="1272"/>
      <c r="P125" s="49" t="s">
        <v>1215</v>
      </c>
      <c r="Q125" s="1308" t="s">
        <v>4911</v>
      </c>
    </row>
    <row r="126" spans="1:17">
      <c r="A126" s="1305" t="s">
        <v>3719</v>
      </c>
      <c r="B126" s="1274">
        <v>45826</v>
      </c>
      <c r="C126" s="1274" cm="1">
        <f t="array" aca="1" ref="C126" ca="1">_xlfn.IFS(I126&gt;1,B126,B126&lt;TODAY(),TODAY(),B126&gt;TODAY(),B126,B126=TODAY(),TODAY())</f>
        <v>45935</v>
      </c>
      <c r="D126" s="1275" t="s">
        <v>908</v>
      </c>
      <c r="E126" s="1276">
        <v>45736</v>
      </c>
      <c r="F126" s="1277" t="s">
        <v>4792</v>
      </c>
      <c r="G126" s="1278">
        <v>56050</v>
      </c>
      <c r="H126" s="1279"/>
      <c r="I126" s="1279"/>
      <c r="J126" s="1280">
        <f t="shared" si="6"/>
        <v>56050</v>
      </c>
      <c r="K126" s="1281">
        <f t="shared" si="7"/>
        <v>132191581.28999999</v>
      </c>
      <c r="L126" s="1282"/>
      <c r="M126" s="1282"/>
      <c r="N126" s="1271">
        <f t="shared" si="8"/>
        <v>0</v>
      </c>
      <c r="O126" s="1272"/>
      <c r="P126" s="49" t="s">
        <v>1215</v>
      </c>
      <c r="Q126" s="1308" t="s">
        <v>4911</v>
      </c>
    </row>
    <row r="127" spans="1:17">
      <c r="A127" s="1305" t="s">
        <v>3719</v>
      </c>
      <c r="B127" s="1274">
        <v>45826</v>
      </c>
      <c r="C127" s="1274" cm="1">
        <f t="array" aca="1" ref="C127" ca="1">_xlfn.IFS(I127&gt;1,B127,B127&lt;TODAY(),TODAY(),B127&gt;TODAY(),B127,B127=TODAY(),TODAY())</f>
        <v>45935</v>
      </c>
      <c r="D127" s="1275" t="s">
        <v>908</v>
      </c>
      <c r="E127" s="1276">
        <v>45736</v>
      </c>
      <c r="F127" s="1277" t="s">
        <v>4793</v>
      </c>
      <c r="G127" s="1278">
        <v>8260</v>
      </c>
      <c r="H127" s="1279"/>
      <c r="I127" s="1279"/>
      <c r="J127" s="1280">
        <f t="shared" si="6"/>
        <v>8260</v>
      </c>
      <c r="K127" s="1281">
        <f t="shared" si="7"/>
        <v>132199841.28999999</v>
      </c>
      <c r="L127" s="1282"/>
      <c r="M127" s="1282"/>
      <c r="N127" s="1271">
        <f t="shared" si="8"/>
        <v>0</v>
      </c>
      <c r="O127" s="1272"/>
      <c r="P127" s="49" t="s">
        <v>1215</v>
      </c>
      <c r="Q127" s="1308" t="s">
        <v>4911</v>
      </c>
    </row>
    <row r="128" spans="1:17">
      <c r="A128" s="1305" t="s">
        <v>3719</v>
      </c>
      <c r="B128" s="1274">
        <v>45826</v>
      </c>
      <c r="C128" s="1274" cm="1">
        <f t="array" aca="1" ref="C128" ca="1">_xlfn.IFS(I128&gt;1,B128,B128&lt;TODAY(),TODAY(),B128&gt;TODAY(),B128,B128=TODAY(),TODAY())</f>
        <v>45935</v>
      </c>
      <c r="D128" s="1275" t="s">
        <v>908</v>
      </c>
      <c r="E128" s="1276">
        <v>45736</v>
      </c>
      <c r="F128" s="1277" t="s">
        <v>4794</v>
      </c>
      <c r="G128" s="1278">
        <v>224714</v>
      </c>
      <c r="H128" s="1279"/>
      <c r="I128" s="1279"/>
      <c r="J128" s="1280">
        <f t="shared" si="6"/>
        <v>224714</v>
      </c>
      <c r="K128" s="1281">
        <f t="shared" si="7"/>
        <v>132424555.28999999</v>
      </c>
      <c r="L128" s="1282"/>
      <c r="M128" s="1282"/>
      <c r="N128" s="1271">
        <f t="shared" si="8"/>
        <v>0</v>
      </c>
      <c r="O128" s="1272"/>
      <c r="P128" s="49" t="s">
        <v>1215</v>
      </c>
      <c r="Q128" s="1308" t="s">
        <v>4911</v>
      </c>
    </row>
    <row r="129" spans="1:17">
      <c r="A129" s="1305" t="s">
        <v>3719</v>
      </c>
      <c r="B129" s="1274">
        <v>45826</v>
      </c>
      <c r="C129" s="1274" cm="1">
        <f t="array" aca="1" ref="C129" ca="1">_xlfn.IFS(I129&gt;1,B129,B129&lt;TODAY(),TODAY(),B129&gt;TODAY(),B129,B129=TODAY(),TODAY())</f>
        <v>45935</v>
      </c>
      <c r="D129" s="1275" t="s">
        <v>908</v>
      </c>
      <c r="E129" s="1276">
        <v>45736</v>
      </c>
      <c r="F129" s="1277" t="s">
        <v>4795</v>
      </c>
      <c r="G129" s="1278">
        <v>83879</v>
      </c>
      <c r="H129" s="1279"/>
      <c r="I129" s="1279"/>
      <c r="J129" s="1280">
        <f t="shared" si="6"/>
        <v>83879</v>
      </c>
      <c r="K129" s="1281">
        <f t="shared" si="7"/>
        <v>132508434.28999999</v>
      </c>
      <c r="L129" s="1282"/>
      <c r="M129" s="1282"/>
      <c r="N129" s="1271">
        <f t="shared" si="8"/>
        <v>0</v>
      </c>
      <c r="O129" s="1272"/>
      <c r="P129" s="49" t="s">
        <v>1215</v>
      </c>
      <c r="Q129" s="1308" t="s">
        <v>4911</v>
      </c>
    </row>
    <row r="130" spans="1:17">
      <c r="A130" s="1305" t="s">
        <v>3719</v>
      </c>
      <c r="B130" s="1274">
        <v>45837</v>
      </c>
      <c r="C130" s="1274" cm="1">
        <f t="array" aca="1" ref="C130" ca="1">_xlfn.IFS(I130&gt;1,B130,B130&lt;TODAY(),TODAY(),B130&gt;TODAY(),B130,B130=TODAY(),TODAY())</f>
        <v>45935</v>
      </c>
      <c r="D130" s="1275" t="s">
        <v>908</v>
      </c>
      <c r="E130" s="1276">
        <v>45747</v>
      </c>
      <c r="F130" s="1277" t="s">
        <v>4796</v>
      </c>
      <c r="G130" s="1278">
        <v>440894</v>
      </c>
      <c r="H130" s="1279"/>
      <c r="I130" s="1279"/>
      <c r="J130" s="1280">
        <f t="shared" ref="J130:J193" si="9">G130-I130</f>
        <v>440894</v>
      </c>
      <c r="K130" s="1281">
        <f t="shared" si="7"/>
        <v>132949328.28999999</v>
      </c>
      <c r="L130" s="1282"/>
      <c r="M130" s="1282"/>
      <c r="N130" s="1271">
        <f t="shared" si="8"/>
        <v>0</v>
      </c>
      <c r="O130" s="1272"/>
      <c r="P130" s="49" t="s">
        <v>1215</v>
      </c>
      <c r="Q130" s="1308" t="s">
        <v>4911</v>
      </c>
    </row>
    <row r="131" spans="1:17">
      <c r="A131" s="1305" t="s">
        <v>3719</v>
      </c>
      <c r="B131" s="1274">
        <v>45837</v>
      </c>
      <c r="C131" s="1274" cm="1">
        <f t="array" aca="1" ref="C131" ca="1">_xlfn.IFS(I131&gt;1,B131,B131&lt;TODAY(),TODAY(),B131&gt;TODAY(),B131,B131=TODAY(),TODAY())</f>
        <v>45935</v>
      </c>
      <c r="D131" s="1275" t="s">
        <v>908</v>
      </c>
      <c r="E131" s="1276">
        <v>45747</v>
      </c>
      <c r="F131" s="1277" t="s">
        <v>4797</v>
      </c>
      <c r="G131" s="1278">
        <v>330400</v>
      </c>
      <c r="H131" s="1279"/>
      <c r="I131" s="1279"/>
      <c r="J131" s="1280">
        <f t="shared" si="9"/>
        <v>330400</v>
      </c>
      <c r="K131" s="1281">
        <f t="shared" ref="K131:K194" si="10">K130+G131-I131</f>
        <v>133279728.28999999</v>
      </c>
      <c r="L131" s="1282"/>
      <c r="M131" s="1282"/>
      <c r="N131" s="1271">
        <f t="shared" si="8"/>
        <v>0</v>
      </c>
      <c r="O131" s="1272"/>
      <c r="P131" s="49" t="s">
        <v>1215</v>
      </c>
      <c r="Q131" s="1308" t="s">
        <v>4911</v>
      </c>
    </row>
    <row r="132" spans="1:17">
      <c r="A132" s="1305" t="s">
        <v>3719</v>
      </c>
      <c r="B132" s="1274">
        <v>45837</v>
      </c>
      <c r="C132" s="1274" cm="1">
        <f t="array" aca="1" ref="C132" ca="1">_xlfn.IFS(I132&gt;1,B132,B132&lt;TODAY(),TODAY(),B132&gt;TODAY(),B132,B132=TODAY(),TODAY())</f>
        <v>45935</v>
      </c>
      <c r="D132" s="1275" t="s">
        <v>908</v>
      </c>
      <c r="E132" s="1276">
        <v>45747</v>
      </c>
      <c r="F132" s="1277" t="s">
        <v>4798</v>
      </c>
      <c r="G132" s="1278">
        <v>231280</v>
      </c>
      <c r="H132" s="1279"/>
      <c r="I132" s="1279"/>
      <c r="J132" s="1280">
        <f t="shared" si="9"/>
        <v>231280</v>
      </c>
      <c r="K132" s="1281">
        <f t="shared" si="10"/>
        <v>133511008.28999999</v>
      </c>
      <c r="L132" s="1282"/>
      <c r="M132" s="1282"/>
      <c r="N132" s="1271">
        <f t="shared" si="8"/>
        <v>0</v>
      </c>
      <c r="O132" s="1272"/>
      <c r="P132" s="49" t="s">
        <v>1215</v>
      </c>
      <c r="Q132" s="1308" t="s">
        <v>4911</v>
      </c>
    </row>
    <row r="133" spans="1:17">
      <c r="A133" s="1305" t="s">
        <v>3719</v>
      </c>
      <c r="B133" s="1274">
        <v>45837</v>
      </c>
      <c r="C133" s="1274" cm="1">
        <f t="array" aca="1" ref="C133" ca="1">_xlfn.IFS(I133&gt;1,B133,B133&lt;TODAY(),TODAY(),B133&gt;TODAY(),B133,B133=TODAY(),TODAY())</f>
        <v>45935</v>
      </c>
      <c r="D133" s="1275" t="s">
        <v>908</v>
      </c>
      <c r="E133" s="1276">
        <v>45747</v>
      </c>
      <c r="F133" s="1277" t="s">
        <v>4799</v>
      </c>
      <c r="G133" s="1278">
        <v>70266</v>
      </c>
      <c r="H133" s="1279"/>
      <c r="I133" s="1279"/>
      <c r="J133" s="1280">
        <f t="shared" si="9"/>
        <v>70266</v>
      </c>
      <c r="K133" s="1281">
        <f t="shared" si="10"/>
        <v>133581274.28999999</v>
      </c>
      <c r="L133" s="1282"/>
      <c r="M133" s="1282"/>
      <c r="N133" s="1271">
        <f t="shared" si="8"/>
        <v>0</v>
      </c>
      <c r="O133" s="1272"/>
      <c r="P133" s="49" t="s">
        <v>1215</v>
      </c>
      <c r="Q133" s="1308" t="s">
        <v>4911</v>
      </c>
    </row>
    <row r="134" spans="1:17">
      <c r="A134" s="1305" t="s">
        <v>3719</v>
      </c>
      <c r="B134" s="1274">
        <v>45837</v>
      </c>
      <c r="C134" s="1274" cm="1">
        <f t="array" aca="1" ref="C134" ca="1">_xlfn.IFS(I134&gt;1,B134,B134&lt;TODAY(),TODAY(),B134&gt;TODAY(),B134,B134=TODAY(),TODAY())</f>
        <v>45935</v>
      </c>
      <c r="D134" s="1275" t="s">
        <v>908</v>
      </c>
      <c r="E134" s="1276">
        <v>45747</v>
      </c>
      <c r="F134" s="1277" t="s">
        <v>4800</v>
      </c>
      <c r="G134" s="1278">
        <v>88500</v>
      </c>
      <c r="H134" s="1279"/>
      <c r="I134" s="1279"/>
      <c r="J134" s="1280">
        <f t="shared" si="9"/>
        <v>88500</v>
      </c>
      <c r="K134" s="1281">
        <f t="shared" si="10"/>
        <v>133669774.28999999</v>
      </c>
      <c r="L134" s="1282"/>
      <c r="M134" s="1282"/>
      <c r="N134" s="1271">
        <f t="shared" si="8"/>
        <v>0</v>
      </c>
      <c r="O134" s="1272"/>
      <c r="P134" s="49" t="s">
        <v>1215</v>
      </c>
      <c r="Q134" s="1308" t="s">
        <v>4911</v>
      </c>
    </row>
    <row r="135" spans="1:17">
      <c r="A135" s="1305" t="s">
        <v>3719</v>
      </c>
      <c r="B135" s="1274">
        <v>45837</v>
      </c>
      <c r="C135" s="1274" cm="1">
        <f t="array" aca="1" ref="C135" ca="1">_xlfn.IFS(I135&gt;1,B135,B135&lt;TODAY(),TODAY(),B135&gt;TODAY(),B135,B135=TODAY(),TODAY())</f>
        <v>45935</v>
      </c>
      <c r="D135" s="1275" t="s">
        <v>908</v>
      </c>
      <c r="E135" s="1276">
        <v>45747</v>
      </c>
      <c r="F135" s="1277" t="s">
        <v>4801</v>
      </c>
      <c r="G135" s="1278">
        <v>172692</v>
      </c>
      <c r="H135" s="1279"/>
      <c r="I135" s="1279"/>
      <c r="J135" s="1280">
        <f t="shared" si="9"/>
        <v>172692</v>
      </c>
      <c r="K135" s="1281">
        <f t="shared" si="10"/>
        <v>133842466.28999999</v>
      </c>
      <c r="L135" s="1282"/>
      <c r="M135" s="1282"/>
      <c r="N135" s="1271">
        <f t="shared" si="8"/>
        <v>0</v>
      </c>
      <c r="O135" s="1272"/>
      <c r="P135" s="49" t="s">
        <v>1215</v>
      </c>
      <c r="Q135" s="1308" t="s">
        <v>4911</v>
      </c>
    </row>
    <row r="136" spans="1:17">
      <c r="A136" s="1305" t="s">
        <v>3719</v>
      </c>
      <c r="B136" s="1274">
        <v>45837</v>
      </c>
      <c r="C136" s="1274" cm="1">
        <f t="array" aca="1" ref="C136" ca="1">_xlfn.IFS(I136&gt;1,B136,B136&lt;TODAY(),TODAY(),B136&gt;TODAY(),B136,B136=TODAY(),TODAY())</f>
        <v>45935</v>
      </c>
      <c r="D136" s="1275" t="s">
        <v>908</v>
      </c>
      <c r="E136" s="1276">
        <v>45747</v>
      </c>
      <c r="F136" s="1277" t="s">
        <v>4802</v>
      </c>
      <c r="G136" s="1278">
        <v>54870</v>
      </c>
      <c r="H136" s="1279"/>
      <c r="I136" s="1279"/>
      <c r="J136" s="1280">
        <f t="shared" si="9"/>
        <v>54870</v>
      </c>
      <c r="K136" s="1281">
        <f t="shared" si="10"/>
        <v>133897336.28999999</v>
      </c>
      <c r="L136" s="1282"/>
      <c r="M136" s="1282"/>
      <c r="N136" s="1271">
        <f t="shared" si="8"/>
        <v>0</v>
      </c>
      <c r="O136" s="1272"/>
      <c r="P136" s="49" t="s">
        <v>1215</v>
      </c>
      <c r="Q136" s="1308" t="s">
        <v>4911</v>
      </c>
    </row>
    <row r="137" spans="1:17">
      <c r="A137" s="1305" t="s">
        <v>3719</v>
      </c>
      <c r="B137" s="1274">
        <v>45837</v>
      </c>
      <c r="C137" s="1274" cm="1">
        <f t="array" aca="1" ref="C137" ca="1">_xlfn.IFS(I137&gt;1,B137,B137&lt;TODAY(),TODAY(),B137&gt;TODAY(),B137,B137=TODAY(),TODAY())</f>
        <v>45935</v>
      </c>
      <c r="D137" s="1275" t="s">
        <v>908</v>
      </c>
      <c r="E137" s="1276">
        <v>45747</v>
      </c>
      <c r="F137" s="1277" t="s">
        <v>4803</v>
      </c>
      <c r="G137" s="1278">
        <v>3540</v>
      </c>
      <c r="H137" s="1279"/>
      <c r="I137" s="1279"/>
      <c r="J137" s="1280">
        <f t="shared" si="9"/>
        <v>3540</v>
      </c>
      <c r="K137" s="1281">
        <f t="shared" si="10"/>
        <v>133900876.28999999</v>
      </c>
      <c r="L137" s="1282"/>
      <c r="M137" s="1282"/>
      <c r="N137" s="1271">
        <f t="shared" si="8"/>
        <v>0</v>
      </c>
      <c r="O137" s="1272"/>
      <c r="P137" s="49" t="s">
        <v>1215</v>
      </c>
      <c r="Q137" s="1308" t="s">
        <v>4911</v>
      </c>
    </row>
    <row r="138" spans="1:17">
      <c r="A138" s="1305" t="s">
        <v>3719</v>
      </c>
      <c r="B138" s="1274">
        <v>45837</v>
      </c>
      <c r="C138" s="1274" cm="1">
        <f t="array" aca="1" ref="C138" ca="1">_xlfn.IFS(I138&gt;1,B138,B138&lt;TODAY(),TODAY(),B138&gt;TODAY(),B138,B138=TODAY(),TODAY())</f>
        <v>45935</v>
      </c>
      <c r="D138" s="1275" t="s">
        <v>908</v>
      </c>
      <c r="E138" s="1276">
        <v>45747</v>
      </c>
      <c r="F138" s="1277" t="s">
        <v>4804</v>
      </c>
      <c r="G138" s="1278">
        <v>18120</v>
      </c>
      <c r="H138" s="1279"/>
      <c r="I138" s="1279"/>
      <c r="J138" s="1280">
        <f t="shared" si="9"/>
        <v>18120</v>
      </c>
      <c r="K138" s="1281">
        <f t="shared" si="10"/>
        <v>133918996.28999999</v>
      </c>
      <c r="L138" s="1282"/>
      <c r="M138" s="1282"/>
      <c r="N138" s="1271">
        <f t="shared" si="8"/>
        <v>0</v>
      </c>
      <c r="O138" s="1272"/>
      <c r="P138" s="49" t="s">
        <v>1215</v>
      </c>
      <c r="Q138" s="1308" t="s">
        <v>4911</v>
      </c>
    </row>
    <row r="139" spans="1:17">
      <c r="A139" s="1305" t="s">
        <v>3719</v>
      </c>
      <c r="B139" s="1274">
        <v>45837</v>
      </c>
      <c r="C139" s="1274" cm="1">
        <f t="array" aca="1" ref="C139" ca="1">_xlfn.IFS(I139&gt;1,B139,B139&lt;TODAY(),TODAY(),B139&gt;TODAY(),B139,B139=TODAY(),TODAY())</f>
        <v>45935</v>
      </c>
      <c r="D139" s="1275" t="s">
        <v>908</v>
      </c>
      <c r="E139" s="1276">
        <v>45747</v>
      </c>
      <c r="F139" s="1277" t="s">
        <v>4805</v>
      </c>
      <c r="G139" s="1278">
        <v>119120</v>
      </c>
      <c r="H139" s="1279"/>
      <c r="I139" s="1279"/>
      <c r="J139" s="1280">
        <f t="shared" si="9"/>
        <v>119120</v>
      </c>
      <c r="K139" s="1281">
        <f t="shared" si="10"/>
        <v>134038116.28999999</v>
      </c>
      <c r="L139" s="1282"/>
      <c r="M139" s="1282"/>
      <c r="N139" s="1271">
        <f t="shared" si="8"/>
        <v>0</v>
      </c>
      <c r="O139" s="1272"/>
      <c r="P139" s="49" t="s">
        <v>1215</v>
      </c>
      <c r="Q139" s="1308" t="s">
        <v>4911</v>
      </c>
    </row>
    <row r="140" spans="1:17">
      <c r="A140" s="1305" t="s">
        <v>3719</v>
      </c>
      <c r="B140" s="1274">
        <v>45837</v>
      </c>
      <c r="C140" s="1274" cm="1">
        <f t="array" aca="1" ref="C140" ca="1">_xlfn.IFS(I140&gt;1,B140,B140&lt;TODAY(),TODAY(),B140&gt;TODAY(),B140,B140=TODAY(),TODAY())</f>
        <v>45935</v>
      </c>
      <c r="D140" s="1275" t="s">
        <v>908</v>
      </c>
      <c r="E140" s="1276">
        <v>45747</v>
      </c>
      <c r="F140" s="1277" t="s">
        <v>4806</v>
      </c>
      <c r="G140" s="1278">
        <v>2715824</v>
      </c>
      <c r="H140" s="1279"/>
      <c r="I140" s="1279"/>
      <c r="J140" s="1280">
        <f t="shared" si="9"/>
        <v>2715824</v>
      </c>
      <c r="K140" s="1281">
        <f t="shared" si="10"/>
        <v>136753940.28999999</v>
      </c>
      <c r="L140" s="1282"/>
      <c r="M140" s="1282"/>
      <c r="N140" s="1271">
        <f t="shared" si="8"/>
        <v>0</v>
      </c>
      <c r="O140" s="1272"/>
      <c r="P140" s="49" t="s">
        <v>1215</v>
      </c>
      <c r="Q140" s="1308" t="s">
        <v>4911</v>
      </c>
    </row>
    <row r="141" spans="1:17">
      <c r="A141" s="1305" t="s">
        <v>3719</v>
      </c>
      <c r="B141" s="1274">
        <v>45837</v>
      </c>
      <c r="C141" s="1274" cm="1">
        <f t="array" aca="1" ref="C141" ca="1">_xlfn.IFS(I141&gt;1,B141,B141&lt;TODAY(),TODAY(),B141&gt;TODAY(),B141,B141=TODAY(),TODAY())</f>
        <v>45935</v>
      </c>
      <c r="D141" s="1275" t="s">
        <v>908</v>
      </c>
      <c r="E141" s="1276">
        <v>45747</v>
      </c>
      <c r="F141" s="1277" t="s">
        <v>4807</v>
      </c>
      <c r="G141" s="1278">
        <v>1762576</v>
      </c>
      <c r="H141" s="1279"/>
      <c r="I141" s="1279"/>
      <c r="J141" s="1280">
        <f t="shared" si="9"/>
        <v>1762576</v>
      </c>
      <c r="K141" s="1281">
        <f t="shared" si="10"/>
        <v>138516516.28999999</v>
      </c>
      <c r="L141" s="1282"/>
      <c r="M141" s="1282"/>
      <c r="N141" s="1271">
        <f t="shared" si="8"/>
        <v>0</v>
      </c>
      <c r="O141" s="1272"/>
      <c r="P141" s="49" t="s">
        <v>1215</v>
      </c>
      <c r="Q141" s="1308" t="s">
        <v>4911</v>
      </c>
    </row>
    <row r="142" spans="1:17">
      <c r="A142" s="1305" t="s">
        <v>3719</v>
      </c>
      <c r="B142" s="1274">
        <v>45837</v>
      </c>
      <c r="C142" s="1274" cm="1">
        <f t="array" aca="1" ref="C142" ca="1">_xlfn.IFS(I142&gt;1,B142,B142&lt;TODAY(),TODAY(),B142&gt;TODAY(),B142,B142=TODAY(),TODAY())</f>
        <v>45935</v>
      </c>
      <c r="D142" s="1275" t="s">
        <v>908</v>
      </c>
      <c r="E142" s="1276">
        <v>45747</v>
      </c>
      <c r="F142" s="1277" t="s">
        <v>4808</v>
      </c>
      <c r="G142" s="1278">
        <v>47889</v>
      </c>
      <c r="H142" s="1279"/>
      <c r="I142" s="1279"/>
      <c r="J142" s="1280">
        <f t="shared" si="9"/>
        <v>47889</v>
      </c>
      <c r="K142" s="1281">
        <f t="shared" si="10"/>
        <v>138564405.28999999</v>
      </c>
      <c r="L142" s="1282"/>
      <c r="M142" s="1282"/>
      <c r="N142" s="1271">
        <f t="shared" si="8"/>
        <v>0</v>
      </c>
      <c r="O142" s="1272"/>
      <c r="P142" s="49" t="s">
        <v>1215</v>
      </c>
      <c r="Q142" s="1308" t="s">
        <v>4911</v>
      </c>
    </row>
    <row r="143" spans="1:17">
      <c r="A143" s="1305" t="s">
        <v>3719</v>
      </c>
      <c r="B143" s="1274">
        <v>45837</v>
      </c>
      <c r="C143" s="1274" cm="1">
        <f t="array" aca="1" ref="C143" ca="1">_xlfn.IFS(I143&gt;1,B143,B143&lt;TODAY(),TODAY(),B143&gt;TODAY(),B143,B143=TODAY(),TODAY())</f>
        <v>45935</v>
      </c>
      <c r="D143" s="1275" t="s">
        <v>908</v>
      </c>
      <c r="E143" s="1276">
        <v>45747</v>
      </c>
      <c r="F143" s="1277" t="s">
        <v>4809</v>
      </c>
      <c r="G143" s="1278">
        <v>54280</v>
      </c>
      <c r="H143" s="1279"/>
      <c r="I143" s="1279"/>
      <c r="J143" s="1280">
        <f t="shared" si="9"/>
        <v>54280</v>
      </c>
      <c r="K143" s="1281">
        <f t="shared" si="10"/>
        <v>138618685.28999999</v>
      </c>
      <c r="L143" s="1282"/>
      <c r="M143" s="1282"/>
      <c r="N143" s="1271">
        <f t="shared" si="8"/>
        <v>0</v>
      </c>
      <c r="O143" s="1272"/>
      <c r="P143" s="49" t="s">
        <v>1215</v>
      </c>
      <c r="Q143" s="1308" t="s">
        <v>4911</v>
      </c>
    </row>
    <row r="144" spans="1:17">
      <c r="A144" s="1305" t="s">
        <v>3719</v>
      </c>
      <c r="B144" s="1274">
        <v>45837</v>
      </c>
      <c r="C144" s="1274" cm="1">
        <f t="array" aca="1" ref="C144" ca="1">_xlfn.IFS(I144&gt;1,B144,B144&lt;TODAY(),TODAY(),B144&gt;TODAY(),B144,B144=TODAY(),TODAY())</f>
        <v>45935</v>
      </c>
      <c r="D144" s="1275" t="s">
        <v>908</v>
      </c>
      <c r="E144" s="1276">
        <v>45747</v>
      </c>
      <c r="F144" s="1277" t="s">
        <v>4810</v>
      </c>
      <c r="G144" s="1278">
        <v>5310</v>
      </c>
      <c r="H144" s="1279"/>
      <c r="I144" s="1279"/>
      <c r="J144" s="1280">
        <f t="shared" si="9"/>
        <v>5310</v>
      </c>
      <c r="K144" s="1281">
        <f t="shared" si="10"/>
        <v>138623995.28999999</v>
      </c>
      <c r="L144" s="1282"/>
      <c r="M144" s="1282"/>
      <c r="N144" s="1271">
        <f t="shared" si="8"/>
        <v>0</v>
      </c>
      <c r="O144" s="1272"/>
      <c r="P144" s="49" t="s">
        <v>1215</v>
      </c>
      <c r="Q144" s="1308" t="s">
        <v>4911</v>
      </c>
    </row>
    <row r="145" spans="1:17">
      <c r="A145" s="1305" t="s">
        <v>3719</v>
      </c>
      <c r="B145" s="1274">
        <v>45837</v>
      </c>
      <c r="C145" s="1274" cm="1">
        <f t="array" aca="1" ref="C145" ca="1">_xlfn.IFS(I145&gt;1,B145,B145&lt;TODAY(),TODAY(),B145&gt;TODAY(),B145,B145=TODAY(),TODAY())</f>
        <v>45935</v>
      </c>
      <c r="D145" s="1275" t="s">
        <v>908</v>
      </c>
      <c r="E145" s="1276">
        <v>45747</v>
      </c>
      <c r="F145" s="1277" t="s">
        <v>4811</v>
      </c>
      <c r="G145" s="1278">
        <v>627926</v>
      </c>
      <c r="H145" s="1279"/>
      <c r="I145" s="1279"/>
      <c r="J145" s="1280">
        <f t="shared" si="9"/>
        <v>627926</v>
      </c>
      <c r="K145" s="1281">
        <f t="shared" si="10"/>
        <v>139251921.28999999</v>
      </c>
      <c r="L145" s="1282"/>
      <c r="M145" s="1282"/>
      <c r="N145" s="1271">
        <f t="shared" si="8"/>
        <v>0</v>
      </c>
      <c r="O145" s="1272"/>
      <c r="P145" s="49" t="s">
        <v>1215</v>
      </c>
      <c r="Q145" s="1308" t="s">
        <v>4911</v>
      </c>
    </row>
    <row r="146" spans="1:17">
      <c r="A146" s="1305" t="s">
        <v>3719</v>
      </c>
      <c r="B146" s="1274">
        <v>45837</v>
      </c>
      <c r="C146" s="1274" cm="1">
        <f t="array" aca="1" ref="C146" ca="1">_xlfn.IFS(I146&gt;1,B146,B146&lt;TODAY(),TODAY(),B146&gt;TODAY(),B146,B146=TODAY(),TODAY())</f>
        <v>45935</v>
      </c>
      <c r="D146" s="1275" t="s">
        <v>908</v>
      </c>
      <c r="E146" s="1276">
        <v>45747</v>
      </c>
      <c r="F146" s="1277" t="s">
        <v>4812</v>
      </c>
      <c r="G146" s="1278">
        <v>12213</v>
      </c>
      <c r="H146" s="1279"/>
      <c r="I146" s="1279"/>
      <c r="J146" s="1280">
        <f t="shared" si="9"/>
        <v>12213</v>
      </c>
      <c r="K146" s="1281">
        <f t="shared" si="10"/>
        <v>139264134.28999999</v>
      </c>
      <c r="L146" s="1282"/>
      <c r="M146" s="1282"/>
      <c r="N146" s="1271">
        <f t="shared" si="8"/>
        <v>0</v>
      </c>
      <c r="O146" s="1272"/>
      <c r="P146" s="49" t="s">
        <v>1215</v>
      </c>
      <c r="Q146" s="1308" t="s">
        <v>4911</v>
      </c>
    </row>
    <row r="147" spans="1:17">
      <c r="A147" s="1305" t="s">
        <v>3719</v>
      </c>
      <c r="B147" s="1274">
        <v>45837</v>
      </c>
      <c r="C147" s="1274" cm="1">
        <f t="array" aca="1" ref="C147" ca="1">_xlfn.IFS(I147&gt;1,B147,B147&lt;TODAY(),TODAY(),B147&gt;TODAY(),B147,B147=TODAY(),TODAY())</f>
        <v>45935</v>
      </c>
      <c r="D147" s="1275" t="s">
        <v>908</v>
      </c>
      <c r="E147" s="1276">
        <v>45747</v>
      </c>
      <c r="F147" s="1277" t="s">
        <v>4813</v>
      </c>
      <c r="G147" s="1278">
        <v>82824</v>
      </c>
      <c r="H147" s="1279"/>
      <c r="I147" s="1279"/>
      <c r="J147" s="1280">
        <f t="shared" si="9"/>
        <v>82824</v>
      </c>
      <c r="K147" s="1281">
        <f t="shared" si="10"/>
        <v>139346958.28999999</v>
      </c>
      <c r="L147" s="1282"/>
      <c r="M147" s="1282"/>
      <c r="N147" s="1271">
        <f t="shared" si="8"/>
        <v>0</v>
      </c>
      <c r="O147" s="1272"/>
      <c r="P147" s="49" t="s">
        <v>1215</v>
      </c>
      <c r="Q147" s="1308" t="s">
        <v>4911</v>
      </c>
    </row>
    <row r="148" spans="1:17">
      <c r="A148" s="1305" t="s">
        <v>3719</v>
      </c>
      <c r="B148" s="1274">
        <v>45837</v>
      </c>
      <c r="C148" s="1274" cm="1">
        <f t="array" aca="1" ref="C148" ca="1">_xlfn.IFS(I148&gt;1,B148,B148&lt;TODAY(),TODAY(),B148&gt;TODAY(),B148,B148=TODAY(),TODAY())</f>
        <v>45935</v>
      </c>
      <c r="D148" s="1275" t="s">
        <v>908</v>
      </c>
      <c r="E148" s="1276">
        <v>45747</v>
      </c>
      <c r="F148" s="1277" t="s">
        <v>4814</v>
      </c>
      <c r="G148" s="1278">
        <v>726051</v>
      </c>
      <c r="H148" s="1279"/>
      <c r="I148" s="1279"/>
      <c r="J148" s="1280">
        <f t="shared" si="9"/>
        <v>726051</v>
      </c>
      <c r="K148" s="1281">
        <f t="shared" si="10"/>
        <v>140073009.28999999</v>
      </c>
      <c r="L148" s="1282"/>
      <c r="M148" s="1282"/>
      <c r="N148" s="1271">
        <f t="shared" si="8"/>
        <v>0</v>
      </c>
      <c r="O148" s="1272"/>
      <c r="P148" s="49" t="s">
        <v>1215</v>
      </c>
      <c r="Q148" s="1308" t="s">
        <v>4911</v>
      </c>
    </row>
    <row r="149" spans="1:17">
      <c r="A149" s="1305" t="s">
        <v>3719</v>
      </c>
      <c r="B149" s="1274">
        <v>45837</v>
      </c>
      <c r="C149" s="1274" cm="1">
        <f t="array" aca="1" ref="C149" ca="1">_xlfn.IFS(I149&gt;1,B149,B149&lt;TODAY(),TODAY(),B149&gt;TODAY(),B149,B149=TODAY(),TODAY())</f>
        <v>45935</v>
      </c>
      <c r="D149" s="1275" t="s">
        <v>908</v>
      </c>
      <c r="E149" s="1276">
        <v>45747</v>
      </c>
      <c r="F149" s="1277" t="s">
        <v>4815</v>
      </c>
      <c r="G149" s="1278">
        <v>155496</v>
      </c>
      <c r="H149" s="1279"/>
      <c r="I149" s="1279"/>
      <c r="J149" s="1280">
        <f t="shared" si="9"/>
        <v>155496</v>
      </c>
      <c r="K149" s="1281">
        <f t="shared" si="10"/>
        <v>140228505.28999999</v>
      </c>
      <c r="L149" s="1282"/>
      <c r="M149" s="1282"/>
      <c r="N149" s="1271">
        <f t="shared" si="8"/>
        <v>0</v>
      </c>
      <c r="O149" s="1272"/>
      <c r="P149" s="49" t="s">
        <v>1215</v>
      </c>
      <c r="Q149" s="1308" t="s">
        <v>4911</v>
      </c>
    </row>
    <row r="150" spans="1:17">
      <c r="A150" s="1305" t="s">
        <v>3719</v>
      </c>
      <c r="B150" s="1274">
        <v>45837</v>
      </c>
      <c r="C150" s="1274" cm="1">
        <f t="array" aca="1" ref="C150" ca="1">_xlfn.IFS(I150&gt;1,B150,B150&lt;TODAY(),TODAY(),B150&gt;TODAY(),B150,B150=TODAY(),TODAY())</f>
        <v>45935</v>
      </c>
      <c r="D150" s="1275" t="s">
        <v>908</v>
      </c>
      <c r="E150" s="1276">
        <v>45747</v>
      </c>
      <c r="F150" s="1277" t="s">
        <v>4816</v>
      </c>
      <c r="G150" s="1278">
        <v>235528</v>
      </c>
      <c r="H150" s="1279"/>
      <c r="I150" s="1279"/>
      <c r="J150" s="1280">
        <f t="shared" si="9"/>
        <v>235528</v>
      </c>
      <c r="K150" s="1281">
        <f t="shared" si="10"/>
        <v>140464033.28999999</v>
      </c>
      <c r="L150" s="1282"/>
      <c r="M150" s="1282"/>
      <c r="N150" s="1271">
        <f t="shared" si="8"/>
        <v>0</v>
      </c>
      <c r="O150" s="1272"/>
      <c r="P150" s="49" t="s">
        <v>1215</v>
      </c>
      <c r="Q150" s="1308" t="s">
        <v>4911</v>
      </c>
    </row>
    <row r="151" spans="1:17">
      <c r="A151" s="1305" t="s">
        <v>3719</v>
      </c>
      <c r="B151" s="1274">
        <v>45837</v>
      </c>
      <c r="C151" s="1274" cm="1">
        <f t="array" aca="1" ref="C151" ca="1">_xlfn.IFS(I151&gt;1,B151,B151&lt;TODAY(),TODAY(),B151&gt;TODAY(),B151,B151=TODAY(),TODAY())</f>
        <v>45935</v>
      </c>
      <c r="D151" s="1275" t="s">
        <v>908</v>
      </c>
      <c r="E151" s="1276">
        <v>45747</v>
      </c>
      <c r="F151" s="1277" t="s">
        <v>4817</v>
      </c>
      <c r="G151" s="1278">
        <v>506339</v>
      </c>
      <c r="H151" s="1279"/>
      <c r="I151" s="1279"/>
      <c r="J151" s="1280">
        <f t="shared" si="9"/>
        <v>506339</v>
      </c>
      <c r="K151" s="1281">
        <f t="shared" si="10"/>
        <v>140970372.28999999</v>
      </c>
      <c r="L151" s="1282"/>
      <c r="M151" s="1282"/>
      <c r="N151" s="1271">
        <f t="shared" si="8"/>
        <v>0</v>
      </c>
      <c r="O151" s="1272"/>
      <c r="P151" s="49" t="s">
        <v>1215</v>
      </c>
      <c r="Q151" s="1308" t="s">
        <v>4911</v>
      </c>
    </row>
    <row r="152" spans="1:17">
      <c r="A152" s="1305" t="s">
        <v>3719</v>
      </c>
      <c r="B152" s="1274">
        <v>45837</v>
      </c>
      <c r="C152" s="1274" cm="1">
        <f t="array" aca="1" ref="C152" ca="1">_xlfn.IFS(I152&gt;1,B152,B152&lt;TODAY(),TODAY(),B152&gt;TODAY(),B152,B152=TODAY(),TODAY())</f>
        <v>45935</v>
      </c>
      <c r="D152" s="1275" t="s">
        <v>908</v>
      </c>
      <c r="E152" s="1276">
        <v>45747</v>
      </c>
      <c r="F152" s="1277" t="s">
        <v>4818</v>
      </c>
      <c r="G152" s="1278">
        <v>556947</v>
      </c>
      <c r="H152" s="1279"/>
      <c r="I152" s="1279"/>
      <c r="J152" s="1280">
        <f t="shared" si="9"/>
        <v>556947</v>
      </c>
      <c r="K152" s="1281">
        <f t="shared" si="10"/>
        <v>141527319.28999999</v>
      </c>
      <c r="L152" s="1282"/>
      <c r="M152" s="1282"/>
      <c r="N152" s="1271">
        <f t="shared" si="8"/>
        <v>0</v>
      </c>
      <c r="O152" s="1272"/>
      <c r="P152" s="49" t="s">
        <v>1215</v>
      </c>
      <c r="Q152" s="1308" t="s">
        <v>4911</v>
      </c>
    </row>
    <row r="153" spans="1:17">
      <c r="A153" s="1305" t="s">
        <v>3719</v>
      </c>
      <c r="B153" s="1274">
        <v>45837</v>
      </c>
      <c r="C153" s="1274" cm="1">
        <f t="array" aca="1" ref="C153" ca="1">_xlfn.IFS(I153&gt;1,B153,B153&lt;TODAY(),TODAY(),B153&gt;TODAY(),B153,B153=TODAY(),TODAY())</f>
        <v>45935</v>
      </c>
      <c r="D153" s="1275" t="s">
        <v>908</v>
      </c>
      <c r="E153" s="1276">
        <v>45747</v>
      </c>
      <c r="F153" s="1277" t="s">
        <v>4819</v>
      </c>
      <c r="G153" s="1278">
        <v>1734539</v>
      </c>
      <c r="H153" s="1279"/>
      <c r="I153" s="1279"/>
      <c r="J153" s="1280">
        <f t="shared" si="9"/>
        <v>1734539</v>
      </c>
      <c r="K153" s="1281">
        <f t="shared" si="10"/>
        <v>143261858.28999999</v>
      </c>
      <c r="L153" s="1282"/>
      <c r="M153" s="1282"/>
      <c r="N153" s="1271">
        <f t="shared" si="8"/>
        <v>0</v>
      </c>
      <c r="O153" s="1272"/>
      <c r="P153" s="49" t="s">
        <v>1215</v>
      </c>
      <c r="Q153" s="1308" t="s">
        <v>4911</v>
      </c>
    </row>
    <row r="154" spans="1:17">
      <c r="A154" s="1305" t="s">
        <v>3719</v>
      </c>
      <c r="B154" s="1274">
        <v>45837</v>
      </c>
      <c r="C154" s="1274" cm="1">
        <f t="array" aca="1" ref="C154" ca="1">_xlfn.IFS(I154&gt;1,B154,B154&lt;TODAY(),TODAY(),B154&gt;TODAY(),B154,B154=TODAY(),TODAY())</f>
        <v>45935</v>
      </c>
      <c r="D154" s="1275" t="s">
        <v>908</v>
      </c>
      <c r="E154" s="1276">
        <v>45747</v>
      </c>
      <c r="F154" s="1277" t="s">
        <v>4820</v>
      </c>
      <c r="G154" s="1278">
        <v>240930</v>
      </c>
      <c r="H154" s="1279"/>
      <c r="I154" s="1279"/>
      <c r="J154" s="1280">
        <f t="shared" si="9"/>
        <v>240930</v>
      </c>
      <c r="K154" s="1281">
        <f t="shared" si="10"/>
        <v>143502788.28999999</v>
      </c>
      <c r="L154" s="1282"/>
      <c r="M154" s="1282"/>
      <c r="N154" s="1271">
        <f t="shared" si="8"/>
        <v>0</v>
      </c>
      <c r="O154" s="1272"/>
      <c r="P154" s="49" t="s">
        <v>1215</v>
      </c>
      <c r="Q154" s="1308" t="s">
        <v>4911</v>
      </c>
    </row>
    <row r="155" spans="1:17">
      <c r="A155" s="1305" t="s">
        <v>3719</v>
      </c>
      <c r="B155" s="1274">
        <v>45837</v>
      </c>
      <c r="C155" s="1274" cm="1">
        <f t="array" aca="1" ref="C155" ca="1">_xlfn.IFS(I155&gt;1,B155,B155&lt;TODAY(),TODAY(),B155&gt;TODAY(),B155,B155=TODAY(),TODAY())</f>
        <v>45935</v>
      </c>
      <c r="D155" s="1275" t="s">
        <v>908</v>
      </c>
      <c r="E155" s="1276">
        <v>45747</v>
      </c>
      <c r="F155" s="1277" t="s">
        <v>4821</v>
      </c>
      <c r="G155" s="1278">
        <v>9156505</v>
      </c>
      <c r="H155" s="1279"/>
      <c r="I155" s="1279"/>
      <c r="J155" s="1280">
        <f t="shared" si="9"/>
        <v>9156505</v>
      </c>
      <c r="K155" s="1281">
        <f t="shared" si="10"/>
        <v>152659293.28999999</v>
      </c>
      <c r="L155" s="1282"/>
      <c r="M155" s="1282"/>
      <c r="N155" s="1271">
        <f t="shared" si="8"/>
        <v>0</v>
      </c>
      <c r="O155" s="1272"/>
      <c r="P155" s="49" t="s">
        <v>1215</v>
      </c>
      <c r="Q155" s="1308" t="s">
        <v>4911</v>
      </c>
    </row>
    <row r="156" spans="1:17">
      <c r="A156" s="1305" t="s">
        <v>3719</v>
      </c>
      <c r="B156" s="1274">
        <v>45837</v>
      </c>
      <c r="C156" s="1274" cm="1">
        <f t="array" aca="1" ref="C156" ca="1">_xlfn.IFS(I156&gt;1,B156,B156&lt;TODAY(),TODAY(),B156&gt;TODAY(),B156,B156=TODAY(),TODAY())</f>
        <v>45935</v>
      </c>
      <c r="D156" s="1275" t="s">
        <v>908</v>
      </c>
      <c r="E156" s="1276">
        <v>45747</v>
      </c>
      <c r="F156" s="1277" t="s">
        <v>4822</v>
      </c>
      <c r="G156" s="1278">
        <v>707</v>
      </c>
      <c r="H156" s="1279"/>
      <c r="I156" s="1279"/>
      <c r="J156" s="1280">
        <f t="shared" si="9"/>
        <v>707</v>
      </c>
      <c r="K156" s="1281">
        <f t="shared" si="10"/>
        <v>152660000.28999999</v>
      </c>
      <c r="L156" s="1282"/>
      <c r="M156" s="1282"/>
      <c r="N156" s="1271">
        <f t="shared" ref="N156:N199" si="11">I156/10000000</f>
        <v>0</v>
      </c>
      <c r="O156" s="1272"/>
      <c r="P156" s="49" t="s">
        <v>1215</v>
      </c>
      <c r="Q156" s="1308" t="s">
        <v>4911</v>
      </c>
    </row>
    <row r="157" spans="1:17">
      <c r="A157" s="1305" t="s">
        <v>3719</v>
      </c>
      <c r="B157" s="1274">
        <v>45837</v>
      </c>
      <c r="C157" s="1274" cm="1">
        <f t="array" aca="1" ref="C157" ca="1">_xlfn.IFS(I157&gt;1,B157,B157&lt;TODAY(),TODAY(),B157&gt;TODAY(),B157,B157=TODAY(),TODAY())</f>
        <v>45935</v>
      </c>
      <c r="D157" s="1275" t="s">
        <v>908</v>
      </c>
      <c r="E157" s="1276">
        <v>45747</v>
      </c>
      <c r="F157" s="1277" t="s">
        <v>4823</v>
      </c>
      <c r="G157" s="1278">
        <v>1029255</v>
      </c>
      <c r="H157" s="1279"/>
      <c r="I157" s="1279"/>
      <c r="J157" s="1280">
        <f t="shared" si="9"/>
        <v>1029255</v>
      </c>
      <c r="K157" s="1281">
        <f t="shared" si="10"/>
        <v>153689255.28999999</v>
      </c>
      <c r="L157" s="1282"/>
      <c r="M157" s="1282"/>
      <c r="N157" s="1271">
        <f t="shared" si="11"/>
        <v>0</v>
      </c>
      <c r="O157" s="1272"/>
      <c r="P157" s="49" t="s">
        <v>1215</v>
      </c>
      <c r="Q157" s="1308" t="s">
        <v>4911</v>
      </c>
    </row>
    <row r="158" spans="1:17">
      <c r="A158" s="1305" t="s">
        <v>3719</v>
      </c>
      <c r="B158" s="1274">
        <v>45837</v>
      </c>
      <c r="C158" s="1274" cm="1">
        <f t="array" aca="1" ref="C158" ca="1">_xlfn.IFS(I158&gt;1,B158,B158&lt;TODAY(),TODAY(),B158&gt;TODAY(),B158,B158=TODAY(),TODAY())</f>
        <v>45935</v>
      </c>
      <c r="D158" s="1275" t="s">
        <v>908</v>
      </c>
      <c r="E158" s="1276">
        <v>45747</v>
      </c>
      <c r="F158" s="1277" t="s">
        <v>4824</v>
      </c>
      <c r="G158" s="1278">
        <v>18620</v>
      </c>
      <c r="H158" s="1279"/>
      <c r="I158" s="1279"/>
      <c r="J158" s="1280">
        <f t="shared" si="9"/>
        <v>18620</v>
      </c>
      <c r="K158" s="1281">
        <f t="shared" si="10"/>
        <v>153707875.28999999</v>
      </c>
      <c r="L158" s="1282"/>
      <c r="M158" s="1282"/>
      <c r="N158" s="1271">
        <f t="shared" si="11"/>
        <v>0</v>
      </c>
      <c r="O158" s="1272"/>
      <c r="P158" s="49" t="s">
        <v>1215</v>
      </c>
      <c r="Q158" s="1308" t="s">
        <v>4911</v>
      </c>
    </row>
    <row r="159" spans="1:17">
      <c r="A159" s="1305" t="s">
        <v>3719</v>
      </c>
      <c r="B159" s="1274">
        <v>45837</v>
      </c>
      <c r="C159" s="1274" cm="1">
        <f t="array" aca="1" ref="C159" ca="1">_xlfn.IFS(I159&gt;1,B159,B159&lt;TODAY(),TODAY(),B159&gt;TODAY(),B159,B159=TODAY(),TODAY())</f>
        <v>45935</v>
      </c>
      <c r="D159" s="1275" t="s">
        <v>908</v>
      </c>
      <c r="E159" s="1276">
        <v>45747</v>
      </c>
      <c r="F159" s="1277" t="s">
        <v>4825</v>
      </c>
      <c r="G159" s="1278">
        <v>4705840</v>
      </c>
      <c r="H159" s="1279"/>
      <c r="I159" s="1279"/>
      <c r="J159" s="1280">
        <f t="shared" si="9"/>
        <v>4705840</v>
      </c>
      <c r="K159" s="1281">
        <f t="shared" si="10"/>
        <v>158413715.28999999</v>
      </c>
      <c r="L159" s="1282"/>
      <c r="M159" s="1282"/>
      <c r="N159" s="1271">
        <f t="shared" si="11"/>
        <v>0</v>
      </c>
      <c r="O159" s="1272"/>
      <c r="P159" s="49" t="s">
        <v>1215</v>
      </c>
      <c r="Q159" s="1308" t="s">
        <v>4911</v>
      </c>
    </row>
    <row r="160" spans="1:17">
      <c r="A160" s="1305" t="s">
        <v>3719</v>
      </c>
      <c r="B160" s="1274">
        <v>45837</v>
      </c>
      <c r="C160" s="1274" cm="1">
        <f t="array" aca="1" ref="C160" ca="1">_xlfn.IFS(I160&gt;1,B160,B160&lt;TODAY(),TODAY(),B160&gt;TODAY(),B160,B160=TODAY(),TODAY())</f>
        <v>45935</v>
      </c>
      <c r="D160" s="1275" t="s">
        <v>908</v>
      </c>
      <c r="E160" s="1276">
        <v>45747</v>
      </c>
      <c r="F160" s="1277" t="s">
        <v>4826</v>
      </c>
      <c r="G160" s="1278">
        <v>78470</v>
      </c>
      <c r="H160" s="1279"/>
      <c r="I160" s="1279"/>
      <c r="J160" s="1280">
        <f t="shared" si="9"/>
        <v>78470</v>
      </c>
      <c r="K160" s="1281">
        <f t="shared" si="10"/>
        <v>158492185.28999999</v>
      </c>
      <c r="L160" s="1282"/>
      <c r="M160" s="1282"/>
      <c r="N160" s="1271">
        <f t="shared" si="11"/>
        <v>0</v>
      </c>
      <c r="O160" s="1272"/>
      <c r="P160" s="49" t="s">
        <v>1215</v>
      </c>
      <c r="Q160" s="1308" t="s">
        <v>4911</v>
      </c>
    </row>
    <row r="161" spans="1:17">
      <c r="A161" s="1305" t="s">
        <v>3719</v>
      </c>
      <c r="B161" s="1274">
        <v>45837</v>
      </c>
      <c r="C161" s="1274" cm="1">
        <f t="array" aca="1" ref="C161" ca="1">_xlfn.IFS(I161&gt;1,B161,B161&lt;TODAY(),TODAY(),B161&gt;TODAY(),B161,B161=TODAY(),TODAY())</f>
        <v>45935</v>
      </c>
      <c r="D161" s="1275" t="s">
        <v>908</v>
      </c>
      <c r="E161" s="1276">
        <v>45747</v>
      </c>
      <c r="F161" s="1277" t="s">
        <v>4827</v>
      </c>
      <c r="G161" s="1278">
        <v>604204</v>
      </c>
      <c r="H161" s="1279"/>
      <c r="I161" s="1279"/>
      <c r="J161" s="1280">
        <f t="shared" si="9"/>
        <v>604204</v>
      </c>
      <c r="K161" s="1281">
        <f t="shared" si="10"/>
        <v>159096389.28999999</v>
      </c>
      <c r="L161" s="1282"/>
      <c r="M161" s="1282"/>
      <c r="N161" s="1271">
        <f t="shared" si="11"/>
        <v>0</v>
      </c>
      <c r="O161" s="1272"/>
      <c r="P161" s="49" t="s">
        <v>1215</v>
      </c>
      <c r="Q161" s="1308" t="s">
        <v>4911</v>
      </c>
    </row>
    <row r="162" spans="1:17">
      <c r="A162" s="1305" t="s">
        <v>3719</v>
      </c>
      <c r="B162" s="1274">
        <v>45837</v>
      </c>
      <c r="C162" s="1274" cm="1">
        <f t="array" aca="1" ref="C162" ca="1">_xlfn.IFS(I162&gt;1,B162,B162&lt;TODAY(),TODAY(),B162&gt;TODAY(),B162,B162=TODAY(),TODAY())</f>
        <v>45935</v>
      </c>
      <c r="D162" s="1275" t="s">
        <v>908</v>
      </c>
      <c r="E162" s="1276">
        <v>45747</v>
      </c>
      <c r="F162" s="1277" t="s">
        <v>4828</v>
      </c>
      <c r="G162" s="1278">
        <v>498343</v>
      </c>
      <c r="H162" s="1279"/>
      <c r="I162" s="1279"/>
      <c r="J162" s="1280">
        <f t="shared" si="9"/>
        <v>498343</v>
      </c>
      <c r="K162" s="1281">
        <f t="shared" si="10"/>
        <v>159594732.28999999</v>
      </c>
      <c r="L162" s="1282"/>
      <c r="M162" s="1282"/>
      <c r="N162" s="1271">
        <f t="shared" si="11"/>
        <v>0</v>
      </c>
      <c r="O162" s="1272"/>
      <c r="P162" s="49" t="s">
        <v>1215</v>
      </c>
      <c r="Q162" s="1308" t="s">
        <v>4911</v>
      </c>
    </row>
    <row r="163" spans="1:17">
      <c r="A163" s="1305" t="s">
        <v>3719</v>
      </c>
      <c r="B163" s="1274">
        <v>45837</v>
      </c>
      <c r="C163" s="1274" cm="1">
        <f t="array" aca="1" ref="C163" ca="1">_xlfn.IFS(I163&gt;1,B163,B163&lt;TODAY(),TODAY(),B163&gt;TODAY(),B163,B163=TODAY(),TODAY())</f>
        <v>45935</v>
      </c>
      <c r="D163" s="1275" t="s">
        <v>908</v>
      </c>
      <c r="E163" s="1276">
        <v>45747</v>
      </c>
      <c r="F163" s="1277" t="s">
        <v>4829</v>
      </c>
      <c r="G163" s="1278">
        <v>42744</v>
      </c>
      <c r="H163" s="1279"/>
      <c r="I163" s="1279"/>
      <c r="J163" s="1280">
        <f t="shared" si="9"/>
        <v>42744</v>
      </c>
      <c r="K163" s="1281">
        <f t="shared" si="10"/>
        <v>159637476.28999999</v>
      </c>
      <c r="L163" s="1282"/>
      <c r="M163" s="1282"/>
      <c r="N163" s="1271">
        <f t="shared" si="11"/>
        <v>0</v>
      </c>
      <c r="O163" s="1272"/>
      <c r="P163" s="49" t="s">
        <v>1215</v>
      </c>
      <c r="Q163" s="1308" t="s">
        <v>4911</v>
      </c>
    </row>
    <row r="164" spans="1:17">
      <c r="A164" s="1305" t="s">
        <v>3719</v>
      </c>
      <c r="B164" s="1274">
        <v>45837</v>
      </c>
      <c r="C164" s="1274" cm="1">
        <f t="array" aca="1" ref="C164" ca="1">_xlfn.IFS(I164&gt;1,B164,B164&lt;TODAY(),TODAY(),B164&gt;TODAY(),B164,B164=TODAY(),TODAY())</f>
        <v>45935</v>
      </c>
      <c r="D164" s="1275" t="s">
        <v>908</v>
      </c>
      <c r="E164" s="1276">
        <v>45747</v>
      </c>
      <c r="F164" s="1277" t="s">
        <v>4830</v>
      </c>
      <c r="G164" s="1278">
        <v>106200</v>
      </c>
      <c r="H164" s="1279"/>
      <c r="I164" s="1279"/>
      <c r="J164" s="1280">
        <f t="shared" si="9"/>
        <v>106200</v>
      </c>
      <c r="K164" s="1281">
        <f t="shared" si="10"/>
        <v>159743676.28999999</v>
      </c>
      <c r="L164" s="1282"/>
      <c r="M164" s="1282"/>
      <c r="N164" s="1271">
        <f t="shared" si="11"/>
        <v>0</v>
      </c>
      <c r="O164" s="1272"/>
      <c r="P164" s="49" t="s">
        <v>1215</v>
      </c>
      <c r="Q164" s="1308" t="s">
        <v>4911</v>
      </c>
    </row>
    <row r="165" spans="1:17">
      <c r="A165" s="1305" t="s">
        <v>3719</v>
      </c>
      <c r="B165" s="1274">
        <v>45837</v>
      </c>
      <c r="C165" s="1274" cm="1">
        <f t="array" aca="1" ref="C165" ca="1">_xlfn.IFS(I165&gt;1,B165,B165&lt;TODAY(),TODAY(),B165&gt;TODAY(),B165,B165=TODAY(),TODAY())</f>
        <v>45935</v>
      </c>
      <c r="D165" s="1275" t="s">
        <v>908</v>
      </c>
      <c r="E165" s="1276">
        <v>45747</v>
      </c>
      <c r="F165" s="1277" t="s">
        <v>4831</v>
      </c>
      <c r="G165" s="1278">
        <v>106213</v>
      </c>
      <c r="H165" s="1279"/>
      <c r="I165" s="1279"/>
      <c r="J165" s="1280">
        <f t="shared" si="9"/>
        <v>106213</v>
      </c>
      <c r="K165" s="1281">
        <f t="shared" si="10"/>
        <v>159849889.28999999</v>
      </c>
      <c r="L165" s="1282"/>
      <c r="M165" s="1282"/>
      <c r="N165" s="1271">
        <f t="shared" si="11"/>
        <v>0</v>
      </c>
      <c r="O165" s="1272"/>
      <c r="P165" s="49" t="s">
        <v>1215</v>
      </c>
      <c r="Q165" s="1308" t="s">
        <v>4911</v>
      </c>
    </row>
    <row r="166" spans="1:17">
      <c r="A166" s="1305" t="s">
        <v>3719</v>
      </c>
      <c r="B166" s="1274">
        <v>45837</v>
      </c>
      <c r="C166" s="1274" cm="1">
        <f t="array" aca="1" ref="C166" ca="1">_xlfn.IFS(I166&gt;1,B166,B166&lt;TODAY(),TODAY(),B166&gt;TODAY(),B166,B166=TODAY(),TODAY())</f>
        <v>45935</v>
      </c>
      <c r="D166" s="1275" t="s">
        <v>908</v>
      </c>
      <c r="E166" s="1276">
        <v>45747</v>
      </c>
      <c r="F166" s="1277" t="s">
        <v>4832</v>
      </c>
      <c r="G166" s="1278">
        <v>209857</v>
      </c>
      <c r="H166" s="1279"/>
      <c r="I166" s="1279"/>
      <c r="J166" s="1280">
        <f t="shared" si="9"/>
        <v>209857</v>
      </c>
      <c r="K166" s="1281">
        <f t="shared" si="10"/>
        <v>160059746.28999999</v>
      </c>
      <c r="L166" s="1282"/>
      <c r="M166" s="1282"/>
      <c r="N166" s="1271">
        <f t="shared" si="11"/>
        <v>0</v>
      </c>
      <c r="O166" s="1272"/>
      <c r="P166" s="49" t="s">
        <v>1215</v>
      </c>
      <c r="Q166" s="1308" t="s">
        <v>4911</v>
      </c>
    </row>
    <row r="167" spans="1:17">
      <c r="A167" s="1305" t="s">
        <v>3719</v>
      </c>
      <c r="B167" s="1274">
        <v>45837</v>
      </c>
      <c r="C167" s="1274" cm="1">
        <f t="array" aca="1" ref="C167" ca="1">_xlfn.IFS(I167&gt;1,B167,B167&lt;TODAY(),TODAY(),B167&gt;TODAY(),B167,B167=TODAY(),TODAY())</f>
        <v>45935</v>
      </c>
      <c r="D167" s="1275" t="s">
        <v>908</v>
      </c>
      <c r="E167" s="1276">
        <v>45747</v>
      </c>
      <c r="F167" s="1277" t="s">
        <v>4833</v>
      </c>
      <c r="G167" s="1278">
        <v>127959</v>
      </c>
      <c r="H167" s="1279"/>
      <c r="I167" s="1279"/>
      <c r="J167" s="1280">
        <f t="shared" si="9"/>
        <v>127959</v>
      </c>
      <c r="K167" s="1281">
        <f t="shared" si="10"/>
        <v>160187705.28999999</v>
      </c>
      <c r="L167" s="1282"/>
      <c r="M167" s="1282"/>
      <c r="N167" s="1271">
        <f t="shared" si="11"/>
        <v>0</v>
      </c>
      <c r="O167" s="1272"/>
      <c r="P167" s="49" t="s">
        <v>1215</v>
      </c>
      <c r="Q167" s="1308" t="s">
        <v>4911</v>
      </c>
    </row>
    <row r="168" spans="1:17">
      <c r="A168" s="1305" t="s">
        <v>3719</v>
      </c>
      <c r="B168" s="1274">
        <v>45837</v>
      </c>
      <c r="C168" s="1274" cm="1">
        <f t="array" aca="1" ref="C168" ca="1">_xlfn.IFS(I168&gt;1,B168,B168&lt;TODAY(),TODAY(),B168&gt;TODAY(),B168,B168=TODAY(),TODAY())</f>
        <v>45935</v>
      </c>
      <c r="D168" s="1275" t="s">
        <v>908</v>
      </c>
      <c r="E168" s="1276">
        <v>45747</v>
      </c>
      <c r="F168" s="1277" t="s">
        <v>4834</v>
      </c>
      <c r="G168" s="1278">
        <v>174640</v>
      </c>
      <c r="H168" s="1279"/>
      <c r="I168" s="1279"/>
      <c r="J168" s="1280">
        <f t="shared" si="9"/>
        <v>174640</v>
      </c>
      <c r="K168" s="1281">
        <f t="shared" si="10"/>
        <v>160362345.28999999</v>
      </c>
      <c r="L168" s="1282"/>
      <c r="M168" s="1282"/>
      <c r="N168" s="1271">
        <f t="shared" si="11"/>
        <v>0</v>
      </c>
      <c r="O168" s="1272"/>
      <c r="P168" s="49" t="s">
        <v>1215</v>
      </c>
      <c r="Q168" s="1308" t="s">
        <v>4911</v>
      </c>
    </row>
    <row r="169" spans="1:17">
      <c r="A169" s="1305" t="s">
        <v>3719</v>
      </c>
      <c r="B169" s="1274">
        <v>45837</v>
      </c>
      <c r="C169" s="1274" cm="1">
        <f t="array" aca="1" ref="C169" ca="1">_xlfn.IFS(I169&gt;1,B169,B169&lt;TODAY(),TODAY(),B169&gt;TODAY(),B169,B169=TODAY(),TODAY())</f>
        <v>45935</v>
      </c>
      <c r="D169" s="1275" t="s">
        <v>908</v>
      </c>
      <c r="E169" s="1276">
        <v>45747</v>
      </c>
      <c r="F169" s="1277" t="s">
        <v>4835</v>
      </c>
      <c r="G169" s="1278">
        <v>528788</v>
      </c>
      <c r="H169" s="1279"/>
      <c r="I169" s="1279"/>
      <c r="J169" s="1280">
        <f t="shared" si="9"/>
        <v>528788</v>
      </c>
      <c r="K169" s="1281">
        <f t="shared" si="10"/>
        <v>160891133.28999999</v>
      </c>
      <c r="L169" s="1282"/>
      <c r="M169" s="1282"/>
      <c r="N169" s="1271">
        <f t="shared" si="11"/>
        <v>0</v>
      </c>
      <c r="O169" s="1272"/>
      <c r="P169" s="49" t="s">
        <v>1215</v>
      </c>
      <c r="Q169" s="1308" t="s">
        <v>4911</v>
      </c>
    </row>
    <row r="170" spans="1:17">
      <c r="A170" s="1305" t="s">
        <v>3719</v>
      </c>
      <c r="B170" s="1274">
        <v>45837</v>
      </c>
      <c r="C170" s="1274" cm="1">
        <f t="array" aca="1" ref="C170" ca="1">_xlfn.IFS(I170&gt;1,B170,B170&lt;TODAY(),TODAY(),B170&gt;TODAY(),B170,B170=TODAY(),TODAY())</f>
        <v>45935</v>
      </c>
      <c r="D170" s="1275" t="s">
        <v>908</v>
      </c>
      <c r="E170" s="1276">
        <v>45747</v>
      </c>
      <c r="F170" s="1277" t="s">
        <v>4836</v>
      </c>
      <c r="G170" s="1278">
        <v>87792</v>
      </c>
      <c r="H170" s="1279"/>
      <c r="I170" s="1279"/>
      <c r="J170" s="1280">
        <f t="shared" si="9"/>
        <v>87792</v>
      </c>
      <c r="K170" s="1281">
        <f t="shared" si="10"/>
        <v>160978925.28999999</v>
      </c>
      <c r="L170" s="1282"/>
      <c r="M170" s="1282"/>
      <c r="N170" s="1271">
        <f t="shared" si="11"/>
        <v>0</v>
      </c>
      <c r="O170" s="1272"/>
      <c r="P170" s="49" t="s">
        <v>1215</v>
      </c>
      <c r="Q170" s="1308" t="s">
        <v>4911</v>
      </c>
    </row>
    <row r="171" spans="1:17">
      <c r="A171" s="1305" t="s">
        <v>3719</v>
      </c>
      <c r="B171" s="1274">
        <v>45837</v>
      </c>
      <c r="C171" s="1274" cm="1">
        <f t="array" aca="1" ref="C171" ca="1">_xlfn.IFS(I171&gt;1,B171,B171&lt;TODAY(),TODAY(),B171&gt;TODAY(),B171,B171=TODAY(),TODAY())</f>
        <v>45935</v>
      </c>
      <c r="D171" s="1275" t="s">
        <v>908</v>
      </c>
      <c r="E171" s="1276">
        <v>45747</v>
      </c>
      <c r="F171" s="1277" t="s">
        <v>4837</v>
      </c>
      <c r="G171" s="1278">
        <v>73844</v>
      </c>
      <c r="H171" s="1279"/>
      <c r="I171" s="1279"/>
      <c r="J171" s="1280">
        <f t="shared" si="9"/>
        <v>73844</v>
      </c>
      <c r="K171" s="1281">
        <f t="shared" si="10"/>
        <v>161052769.28999999</v>
      </c>
      <c r="L171" s="1282"/>
      <c r="M171" s="1282"/>
      <c r="N171" s="1271">
        <f t="shared" si="11"/>
        <v>0</v>
      </c>
      <c r="O171" s="1272"/>
      <c r="P171" s="49" t="s">
        <v>1215</v>
      </c>
      <c r="Q171" s="1308" t="s">
        <v>4911</v>
      </c>
    </row>
    <row r="172" spans="1:17">
      <c r="A172" s="1305" t="s">
        <v>3719</v>
      </c>
      <c r="B172" s="1274">
        <v>45837</v>
      </c>
      <c r="C172" s="1274" cm="1">
        <f t="array" aca="1" ref="C172" ca="1">_xlfn.IFS(I172&gt;1,B172,B172&lt;TODAY(),TODAY(),B172&gt;TODAY(),B172,B172=TODAY(),TODAY())</f>
        <v>45935</v>
      </c>
      <c r="D172" s="1275" t="s">
        <v>908</v>
      </c>
      <c r="E172" s="1276">
        <v>45747</v>
      </c>
      <c r="F172" s="1277" t="s">
        <v>4838</v>
      </c>
      <c r="G172" s="1278">
        <v>4130</v>
      </c>
      <c r="H172" s="1279"/>
      <c r="I172" s="1279"/>
      <c r="J172" s="1280">
        <f t="shared" si="9"/>
        <v>4130</v>
      </c>
      <c r="K172" s="1281">
        <f t="shared" si="10"/>
        <v>161056899.28999999</v>
      </c>
      <c r="L172" s="1282"/>
      <c r="M172" s="1282"/>
      <c r="N172" s="1271">
        <f t="shared" si="11"/>
        <v>0</v>
      </c>
      <c r="O172" s="1272"/>
      <c r="P172" s="49" t="s">
        <v>1215</v>
      </c>
      <c r="Q172" s="1308" t="s">
        <v>4911</v>
      </c>
    </row>
    <row r="173" spans="1:17">
      <c r="A173" s="1305" t="s">
        <v>3719</v>
      </c>
      <c r="B173" s="1274">
        <v>45837</v>
      </c>
      <c r="C173" s="1274" cm="1">
        <f t="array" aca="1" ref="C173" ca="1">_xlfn.IFS(I173&gt;1,B173,B173&lt;TODAY(),TODAY(),B173&gt;TODAY(),B173,B173=TODAY(),TODAY())</f>
        <v>45935</v>
      </c>
      <c r="D173" s="1275" t="s">
        <v>908</v>
      </c>
      <c r="E173" s="1276">
        <v>45747</v>
      </c>
      <c r="F173" s="1277" t="s">
        <v>4839</v>
      </c>
      <c r="G173" s="1278">
        <v>5314916</v>
      </c>
      <c r="H173" s="1279"/>
      <c r="I173" s="1279"/>
      <c r="J173" s="1280">
        <f t="shared" si="9"/>
        <v>5314916</v>
      </c>
      <c r="K173" s="1281">
        <f t="shared" si="10"/>
        <v>166371815.28999999</v>
      </c>
      <c r="L173" s="1282"/>
      <c r="M173" s="1282"/>
      <c r="N173" s="1271">
        <f t="shared" si="11"/>
        <v>0</v>
      </c>
      <c r="O173" s="1272"/>
      <c r="P173" s="49" t="s">
        <v>1215</v>
      </c>
      <c r="Q173" s="1308" t="s">
        <v>4911</v>
      </c>
    </row>
    <row r="174" spans="1:17">
      <c r="A174" s="1305" t="s">
        <v>3719</v>
      </c>
      <c r="B174" s="1274">
        <v>45837</v>
      </c>
      <c r="C174" s="1274" cm="1">
        <f t="array" aca="1" ref="C174" ca="1">_xlfn.IFS(I174&gt;1,B174,B174&lt;TODAY(),TODAY(),B174&gt;TODAY(),B174,B174=TODAY(),TODAY())</f>
        <v>45935</v>
      </c>
      <c r="D174" s="1275" t="s">
        <v>908</v>
      </c>
      <c r="E174" s="1276">
        <v>45747</v>
      </c>
      <c r="F174" s="1277" t="s">
        <v>4840</v>
      </c>
      <c r="G174" s="1278">
        <v>46457</v>
      </c>
      <c r="H174" s="1279"/>
      <c r="I174" s="1279"/>
      <c r="J174" s="1280">
        <f t="shared" si="9"/>
        <v>46457</v>
      </c>
      <c r="K174" s="1281">
        <f t="shared" si="10"/>
        <v>166418272.28999999</v>
      </c>
      <c r="L174" s="1282"/>
      <c r="M174" s="1282"/>
      <c r="N174" s="1271">
        <f t="shared" si="11"/>
        <v>0</v>
      </c>
      <c r="O174" s="1272"/>
      <c r="P174" s="49" t="s">
        <v>1215</v>
      </c>
      <c r="Q174" s="1308" t="s">
        <v>4911</v>
      </c>
    </row>
    <row r="175" spans="1:17">
      <c r="A175" s="1305" t="s">
        <v>3719</v>
      </c>
      <c r="B175" s="1274">
        <v>45837</v>
      </c>
      <c r="C175" s="1274" cm="1">
        <f t="array" aca="1" ref="C175" ca="1">_xlfn.IFS(I175&gt;1,B175,B175&lt;TODAY(),TODAY(),B175&gt;TODAY(),B175,B175=TODAY(),TODAY())</f>
        <v>45935</v>
      </c>
      <c r="D175" s="1275" t="s">
        <v>908</v>
      </c>
      <c r="E175" s="1276">
        <v>45747</v>
      </c>
      <c r="F175" s="1277" t="s">
        <v>4841</v>
      </c>
      <c r="G175" s="1278">
        <v>94164</v>
      </c>
      <c r="H175" s="1279"/>
      <c r="I175" s="1279"/>
      <c r="J175" s="1280">
        <f t="shared" si="9"/>
        <v>94164</v>
      </c>
      <c r="K175" s="1281">
        <f t="shared" si="10"/>
        <v>166512436.28999999</v>
      </c>
      <c r="L175" s="1282"/>
      <c r="M175" s="1282"/>
      <c r="N175" s="1271">
        <f t="shared" si="11"/>
        <v>0</v>
      </c>
      <c r="O175" s="1272"/>
      <c r="P175" s="49" t="s">
        <v>1215</v>
      </c>
      <c r="Q175" s="1308" t="s">
        <v>4911</v>
      </c>
    </row>
    <row r="176" spans="1:17">
      <c r="A176" s="1305" t="s">
        <v>3719</v>
      </c>
      <c r="B176" s="1274">
        <v>45837</v>
      </c>
      <c r="C176" s="1274" cm="1">
        <f t="array" aca="1" ref="C176" ca="1">_xlfn.IFS(I176&gt;1,B176,B176&lt;TODAY(),TODAY(),B176&gt;TODAY(),B176,B176=TODAY(),TODAY())</f>
        <v>45935</v>
      </c>
      <c r="D176" s="1275" t="s">
        <v>908</v>
      </c>
      <c r="E176" s="1276">
        <v>45747</v>
      </c>
      <c r="F176" s="1277" t="s">
        <v>4842</v>
      </c>
      <c r="G176" s="1278">
        <v>184328</v>
      </c>
      <c r="H176" s="1279"/>
      <c r="I176" s="1279"/>
      <c r="J176" s="1280">
        <f t="shared" si="9"/>
        <v>184328</v>
      </c>
      <c r="K176" s="1281">
        <f t="shared" si="10"/>
        <v>166696764.28999999</v>
      </c>
      <c r="L176" s="1282"/>
      <c r="M176" s="1282"/>
      <c r="N176" s="1271">
        <f t="shared" si="11"/>
        <v>0</v>
      </c>
      <c r="O176" s="1272"/>
      <c r="P176" s="49" t="s">
        <v>1215</v>
      </c>
      <c r="Q176" s="1308" t="s">
        <v>4911</v>
      </c>
    </row>
    <row r="177" spans="1:17">
      <c r="A177" s="1305" t="s">
        <v>3719</v>
      </c>
      <c r="B177" s="1274">
        <v>45837</v>
      </c>
      <c r="C177" s="1274" cm="1">
        <f t="array" aca="1" ref="C177" ca="1">_xlfn.IFS(I177&gt;1,B177,B177&lt;TODAY(),TODAY(),B177&gt;TODAY(),B177,B177=TODAY(),TODAY())</f>
        <v>45935</v>
      </c>
      <c r="D177" s="1275" t="s">
        <v>908</v>
      </c>
      <c r="E177" s="1276">
        <v>45747</v>
      </c>
      <c r="F177" s="1277" t="s">
        <v>4843</v>
      </c>
      <c r="G177" s="1278">
        <v>424800</v>
      </c>
      <c r="H177" s="1279"/>
      <c r="I177" s="1279"/>
      <c r="J177" s="1280">
        <f t="shared" si="9"/>
        <v>424800</v>
      </c>
      <c r="K177" s="1281">
        <f t="shared" si="10"/>
        <v>167121564.28999999</v>
      </c>
      <c r="L177" s="1282"/>
      <c r="M177" s="1282"/>
      <c r="N177" s="1271">
        <f t="shared" si="11"/>
        <v>0</v>
      </c>
      <c r="O177" s="1272"/>
      <c r="P177" s="49" t="s">
        <v>1215</v>
      </c>
      <c r="Q177" s="1308" t="s">
        <v>4911</v>
      </c>
    </row>
    <row r="178" spans="1:17">
      <c r="A178" s="1305" t="s">
        <v>3719</v>
      </c>
      <c r="B178" s="1274">
        <v>45837</v>
      </c>
      <c r="C178" s="1274" cm="1">
        <f t="array" aca="1" ref="C178" ca="1">_xlfn.IFS(I178&gt;1,B178,B178&lt;TODAY(),TODAY(),B178&gt;TODAY(),B178,B178=TODAY(),TODAY())</f>
        <v>45935</v>
      </c>
      <c r="D178" s="1275" t="s">
        <v>908</v>
      </c>
      <c r="E178" s="1276">
        <v>45747</v>
      </c>
      <c r="F178" s="1277" t="s">
        <v>4844</v>
      </c>
      <c r="G178" s="1278">
        <v>15810</v>
      </c>
      <c r="H178" s="1279"/>
      <c r="I178" s="1279"/>
      <c r="J178" s="1280">
        <f t="shared" si="9"/>
        <v>15810</v>
      </c>
      <c r="K178" s="1281">
        <f t="shared" si="10"/>
        <v>167137374.28999999</v>
      </c>
      <c r="L178" s="1282"/>
      <c r="M178" s="1282"/>
      <c r="N178" s="1271">
        <f t="shared" si="11"/>
        <v>0</v>
      </c>
      <c r="O178" s="1272"/>
      <c r="P178" s="49" t="s">
        <v>1215</v>
      </c>
      <c r="Q178" s="1308" t="s">
        <v>4911</v>
      </c>
    </row>
    <row r="179" spans="1:17">
      <c r="A179" s="1305" t="s">
        <v>3719</v>
      </c>
      <c r="B179" s="1274">
        <v>45837</v>
      </c>
      <c r="C179" s="1274" cm="1">
        <f t="array" aca="1" ref="C179" ca="1">_xlfn.IFS(I179&gt;1,B179,B179&lt;TODAY(),TODAY(),B179&gt;TODAY(),B179,B179=TODAY(),TODAY())</f>
        <v>45935</v>
      </c>
      <c r="D179" s="1275" t="s">
        <v>908</v>
      </c>
      <c r="E179" s="1276">
        <v>45747</v>
      </c>
      <c r="F179" s="1277" t="s">
        <v>4845</v>
      </c>
      <c r="G179" s="1278">
        <v>276976</v>
      </c>
      <c r="H179" s="1279"/>
      <c r="I179" s="1279"/>
      <c r="J179" s="1280">
        <f t="shared" si="9"/>
        <v>276976</v>
      </c>
      <c r="K179" s="1281">
        <f t="shared" si="10"/>
        <v>167414350.28999999</v>
      </c>
      <c r="L179" s="1282"/>
      <c r="M179" s="1282"/>
      <c r="N179" s="1271">
        <f t="shared" si="11"/>
        <v>0</v>
      </c>
      <c r="O179" s="1272"/>
      <c r="P179" s="49" t="s">
        <v>1215</v>
      </c>
      <c r="Q179" s="1308" t="s">
        <v>4911</v>
      </c>
    </row>
    <row r="180" spans="1:17">
      <c r="A180" s="1305" t="s">
        <v>3719</v>
      </c>
      <c r="B180" s="1274">
        <v>45837</v>
      </c>
      <c r="C180" s="1274" cm="1">
        <f t="array" aca="1" ref="C180" ca="1">_xlfn.IFS(I180&gt;1,B180,B180&lt;TODAY(),TODAY(),B180&gt;TODAY(),B180,B180=TODAY(),TODAY())</f>
        <v>45935</v>
      </c>
      <c r="D180" s="1275" t="s">
        <v>908</v>
      </c>
      <c r="E180" s="1276">
        <v>45747</v>
      </c>
      <c r="F180" s="1277" t="s">
        <v>4846</v>
      </c>
      <c r="G180" s="1278">
        <v>208362</v>
      </c>
      <c r="H180" s="1279"/>
      <c r="I180" s="1279"/>
      <c r="J180" s="1280">
        <f t="shared" si="9"/>
        <v>208362</v>
      </c>
      <c r="K180" s="1281">
        <f t="shared" si="10"/>
        <v>167622712.28999999</v>
      </c>
      <c r="L180" s="1282"/>
      <c r="M180" s="1282"/>
      <c r="N180" s="1271">
        <f t="shared" si="11"/>
        <v>0</v>
      </c>
      <c r="O180" s="1272"/>
      <c r="P180" s="49" t="s">
        <v>1215</v>
      </c>
      <c r="Q180" s="1308" t="s">
        <v>4911</v>
      </c>
    </row>
    <row r="181" spans="1:17">
      <c r="A181" s="1305" t="s">
        <v>3719</v>
      </c>
      <c r="B181" s="1274">
        <v>45837</v>
      </c>
      <c r="C181" s="1274" cm="1">
        <f t="array" aca="1" ref="C181" ca="1">_xlfn.IFS(I181&gt;1,B181,B181&lt;TODAY(),TODAY(),B181&gt;TODAY(),B181,B181=TODAY(),TODAY())</f>
        <v>45935</v>
      </c>
      <c r="D181" s="1275" t="s">
        <v>908</v>
      </c>
      <c r="E181" s="1276">
        <v>45747</v>
      </c>
      <c r="F181" s="1277" t="s">
        <v>4847</v>
      </c>
      <c r="G181" s="1278">
        <v>3431125</v>
      </c>
      <c r="H181" s="1279"/>
      <c r="I181" s="1279"/>
      <c r="J181" s="1280">
        <f t="shared" si="9"/>
        <v>3431125</v>
      </c>
      <c r="K181" s="1281">
        <f t="shared" si="10"/>
        <v>171053837.28999999</v>
      </c>
      <c r="L181" s="1282"/>
      <c r="M181" s="1282"/>
      <c r="N181" s="1271">
        <f t="shared" si="11"/>
        <v>0</v>
      </c>
      <c r="O181" s="1272"/>
      <c r="P181" s="49" t="s">
        <v>1215</v>
      </c>
      <c r="Q181" s="1308" t="s">
        <v>4911</v>
      </c>
    </row>
    <row r="182" spans="1:17">
      <c r="A182" s="1305" t="s">
        <v>3719</v>
      </c>
      <c r="B182" s="1274">
        <v>45837</v>
      </c>
      <c r="C182" s="1274" cm="1">
        <f t="array" aca="1" ref="C182" ca="1">_xlfn.IFS(I182&gt;1,B182,B182&lt;TODAY(),TODAY(),B182&gt;TODAY(),B182,B182=TODAY(),TODAY())</f>
        <v>45935</v>
      </c>
      <c r="D182" s="1275" t="s">
        <v>908</v>
      </c>
      <c r="E182" s="1276">
        <v>45747</v>
      </c>
      <c r="F182" s="1277" t="s">
        <v>4848</v>
      </c>
      <c r="G182" s="1278">
        <v>1715425</v>
      </c>
      <c r="H182" s="1279"/>
      <c r="I182" s="1279"/>
      <c r="J182" s="1280">
        <f t="shared" si="9"/>
        <v>1715425</v>
      </c>
      <c r="K182" s="1281">
        <f t="shared" si="10"/>
        <v>172769262.28999999</v>
      </c>
      <c r="L182" s="1282"/>
      <c r="M182" s="1282"/>
      <c r="N182" s="1271">
        <f t="shared" si="11"/>
        <v>0</v>
      </c>
      <c r="O182" s="1272"/>
      <c r="P182" s="49" t="s">
        <v>1215</v>
      </c>
      <c r="Q182" s="1308" t="s">
        <v>4911</v>
      </c>
    </row>
    <row r="183" spans="1:17">
      <c r="A183" s="1305" t="s">
        <v>3719</v>
      </c>
      <c r="B183" s="1274">
        <v>45837</v>
      </c>
      <c r="C183" s="1274" cm="1">
        <f t="array" aca="1" ref="C183" ca="1">_xlfn.IFS(I183&gt;1,B183,B183&lt;TODAY(),TODAY(),B183&gt;TODAY(),B183,B183=TODAY(),TODAY())</f>
        <v>45935</v>
      </c>
      <c r="D183" s="1275" t="s">
        <v>908</v>
      </c>
      <c r="E183" s="1276">
        <v>45747</v>
      </c>
      <c r="F183" s="1277" t="s">
        <v>4849</v>
      </c>
      <c r="G183" s="1278">
        <v>249364</v>
      </c>
      <c r="H183" s="1279"/>
      <c r="I183" s="1279"/>
      <c r="J183" s="1280">
        <f t="shared" si="9"/>
        <v>249364</v>
      </c>
      <c r="K183" s="1281">
        <f t="shared" si="10"/>
        <v>173018626.28999999</v>
      </c>
      <c r="L183" s="1282"/>
      <c r="M183" s="1282"/>
      <c r="N183" s="1271">
        <f t="shared" si="11"/>
        <v>0</v>
      </c>
      <c r="O183" s="1272"/>
      <c r="P183" s="49" t="s">
        <v>1215</v>
      </c>
      <c r="Q183" s="1308" t="s">
        <v>4911</v>
      </c>
    </row>
    <row r="184" spans="1:17">
      <c r="A184" s="1305" t="s">
        <v>3719</v>
      </c>
      <c r="B184" s="1274">
        <v>45837</v>
      </c>
      <c r="C184" s="1274" cm="1">
        <f t="array" aca="1" ref="C184" ca="1">_xlfn.IFS(I184&gt;1,B184,B184&lt;TODAY(),TODAY(),B184&gt;TODAY(),B184,B184=TODAY(),TODAY())</f>
        <v>45935</v>
      </c>
      <c r="D184" s="1275" t="s">
        <v>908</v>
      </c>
      <c r="E184" s="1276">
        <v>45747</v>
      </c>
      <c r="F184" s="1277" t="s">
        <v>4850</v>
      </c>
      <c r="G184" s="1278">
        <v>24898</v>
      </c>
      <c r="H184" s="1279"/>
      <c r="I184" s="1279"/>
      <c r="J184" s="1280">
        <f t="shared" si="9"/>
        <v>24898</v>
      </c>
      <c r="K184" s="1281">
        <f t="shared" si="10"/>
        <v>173043524.28999999</v>
      </c>
      <c r="L184" s="1282"/>
      <c r="M184" s="1282"/>
      <c r="N184" s="1271">
        <f t="shared" si="11"/>
        <v>0</v>
      </c>
      <c r="O184" s="1272"/>
      <c r="P184" s="49" t="s">
        <v>1215</v>
      </c>
      <c r="Q184" s="1308" t="s">
        <v>4911</v>
      </c>
    </row>
    <row r="185" spans="1:17">
      <c r="A185" s="1305" t="s">
        <v>3719</v>
      </c>
      <c r="B185" s="1274">
        <v>45837</v>
      </c>
      <c r="C185" s="1274" cm="1">
        <f t="array" aca="1" ref="C185" ca="1">_xlfn.IFS(I185&gt;1,B185,B185&lt;TODAY(),TODAY(),B185&gt;TODAY(),B185,B185=TODAY(),TODAY())</f>
        <v>45935</v>
      </c>
      <c r="D185" s="1275" t="s">
        <v>908</v>
      </c>
      <c r="E185" s="1276">
        <v>45747</v>
      </c>
      <c r="F185" s="1277" t="s">
        <v>4851</v>
      </c>
      <c r="G185" s="1278">
        <v>3927677</v>
      </c>
      <c r="H185" s="1279"/>
      <c r="I185" s="1279"/>
      <c r="J185" s="1280">
        <f t="shared" si="9"/>
        <v>3927677</v>
      </c>
      <c r="K185" s="1281">
        <f t="shared" si="10"/>
        <v>176971201.28999999</v>
      </c>
      <c r="L185" s="1282"/>
      <c r="M185" s="1282"/>
      <c r="N185" s="1271">
        <f t="shared" si="11"/>
        <v>0</v>
      </c>
      <c r="O185" s="1272"/>
      <c r="P185" s="49" t="s">
        <v>1215</v>
      </c>
      <c r="Q185" s="1308" t="s">
        <v>4911</v>
      </c>
    </row>
    <row r="186" spans="1:17">
      <c r="A186" s="1305" t="s">
        <v>3719</v>
      </c>
      <c r="B186" s="1274">
        <v>45837</v>
      </c>
      <c r="C186" s="1274" cm="1">
        <f t="array" aca="1" ref="C186" ca="1">_xlfn.IFS(I186&gt;1,B186,B186&lt;TODAY(),TODAY(),B186&gt;TODAY(),B186,B186=TODAY(),TODAY())</f>
        <v>45935</v>
      </c>
      <c r="D186" s="1275" t="s">
        <v>908</v>
      </c>
      <c r="E186" s="1276">
        <v>45747</v>
      </c>
      <c r="F186" s="1277" t="s">
        <v>4852</v>
      </c>
      <c r="G186" s="1278">
        <v>395823</v>
      </c>
      <c r="H186" s="1279"/>
      <c r="I186" s="1279"/>
      <c r="J186" s="1280">
        <f t="shared" si="9"/>
        <v>395823</v>
      </c>
      <c r="K186" s="1281">
        <f t="shared" si="10"/>
        <v>177367024.28999999</v>
      </c>
      <c r="L186" s="1282"/>
      <c r="M186" s="1282"/>
      <c r="N186" s="1271">
        <f t="shared" si="11"/>
        <v>0</v>
      </c>
      <c r="O186" s="1272"/>
      <c r="P186" s="49" t="s">
        <v>1215</v>
      </c>
      <c r="Q186" s="1308" t="s">
        <v>4911</v>
      </c>
    </row>
    <row r="187" spans="1:17">
      <c r="A187" s="1305" t="s">
        <v>3719</v>
      </c>
      <c r="B187" s="1274">
        <v>45837</v>
      </c>
      <c r="C187" s="1274" cm="1">
        <f t="array" aca="1" ref="C187" ca="1">_xlfn.IFS(I187&gt;1,B187,B187&lt;TODAY(),TODAY(),B187&gt;TODAY(),B187,B187=TODAY(),TODAY())</f>
        <v>45935</v>
      </c>
      <c r="D187" s="1275" t="s">
        <v>908</v>
      </c>
      <c r="E187" s="1276">
        <v>45747</v>
      </c>
      <c r="F187" s="1277" t="s">
        <v>4853</v>
      </c>
      <c r="G187" s="1278">
        <v>11334</v>
      </c>
      <c r="H187" s="1279"/>
      <c r="I187" s="1279"/>
      <c r="J187" s="1280">
        <f t="shared" si="9"/>
        <v>11334</v>
      </c>
      <c r="K187" s="1281">
        <f t="shared" si="10"/>
        <v>177378358.28999999</v>
      </c>
      <c r="L187" s="1282"/>
      <c r="M187" s="1282"/>
      <c r="N187" s="1271">
        <f t="shared" si="11"/>
        <v>0</v>
      </c>
      <c r="O187" s="1272"/>
      <c r="P187" s="49" t="s">
        <v>1215</v>
      </c>
      <c r="Q187" s="1308" t="s">
        <v>4911</v>
      </c>
    </row>
    <row r="188" spans="1:17">
      <c r="A188" s="1305" t="s">
        <v>3719</v>
      </c>
      <c r="B188" s="1274">
        <v>45837</v>
      </c>
      <c r="C188" s="1274" cm="1">
        <f t="array" aca="1" ref="C188" ca="1">_xlfn.IFS(I188&gt;1,B188,B188&lt;TODAY(),TODAY(),B188&gt;TODAY(),B188,B188=TODAY(),TODAY())</f>
        <v>45935</v>
      </c>
      <c r="D188" s="1275" t="s">
        <v>908</v>
      </c>
      <c r="E188" s="1276">
        <v>45747</v>
      </c>
      <c r="F188" s="1277" t="s">
        <v>4854</v>
      </c>
      <c r="G188" s="1278">
        <v>1416</v>
      </c>
      <c r="H188" s="1279"/>
      <c r="I188" s="1279"/>
      <c r="J188" s="1280">
        <f t="shared" si="9"/>
        <v>1416</v>
      </c>
      <c r="K188" s="1281">
        <f t="shared" si="10"/>
        <v>177379774.28999999</v>
      </c>
      <c r="L188" s="1282"/>
      <c r="M188" s="1282"/>
      <c r="N188" s="1271">
        <f t="shared" si="11"/>
        <v>0</v>
      </c>
      <c r="O188" s="1272"/>
      <c r="P188" s="49" t="s">
        <v>1215</v>
      </c>
      <c r="Q188" s="1308" t="s">
        <v>4911</v>
      </c>
    </row>
    <row r="189" spans="1:17">
      <c r="A189" s="1305" t="s">
        <v>3719</v>
      </c>
      <c r="B189" s="1274">
        <v>45837</v>
      </c>
      <c r="C189" s="1274" cm="1">
        <f t="array" aca="1" ref="C189" ca="1">_xlfn.IFS(I189&gt;1,B189,B189&lt;TODAY(),TODAY(),B189&gt;TODAY(),B189,B189=TODAY(),TODAY())</f>
        <v>45935</v>
      </c>
      <c r="D189" s="1275" t="s">
        <v>908</v>
      </c>
      <c r="E189" s="1276">
        <v>45747</v>
      </c>
      <c r="F189" s="1277" t="s">
        <v>4855</v>
      </c>
      <c r="G189" s="1278">
        <v>460115</v>
      </c>
      <c r="H189" s="1279"/>
      <c r="I189" s="1279"/>
      <c r="J189" s="1280">
        <f t="shared" si="9"/>
        <v>460115</v>
      </c>
      <c r="K189" s="1281">
        <f t="shared" si="10"/>
        <v>177839889.28999999</v>
      </c>
      <c r="L189" s="1282"/>
      <c r="M189" s="1282"/>
      <c r="N189" s="1271">
        <f t="shared" si="11"/>
        <v>0</v>
      </c>
      <c r="O189" s="1272"/>
      <c r="P189" s="49" t="s">
        <v>1215</v>
      </c>
      <c r="Q189" s="1308" t="s">
        <v>4911</v>
      </c>
    </row>
    <row r="190" spans="1:17">
      <c r="A190" s="1305" t="s">
        <v>3719</v>
      </c>
      <c r="B190" s="1274">
        <v>45837</v>
      </c>
      <c r="C190" s="1274" cm="1">
        <f t="array" aca="1" ref="C190" ca="1">_xlfn.IFS(I190&gt;1,B190,B190&lt;TODAY(),TODAY(),B190&gt;TODAY(),B190,B190=TODAY(),TODAY())</f>
        <v>45935</v>
      </c>
      <c r="D190" s="1275" t="s">
        <v>908</v>
      </c>
      <c r="E190" s="1276">
        <v>45747</v>
      </c>
      <c r="F190" s="1277" t="s">
        <v>4856</v>
      </c>
      <c r="G190" s="1278">
        <v>107852</v>
      </c>
      <c r="H190" s="1279"/>
      <c r="I190" s="1279"/>
      <c r="J190" s="1280">
        <f t="shared" si="9"/>
        <v>107852</v>
      </c>
      <c r="K190" s="1281">
        <f t="shared" si="10"/>
        <v>177947741.28999999</v>
      </c>
      <c r="L190" s="1282"/>
      <c r="M190" s="1282"/>
      <c r="N190" s="1271">
        <f t="shared" si="11"/>
        <v>0</v>
      </c>
      <c r="O190" s="1272"/>
      <c r="P190" s="49" t="s">
        <v>1215</v>
      </c>
      <c r="Q190" s="1308" t="s">
        <v>4911</v>
      </c>
    </row>
    <row r="191" spans="1:17">
      <c r="A191" s="1305" t="s">
        <v>3719</v>
      </c>
      <c r="B191" s="1274">
        <v>45837</v>
      </c>
      <c r="C191" s="1274" cm="1">
        <f t="array" aca="1" ref="C191" ca="1">_xlfn.IFS(I191&gt;1,B191,B191&lt;TODAY(),TODAY(),B191&gt;TODAY(),B191,B191=TODAY(),TODAY())</f>
        <v>45935</v>
      </c>
      <c r="D191" s="1275" t="s">
        <v>908</v>
      </c>
      <c r="E191" s="1276">
        <v>45747</v>
      </c>
      <c r="F191" s="1277" t="s">
        <v>4857</v>
      </c>
      <c r="G191" s="1278">
        <v>14012500</v>
      </c>
      <c r="H191" s="1279"/>
      <c r="I191" s="1279"/>
      <c r="J191" s="1280">
        <f t="shared" si="9"/>
        <v>14012500</v>
      </c>
      <c r="K191" s="1281">
        <f t="shared" si="10"/>
        <v>191960241.28999999</v>
      </c>
      <c r="L191" s="1282"/>
      <c r="M191" s="1282"/>
      <c r="N191" s="1271">
        <f t="shared" si="11"/>
        <v>0</v>
      </c>
      <c r="O191" s="1272"/>
      <c r="P191" s="49" t="s">
        <v>1215</v>
      </c>
      <c r="Q191" s="1308" t="s">
        <v>4911</v>
      </c>
    </row>
    <row r="192" spans="1:17">
      <c r="A192" s="1305" t="s">
        <v>3719</v>
      </c>
      <c r="B192" s="1274">
        <v>45837</v>
      </c>
      <c r="C192" s="1274" cm="1">
        <f t="array" aca="1" ref="C192" ca="1">_xlfn.IFS(I192&gt;1,B192,B192&lt;TODAY(),TODAY(),B192&gt;TODAY(),B192,B192=TODAY(),TODAY())</f>
        <v>45935</v>
      </c>
      <c r="D192" s="1275" t="s">
        <v>908</v>
      </c>
      <c r="E192" s="1276">
        <v>45747</v>
      </c>
      <c r="F192" s="1277" t="s">
        <v>4858</v>
      </c>
      <c r="G192" s="1278">
        <v>100630</v>
      </c>
      <c r="H192" s="1279"/>
      <c r="I192" s="1279"/>
      <c r="J192" s="1280">
        <f t="shared" si="9"/>
        <v>100630</v>
      </c>
      <c r="K192" s="1281">
        <f t="shared" si="10"/>
        <v>192060871.28999999</v>
      </c>
      <c r="L192" s="1282"/>
      <c r="M192" s="1282"/>
      <c r="N192" s="1271">
        <f t="shared" si="11"/>
        <v>0</v>
      </c>
      <c r="O192" s="1272"/>
      <c r="P192" s="49" t="s">
        <v>1215</v>
      </c>
      <c r="Q192" s="1308" t="s">
        <v>4911</v>
      </c>
    </row>
    <row r="193" spans="1:17">
      <c r="A193" s="1305" t="s">
        <v>3719</v>
      </c>
      <c r="B193" s="1274">
        <v>45837</v>
      </c>
      <c r="C193" s="1274" cm="1">
        <f t="array" aca="1" ref="C193" ca="1">_xlfn.IFS(I193&gt;1,B193,B193&lt;TODAY(),TODAY(),B193&gt;TODAY(),B193,B193=TODAY(),TODAY())</f>
        <v>45935</v>
      </c>
      <c r="D193" s="1275" t="s">
        <v>908</v>
      </c>
      <c r="E193" s="1276">
        <v>45747</v>
      </c>
      <c r="F193" s="1277" t="s">
        <v>4859</v>
      </c>
      <c r="G193" s="1278">
        <v>352349</v>
      </c>
      <c r="H193" s="1279"/>
      <c r="I193" s="1279"/>
      <c r="J193" s="1280">
        <f t="shared" si="9"/>
        <v>352349</v>
      </c>
      <c r="K193" s="1281">
        <f t="shared" si="10"/>
        <v>192413220.28999999</v>
      </c>
      <c r="L193" s="1282"/>
      <c r="M193" s="1282"/>
      <c r="N193" s="1271">
        <f t="shared" si="11"/>
        <v>0</v>
      </c>
      <c r="O193" s="1272"/>
      <c r="P193" s="49" t="s">
        <v>1215</v>
      </c>
      <c r="Q193" s="1308" t="s">
        <v>4911</v>
      </c>
    </row>
    <row r="194" spans="1:17">
      <c r="A194" s="1305" t="s">
        <v>3719</v>
      </c>
      <c r="B194" s="1274">
        <v>45837</v>
      </c>
      <c r="C194" s="1274" cm="1">
        <f t="array" aca="1" ref="C194" ca="1">_xlfn.IFS(I194&gt;1,B194,B194&lt;TODAY(),TODAY(),B194&gt;TODAY(),B194,B194=TODAY(),TODAY())</f>
        <v>45935</v>
      </c>
      <c r="D194" s="1275" t="s">
        <v>908</v>
      </c>
      <c r="E194" s="1276">
        <v>45747</v>
      </c>
      <c r="F194" s="1277" t="s">
        <v>4860</v>
      </c>
      <c r="G194" s="1278">
        <v>87751178.829999998</v>
      </c>
      <c r="H194" s="1279"/>
      <c r="I194" s="1279"/>
      <c r="J194" s="1280">
        <f t="shared" ref="J194:J257" si="12">G194-I194</f>
        <v>87751178.829999998</v>
      </c>
      <c r="K194" s="1281">
        <f t="shared" si="10"/>
        <v>280164399.12</v>
      </c>
      <c r="L194" s="1282"/>
      <c r="M194" s="1282"/>
      <c r="N194" s="1271">
        <f t="shared" si="11"/>
        <v>0</v>
      </c>
      <c r="O194" s="1272"/>
      <c r="P194" s="49" t="s">
        <v>1215</v>
      </c>
      <c r="Q194" s="1308" t="s">
        <v>4911</v>
      </c>
    </row>
    <row r="195" spans="1:17">
      <c r="A195" s="1305" t="s">
        <v>3719</v>
      </c>
      <c r="B195" s="1274">
        <v>45837</v>
      </c>
      <c r="C195" s="1274" cm="1">
        <f t="array" aca="1" ref="C195" ca="1">_xlfn.IFS(I195&gt;1,B195,B195&lt;TODAY(),TODAY(),B195&gt;TODAY(),B195,B195=TODAY(),TODAY())</f>
        <v>45935</v>
      </c>
      <c r="D195" s="1275" t="s">
        <v>908</v>
      </c>
      <c r="E195" s="1276">
        <v>45747</v>
      </c>
      <c r="F195" s="1277" t="s">
        <v>4861</v>
      </c>
      <c r="G195" s="1278">
        <v>2695804</v>
      </c>
      <c r="H195" s="1279"/>
      <c r="I195" s="1279"/>
      <c r="J195" s="1280">
        <f t="shared" si="12"/>
        <v>2695804</v>
      </c>
      <c r="K195" s="1281">
        <f t="shared" ref="K195:K202" si="13">K194+G195-I195</f>
        <v>282860203.12</v>
      </c>
      <c r="L195" s="1282"/>
      <c r="M195" s="1282"/>
      <c r="N195" s="1271">
        <f t="shared" si="11"/>
        <v>0</v>
      </c>
      <c r="O195" s="1272"/>
      <c r="P195" s="49" t="s">
        <v>1215</v>
      </c>
      <c r="Q195" s="1308" t="s">
        <v>4911</v>
      </c>
    </row>
    <row r="196" spans="1:17">
      <c r="A196" s="1305" t="s">
        <v>3719</v>
      </c>
      <c r="B196" s="1274">
        <v>45837</v>
      </c>
      <c r="C196" s="1274" cm="1">
        <f t="array" aca="1" ref="C196" ca="1">_xlfn.IFS(I196&gt;1,B196,B196&lt;TODAY(),TODAY(),B196&gt;TODAY(),B196,B196=TODAY(),TODAY())</f>
        <v>45935</v>
      </c>
      <c r="D196" s="1275" t="s">
        <v>908</v>
      </c>
      <c r="E196" s="1276">
        <v>45747</v>
      </c>
      <c r="F196" s="1277" t="s">
        <v>4862</v>
      </c>
      <c r="G196" s="1278">
        <v>906718506</v>
      </c>
      <c r="H196" s="1279"/>
      <c r="I196" s="1279"/>
      <c r="J196" s="1280">
        <f t="shared" si="12"/>
        <v>906718506</v>
      </c>
      <c r="K196" s="1281">
        <f t="shared" si="13"/>
        <v>1189578709.1199999</v>
      </c>
      <c r="L196" s="1282"/>
      <c r="M196" s="1282"/>
      <c r="N196" s="1271">
        <f t="shared" si="11"/>
        <v>0</v>
      </c>
      <c r="O196" s="1272"/>
      <c r="P196" s="49" t="s">
        <v>1215</v>
      </c>
      <c r="Q196" s="1308" t="s">
        <v>4911</v>
      </c>
    </row>
    <row r="197" spans="1:17">
      <c r="A197" s="1305" t="s">
        <v>702</v>
      </c>
      <c r="B197" s="1274">
        <v>45837</v>
      </c>
      <c r="C197" s="1274" cm="1">
        <f t="array" aca="1" ref="C197" ca="1">_xlfn.IFS(I197&gt;1,B197,B197&lt;TODAY(),TODAY(),B197&gt;TODAY(),B197,B197=TODAY(),TODAY())</f>
        <v>45935</v>
      </c>
      <c r="D197" s="1275" t="s">
        <v>908</v>
      </c>
      <c r="E197" s="1276">
        <v>45747</v>
      </c>
      <c r="F197" s="1277" t="s">
        <v>4863</v>
      </c>
      <c r="G197" s="1278">
        <v>1962582</v>
      </c>
      <c r="H197" s="1279"/>
      <c r="I197" s="1279"/>
      <c r="J197" s="1280">
        <f t="shared" si="12"/>
        <v>1962582</v>
      </c>
      <c r="K197" s="1281">
        <f t="shared" si="13"/>
        <v>1191541291.1199999</v>
      </c>
      <c r="L197" s="1282"/>
      <c r="M197" s="1282"/>
      <c r="N197" s="1271">
        <f t="shared" si="11"/>
        <v>0</v>
      </c>
      <c r="O197" s="1272"/>
      <c r="P197" s="49" t="s">
        <v>1215</v>
      </c>
      <c r="Q197" s="1308" t="s">
        <v>4911</v>
      </c>
    </row>
    <row r="198" spans="1:17">
      <c r="A198" s="1305" t="s">
        <v>702</v>
      </c>
      <c r="B198" s="1274">
        <v>45837</v>
      </c>
      <c r="C198" s="1274" cm="1">
        <f t="array" aca="1" ref="C198" ca="1">_xlfn.IFS(I198&gt;1,B198,B198&lt;TODAY(),TODAY(),B198&gt;TODAY(),B198,B198=TODAY(),TODAY())</f>
        <v>45935</v>
      </c>
      <c r="D198" s="1275" t="s">
        <v>908</v>
      </c>
      <c r="E198" s="1276">
        <v>45747</v>
      </c>
      <c r="F198" s="1277" t="s">
        <v>4864</v>
      </c>
      <c r="G198" s="1278">
        <v>6630902.5</v>
      </c>
      <c r="H198" s="1279"/>
      <c r="I198" s="1279"/>
      <c r="J198" s="1280">
        <f t="shared" si="12"/>
        <v>6630902.5</v>
      </c>
      <c r="K198" s="1281">
        <f t="shared" si="13"/>
        <v>1198172193.6199999</v>
      </c>
      <c r="L198" s="1282"/>
      <c r="M198" s="1282"/>
      <c r="N198" s="1271">
        <f t="shared" si="11"/>
        <v>0</v>
      </c>
      <c r="O198" s="1272"/>
      <c r="P198" s="49" t="s">
        <v>1215</v>
      </c>
      <c r="Q198" s="1308" t="s">
        <v>4911</v>
      </c>
    </row>
    <row r="199" spans="1:17">
      <c r="A199" s="1305" t="s">
        <v>702</v>
      </c>
      <c r="B199" s="1274">
        <v>45837</v>
      </c>
      <c r="C199" s="1274" cm="1">
        <f t="array" aca="1" ref="C199" ca="1">_xlfn.IFS(I199&gt;1,B199,B199&lt;TODAY(),TODAY(),B199&gt;TODAY(),B199,B199=TODAY(),TODAY())</f>
        <v>45935</v>
      </c>
      <c r="D199" s="1275" t="s">
        <v>908</v>
      </c>
      <c r="E199" s="1276">
        <v>45747</v>
      </c>
      <c r="F199" s="1277" t="s">
        <v>4865</v>
      </c>
      <c r="G199" s="1278">
        <v>8498607.629999999</v>
      </c>
      <c r="H199" s="1279"/>
      <c r="I199" s="1279"/>
      <c r="J199" s="1280">
        <f t="shared" si="12"/>
        <v>8498607.629999999</v>
      </c>
      <c r="K199" s="1281">
        <f t="shared" si="13"/>
        <v>1206670801.25</v>
      </c>
      <c r="L199" s="1282"/>
      <c r="M199" s="1282"/>
      <c r="N199" s="1271">
        <f t="shared" si="11"/>
        <v>0</v>
      </c>
      <c r="O199" s="1272"/>
      <c r="P199" s="49" t="s">
        <v>1215</v>
      </c>
      <c r="Q199" s="1308" t="s">
        <v>4911</v>
      </c>
    </row>
    <row r="200" spans="1:17">
      <c r="A200" s="1305" t="s">
        <v>702</v>
      </c>
      <c r="B200" s="1274">
        <f>E200</f>
        <v>45810</v>
      </c>
      <c r="C200" s="1274" cm="1">
        <f t="array" aca="1" ref="C200" ca="1">_xlfn.IFS(I200&gt;1,B200,B200&lt;TODAY(),TODAY(),B200&gt;TODAY(),B200,B200=TODAY(),TODAY())</f>
        <v>45935</v>
      </c>
      <c r="D200" s="1275" t="s">
        <v>908</v>
      </c>
      <c r="E200" s="1276">
        <v>45810</v>
      </c>
      <c r="F200" s="1277" t="s">
        <v>4866</v>
      </c>
      <c r="G200" s="1278">
        <v>32844696.520000003</v>
      </c>
      <c r="H200" s="1279"/>
      <c r="I200" s="1279"/>
      <c r="J200" s="1280">
        <f t="shared" si="12"/>
        <v>32844696.520000003</v>
      </c>
      <c r="K200" s="1281">
        <f t="shared" si="13"/>
        <v>1239515497.77</v>
      </c>
      <c r="L200" s="1282"/>
      <c r="M200" s="1282"/>
      <c r="N200" s="1283"/>
      <c r="O200" s="1272"/>
      <c r="P200" s="49" t="s">
        <v>1215</v>
      </c>
      <c r="Q200" s="1308" t="s">
        <v>4911</v>
      </c>
    </row>
    <row r="201" spans="1:17">
      <c r="A201" s="1305" t="s">
        <v>702</v>
      </c>
      <c r="B201" s="1274">
        <v>45859</v>
      </c>
      <c r="C201" s="1274" cm="1">
        <f t="array" aca="1" ref="C201" ca="1">_xlfn.IFS(I201&gt;1,B201,B201&lt;TODAY(),TODAY(),B201&gt;TODAY(),B201,B201=TODAY(),TODAY())</f>
        <v>45935</v>
      </c>
      <c r="D201" s="1275" t="s">
        <v>908</v>
      </c>
      <c r="E201" s="1276">
        <v>45769</v>
      </c>
      <c r="F201" s="1277" t="s">
        <v>4867</v>
      </c>
      <c r="G201" s="1278">
        <v>594570</v>
      </c>
      <c r="H201" s="1279"/>
      <c r="I201" s="1279"/>
      <c r="J201" s="1280">
        <f t="shared" si="12"/>
        <v>594570</v>
      </c>
      <c r="K201" s="1281">
        <f t="shared" si="13"/>
        <v>1240110067.77</v>
      </c>
      <c r="L201" s="1282"/>
      <c r="M201" s="1282"/>
      <c r="N201" s="1283"/>
      <c r="O201" s="1272"/>
      <c r="P201" s="49" t="s">
        <v>1215</v>
      </c>
      <c r="Q201" s="1308" t="s">
        <v>4911</v>
      </c>
    </row>
    <row r="202" spans="1:17">
      <c r="A202" s="1305" t="s">
        <v>702</v>
      </c>
      <c r="B202" s="1274">
        <v>45859</v>
      </c>
      <c r="C202" s="1274" cm="1">
        <f t="array" aca="1" ref="C202" ca="1">_xlfn.IFS(I202&gt;1,B202,B202&lt;TODAY(),TODAY(),B202&gt;TODAY(),B202,B202=TODAY(),TODAY())</f>
        <v>45935</v>
      </c>
      <c r="D202" s="1275" t="s">
        <v>908</v>
      </c>
      <c r="E202" s="1276">
        <v>45769</v>
      </c>
      <c r="F202" s="1277" t="s">
        <v>4868</v>
      </c>
      <c r="G202" s="1278">
        <v>4039617</v>
      </c>
      <c r="H202" s="1279"/>
      <c r="I202" s="1279"/>
      <c r="J202" s="1280">
        <f t="shared" si="12"/>
        <v>4039617</v>
      </c>
      <c r="K202" s="1281">
        <f t="shared" si="13"/>
        <v>1244149684.77</v>
      </c>
      <c r="L202" s="1282"/>
      <c r="M202" s="1282"/>
      <c r="N202" s="1283"/>
      <c r="O202" s="1272"/>
      <c r="P202" s="49" t="s">
        <v>1215</v>
      </c>
      <c r="Q202" s="1308" t="s">
        <v>4911</v>
      </c>
    </row>
    <row r="203" spans="1:17">
      <c r="A203" s="1305" t="s">
        <v>702</v>
      </c>
      <c r="B203" s="1284">
        <v>45781</v>
      </c>
      <c r="C203" s="1274" cm="1">
        <f t="array" aca="1" ref="C203" ca="1">_xlfn.IFS(I203&gt;1,B203,B203&lt;TODAY(),TODAY(),B203&gt;TODAY(),B203,B203=TODAY(),TODAY())</f>
        <v>45935</v>
      </c>
      <c r="D203" s="1285" t="s">
        <v>909</v>
      </c>
      <c r="E203" s="1276">
        <v>45769</v>
      </c>
      <c r="F203" s="1285"/>
      <c r="G203" s="1286">
        <v>8385427</v>
      </c>
      <c r="H203" s="1272"/>
      <c r="I203" s="1287"/>
      <c r="J203" s="1280">
        <f t="shared" si="12"/>
        <v>8385427</v>
      </c>
      <c r="K203" s="1272"/>
      <c r="L203" s="1272"/>
      <c r="M203" s="1272"/>
      <c r="N203" s="1283"/>
      <c r="O203" s="1272"/>
      <c r="P203" s="49" t="s">
        <v>1215</v>
      </c>
      <c r="Q203" s="1308" t="s">
        <v>4911</v>
      </c>
    </row>
    <row r="204" spans="1:17">
      <c r="A204" s="1305" t="s">
        <v>702</v>
      </c>
      <c r="B204" s="1284">
        <v>45782</v>
      </c>
      <c r="C204" s="1274" cm="1">
        <f t="array" aca="1" ref="C204" ca="1">_xlfn.IFS(I204&gt;1,B204,B204&lt;TODAY(),TODAY(),B204&gt;TODAY(),B204,B204=TODAY(),TODAY())</f>
        <v>45935</v>
      </c>
      <c r="D204" s="1285" t="s">
        <v>866</v>
      </c>
      <c r="E204" s="1276">
        <v>45769</v>
      </c>
      <c r="F204" s="1285"/>
      <c r="G204" s="1286">
        <v>2953606.4</v>
      </c>
      <c r="H204" s="1272"/>
      <c r="I204" s="1287"/>
      <c r="J204" s="1280">
        <f t="shared" si="12"/>
        <v>2953606.4</v>
      </c>
      <c r="K204" s="1272"/>
      <c r="L204" s="1272"/>
      <c r="M204" s="1272"/>
      <c r="N204" s="1283"/>
      <c r="O204" s="1272"/>
      <c r="P204" s="49" t="s">
        <v>1215</v>
      </c>
      <c r="Q204" s="1308" t="s">
        <v>4911</v>
      </c>
    </row>
    <row r="205" spans="1:17">
      <c r="A205" s="1305" t="s">
        <v>702</v>
      </c>
      <c r="B205" s="1284">
        <v>45785</v>
      </c>
      <c r="C205" s="1274" cm="1">
        <f t="array" aca="1" ref="C205" ca="1">_xlfn.IFS(I205&gt;1,B205,B205&lt;TODAY(),TODAY(),B205&gt;TODAY(),B205,B205=TODAY(),TODAY())</f>
        <v>45935</v>
      </c>
      <c r="D205" s="1285" t="s">
        <v>866</v>
      </c>
      <c r="E205" s="1276">
        <v>45769</v>
      </c>
      <c r="F205" s="1285"/>
      <c r="G205" s="1286">
        <v>22875266</v>
      </c>
      <c r="H205" s="1272"/>
      <c r="I205" s="1287"/>
      <c r="J205" s="1280">
        <f t="shared" si="12"/>
        <v>22875266</v>
      </c>
      <c r="K205" s="1272"/>
      <c r="L205" s="1272"/>
      <c r="M205" s="1272"/>
      <c r="N205" s="1283"/>
      <c r="O205" s="1272"/>
      <c r="P205" s="49" t="s">
        <v>1215</v>
      </c>
      <c r="Q205" s="1308" t="s">
        <v>4911</v>
      </c>
    </row>
    <row r="206" spans="1:17">
      <c r="A206" s="1305" t="s">
        <v>702</v>
      </c>
      <c r="B206" s="1284">
        <v>45786</v>
      </c>
      <c r="C206" s="1274" cm="1">
        <f t="array" aca="1" ref="C206" ca="1">_xlfn.IFS(I206&gt;1,B206,B206&lt;TODAY(),TODAY(),B206&gt;TODAY(),B206,B206=TODAY(),TODAY())</f>
        <v>45935</v>
      </c>
      <c r="D206" s="1285" t="s">
        <v>910</v>
      </c>
      <c r="E206" s="1276">
        <v>45769</v>
      </c>
      <c r="F206" s="1285"/>
      <c r="G206" s="1286">
        <v>7350000</v>
      </c>
      <c r="H206" s="1272"/>
      <c r="I206" s="1287"/>
      <c r="J206" s="1280">
        <f t="shared" si="12"/>
        <v>7350000</v>
      </c>
      <c r="K206" s="1272"/>
      <c r="L206" s="1272"/>
      <c r="M206" s="1272"/>
      <c r="N206" s="1283"/>
      <c r="O206" s="1272"/>
      <c r="P206" s="49" t="s">
        <v>1215</v>
      </c>
      <c r="Q206" s="1308" t="s">
        <v>4911</v>
      </c>
    </row>
    <row r="207" spans="1:17">
      <c r="A207" s="1305" t="s">
        <v>702</v>
      </c>
      <c r="B207" s="1284">
        <v>45787</v>
      </c>
      <c r="C207" s="1274" cm="1">
        <f t="array" aca="1" ref="C207" ca="1">_xlfn.IFS(I207&gt;1,B207,B207&lt;TODAY(),TODAY(),B207&gt;TODAY(),B207,B207=TODAY(),TODAY())</f>
        <v>45935</v>
      </c>
      <c r="D207" s="1285" t="s">
        <v>911</v>
      </c>
      <c r="E207" s="1276">
        <v>45769</v>
      </c>
      <c r="F207" s="1285"/>
      <c r="G207" s="1286">
        <v>1665072</v>
      </c>
      <c r="H207" s="1272"/>
      <c r="I207" s="1287"/>
      <c r="J207" s="1280">
        <f t="shared" si="12"/>
        <v>1665072</v>
      </c>
      <c r="K207" s="1272"/>
      <c r="L207" s="1272"/>
      <c r="M207" s="1272"/>
      <c r="N207" s="1283"/>
      <c r="O207" s="1272"/>
      <c r="P207" s="49" t="s">
        <v>1215</v>
      </c>
      <c r="Q207" s="1308" t="s">
        <v>4911</v>
      </c>
    </row>
    <row r="208" spans="1:17">
      <c r="A208" s="1305" t="s">
        <v>702</v>
      </c>
      <c r="B208" s="1284">
        <v>45790</v>
      </c>
      <c r="C208" s="1274" cm="1">
        <f t="array" aca="1" ref="C208" ca="1">_xlfn.IFS(I208&gt;1,B208,B208&lt;TODAY(),TODAY(),B208&gt;TODAY(),B208,B208=TODAY(),TODAY())</f>
        <v>45935</v>
      </c>
      <c r="D208" s="1285" t="s">
        <v>912</v>
      </c>
      <c r="E208" s="1276">
        <v>45769</v>
      </c>
      <c r="F208" s="1285"/>
      <c r="G208" s="1286">
        <v>4528089</v>
      </c>
      <c r="H208" s="1272"/>
      <c r="I208" s="1287"/>
      <c r="J208" s="1280">
        <f t="shared" si="12"/>
        <v>4528089</v>
      </c>
      <c r="K208" s="1272"/>
      <c r="L208" s="1272"/>
      <c r="M208" s="1272"/>
      <c r="N208" s="1283"/>
      <c r="O208" s="1272"/>
      <c r="P208" s="49" t="s">
        <v>1215</v>
      </c>
      <c r="Q208" s="1308" t="s">
        <v>4911</v>
      </c>
    </row>
    <row r="209" spans="1:17">
      <c r="A209" s="1305" t="s">
        <v>702</v>
      </c>
      <c r="B209" s="1284">
        <v>45793</v>
      </c>
      <c r="C209" s="1274" cm="1">
        <f t="array" aca="1" ref="C209" ca="1">_xlfn.IFS(I209&gt;1,B209,B209&lt;TODAY(),TODAY(),B209&gt;TODAY(),B209,B209=TODAY(),TODAY())</f>
        <v>45935</v>
      </c>
      <c r="D209" s="1285" t="s">
        <v>913</v>
      </c>
      <c r="E209" s="1276">
        <v>45769</v>
      </c>
      <c r="F209" s="1285"/>
      <c r="G209" s="1286">
        <v>1338635.8799999999</v>
      </c>
      <c r="H209" s="1272"/>
      <c r="I209" s="1287"/>
      <c r="J209" s="1280">
        <f t="shared" si="12"/>
        <v>1338635.8799999999</v>
      </c>
      <c r="K209" s="1272"/>
      <c r="L209" s="1272"/>
      <c r="M209" s="1272"/>
      <c r="N209" s="1283"/>
      <c r="O209" s="1272"/>
      <c r="P209" s="49" t="s">
        <v>1215</v>
      </c>
      <c r="Q209" s="1308" t="s">
        <v>4911</v>
      </c>
    </row>
    <row r="210" spans="1:17">
      <c r="A210" s="1305" t="s">
        <v>702</v>
      </c>
      <c r="B210" s="1284">
        <v>45795</v>
      </c>
      <c r="C210" s="1274" cm="1">
        <f t="array" aca="1" ref="C210" ca="1">_xlfn.IFS(I210&gt;1,B210,B210&lt;TODAY(),TODAY(),B210&gt;TODAY(),B210,B210=TODAY(),TODAY())</f>
        <v>45935</v>
      </c>
      <c r="D210" s="1285" t="s">
        <v>914</v>
      </c>
      <c r="E210" s="1276">
        <v>45769</v>
      </c>
      <c r="F210" s="1285"/>
      <c r="G210" s="1286">
        <v>3178637</v>
      </c>
      <c r="H210" s="1272"/>
      <c r="I210" s="1287"/>
      <c r="J210" s="1280">
        <f t="shared" si="12"/>
        <v>3178637</v>
      </c>
      <c r="K210" s="1272"/>
      <c r="L210" s="1272"/>
      <c r="M210" s="1272"/>
      <c r="N210" s="1283"/>
      <c r="O210" s="1272"/>
      <c r="P210" s="49" t="s">
        <v>1215</v>
      </c>
      <c r="Q210" s="1308" t="s">
        <v>4911</v>
      </c>
    </row>
    <row r="211" spans="1:17">
      <c r="A211" s="1305" t="s">
        <v>702</v>
      </c>
      <c r="B211" s="1284">
        <v>45795</v>
      </c>
      <c r="C211" s="1274" cm="1">
        <f t="array" aca="1" ref="C211" ca="1">_xlfn.IFS(I211&gt;1,B211,B211&lt;TODAY(),TODAY(),B211&gt;TODAY(),B211,B211=TODAY(),TODAY())</f>
        <v>45935</v>
      </c>
      <c r="D211" s="1285" t="s">
        <v>915</v>
      </c>
      <c r="E211" s="1276">
        <v>45769</v>
      </c>
      <c r="F211" s="1285"/>
      <c r="G211" s="1286">
        <v>985125</v>
      </c>
      <c r="H211" s="1272"/>
      <c r="I211" s="1287"/>
      <c r="J211" s="1280">
        <f t="shared" si="12"/>
        <v>985125</v>
      </c>
      <c r="K211" s="1272"/>
      <c r="L211" s="1272"/>
      <c r="M211" s="1272"/>
      <c r="N211" s="1283"/>
      <c r="O211" s="1272"/>
      <c r="P211" s="49" t="s">
        <v>1215</v>
      </c>
      <c r="Q211" s="1308" t="s">
        <v>4911</v>
      </c>
    </row>
    <row r="212" spans="1:17" ht="16.5">
      <c r="A212" s="1305" t="s">
        <v>984</v>
      </c>
      <c r="B212" s="1284">
        <v>45797</v>
      </c>
      <c r="C212" s="1274" cm="1">
        <f t="array" aca="1" ref="C212" ca="1">_xlfn.IFS(I212&gt;1,B212,B212&lt;TODAY(),TODAY(),B212&gt;TODAY(),B212,B212=TODAY(),TODAY())</f>
        <v>45935</v>
      </c>
      <c r="D212" s="1285" t="s">
        <v>914</v>
      </c>
      <c r="E212" s="1276">
        <v>45769</v>
      </c>
      <c r="F212" s="1285"/>
      <c r="G212" s="1286">
        <v>3399710</v>
      </c>
      <c r="H212" s="1272"/>
      <c r="I212" s="1287"/>
      <c r="J212" s="1280">
        <f t="shared" si="12"/>
        <v>3399710</v>
      </c>
      <c r="K212" s="1272"/>
      <c r="L212" s="1272"/>
      <c r="M212" s="1272"/>
      <c r="N212" s="1283"/>
      <c r="O212" s="1272"/>
      <c r="P212" s="49" t="s">
        <v>1215</v>
      </c>
      <c r="Q212" s="1309" t="s">
        <v>4912</v>
      </c>
    </row>
    <row r="213" spans="1:17" ht="16.5">
      <c r="A213" s="1305" t="s">
        <v>984</v>
      </c>
      <c r="B213" s="1284">
        <v>45802</v>
      </c>
      <c r="C213" s="1274" cm="1">
        <f t="array" aca="1" ref="C213" ca="1">_xlfn.IFS(I213&gt;1,B213,B213&lt;TODAY(),TODAY(),B213&gt;TODAY(),B213,B213=TODAY(),TODAY())</f>
        <v>45935</v>
      </c>
      <c r="D213" s="1285" t="s">
        <v>916</v>
      </c>
      <c r="E213" s="1276">
        <v>45769</v>
      </c>
      <c r="F213" s="1285"/>
      <c r="G213" s="1286">
        <v>47182323</v>
      </c>
      <c r="H213" s="1272"/>
      <c r="I213" s="1287"/>
      <c r="J213" s="1280">
        <f t="shared" si="12"/>
        <v>47182323</v>
      </c>
      <c r="K213" s="1272"/>
      <c r="L213" s="1272"/>
      <c r="M213" s="1272"/>
      <c r="N213" s="1283"/>
      <c r="O213" s="1272"/>
      <c r="P213" s="49" t="s">
        <v>1215</v>
      </c>
      <c r="Q213" s="1309" t="s">
        <v>4912</v>
      </c>
    </row>
    <row r="214" spans="1:17" ht="16.5">
      <c r="A214" s="1305" t="s">
        <v>984</v>
      </c>
      <c r="B214" s="1284">
        <v>45803</v>
      </c>
      <c r="C214" s="1274" cm="1">
        <f t="array" aca="1" ref="C214" ca="1">_xlfn.IFS(I214&gt;1,B214,B214&lt;TODAY(),TODAY(),B214&gt;TODAY(),B214,B214=TODAY(),TODAY())</f>
        <v>45935</v>
      </c>
      <c r="D214" s="1285" t="s">
        <v>917</v>
      </c>
      <c r="E214" s="1276">
        <v>45769</v>
      </c>
      <c r="F214" s="1285"/>
      <c r="G214" s="1286">
        <v>37281491</v>
      </c>
      <c r="H214" s="1272"/>
      <c r="I214" s="1287"/>
      <c r="J214" s="1280">
        <f t="shared" si="12"/>
        <v>37281491</v>
      </c>
      <c r="K214" s="1272"/>
      <c r="L214" s="1272"/>
      <c r="M214" s="1272"/>
      <c r="N214" s="1283"/>
      <c r="O214" s="1272"/>
      <c r="P214" s="49" t="s">
        <v>1215</v>
      </c>
      <c r="Q214" s="1309" t="s">
        <v>4912</v>
      </c>
    </row>
    <row r="215" spans="1:17" ht="16.5">
      <c r="A215" s="1305" t="s">
        <v>984</v>
      </c>
      <c r="B215" s="1284">
        <v>45803</v>
      </c>
      <c r="C215" s="1274" cm="1">
        <f t="array" aca="1" ref="C215" ca="1">_xlfn.IFS(I215&gt;1,B215,B215&lt;TODAY(),TODAY(),B215&gt;TODAY(),B215,B215=TODAY(),TODAY())</f>
        <v>45935</v>
      </c>
      <c r="D215" s="1285" t="s">
        <v>918</v>
      </c>
      <c r="E215" s="1276">
        <v>45769</v>
      </c>
      <c r="F215" s="1285"/>
      <c r="G215" s="1286">
        <v>11487529</v>
      </c>
      <c r="H215" s="1272"/>
      <c r="I215" s="1287"/>
      <c r="J215" s="1280">
        <f t="shared" si="12"/>
        <v>11487529</v>
      </c>
      <c r="K215" s="1272"/>
      <c r="L215" s="1272"/>
      <c r="M215" s="1272"/>
      <c r="N215" s="1283"/>
      <c r="O215" s="1272"/>
      <c r="P215" s="49" t="s">
        <v>1215</v>
      </c>
      <c r="Q215" s="1309" t="s">
        <v>4912</v>
      </c>
    </row>
    <row r="216" spans="1:17" ht="16.5">
      <c r="A216" s="1305" t="s">
        <v>984</v>
      </c>
      <c r="B216" s="1284">
        <v>45804</v>
      </c>
      <c r="C216" s="1274" cm="1">
        <f t="array" aca="1" ref="C216" ca="1">_xlfn.IFS(I216&gt;1,B216,B216&lt;TODAY(),TODAY(),B216&gt;TODAY(),B216,B216=TODAY(),TODAY())</f>
        <v>45935</v>
      </c>
      <c r="D216" s="1285" t="s">
        <v>919</v>
      </c>
      <c r="E216" s="1276">
        <v>45769</v>
      </c>
      <c r="F216" s="1285"/>
      <c r="G216" s="1286">
        <v>36944960</v>
      </c>
      <c r="H216" s="1272"/>
      <c r="I216" s="1287"/>
      <c r="J216" s="1280">
        <f t="shared" si="12"/>
        <v>36944960</v>
      </c>
      <c r="K216" s="1272"/>
      <c r="L216" s="1272"/>
      <c r="M216" s="1272"/>
      <c r="N216" s="1283"/>
      <c r="O216" s="1272"/>
      <c r="P216" s="49" t="s">
        <v>1215</v>
      </c>
      <c r="Q216" s="1309" t="s">
        <v>4912</v>
      </c>
    </row>
    <row r="217" spans="1:17" ht="16.5">
      <c r="A217" s="1305" t="s">
        <v>984</v>
      </c>
      <c r="B217" s="1284">
        <v>45804</v>
      </c>
      <c r="C217" s="1274" cm="1">
        <f t="array" aca="1" ref="C217" ca="1">_xlfn.IFS(I217&gt;1,B217,B217&lt;TODAY(),TODAY(),B217&gt;TODAY(),B217,B217=TODAY(),TODAY())</f>
        <v>45935</v>
      </c>
      <c r="D217" s="1285" t="s">
        <v>920</v>
      </c>
      <c r="E217" s="1276">
        <v>45769</v>
      </c>
      <c r="F217" s="1285"/>
      <c r="G217" s="1286">
        <v>11662907</v>
      </c>
      <c r="H217" s="1272"/>
      <c r="I217" s="1287"/>
      <c r="J217" s="1280">
        <f t="shared" si="12"/>
        <v>11662907</v>
      </c>
      <c r="K217" s="1272"/>
      <c r="L217" s="1272"/>
      <c r="M217" s="1272"/>
      <c r="N217" s="1283"/>
      <c r="O217" s="1272"/>
      <c r="P217" s="49" t="s">
        <v>1215</v>
      </c>
      <c r="Q217" s="1309" t="s">
        <v>4912</v>
      </c>
    </row>
    <row r="218" spans="1:17" ht="16.5">
      <c r="A218" s="1305" t="s">
        <v>984</v>
      </c>
      <c r="B218" s="1284">
        <v>45805</v>
      </c>
      <c r="C218" s="1274" cm="1">
        <f t="array" aca="1" ref="C218" ca="1">_xlfn.IFS(I218&gt;1,B218,B218&lt;TODAY(),TODAY(),B218&gt;TODAY(),B218,B218=TODAY(),TODAY())</f>
        <v>45935</v>
      </c>
      <c r="D218" s="1285" t="s">
        <v>917</v>
      </c>
      <c r="E218" s="1276">
        <v>45769</v>
      </c>
      <c r="F218" s="1285"/>
      <c r="G218" s="1286">
        <v>2002560</v>
      </c>
      <c r="H218" s="1272"/>
      <c r="I218" s="1287"/>
      <c r="J218" s="1280">
        <f t="shared" si="12"/>
        <v>2002560</v>
      </c>
      <c r="K218" s="1272"/>
      <c r="L218" s="1272"/>
      <c r="M218" s="1272"/>
      <c r="N218" s="1283"/>
      <c r="O218" s="1272"/>
      <c r="P218" s="49" t="s">
        <v>1215</v>
      </c>
      <c r="Q218" s="1309" t="s">
        <v>4912</v>
      </c>
    </row>
    <row r="219" spans="1:17" ht="16.5">
      <c r="A219" s="1305" t="s">
        <v>984</v>
      </c>
      <c r="B219" s="1284">
        <v>45805</v>
      </c>
      <c r="C219" s="1274" cm="1">
        <f t="array" aca="1" ref="C219" ca="1">_xlfn.IFS(I219&gt;1,B219,B219&lt;TODAY(),TODAY(),B219&gt;TODAY(),B219,B219=TODAY(),TODAY())</f>
        <v>45935</v>
      </c>
      <c r="D219" s="1285" t="s">
        <v>921</v>
      </c>
      <c r="E219" s="1276">
        <v>45769</v>
      </c>
      <c r="F219" s="1285"/>
      <c r="G219" s="1286">
        <v>10955345</v>
      </c>
      <c r="H219" s="1272"/>
      <c r="I219" s="1287"/>
      <c r="J219" s="1280">
        <f t="shared" si="12"/>
        <v>10955345</v>
      </c>
      <c r="K219" s="1272"/>
      <c r="L219" s="1272"/>
      <c r="M219" s="1272"/>
      <c r="N219" s="1283"/>
      <c r="O219" s="1272"/>
      <c r="P219" s="49" t="s">
        <v>1215</v>
      </c>
      <c r="Q219" s="1309" t="s">
        <v>4912</v>
      </c>
    </row>
    <row r="220" spans="1:17" ht="16.5">
      <c r="A220" s="1305" t="s">
        <v>984</v>
      </c>
      <c r="B220" s="1284">
        <v>45807</v>
      </c>
      <c r="C220" s="1274" cm="1">
        <f t="array" aca="1" ref="C220" ca="1">_xlfn.IFS(I220&gt;1,B220,B220&lt;TODAY(),TODAY(),B220&gt;TODAY(),B220,B220=TODAY(),TODAY())</f>
        <v>45935</v>
      </c>
      <c r="D220" s="1285" t="s">
        <v>922</v>
      </c>
      <c r="E220" s="1276">
        <v>45769</v>
      </c>
      <c r="F220" s="1285"/>
      <c r="G220" s="1286">
        <v>9129289</v>
      </c>
      <c r="H220" s="1272"/>
      <c r="I220" s="1287"/>
      <c r="J220" s="1280">
        <f t="shared" si="12"/>
        <v>9129289</v>
      </c>
      <c r="K220" s="1272"/>
      <c r="L220" s="1272"/>
      <c r="M220" s="1272"/>
      <c r="N220" s="1283"/>
      <c r="O220" s="1272"/>
      <c r="P220" s="49" t="s">
        <v>1215</v>
      </c>
      <c r="Q220" s="1309" t="s">
        <v>4912</v>
      </c>
    </row>
    <row r="221" spans="1:17" ht="16.5">
      <c r="A221" s="1305" t="s">
        <v>984</v>
      </c>
      <c r="B221" s="1284">
        <v>45807</v>
      </c>
      <c r="C221" s="1274" cm="1">
        <f t="array" aca="1" ref="C221" ca="1">_xlfn.IFS(I221&gt;1,B221,B221&lt;TODAY(),TODAY(),B221&gt;TODAY(),B221,B221=TODAY(),TODAY())</f>
        <v>45935</v>
      </c>
      <c r="D221" s="1285" t="s">
        <v>923</v>
      </c>
      <c r="E221" s="1276">
        <v>45769</v>
      </c>
      <c r="F221" s="1285"/>
      <c r="G221" s="1286">
        <v>2002560</v>
      </c>
      <c r="H221" s="1272"/>
      <c r="I221" s="1287"/>
      <c r="J221" s="1280">
        <f t="shared" si="12"/>
        <v>2002560</v>
      </c>
      <c r="K221" s="1272"/>
      <c r="L221" s="1272"/>
      <c r="M221" s="1272"/>
      <c r="N221" s="1283"/>
      <c r="O221" s="1272"/>
      <c r="P221" s="49" t="s">
        <v>1215</v>
      </c>
      <c r="Q221" s="1309" t="s">
        <v>4912</v>
      </c>
    </row>
    <row r="222" spans="1:17" ht="16.5">
      <c r="A222" s="1305" t="s">
        <v>984</v>
      </c>
      <c r="B222" s="1284">
        <v>45808</v>
      </c>
      <c r="C222" s="1274" cm="1">
        <f t="array" aca="1" ref="C222" ca="1">_xlfn.IFS(I222&gt;1,B222,B222&lt;TODAY(),TODAY(),B222&gt;TODAY(),B222,B222=TODAY(),TODAY())</f>
        <v>45935</v>
      </c>
      <c r="D222" s="1285" t="s">
        <v>912</v>
      </c>
      <c r="E222" s="1276">
        <v>45769</v>
      </c>
      <c r="F222" s="1285"/>
      <c r="G222" s="1286">
        <v>4238231</v>
      </c>
      <c r="H222" s="1272"/>
      <c r="I222" s="1287"/>
      <c r="J222" s="1280">
        <f t="shared" si="12"/>
        <v>4238231</v>
      </c>
      <c r="K222" s="1272"/>
      <c r="L222" s="1272"/>
      <c r="M222" s="1272"/>
      <c r="N222" s="1283"/>
      <c r="O222" s="1272"/>
      <c r="P222" s="49" t="s">
        <v>1215</v>
      </c>
      <c r="Q222" s="1309" t="s">
        <v>4912</v>
      </c>
    </row>
    <row r="223" spans="1:17" ht="16.5">
      <c r="A223" s="1305" t="s">
        <v>984</v>
      </c>
      <c r="B223" s="1284">
        <v>45808</v>
      </c>
      <c r="C223" s="1274" cm="1">
        <f t="array" aca="1" ref="C223" ca="1">_xlfn.IFS(I223&gt;1,B223,B223&lt;TODAY(),TODAY(),B223&gt;TODAY(),B223,B223=TODAY(),TODAY())</f>
        <v>45935</v>
      </c>
      <c r="D223" s="1285" t="s">
        <v>924</v>
      </c>
      <c r="E223" s="1276">
        <v>45769</v>
      </c>
      <c r="F223" s="1285"/>
      <c r="G223" s="1286">
        <v>12879520</v>
      </c>
      <c r="H223" s="1272"/>
      <c r="I223" s="1287"/>
      <c r="J223" s="1280">
        <f t="shared" si="12"/>
        <v>12879520</v>
      </c>
      <c r="K223" s="1272"/>
      <c r="L223" s="1272"/>
      <c r="M223" s="1272"/>
      <c r="N223" s="1283"/>
      <c r="O223" s="1272"/>
      <c r="P223" s="49" t="s">
        <v>1215</v>
      </c>
      <c r="Q223" s="1309" t="s">
        <v>4912</v>
      </c>
    </row>
    <row r="224" spans="1:17" ht="16.5">
      <c r="A224" s="1305" t="s">
        <v>984</v>
      </c>
      <c r="B224" s="1284">
        <v>45809</v>
      </c>
      <c r="C224" s="1274" cm="1">
        <f t="array" aca="1" ref="C224" ca="1">_xlfn.IFS(I224&gt;1,B224,B224&lt;TODAY(),TODAY(),B224&gt;TODAY(),B224,B224=TODAY(),TODAY())</f>
        <v>45935</v>
      </c>
      <c r="D224" s="1285" t="s">
        <v>912</v>
      </c>
      <c r="E224" s="1276">
        <v>45769</v>
      </c>
      <c r="F224" s="1285"/>
      <c r="G224" s="1286">
        <v>41837411</v>
      </c>
      <c r="H224" s="1272"/>
      <c r="I224" s="1287"/>
      <c r="J224" s="1280">
        <f t="shared" si="12"/>
        <v>41837411</v>
      </c>
      <c r="K224" s="1272"/>
      <c r="L224" s="1272"/>
      <c r="M224" s="1272"/>
      <c r="N224" s="1283"/>
      <c r="O224" s="1272"/>
      <c r="P224" s="49" t="s">
        <v>1215</v>
      </c>
      <c r="Q224" s="1309" t="s">
        <v>4912</v>
      </c>
    </row>
    <row r="225" spans="1:17" ht="16.5">
      <c r="A225" s="1305" t="s">
        <v>984</v>
      </c>
      <c r="B225" s="1284">
        <v>45810</v>
      </c>
      <c r="C225" s="1274" cm="1">
        <f t="array" aca="1" ref="C225" ca="1">_xlfn.IFS(I225&gt;1,B225,B225&lt;TODAY(),TODAY(),B225&gt;TODAY(),B225,B225=TODAY(),TODAY())</f>
        <v>45935</v>
      </c>
      <c r="D225" s="1285" t="s">
        <v>912</v>
      </c>
      <c r="E225" s="1276">
        <v>45769</v>
      </c>
      <c r="F225" s="1285"/>
      <c r="G225" s="1286">
        <v>5836995</v>
      </c>
      <c r="H225" s="1272"/>
      <c r="I225" s="1287"/>
      <c r="J225" s="1280">
        <f t="shared" si="12"/>
        <v>5836995</v>
      </c>
      <c r="K225" s="1272"/>
      <c r="L225" s="1272"/>
      <c r="M225" s="1272"/>
      <c r="N225" s="1283"/>
      <c r="O225" s="1272"/>
      <c r="P225" s="49" t="s">
        <v>1215</v>
      </c>
      <c r="Q225" s="1309" t="s">
        <v>4912</v>
      </c>
    </row>
    <row r="226" spans="1:17" ht="16.5">
      <c r="A226" s="1305" t="s">
        <v>984</v>
      </c>
      <c r="B226" s="1284">
        <v>45810</v>
      </c>
      <c r="C226" s="1274" cm="1">
        <f t="array" aca="1" ref="C226" ca="1">_xlfn.IFS(I226&gt;1,B226,B226&lt;TODAY(),TODAY(),B226&gt;TODAY(),B226,B226=TODAY(),TODAY())</f>
        <v>45935</v>
      </c>
      <c r="D226" s="1285" t="s">
        <v>914</v>
      </c>
      <c r="E226" s="1276">
        <v>45769</v>
      </c>
      <c r="F226" s="1285"/>
      <c r="G226" s="1286">
        <v>854244</v>
      </c>
      <c r="H226" s="1272"/>
      <c r="I226" s="1287"/>
      <c r="J226" s="1280">
        <f t="shared" si="12"/>
        <v>854244</v>
      </c>
      <c r="K226" s="1272"/>
      <c r="L226" s="1272"/>
      <c r="M226" s="1272"/>
      <c r="N226" s="1283"/>
      <c r="O226" s="1272"/>
      <c r="P226" s="49" t="s">
        <v>1215</v>
      </c>
      <c r="Q226" s="1309" t="s">
        <v>4912</v>
      </c>
    </row>
    <row r="227" spans="1:17" ht="16.5">
      <c r="A227" s="1305" t="s">
        <v>984</v>
      </c>
      <c r="B227" s="1284">
        <v>45810</v>
      </c>
      <c r="C227" s="1274" cm="1">
        <f t="array" aca="1" ref="C227" ca="1">_xlfn.IFS(I227&gt;1,B227,B227&lt;TODAY(),TODAY(),B227&gt;TODAY(),B227,B227=TODAY(),TODAY())</f>
        <v>45935</v>
      </c>
      <c r="D227" s="1285" t="s">
        <v>925</v>
      </c>
      <c r="E227" s="1276">
        <v>45769</v>
      </c>
      <c r="F227" s="1285"/>
      <c r="G227" s="1286">
        <v>6844000</v>
      </c>
      <c r="H227" s="1272"/>
      <c r="I227" s="1287"/>
      <c r="J227" s="1280">
        <f t="shared" si="12"/>
        <v>6844000</v>
      </c>
      <c r="K227" s="1272"/>
      <c r="L227" s="1272"/>
      <c r="M227" s="1272"/>
      <c r="N227" s="1283"/>
      <c r="O227" s="1272"/>
      <c r="P227" s="49" t="s">
        <v>1215</v>
      </c>
      <c r="Q227" s="1309" t="s">
        <v>4912</v>
      </c>
    </row>
    <row r="228" spans="1:17" ht="16.5">
      <c r="A228" s="1305" t="s">
        <v>984</v>
      </c>
      <c r="B228" s="1284">
        <v>45811</v>
      </c>
      <c r="C228" s="1274" cm="1">
        <f t="array" aca="1" ref="C228" ca="1">_xlfn.IFS(I228&gt;1,B228,B228&lt;TODAY(),TODAY(),B228&gt;TODAY(),B228,B228=TODAY(),TODAY())</f>
        <v>45935</v>
      </c>
      <c r="D228" s="1285" t="s">
        <v>866</v>
      </c>
      <c r="E228" s="1276">
        <v>45769</v>
      </c>
      <c r="F228" s="1285"/>
      <c r="G228" s="1286">
        <v>5291592</v>
      </c>
      <c r="H228" s="1272"/>
      <c r="I228" s="1287"/>
      <c r="J228" s="1280">
        <f t="shared" si="12"/>
        <v>5291592</v>
      </c>
      <c r="K228" s="1272"/>
      <c r="L228" s="1272"/>
      <c r="M228" s="1272"/>
      <c r="N228" s="1283"/>
      <c r="O228" s="1272"/>
      <c r="P228" s="49" t="s">
        <v>1215</v>
      </c>
      <c r="Q228" s="1309" t="s">
        <v>4912</v>
      </c>
    </row>
    <row r="229" spans="1:17" ht="16.5">
      <c r="A229" s="1305" t="s">
        <v>984</v>
      </c>
      <c r="B229" s="1284">
        <v>45811</v>
      </c>
      <c r="C229" s="1274" cm="1">
        <f t="array" aca="1" ref="C229" ca="1">_xlfn.IFS(I229&gt;1,B229,B229&lt;TODAY(),TODAY(),B229&gt;TODAY(),B229,B229=TODAY(),TODAY())</f>
        <v>45935</v>
      </c>
      <c r="D229" s="1285" t="s">
        <v>916</v>
      </c>
      <c r="E229" s="1276">
        <v>45769</v>
      </c>
      <c r="F229" s="1285"/>
      <c r="G229" s="1286">
        <v>7186141</v>
      </c>
      <c r="H229" s="1272"/>
      <c r="I229" s="1287"/>
      <c r="J229" s="1280">
        <f t="shared" si="12"/>
        <v>7186141</v>
      </c>
      <c r="K229" s="1272"/>
      <c r="L229" s="1272"/>
      <c r="M229" s="1272"/>
      <c r="N229" s="1283"/>
      <c r="O229" s="1272"/>
      <c r="P229" s="49" t="s">
        <v>1215</v>
      </c>
      <c r="Q229" s="1309" t="s">
        <v>4912</v>
      </c>
    </row>
    <row r="230" spans="1:17" ht="16.5">
      <c r="A230" s="1305" t="s">
        <v>984</v>
      </c>
      <c r="B230" s="1284">
        <v>45812</v>
      </c>
      <c r="C230" s="1274" cm="1">
        <f t="array" aca="1" ref="C230" ca="1">_xlfn.IFS(I230&gt;1,B230,B230&lt;TODAY(),TODAY(),B230&gt;TODAY(),B230,B230=TODAY(),TODAY())</f>
        <v>45935</v>
      </c>
      <c r="D230" s="1285" t="s">
        <v>926</v>
      </c>
      <c r="E230" s="1276">
        <v>45769</v>
      </c>
      <c r="F230" s="1285"/>
      <c r="G230" s="1286">
        <v>3363215</v>
      </c>
      <c r="H230" s="1272"/>
      <c r="I230" s="1287"/>
      <c r="J230" s="1280">
        <f t="shared" si="12"/>
        <v>3363215</v>
      </c>
      <c r="K230" s="1272"/>
      <c r="L230" s="1272"/>
      <c r="M230" s="1272"/>
      <c r="N230" s="1283"/>
      <c r="O230" s="1272"/>
      <c r="P230" s="49" t="s">
        <v>1215</v>
      </c>
      <c r="Q230" s="1309" t="s">
        <v>4912</v>
      </c>
    </row>
    <row r="231" spans="1:17" ht="16.5">
      <c r="A231" s="1305" t="s">
        <v>984</v>
      </c>
      <c r="B231" s="1284">
        <v>45812</v>
      </c>
      <c r="C231" s="1274" cm="1">
        <f t="array" aca="1" ref="C231" ca="1">_xlfn.IFS(I231&gt;1,B231,B231&lt;TODAY(),TODAY(),B231&gt;TODAY(),B231,B231=TODAY(),TODAY())</f>
        <v>45935</v>
      </c>
      <c r="D231" s="1285" t="s">
        <v>927</v>
      </c>
      <c r="E231" s="1276">
        <v>45769</v>
      </c>
      <c r="F231" s="1285"/>
      <c r="G231" s="1286">
        <v>1104893</v>
      </c>
      <c r="H231" s="1272"/>
      <c r="I231" s="1287"/>
      <c r="J231" s="1280">
        <f t="shared" si="12"/>
        <v>1104893</v>
      </c>
      <c r="K231" s="1272"/>
      <c r="L231" s="1272"/>
      <c r="M231" s="1272"/>
      <c r="N231" s="1283"/>
      <c r="O231" s="1272"/>
      <c r="P231" s="49" t="s">
        <v>1215</v>
      </c>
      <c r="Q231" s="1309" t="s">
        <v>4912</v>
      </c>
    </row>
    <row r="232" spans="1:17" ht="16.5">
      <c r="A232" s="1305" t="s">
        <v>984</v>
      </c>
      <c r="B232" s="1284">
        <v>45812</v>
      </c>
      <c r="C232" s="1274" cm="1">
        <f t="array" aca="1" ref="C232" ca="1">_xlfn.IFS(I232&gt;1,B232,B232&lt;TODAY(),TODAY(),B232&gt;TODAY(),B232,B232=TODAY(),TODAY())</f>
        <v>45935</v>
      </c>
      <c r="D232" s="1285" t="s">
        <v>918</v>
      </c>
      <c r="E232" s="1276">
        <v>45769</v>
      </c>
      <c r="F232" s="1285"/>
      <c r="G232" s="1286">
        <v>5570527</v>
      </c>
      <c r="H232" s="1272"/>
      <c r="I232" s="1287"/>
      <c r="J232" s="1280">
        <f t="shared" si="12"/>
        <v>5570527</v>
      </c>
      <c r="K232" s="1272"/>
      <c r="L232" s="1272"/>
      <c r="M232" s="1272"/>
      <c r="N232" s="1283"/>
      <c r="O232" s="1272"/>
      <c r="P232" s="49" t="s">
        <v>1215</v>
      </c>
      <c r="Q232" s="1309" t="s">
        <v>4912</v>
      </c>
    </row>
    <row r="233" spans="1:17">
      <c r="A233" s="1305" t="s">
        <v>3719</v>
      </c>
      <c r="B233" s="1284">
        <v>45812</v>
      </c>
      <c r="C233" s="1274" cm="1">
        <f t="array" aca="1" ref="C233" ca="1">_xlfn.IFS(I233&gt;1,B233,B233&lt;TODAY(),TODAY(),B233&gt;TODAY(),B233,B233=TODAY(),TODAY())</f>
        <v>45935</v>
      </c>
      <c r="D233" s="1285" t="s">
        <v>928</v>
      </c>
      <c r="E233" s="1276">
        <v>45769</v>
      </c>
      <c r="F233" s="1285"/>
      <c r="G233" s="1286">
        <v>62250000</v>
      </c>
      <c r="H233" s="1272"/>
      <c r="I233" s="1287"/>
      <c r="J233" s="1280">
        <f t="shared" si="12"/>
        <v>62250000</v>
      </c>
      <c r="K233" s="1272"/>
      <c r="L233" s="1272"/>
      <c r="M233" s="1272"/>
      <c r="N233" s="1283"/>
      <c r="O233" s="1272"/>
      <c r="P233" s="49" t="s">
        <v>1215</v>
      </c>
      <c r="Q233" s="1308" t="s">
        <v>4911</v>
      </c>
    </row>
    <row r="234" spans="1:17">
      <c r="A234" s="1305" t="s">
        <v>984</v>
      </c>
      <c r="B234" s="1284">
        <v>45814</v>
      </c>
      <c r="C234" s="1274" cm="1">
        <f t="array" aca="1" ref="C234" ca="1">_xlfn.IFS(I234&gt;1,B234,B234&lt;TODAY(),TODAY(),B234&gt;TODAY(),B234,B234=TODAY(),TODAY())</f>
        <v>45935</v>
      </c>
      <c r="D234" s="1285" t="s">
        <v>866</v>
      </c>
      <c r="E234" s="1276">
        <v>45769</v>
      </c>
      <c r="F234" s="1285"/>
      <c r="G234" s="1286">
        <v>4907520</v>
      </c>
      <c r="H234" s="1272"/>
      <c r="I234" s="1287"/>
      <c r="J234" s="1280">
        <f t="shared" si="12"/>
        <v>4907520</v>
      </c>
      <c r="K234" s="1272"/>
      <c r="L234" s="1272"/>
      <c r="M234" s="1272"/>
      <c r="N234" s="1283"/>
      <c r="O234" s="1272"/>
      <c r="P234" s="49" t="s">
        <v>1215</v>
      </c>
      <c r="Q234" s="1192" t="s">
        <v>4912</v>
      </c>
    </row>
    <row r="235" spans="1:17">
      <c r="A235" s="1305" t="s">
        <v>984</v>
      </c>
      <c r="B235" s="1284">
        <v>45815</v>
      </c>
      <c r="C235" s="1274" cm="1">
        <f t="array" aca="1" ref="C235" ca="1">_xlfn.IFS(I235&gt;1,B235,B235&lt;TODAY(),TODAY(),B235&gt;TODAY(),B235,B235=TODAY(),TODAY())</f>
        <v>45935</v>
      </c>
      <c r="D235" s="1285" t="s">
        <v>866</v>
      </c>
      <c r="E235" s="1276">
        <v>45769</v>
      </c>
      <c r="F235" s="1285"/>
      <c r="G235" s="1286">
        <v>7304567</v>
      </c>
      <c r="H235" s="1272"/>
      <c r="I235" s="1287"/>
      <c r="J235" s="1280">
        <f t="shared" si="12"/>
        <v>7304567</v>
      </c>
      <c r="K235" s="1272"/>
      <c r="L235" s="1272"/>
      <c r="M235" s="1272"/>
      <c r="N235" s="1283"/>
      <c r="O235" s="1272"/>
      <c r="P235" s="49" t="s">
        <v>1215</v>
      </c>
      <c r="Q235" s="1192" t="s">
        <v>4912</v>
      </c>
    </row>
    <row r="236" spans="1:17">
      <c r="A236" s="1305" t="s">
        <v>984</v>
      </c>
      <c r="B236" s="1284">
        <v>45815</v>
      </c>
      <c r="C236" s="1274" cm="1">
        <f t="array" aca="1" ref="C236" ca="1">_xlfn.IFS(I236&gt;1,B236,B236&lt;TODAY(),TODAY(),B236&gt;TODAY(),B236,B236=TODAY(),TODAY())</f>
        <v>45935</v>
      </c>
      <c r="D236" s="1285" t="s">
        <v>929</v>
      </c>
      <c r="E236" s="1276">
        <v>45769</v>
      </c>
      <c r="F236" s="1285"/>
      <c r="G236" s="1286">
        <v>256316</v>
      </c>
      <c r="H236" s="1272"/>
      <c r="I236" s="1287"/>
      <c r="J236" s="1280">
        <f t="shared" si="12"/>
        <v>256316</v>
      </c>
      <c r="K236" s="1272"/>
      <c r="L236" s="1272"/>
      <c r="M236" s="1272"/>
      <c r="N236" s="1283"/>
      <c r="O236" s="1272"/>
      <c r="P236" s="49" t="s">
        <v>1215</v>
      </c>
      <c r="Q236" s="1192" t="s">
        <v>4912</v>
      </c>
    </row>
    <row r="237" spans="1:17">
      <c r="A237" s="1305" t="s">
        <v>984</v>
      </c>
      <c r="B237" s="1284">
        <v>45816</v>
      </c>
      <c r="C237" s="1274" cm="1">
        <f t="array" aca="1" ref="C237" ca="1">_xlfn.IFS(I237&gt;1,B237,B237&lt;TODAY(),TODAY(),B237&gt;TODAY(),B237,B237=TODAY(),TODAY())</f>
        <v>45935</v>
      </c>
      <c r="D237" s="1285" t="s">
        <v>926</v>
      </c>
      <c r="E237" s="1276">
        <v>45769</v>
      </c>
      <c r="F237" s="1285"/>
      <c r="G237" s="1286">
        <v>11930600</v>
      </c>
      <c r="H237" s="1272"/>
      <c r="I237" s="1287"/>
      <c r="J237" s="1280">
        <f t="shared" si="12"/>
        <v>11930600</v>
      </c>
      <c r="K237" s="1272"/>
      <c r="L237" s="1272"/>
      <c r="M237" s="1272"/>
      <c r="N237" s="1283"/>
      <c r="O237" s="1272"/>
      <c r="P237" s="49" t="s">
        <v>1215</v>
      </c>
      <c r="Q237" s="1192" t="s">
        <v>4912</v>
      </c>
    </row>
    <row r="238" spans="1:17">
      <c r="A238" s="1305" t="s">
        <v>984</v>
      </c>
      <c r="B238" s="1284">
        <v>45816</v>
      </c>
      <c r="C238" s="1274" cm="1">
        <f t="array" aca="1" ref="C238" ca="1">_xlfn.IFS(I238&gt;1,B238,B238&lt;TODAY(),TODAY(),B238&gt;TODAY(),B238,B238=TODAY(),TODAY())</f>
        <v>45935</v>
      </c>
      <c r="D238" s="1285" t="s">
        <v>930</v>
      </c>
      <c r="E238" s="1276">
        <v>45769</v>
      </c>
      <c r="F238" s="1285"/>
      <c r="G238" s="1286">
        <v>1057520</v>
      </c>
      <c r="H238" s="1272"/>
      <c r="I238" s="1287"/>
      <c r="J238" s="1280">
        <f t="shared" si="12"/>
        <v>1057520</v>
      </c>
      <c r="K238" s="1272"/>
      <c r="L238" s="1272"/>
      <c r="M238" s="1272"/>
      <c r="N238" s="1283"/>
      <c r="O238" s="1272"/>
      <c r="P238" s="49" t="s">
        <v>1215</v>
      </c>
      <c r="Q238" s="1192" t="s">
        <v>4912</v>
      </c>
    </row>
    <row r="239" spans="1:17">
      <c r="A239" s="1305" t="s">
        <v>984</v>
      </c>
      <c r="B239" s="1284">
        <v>45816</v>
      </c>
      <c r="C239" s="1274" cm="1">
        <f t="array" aca="1" ref="C239" ca="1">_xlfn.IFS(I239&gt;1,B239,B239&lt;TODAY(),TODAY(),B239&gt;TODAY(),B239,B239=TODAY(),TODAY())</f>
        <v>45935</v>
      </c>
      <c r="D239" s="1285" t="s">
        <v>931</v>
      </c>
      <c r="E239" s="1276">
        <v>45769</v>
      </c>
      <c r="F239" s="1285"/>
      <c r="G239" s="1286">
        <v>5922297</v>
      </c>
      <c r="H239" s="1272"/>
      <c r="I239" s="1287"/>
      <c r="J239" s="1280">
        <f t="shared" si="12"/>
        <v>5922297</v>
      </c>
      <c r="K239" s="1272"/>
      <c r="L239" s="1272"/>
      <c r="M239" s="1272"/>
      <c r="N239" s="1283"/>
      <c r="O239" s="1272"/>
      <c r="P239" s="49" t="s">
        <v>1215</v>
      </c>
      <c r="Q239" s="1192" t="s">
        <v>4912</v>
      </c>
    </row>
    <row r="240" spans="1:17">
      <c r="A240" s="1305" t="s">
        <v>984</v>
      </c>
      <c r="B240" s="1284">
        <v>45816</v>
      </c>
      <c r="C240" s="1274" cm="1">
        <f t="array" aca="1" ref="C240" ca="1">_xlfn.IFS(I240&gt;1,B240,B240&lt;TODAY(),TODAY(),B240&gt;TODAY(),B240,B240=TODAY(),TODAY())</f>
        <v>45935</v>
      </c>
      <c r="D240" s="1285" t="s">
        <v>932</v>
      </c>
      <c r="E240" s="1276">
        <v>45769</v>
      </c>
      <c r="F240" s="1285"/>
      <c r="G240" s="1286">
        <v>10297165</v>
      </c>
      <c r="H240" s="1272"/>
      <c r="I240" s="1287"/>
      <c r="J240" s="1280">
        <f t="shared" si="12"/>
        <v>10297165</v>
      </c>
      <c r="K240" s="1272"/>
      <c r="L240" s="1272"/>
      <c r="M240" s="1272"/>
      <c r="N240" s="1283"/>
      <c r="O240" s="1272"/>
      <c r="P240" s="49" t="s">
        <v>1215</v>
      </c>
      <c r="Q240" s="1192" t="s">
        <v>4912</v>
      </c>
    </row>
    <row r="241" spans="1:17">
      <c r="A241" s="1305" t="s">
        <v>984</v>
      </c>
      <c r="B241" s="1284">
        <v>45817</v>
      </c>
      <c r="C241" s="1274" cm="1">
        <f t="array" aca="1" ref="C241" ca="1">_xlfn.IFS(I241&gt;1,B241,B241&lt;TODAY(),TODAY(),B241&gt;TODAY(),B241,B241=TODAY(),TODAY())</f>
        <v>45935</v>
      </c>
      <c r="D241" s="1285" t="s">
        <v>926</v>
      </c>
      <c r="E241" s="1276">
        <v>45769</v>
      </c>
      <c r="F241" s="1285"/>
      <c r="G241" s="1286">
        <v>872342</v>
      </c>
      <c r="H241" s="1272"/>
      <c r="I241" s="1287"/>
      <c r="J241" s="1280">
        <f t="shared" si="12"/>
        <v>872342</v>
      </c>
      <c r="K241" s="1272"/>
      <c r="L241" s="1272"/>
      <c r="M241" s="1272"/>
      <c r="N241" s="1283"/>
      <c r="O241" s="1272"/>
      <c r="P241" s="49" t="s">
        <v>1215</v>
      </c>
      <c r="Q241" s="1192" t="s">
        <v>4912</v>
      </c>
    </row>
    <row r="242" spans="1:17">
      <c r="A242" s="1305" t="s">
        <v>984</v>
      </c>
      <c r="B242" s="1284">
        <v>45817</v>
      </c>
      <c r="C242" s="1274" cm="1">
        <f t="array" aca="1" ref="C242" ca="1">_xlfn.IFS(I242&gt;1,B242,B242&lt;TODAY(),TODAY(),B242&gt;TODAY(),B242,B242=TODAY(),TODAY())</f>
        <v>45935</v>
      </c>
      <c r="D242" s="1285" t="s">
        <v>922</v>
      </c>
      <c r="E242" s="1276">
        <v>45769</v>
      </c>
      <c r="F242" s="1285"/>
      <c r="G242" s="1286">
        <v>14117072</v>
      </c>
      <c r="H242" s="1272"/>
      <c r="I242" s="1287"/>
      <c r="J242" s="1280">
        <f t="shared" si="12"/>
        <v>14117072</v>
      </c>
      <c r="K242" s="1272"/>
      <c r="L242" s="1272"/>
      <c r="M242" s="1272"/>
      <c r="N242" s="1283"/>
      <c r="O242" s="1272"/>
      <c r="P242" s="49" t="s">
        <v>1215</v>
      </c>
      <c r="Q242" s="1192" t="s">
        <v>4912</v>
      </c>
    </row>
    <row r="243" spans="1:17">
      <c r="A243" s="1305" t="s">
        <v>984</v>
      </c>
      <c r="B243" s="1284">
        <v>45818</v>
      </c>
      <c r="C243" s="1274" cm="1">
        <f t="array" aca="1" ref="C243" ca="1">_xlfn.IFS(I243&gt;1,B243,B243&lt;TODAY(),TODAY(),B243&gt;TODAY(),B243,B243=TODAY(),TODAY())</f>
        <v>45935</v>
      </c>
      <c r="D243" s="1285" t="s">
        <v>933</v>
      </c>
      <c r="E243" s="1276">
        <v>45769</v>
      </c>
      <c r="F243" s="1285"/>
      <c r="G243" s="1286">
        <v>1386302</v>
      </c>
      <c r="H243" s="1272"/>
      <c r="I243" s="1287"/>
      <c r="J243" s="1280">
        <f t="shared" si="12"/>
        <v>1386302</v>
      </c>
      <c r="K243" s="1272"/>
      <c r="L243" s="1272"/>
      <c r="M243" s="1272"/>
      <c r="N243" s="1283"/>
      <c r="O243" s="1272"/>
      <c r="P243" s="49" t="s">
        <v>1215</v>
      </c>
      <c r="Q243" s="1192" t="s">
        <v>4912</v>
      </c>
    </row>
    <row r="244" spans="1:17">
      <c r="A244" s="1305" t="s">
        <v>984</v>
      </c>
      <c r="B244" s="1284">
        <v>45819</v>
      </c>
      <c r="C244" s="1274" cm="1">
        <f t="array" aca="1" ref="C244" ca="1">_xlfn.IFS(I244&gt;1,B244,B244&lt;TODAY(),TODAY(),B244&gt;TODAY(),B244,B244=TODAY(),TODAY())</f>
        <v>45935</v>
      </c>
      <c r="D244" s="1285" t="s">
        <v>926</v>
      </c>
      <c r="E244" s="1276">
        <v>45769</v>
      </c>
      <c r="F244" s="1285"/>
      <c r="G244" s="1286">
        <v>2073946</v>
      </c>
      <c r="H244" s="1272"/>
      <c r="I244" s="1287"/>
      <c r="J244" s="1280">
        <f t="shared" si="12"/>
        <v>2073946</v>
      </c>
      <c r="K244" s="1272"/>
      <c r="L244" s="1272"/>
      <c r="M244" s="1272"/>
      <c r="N244" s="1283"/>
      <c r="O244" s="1272"/>
      <c r="P244" s="49" t="s">
        <v>1215</v>
      </c>
      <c r="Q244" s="1192" t="s">
        <v>4912</v>
      </c>
    </row>
    <row r="245" spans="1:17">
      <c r="A245" s="1305" t="s">
        <v>984</v>
      </c>
      <c r="B245" s="1284">
        <v>45819</v>
      </c>
      <c r="C245" s="1274" cm="1">
        <f t="array" aca="1" ref="C245" ca="1">_xlfn.IFS(I245&gt;1,B245,B245&lt;TODAY(),TODAY(),B245&gt;TODAY(),B245,B245=TODAY(),TODAY())</f>
        <v>45935</v>
      </c>
      <c r="D245" s="1285" t="s">
        <v>917</v>
      </c>
      <c r="E245" s="1276">
        <v>45769</v>
      </c>
      <c r="F245" s="1285"/>
      <c r="G245" s="1286">
        <v>2763841</v>
      </c>
      <c r="H245" s="1272"/>
      <c r="I245" s="1287"/>
      <c r="J245" s="1280">
        <f t="shared" si="12"/>
        <v>2763841</v>
      </c>
      <c r="K245" s="1272"/>
      <c r="L245" s="1272"/>
      <c r="M245" s="1272"/>
      <c r="N245" s="1283"/>
      <c r="O245" s="1272"/>
      <c r="P245" s="49" t="s">
        <v>1215</v>
      </c>
      <c r="Q245" s="1192" t="s">
        <v>4912</v>
      </c>
    </row>
    <row r="246" spans="1:17">
      <c r="A246" s="1305" t="s">
        <v>984</v>
      </c>
      <c r="B246" s="1284">
        <v>45819</v>
      </c>
      <c r="C246" s="1274" cm="1">
        <f t="array" aca="1" ref="C246" ca="1">_xlfn.IFS(I246&gt;1,B246,B246&lt;TODAY(),TODAY(),B246&gt;TODAY(),B246,B246=TODAY(),TODAY())</f>
        <v>45935</v>
      </c>
      <c r="D246" s="1285" t="s">
        <v>934</v>
      </c>
      <c r="E246" s="1276">
        <v>45769</v>
      </c>
      <c r="F246" s="1285"/>
      <c r="G246" s="1286">
        <v>5181241</v>
      </c>
      <c r="H246" s="1272"/>
      <c r="I246" s="1287"/>
      <c r="J246" s="1280">
        <f t="shared" si="12"/>
        <v>5181241</v>
      </c>
      <c r="K246" s="1272"/>
      <c r="L246" s="1272"/>
      <c r="M246" s="1272"/>
      <c r="N246" s="1283"/>
      <c r="O246" s="1272"/>
      <c r="P246" s="49" t="s">
        <v>1215</v>
      </c>
      <c r="Q246" s="1192" t="s">
        <v>4912</v>
      </c>
    </row>
    <row r="247" spans="1:17">
      <c r="A247" s="1305" t="s">
        <v>984</v>
      </c>
      <c r="B247" s="1284">
        <v>45819</v>
      </c>
      <c r="C247" s="1274" cm="1">
        <f t="array" aca="1" ref="C247" ca="1">_xlfn.IFS(I247&gt;1,B247,B247&lt;TODAY(),TODAY(),B247&gt;TODAY(),B247,B247=TODAY(),TODAY())</f>
        <v>45935</v>
      </c>
      <c r="D247" s="1285" t="s">
        <v>935</v>
      </c>
      <c r="E247" s="1276">
        <v>45769</v>
      </c>
      <c r="F247" s="1285"/>
      <c r="G247" s="1286">
        <v>4151808</v>
      </c>
      <c r="H247" s="1272"/>
      <c r="I247" s="1287"/>
      <c r="J247" s="1280">
        <f t="shared" si="12"/>
        <v>4151808</v>
      </c>
      <c r="K247" s="1272"/>
      <c r="L247" s="1272"/>
      <c r="M247" s="1272"/>
      <c r="N247" s="1283"/>
      <c r="O247" s="1272"/>
      <c r="P247" s="49" t="s">
        <v>1215</v>
      </c>
      <c r="Q247" s="1192" t="s">
        <v>4912</v>
      </c>
    </row>
    <row r="248" spans="1:17">
      <c r="A248" s="1305" t="s">
        <v>702</v>
      </c>
      <c r="B248" s="1284">
        <v>45819</v>
      </c>
      <c r="C248" s="1274" cm="1">
        <f t="array" aca="1" ref="C248" ca="1">_xlfn.IFS(I248&gt;1,B248,B248&lt;TODAY(),TODAY(),B248&gt;TODAY(),B248,B248=TODAY(),TODAY())</f>
        <v>45935</v>
      </c>
      <c r="D248" s="1285" t="s">
        <v>921</v>
      </c>
      <c r="E248" s="1276">
        <v>45769</v>
      </c>
      <c r="F248" s="1285"/>
      <c r="G248" s="1286">
        <v>52470</v>
      </c>
      <c r="H248" s="1272"/>
      <c r="I248" s="1287"/>
      <c r="J248" s="1280">
        <f t="shared" si="12"/>
        <v>52470</v>
      </c>
      <c r="K248" s="1272"/>
      <c r="L248" s="1272"/>
      <c r="M248" s="1272"/>
      <c r="N248" s="1283"/>
      <c r="O248" s="1272"/>
      <c r="P248" s="49" t="s">
        <v>1215</v>
      </c>
      <c r="Q248" s="1308" t="s">
        <v>4911</v>
      </c>
    </row>
    <row r="249" spans="1:17">
      <c r="A249" s="1305" t="s">
        <v>702</v>
      </c>
      <c r="B249" s="1284">
        <v>45820</v>
      </c>
      <c r="C249" s="1274" cm="1">
        <f t="array" aca="1" ref="C249" ca="1">_xlfn.IFS(I249&gt;1,B249,B249&lt;TODAY(),TODAY(),B249&gt;TODAY(),B249,B249=TODAY(),TODAY())</f>
        <v>45935</v>
      </c>
      <c r="D249" s="1285" t="s">
        <v>918</v>
      </c>
      <c r="E249" s="1276">
        <v>45769</v>
      </c>
      <c r="F249" s="1285"/>
      <c r="G249" s="1286">
        <v>3809866.35</v>
      </c>
      <c r="H249" s="1272"/>
      <c r="I249" s="1287"/>
      <c r="J249" s="1280">
        <f t="shared" si="12"/>
        <v>3809866.35</v>
      </c>
      <c r="K249" s="1272"/>
      <c r="L249" s="1272"/>
      <c r="M249" s="1272"/>
      <c r="N249" s="1283"/>
      <c r="O249" s="1272"/>
      <c r="P249" s="49" t="s">
        <v>1215</v>
      </c>
      <c r="Q249" s="1308" t="s">
        <v>4911</v>
      </c>
    </row>
    <row r="250" spans="1:17">
      <c r="A250" s="1305" t="s">
        <v>702</v>
      </c>
      <c r="B250" s="1284">
        <v>45821</v>
      </c>
      <c r="C250" s="1274" cm="1">
        <f t="array" aca="1" ref="C250" ca="1">_xlfn.IFS(I250&gt;1,B250,B250&lt;TODAY(),TODAY(),B250&gt;TODAY(),B250,B250=TODAY(),TODAY())</f>
        <v>45935</v>
      </c>
      <c r="D250" s="1285" t="s">
        <v>936</v>
      </c>
      <c r="E250" s="1276">
        <v>45769</v>
      </c>
      <c r="F250" s="1285"/>
      <c r="G250" s="1286">
        <v>1316810.8400000001</v>
      </c>
      <c r="H250" s="1272"/>
      <c r="I250" s="1287"/>
      <c r="J250" s="1280">
        <f t="shared" si="12"/>
        <v>1316810.8400000001</v>
      </c>
      <c r="K250" s="1272"/>
      <c r="L250" s="1272"/>
      <c r="M250" s="1272"/>
      <c r="N250" s="1283"/>
      <c r="O250" s="1272"/>
      <c r="P250" s="49" t="s">
        <v>1215</v>
      </c>
      <c r="Q250" s="1308" t="s">
        <v>4911</v>
      </c>
    </row>
    <row r="251" spans="1:17">
      <c r="A251" s="1305" t="s">
        <v>702</v>
      </c>
      <c r="B251" s="1284">
        <v>45821</v>
      </c>
      <c r="C251" s="1274" cm="1">
        <f t="array" aca="1" ref="C251" ca="1">_xlfn.IFS(I251&gt;1,B251,B251&lt;TODAY(),TODAY(),B251&gt;TODAY(),B251,B251=TODAY(),TODAY())</f>
        <v>45935</v>
      </c>
      <c r="D251" s="1285" t="s">
        <v>937</v>
      </c>
      <c r="E251" s="1276">
        <v>45769</v>
      </c>
      <c r="F251" s="1285"/>
      <c r="G251" s="1286">
        <v>20135286</v>
      </c>
      <c r="H251" s="1272"/>
      <c r="I251" s="1287"/>
      <c r="J251" s="1280">
        <f t="shared" si="12"/>
        <v>20135286</v>
      </c>
      <c r="K251" s="1272"/>
      <c r="L251" s="1272"/>
      <c r="M251" s="1272"/>
      <c r="N251" s="1283"/>
      <c r="O251" s="1272"/>
      <c r="P251" s="49" t="s">
        <v>1215</v>
      </c>
      <c r="Q251" s="1308" t="s">
        <v>4911</v>
      </c>
    </row>
    <row r="252" spans="1:17">
      <c r="A252" s="1305" t="s">
        <v>702</v>
      </c>
      <c r="B252" s="1284">
        <v>45821</v>
      </c>
      <c r="C252" s="1274" cm="1">
        <f t="array" aca="1" ref="C252" ca="1">_xlfn.IFS(I252&gt;1,B252,B252&lt;TODAY(),TODAY(),B252&gt;TODAY(),B252,B252=TODAY(),TODAY())</f>
        <v>45935</v>
      </c>
      <c r="D252" s="1285" t="s">
        <v>938</v>
      </c>
      <c r="E252" s="1276">
        <v>45769</v>
      </c>
      <c r="F252" s="1285"/>
      <c r="G252" s="1286">
        <v>9744064.4800000004</v>
      </c>
      <c r="H252" s="1272"/>
      <c r="I252" s="1287"/>
      <c r="J252" s="1280">
        <f t="shared" si="12"/>
        <v>9744064.4800000004</v>
      </c>
      <c r="K252" s="1272"/>
      <c r="L252" s="1272"/>
      <c r="M252" s="1272"/>
      <c r="N252" s="1283"/>
      <c r="O252" s="1272"/>
      <c r="P252" s="49" t="s">
        <v>1215</v>
      </c>
      <c r="Q252" s="1308" t="s">
        <v>4911</v>
      </c>
    </row>
    <row r="253" spans="1:17">
      <c r="A253" s="1305" t="s">
        <v>702</v>
      </c>
      <c r="B253" s="1284">
        <v>45822</v>
      </c>
      <c r="C253" s="1274" cm="1">
        <f t="array" aca="1" ref="C253" ca="1">_xlfn.IFS(I253&gt;1,B253,B253&lt;TODAY(),TODAY(),B253&gt;TODAY(),B253,B253=TODAY(),TODAY())</f>
        <v>45935</v>
      </c>
      <c r="D253" s="1285" t="s">
        <v>939</v>
      </c>
      <c r="E253" s="1276">
        <v>45769</v>
      </c>
      <c r="F253" s="1285"/>
      <c r="G253" s="1286">
        <v>31294770.889999997</v>
      </c>
      <c r="H253" s="1272"/>
      <c r="I253" s="1287"/>
      <c r="J253" s="1280">
        <f t="shared" si="12"/>
        <v>31294770.889999997</v>
      </c>
      <c r="K253" s="1272"/>
      <c r="L253" s="1272"/>
      <c r="M253" s="1272"/>
      <c r="N253" s="1283"/>
      <c r="O253" s="1272"/>
      <c r="P253" s="49" t="s">
        <v>1215</v>
      </c>
      <c r="Q253" s="1308" t="s">
        <v>4911</v>
      </c>
    </row>
    <row r="254" spans="1:17">
      <c r="A254" s="1305" t="s">
        <v>702</v>
      </c>
      <c r="B254" s="1284">
        <v>45822</v>
      </c>
      <c r="C254" s="1274" cm="1">
        <f t="array" aca="1" ref="C254" ca="1">_xlfn.IFS(I254&gt;1,B254,B254&lt;TODAY(),TODAY(),B254&gt;TODAY(),B254,B254=TODAY(),TODAY())</f>
        <v>45935</v>
      </c>
      <c r="D254" s="1285" t="s">
        <v>940</v>
      </c>
      <c r="E254" s="1276">
        <v>45769</v>
      </c>
      <c r="F254" s="1285"/>
      <c r="G254" s="1286">
        <v>708192</v>
      </c>
      <c r="H254" s="1272"/>
      <c r="I254" s="1287"/>
      <c r="J254" s="1280">
        <f t="shared" si="12"/>
        <v>708192</v>
      </c>
      <c r="K254" s="1272"/>
      <c r="L254" s="1272"/>
      <c r="M254" s="1272"/>
      <c r="N254" s="1283"/>
      <c r="O254" s="1272"/>
      <c r="P254" s="49" t="s">
        <v>1215</v>
      </c>
      <c r="Q254" s="1308" t="s">
        <v>4911</v>
      </c>
    </row>
    <row r="255" spans="1:17">
      <c r="A255" s="1305" t="s">
        <v>702</v>
      </c>
      <c r="B255" s="1284">
        <v>45822</v>
      </c>
      <c r="C255" s="1274" cm="1">
        <f t="array" aca="1" ref="C255" ca="1">_xlfn.IFS(I255&gt;1,B255,B255&lt;TODAY(),TODAY(),B255&gt;TODAY(),B255,B255=TODAY(),TODAY())</f>
        <v>45935</v>
      </c>
      <c r="D255" s="1285" t="s">
        <v>938</v>
      </c>
      <c r="E255" s="1276">
        <v>45769</v>
      </c>
      <c r="F255" s="1285"/>
      <c r="G255" s="1286">
        <v>9733824</v>
      </c>
      <c r="H255" s="1272"/>
      <c r="I255" s="1287"/>
      <c r="J255" s="1280">
        <f t="shared" si="12"/>
        <v>9733824</v>
      </c>
      <c r="K255" s="1272"/>
      <c r="L255" s="1272"/>
      <c r="M255" s="1272"/>
      <c r="N255" s="1283"/>
      <c r="O255" s="1272"/>
      <c r="P255" s="49" t="s">
        <v>1215</v>
      </c>
      <c r="Q255" s="1308" t="s">
        <v>4911</v>
      </c>
    </row>
    <row r="256" spans="1:17">
      <c r="A256" s="1305" t="s">
        <v>702</v>
      </c>
      <c r="B256" s="1284">
        <v>45822</v>
      </c>
      <c r="C256" s="1274" cm="1">
        <f t="array" aca="1" ref="C256" ca="1">_xlfn.IFS(I256&gt;1,B256,B256&lt;TODAY(),TODAY(),B256&gt;TODAY(),B256,B256=TODAY(),TODAY())</f>
        <v>45935</v>
      </c>
      <c r="D256" s="1285" t="s">
        <v>941</v>
      </c>
      <c r="E256" s="1276">
        <v>45769</v>
      </c>
      <c r="F256" s="1285"/>
      <c r="G256" s="1286">
        <v>630147</v>
      </c>
      <c r="H256" s="1272"/>
      <c r="I256" s="1287"/>
      <c r="J256" s="1280">
        <f t="shared" si="12"/>
        <v>630147</v>
      </c>
      <c r="K256" s="1272"/>
      <c r="L256" s="1272"/>
      <c r="M256" s="1272"/>
      <c r="N256" s="1283"/>
      <c r="O256" s="1272"/>
      <c r="P256" s="49" t="s">
        <v>1215</v>
      </c>
      <c r="Q256" s="1308" t="s">
        <v>4911</v>
      </c>
    </row>
    <row r="257" spans="1:17">
      <c r="A257" s="1305" t="s">
        <v>702</v>
      </c>
      <c r="B257" s="1284">
        <v>45823</v>
      </c>
      <c r="C257" s="1274" cm="1">
        <f t="array" aca="1" ref="C257" ca="1">_xlfn.IFS(I257&gt;1,B257,B257&lt;TODAY(),TODAY(),B257&gt;TODAY(),B257,B257=TODAY(),TODAY())</f>
        <v>45935</v>
      </c>
      <c r="D257" s="1285" t="s">
        <v>942</v>
      </c>
      <c r="E257" s="1276">
        <v>45769</v>
      </c>
      <c r="F257" s="1285"/>
      <c r="G257" s="1286">
        <v>9914490.6600000001</v>
      </c>
      <c r="H257" s="1272"/>
      <c r="I257" s="1287"/>
      <c r="J257" s="1280">
        <f t="shared" si="12"/>
        <v>9914490.6600000001</v>
      </c>
      <c r="K257" s="1272"/>
      <c r="L257" s="1272"/>
      <c r="M257" s="1272"/>
      <c r="N257" s="1283"/>
      <c r="O257" s="1272"/>
      <c r="P257" s="49" t="s">
        <v>1215</v>
      </c>
      <c r="Q257" s="1308" t="s">
        <v>4911</v>
      </c>
    </row>
    <row r="258" spans="1:17">
      <c r="A258" s="1305" t="s">
        <v>702</v>
      </c>
      <c r="B258" s="1284">
        <v>45824</v>
      </c>
      <c r="C258" s="1274" cm="1">
        <f t="array" aca="1" ref="C258" ca="1">_xlfn.IFS(I258&gt;1,B258,B258&lt;TODAY(),TODAY(),B258&gt;TODAY(),B258,B258=TODAY(),TODAY())</f>
        <v>45935</v>
      </c>
      <c r="D258" s="1285" t="s">
        <v>926</v>
      </c>
      <c r="E258" s="1276">
        <v>45769</v>
      </c>
      <c r="F258" s="1285"/>
      <c r="G258" s="1286">
        <v>17401726.050000001</v>
      </c>
      <c r="H258" s="1272"/>
      <c r="I258" s="1287"/>
      <c r="J258" s="1280">
        <f t="shared" ref="J258:J321" si="14">G258-I258</f>
        <v>17401726.050000001</v>
      </c>
      <c r="K258" s="1272"/>
      <c r="L258" s="1272"/>
      <c r="M258" s="1272"/>
      <c r="N258" s="1283"/>
      <c r="O258" s="1272"/>
      <c r="P258" s="49" t="s">
        <v>1215</v>
      </c>
      <c r="Q258" s="1308" t="s">
        <v>4911</v>
      </c>
    </row>
    <row r="259" spans="1:17">
      <c r="A259" s="1305" t="s">
        <v>702</v>
      </c>
      <c r="B259" s="1284">
        <v>45824</v>
      </c>
      <c r="C259" s="1274" cm="1">
        <f t="array" aca="1" ref="C259" ca="1">_xlfn.IFS(I259&gt;1,B259,B259&lt;TODAY(),TODAY(),B259&gt;TODAY(),B259,B259=TODAY(),TODAY())</f>
        <v>45935</v>
      </c>
      <c r="D259" s="1285" t="s">
        <v>942</v>
      </c>
      <c r="E259" s="1276">
        <v>45769</v>
      </c>
      <c r="F259" s="1285"/>
      <c r="G259" s="1286">
        <v>2100554.66</v>
      </c>
      <c r="H259" s="1272"/>
      <c r="I259" s="1287"/>
      <c r="J259" s="1280">
        <f t="shared" si="14"/>
        <v>2100554.66</v>
      </c>
      <c r="K259" s="1272"/>
      <c r="L259" s="1272"/>
      <c r="M259" s="1272"/>
      <c r="N259" s="1283"/>
      <c r="O259" s="1272"/>
      <c r="P259" s="49" t="s">
        <v>1215</v>
      </c>
      <c r="Q259" s="1308" t="s">
        <v>4911</v>
      </c>
    </row>
    <row r="260" spans="1:17">
      <c r="A260" s="1305" t="s">
        <v>702</v>
      </c>
      <c r="B260" s="1284">
        <v>45824</v>
      </c>
      <c r="C260" s="1274" cm="1">
        <f t="array" aca="1" ref="C260" ca="1">_xlfn.IFS(I260&gt;1,B260,B260&lt;TODAY(),TODAY(),B260&gt;TODAY(),B260,B260=TODAY(),TODAY())</f>
        <v>45935</v>
      </c>
      <c r="D260" s="1285" t="s">
        <v>918</v>
      </c>
      <c r="E260" s="1276">
        <v>45769</v>
      </c>
      <c r="F260" s="1285"/>
      <c r="G260" s="1286">
        <v>2207357</v>
      </c>
      <c r="H260" s="1272"/>
      <c r="I260" s="1287"/>
      <c r="J260" s="1280">
        <f t="shared" si="14"/>
        <v>2207357</v>
      </c>
      <c r="K260" s="1272"/>
      <c r="L260" s="1272"/>
      <c r="M260" s="1272"/>
      <c r="N260" s="1283"/>
      <c r="O260" s="1272"/>
      <c r="P260" s="49" t="s">
        <v>1215</v>
      </c>
      <c r="Q260" s="1308" t="s">
        <v>4911</v>
      </c>
    </row>
    <row r="261" spans="1:17">
      <c r="A261" s="1305" t="s">
        <v>702</v>
      </c>
      <c r="B261" s="1284">
        <v>45825</v>
      </c>
      <c r="C261" s="1274" cm="1">
        <f t="array" aca="1" ref="C261" ca="1">_xlfn.IFS(I261&gt;1,B261,B261&lt;TODAY(),TODAY(),B261&gt;TODAY(),B261,B261=TODAY(),TODAY())</f>
        <v>45935</v>
      </c>
      <c r="D261" s="1285" t="s">
        <v>916</v>
      </c>
      <c r="E261" s="1276">
        <v>45769</v>
      </c>
      <c r="F261" s="1285"/>
      <c r="G261" s="1286">
        <v>984344.64</v>
      </c>
      <c r="H261" s="1272"/>
      <c r="I261" s="1287"/>
      <c r="J261" s="1280">
        <f t="shared" si="14"/>
        <v>984344.64</v>
      </c>
      <c r="K261" s="1272"/>
      <c r="L261" s="1272"/>
      <c r="M261" s="1272"/>
      <c r="N261" s="1283"/>
      <c r="O261" s="1272"/>
      <c r="P261" s="49" t="s">
        <v>1215</v>
      </c>
      <c r="Q261" s="1308" t="s">
        <v>4911</v>
      </c>
    </row>
    <row r="262" spans="1:17">
      <c r="A262" s="1305" t="s">
        <v>702</v>
      </c>
      <c r="B262" s="1284">
        <v>45825</v>
      </c>
      <c r="C262" s="1274" cm="1">
        <f t="array" aca="1" ref="C262" ca="1">_xlfn.IFS(I262&gt;1,B262,B262&lt;TODAY(),TODAY(),B262&gt;TODAY(),B262,B262=TODAY(),TODAY())</f>
        <v>45935</v>
      </c>
      <c r="D262" s="1285" t="s">
        <v>918</v>
      </c>
      <c r="E262" s="1276">
        <v>45769</v>
      </c>
      <c r="F262" s="1285"/>
      <c r="G262" s="1286">
        <v>1727052.95</v>
      </c>
      <c r="H262" s="1272"/>
      <c r="I262" s="1287"/>
      <c r="J262" s="1280">
        <f t="shared" si="14"/>
        <v>1727052.95</v>
      </c>
      <c r="K262" s="1272"/>
      <c r="L262" s="1272"/>
      <c r="M262" s="1272"/>
      <c r="N262" s="1283"/>
      <c r="O262" s="1272"/>
      <c r="P262" s="49" t="s">
        <v>1215</v>
      </c>
      <c r="Q262" s="1308" t="s">
        <v>4911</v>
      </c>
    </row>
    <row r="263" spans="1:17">
      <c r="A263" s="1305" t="s">
        <v>702</v>
      </c>
      <c r="B263" s="1284">
        <v>45825</v>
      </c>
      <c r="C263" s="1274" cm="1">
        <f t="array" aca="1" ref="C263" ca="1">_xlfn.IFS(I263&gt;1,B263,B263&lt;TODAY(),TODAY(),B263&gt;TODAY(),B263,B263=TODAY(),TODAY())</f>
        <v>45935</v>
      </c>
      <c r="D263" s="1285" t="s">
        <v>941</v>
      </c>
      <c r="E263" s="1276">
        <v>45769</v>
      </c>
      <c r="F263" s="1285"/>
      <c r="G263" s="1286">
        <v>56124</v>
      </c>
      <c r="H263" s="1272"/>
      <c r="I263" s="1287"/>
      <c r="J263" s="1280">
        <f t="shared" si="14"/>
        <v>56124</v>
      </c>
      <c r="K263" s="1272"/>
      <c r="L263" s="1272"/>
      <c r="M263" s="1272"/>
      <c r="N263" s="1283"/>
      <c r="O263" s="1272"/>
      <c r="P263" s="49" t="s">
        <v>1215</v>
      </c>
      <c r="Q263" s="1308" t="s">
        <v>4911</v>
      </c>
    </row>
    <row r="264" spans="1:17">
      <c r="A264" s="1305" t="s">
        <v>702</v>
      </c>
      <c r="B264" s="1284">
        <v>45825</v>
      </c>
      <c r="C264" s="1274" cm="1">
        <f t="array" aca="1" ref="C264" ca="1">_xlfn.IFS(I264&gt;1,B264,B264&lt;TODAY(),TODAY(),B264&gt;TODAY(),B264,B264=TODAY(),TODAY())</f>
        <v>45935</v>
      </c>
      <c r="D264" s="1285" t="s">
        <v>943</v>
      </c>
      <c r="E264" s="1276">
        <v>45769</v>
      </c>
      <c r="F264" s="1285"/>
      <c r="G264" s="1286">
        <v>1220400</v>
      </c>
      <c r="H264" s="1272"/>
      <c r="I264" s="1287"/>
      <c r="J264" s="1280">
        <f t="shared" si="14"/>
        <v>1220400</v>
      </c>
      <c r="K264" s="1272"/>
      <c r="L264" s="1272"/>
      <c r="M264" s="1272"/>
      <c r="N264" s="1283"/>
      <c r="O264" s="1272"/>
      <c r="P264" s="49" t="s">
        <v>1215</v>
      </c>
      <c r="Q264" s="1308" t="s">
        <v>4911</v>
      </c>
    </row>
    <row r="265" spans="1:17">
      <c r="A265" s="1305" t="s">
        <v>702</v>
      </c>
      <c r="B265" s="1284">
        <v>45825</v>
      </c>
      <c r="C265" s="1274" cm="1">
        <f t="array" aca="1" ref="C265" ca="1">_xlfn.IFS(I265&gt;1,B265,B265&lt;TODAY(),TODAY(),B265&gt;TODAY(),B265,B265=TODAY(),TODAY())</f>
        <v>45935</v>
      </c>
      <c r="D265" s="1285" t="s">
        <v>944</v>
      </c>
      <c r="E265" s="1276">
        <v>45769</v>
      </c>
      <c r="F265" s="1285"/>
      <c r="G265" s="1286">
        <v>1915170.24</v>
      </c>
      <c r="H265" s="1272"/>
      <c r="I265" s="1287"/>
      <c r="J265" s="1280">
        <f t="shared" si="14"/>
        <v>1915170.24</v>
      </c>
      <c r="K265" s="1272"/>
      <c r="L265" s="1272"/>
      <c r="M265" s="1272"/>
      <c r="N265" s="1283"/>
      <c r="O265" s="1272"/>
      <c r="P265" s="49" t="s">
        <v>1215</v>
      </c>
      <c r="Q265" s="1308" t="s">
        <v>4911</v>
      </c>
    </row>
    <row r="266" spans="1:17">
      <c r="A266" s="1305" t="s">
        <v>702</v>
      </c>
      <c r="B266" s="1284">
        <v>45826</v>
      </c>
      <c r="C266" s="1274" cm="1">
        <f t="array" aca="1" ref="C266" ca="1">_xlfn.IFS(I266&gt;1,B266,B266&lt;TODAY(),TODAY(),B266&gt;TODAY(),B266,B266=TODAY(),TODAY())</f>
        <v>45935</v>
      </c>
      <c r="D266" s="1285" t="s">
        <v>945</v>
      </c>
      <c r="E266" s="1276">
        <v>45769</v>
      </c>
      <c r="F266" s="1285"/>
      <c r="G266" s="1286">
        <v>252598</v>
      </c>
      <c r="H266" s="1272"/>
      <c r="I266" s="1287"/>
      <c r="J266" s="1280">
        <f t="shared" si="14"/>
        <v>252598</v>
      </c>
      <c r="K266" s="1272"/>
      <c r="L266" s="1272"/>
      <c r="M266" s="1272"/>
      <c r="N266" s="1283"/>
      <c r="O266" s="1272"/>
      <c r="P266" s="49" t="s">
        <v>1215</v>
      </c>
      <c r="Q266" s="1308" t="s">
        <v>4911</v>
      </c>
    </row>
    <row r="267" spans="1:17">
      <c r="A267" s="1305" t="s">
        <v>702</v>
      </c>
      <c r="B267" s="1284">
        <v>45826</v>
      </c>
      <c r="C267" s="1274" cm="1">
        <f t="array" aca="1" ref="C267" ca="1">_xlfn.IFS(I267&gt;1,B267,B267&lt;TODAY(),TODAY(),B267&gt;TODAY(),B267,B267=TODAY(),TODAY())</f>
        <v>45935</v>
      </c>
      <c r="D267" s="1285" t="s">
        <v>918</v>
      </c>
      <c r="E267" s="1276">
        <v>45769</v>
      </c>
      <c r="F267" s="1285"/>
      <c r="G267" s="1286">
        <v>2123360.44</v>
      </c>
      <c r="H267" s="1272"/>
      <c r="I267" s="1287"/>
      <c r="J267" s="1280">
        <f t="shared" si="14"/>
        <v>2123360.44</v>
      </c>
      <c r="K267" s="1272"/>
      <c r="L267" s="1272"/>
      <c r="M267" s="1272"/>
      <c r="N267" s="1283"/>
      <c r="O267" s="1272"/>
      <c r="P267" s="49" t="s">
        <v>1215</v>
      </c>
      <c r="Q267" s="1308" t="s">
        <v>4911</v>
      </c>
    </row>
    <row r="268" spans="1:17">
      <c r="A268" s="1305" t="s">
        <v>702</v>
      </c>
      <c r="B268" s="1284">
        <v>45827</v>
      </c>
      <c r="C268" s="1274" cm="1">
        <f t="array" aca="1" ref="C268" ca="1">_xlfn.IFS(I268&gt;1,B268,B268&lt;TODAY(),TODAY(),B268&gt;TODAY(),B268,B268=TODAY(),TODAY())</f>
        <v>45935</v>
      </c>
      <c r="D268" s="1285" t="s">
        <v>918</v>
      </c>
      <c r="E268" s="1276">
        <v>45769</v>
      </c>
      <c r="F268" s="1285"/>
      <c r="G268" s="1286">
        <v>1109070</v>
      </c>
      <c r="H268" s="1272"/>
      <c r="I268" s="1287"/>
      <c r="J268" s="1280">
        <f t="shared" si="14"/>
        <v>1109070</v>
      </c>
      <c r="K268" s="1272"/>
      <c r="L268" s="1272"/>
      <c r="M268" s="1272"/>
      <c r="N268" s="1283"/>
      <c r="O268" s="1272"/>
      <c r="P268" s="49" t="s">
        <v>1215</v>
      </c>
      <c r="Q268" s="1308" t="s">
        <v>4911</v>
      </c>
    </row>
    <row r="269" spans="1:17">
      <c r="A269" s="1305" t="s">
        <v>702</v>
      </c>
      <c r="B269" s="1284">
        <v>45828</v>
      </c>
      <c r="C269" s="1274" cm="1">
        <f t="array" aca="1" ref="C269" ca="1">_xlfn.IFS(I269&gt;1,B269,B269&lt;TODAY(),TODAY(),B269&gt;TODAY(),B269,B269=TODAY(),TODAY())</f>
        <v>45935</v>
      </c>
      <c r="D269" s="1285" t="s">
        <v>946</v>
      </c>
      <c r="E269" s="1276">
        <v>45769</v>
      </c>
      <c r="F269" s="1285"/>
      <c r="G269" s="1286">
        <v>1169592.3999999999</v>
      </c>
      <c r="H269" s="1272"/>
      <c r="I269" s="1287"/>
      <c r="J269" s="1280">
        <f t="shared" si="14"/>
        <v>1169592.3999999999</v>
      </c>
      <c r="K269" s="1272"/>
      <c r="L269" s="1272"/>
      <c r="M269" s="1272"/>
      <c r="N269" s="1283"/>
      <c r="O269" s="1272"/>
      <c r="P269" s="49" t="s">
        <v>1215</v>
      </c>
      <c r="Q269" s="1308" t="s">
        <v>4911</v>
      </c>
    </row>
    <row r="270" spans="1:17">
      <c r="A270" s="1305" t="s">
        <v>702</v>
      </c>
      <c r="B270" s="1284">
        <v>45828</v>
      </c>
      <c r="C270" s="1274" cm="1">
        <f t="array" aca="1" ref="C270" ca="1">_xlfn.IFS(I270&gt;1,B270,B270&lt;TODAY(),TODAY(),B270&gt;TODAY(),B270,B270=TODAY(),TODAY())</f>
        <v>45935</v>
      </c>
      <c r="D270" s="1285" t="s">
        <v>942</v>
      </c>
      <c r="E270" s="1276">
        <v>45769</v>
      </c>
      <c r="F270" s="1285"/>
      <c r="G270" s="1286">
        <v>1076278</v>
      </c>
      <c r="H270" s="1272"/>
      <c r="I270" s="1287"/>
      <c r="J270" s="1280">
        <f t="shared" si="14"/>
        <v>1076278</v>
      </c>
      <c r="K270" s="1272"/>
      <c r="L270" s="1272"/>
      <c r="M270" s="1272"/>
      <c r="N270" s="1283"/>
      <c r="O270" s="1272"/>
      <c r="P270" s="49" t="s">
        <v>1215</v>
      </c>
      <c r="Q270" s="1308" t="s">
        <v>4911</v>
      </c>
    </row>
    <row r="271" spans="1:17">
      <c r="A271" s="1305" t="s">
        <v>702</v>
      </c>
      <c r="B271" s="1284">
        <v>45828</v>
      </c>
      <c r="C271" s="1274" cm="1">
        <f t="array" aca="1" ref="C271" ca="1">_xlfn.IFS(I271&gt;1,B271,B271&lt;TODAY(),TODAY(),B271&gt;TODAY(),B271,B271=TODAY(),TODAY())</f>
        <v>45935</v>
      </c>
      <c r="D271" s="1285" t="s">
        <v>918</v>
      </c>
      <c r="E271" s="1276">
        <v>45769</v>
      </c>
      <c r="F271" s="1285"/>
      <c r="G271" s="1286">
        <v>34390980</v>
      </c>
      <c r="H271" s="1272"/>
      <c r="I271" s="1287"/>
      <c r="J271" s="1280">
        <f t="shared" si="14"/>
        <v>34390980</v>
      </c>
      <c r="K271" s="1272"/>
      <c r="L271" s="1272"/>
      <c r="M271" s="1272"/>
      <c r="N271" s="1283"/>
      <c r="O271" s="1272"/>
      <c r="P271" s="49" t="s">
        <v>1215</v>
      </c>
      <c r="Q271" s="1308" t="s">
        <v>4911</v>
      </c>
    </row>
    <row r="272" spans="1:17">
      <c r="A272" s="1305" t="s">
        <v>702</v>
      </c>
      <c r="B272" s="1284">
        <v>45829</v>
      </c>
      <c r="C272" s="1274" cm="1">
        <f t="array" aca="1" ref="C272" ca="1">_xlfn.IFS(I272&gt;1,B272,B272&lt;TODAY(),TODAY(),B272&gt;TODAY(),B272,B272=TODAY(),TODAY())</f>
        <v>45935</v>
      </c>
      <c r="D272" s="1285" t="s">
        <v>866</v>
      </c>
      <c r="E272" s="1276">
        <v>45769</v>
      </c>
      <c r="F272" s="1285"/>
      <c r="G272" s="1286">
        <v>856167</v>
      </c>
      <c r="H272" s="1272"/>
      <c r="I272" s="1287"/>
      <c r="J272" s="1280">
        <f t="shared" si="14"/>
        <v>856167</v>
      </c>
      <c r="K272" s="1272"/>
      <c r="L272" s="1272"/>
      <c r="M272" s="1272"/>
      <c r="N272" s="1283"/>
      <c r="O272" s="1272"/>
      <c r="P272" s="49" t="s">
        <v>1215</v>
      </c>
      <c r="Q272" s="1308" t="s">
        <v>4911</v>
      </c>
    </row>
    <row r="273" spans="1:17">
      <c r="A273" s="1305" t="s">
        <v>702</v>
      </c>
      <c r="B273" s="1284">
        <v>45829</v>
      </c>
      <c r="C273" s="1274" cm="1">
        <f t="array" aca="1" ref="C273" ca="1">_xlfn.IFS(I273&gt;1,B273,B273&lt;TODAY(),TODAY(),B273&gt;TODAY(),B273,B273=TODAY(),TODAY())</f>
        <v>45935</v>
      </c>
      <c r="D273" s="1285" t="s">
        <v>947</v>
      </c>
      <c r="E273" s="1276">
        <v>45769</v>
      </c>
      <c r="F273" s="1285"/>
      <c r="G273" s="1286">
        <v>1002000</v>
      </c>
      <c r="H273" s="1272"/>
      <c r="I273" s="1287"/>
      <c r="J273" s="1280">
        <f t="shared" si="14"/>
        <v>1002000</v>
      </c>
      <c r="K273" s="1272"/>
      <c r="L273" s="1272"/>
      <c r="M273" s="1272"/>
      <c r="N273" s="1283"/>
      <c r="O273" s="1272"/>
      <c r="P273" s="49" t="s">
        <v>1215</v>
      </c>
      <c r="Q273" s="1308" t="s">
        <v>4911</v>
      </c>
    </row>
    <row r="274" spans="1:17">
      <c r="A274" s="1305" t="s">
        <v>702</v>
      </c>
      <c r="B274" s="1284">
        <v>45829</v>
      </c>
      <c r="C274" s="1274" cm="1">
        <f t="array" aca="1" ref="C274" ca="1">_xlfn.IFS(I274&gt;1,B274,B274&lt;TODAY(),TODAY(),B274&gt;TODAY(),B274,B274=TODAY(),TODAY())</f>
        <v>45935</v>
      </c>
      <c r="D274" s="1285" t="s">
        <v>948</v>
      </c>
      <c r="E274" s="1276">
        <v>45769</v>
      </c>
      <c r="F274" s="1285"/>
      <c r="G274" s="1286">
        <v>649224</v>
      </c>
      <c r="H274" s="1272"/>
      <c r="I274" s="1287"/>
      <c r="J274" s="1280">
        <f t="shared" si="14"/>
        <v>649224</v>
      </c>
      <c r="K274" s="1272"/>
      <c r="L274" s="1272"/>
      <c r="M274" s="1272"/>
      <c r="N274" s="1283"/>
      <c r="O274" s="1272"/>
      <c r="P274" s="49" t="s">
        <v>1215</v>
      </c>
      <c r="Q274" s="1308" t="s">
        <v>4911</v>
      </c>
    </row>
    <row r="275" spans="1:17">
      <c r="A275" s="1305" t="s">
        <v>702</v>
      </c>
      <c r="B275" s="1284">
        <v>45829</v>
      </c>
      <c r="C275" s="1274" cm="1">
        <f t="array" aca="1" ref="C275" ca="1">_xlfn.IFS(I275&gt;1,B275,B275&lt;TODAY(),TODAY(),B275&gt;TODAY(),B275,B275=TODAY(),TODAY())</f>
        <v>45935</v>
      </c>
      <c r="D275" s="1285" t="s">
        <v>929</v>
      </c>
      <c r="E275" s="1276">
        <v>45769</v>
      </c>
      <c r="F275" s="1285"/>
      <c r="G275" s="1286">
        <v>1348998</v>
      </c>
      <c r="H275" s="1272"/>
      <c r="I275" s="1287"/>
      <c r="J275" s="1280">
        <f t="shared" si="14"/>
        <v>1348998</v>
      </c>
      <c r="K275" s="1272"/>
      <c r="L275" s="1272"/>
      <c r="M275" s="1272"/>
      <c r="N275" s="1283"/>
      <c r="O275" s="1272"/>
      <c r="P275" s="49" t="s">
        <v>1215</v>
      </c>
      <c r="Q275" s="1308" t="s">
        <v>4911</v>
      </c>
    </row>
    <row r="276" spans="1:17">
      <c r="A276" s="1305" t="s">
        <v>702</v>
      </c>
      <c r="B276" s="1284">
        <v>45829</v>
      </c>
      <c r="C276" s="1274" cm="1">
        <f t="array" aca="1" ref="C276" ca="1">_xlfn.IFS(I276&gt;1,B276,B276&lt;TODAY(),TODAY(),B276&gt;TODAY(),B276,B276=TODAY(),TODAY())</f>
        <v>45935</v>
      </c>
      <c r="D276" s="1285" t="s">
        <v>949</v>
      </c>
      <c r="E276" s="1276">
        <v>45769</v>
      </c>
      <c r="F276" s="1285"/>
      <c r="G276" s="1286">
        <v>3867676</v>
      </c>
      <c r="H276" s="1272"/>
      <c r="I276" s="1287"/>
      <c r="J276" s="1280">
        <f t="shared" si="14"/>
        <v>3867676</v>
      </c>
      <c r="K276" s="1272"/>
      <c r="L276" s="1272"/>
      <c r="M276" s="1272"/>
      <c r="N276" s="1283"/>
      <c r="O276" s="1272"/>
      <c r="P276" s="49" t="s">
        <v>1215</v>
      </c>
      <c r="Q276" s="1308" t="s">
        <v>4911</v>
      </c>
    </row>
    <row r="277" spans="1:17">
      <c r="A277" s="1305" t="s">
        <v>3724</v>
      </c>
      <c r="B277" s="1284">
        <v>45829</v>
      </c>
      <c r="C277" s="1274" cm="1">
        <f t="array" aca="1" ref="C277" ca="1">_xlfn.IFS(I277&gt;1,B277,B277&lt;TODAY(),TODAY(),B277&gt;TODAY(),B277,B277=TODAY(),TODAY())</f>
        <v>45935</v>
      </c>
      <c r="D277" s="1285" t="s">
        <v>922</v>
      </c>
      <c r="E277" s="1276">
        <v>45769</v>
      </c>
      <c r="F277" s="1285"/>
      <c r="G277" s="1286">
        <v>4000000</v>
      </c>
      <c r="H277" s="1272"/>
      <c r="I277" s="1287"/>
      <c r="J277" s="1280">
        <f t="shared" si="14"/>
        <v>4000000</v>
      </c>
      <c r="K277" s="1272"/>
      <c r="L277" s="1272"/>
      <c r="M277" s="1272"/>
      <c r="N277" s="1283"/>
      <c r="O277" s="1272"/>
      <c r="P277" s="49" t="s">
        <v>1215</v>
      </c>
      <c r="Q277" s="1308" t="s">
        <v>4913</v>
      </c>
    </row>
    <row r="278" spans="1:17">
      <c r="A278" s="1305" t="s">
        <v>3724</v>
      </c>
      <c r="B278" s="1284">
        <v>45829</v>
      </c>
      <c r="C278" s="1274" cm="1">
        <f t="array" aca="1" ref="C278" ca="1">_xlfn.IFS(I278&gt;1,B278,B278&lt;TODAY(),TODAY(),B278&gt;TODAY(),B278,B278=TODAY(),TODAY())</f>
        <v>45935</v>
      </c>
      <c r="D278" s="1285" t="s">
        <v>914</v>
      </c>
      <c r="E278" s="1276">
        <v>45769</v>
      </c>
      <c r="F278" s="1285"/>
      <c r="G278" s="1286">
        <v>15960000</v>
      </c>
      <c r="H278" s="1272"/>
      <c r="I278" s="1287"/>
      <c r="J278" s="1280">
        <f t="shared" si="14"/>
        <v>15960000</v>
      </c>
      <c r="K278" s="1272"/>
      <c r="L278" s="1272"/>
      <c r="M278" s="1272"/>
      <c r="N278" s="1283"/>
      <c r="O278" s="1272"/>
      <c r="P278" s="49" t="s">
        <v>1215</v>
      </c>
      <c r="Q278" s="1310" t="s">
        <v>4913</v>
      </c>
    </row>
    <row r="279" spans="1:17">
      <c r="A279" s="1305" t="s">
        <v>4904</v>
      </c>
      <c r="B279" s="1284">
        <v>45829</v>
      </c>
      <c r="C279" s="1274" cm="1">
        <f t="array" aca="1" ref="C279" ca="1">_xlfn.IFS(I279&gt;1,B279,B279&lt;TODAY(),TODAY(),B279&gt;TODAY(),B279,B279=TODAY(),TODAY())</f>
        <v>45935</v>
      </c>
      <c r="D279" s="1285" t="s">
        <v>921</v>
      </c>
      <c r="E279" s="1276">
        <v>45769</v>
      </c>
      <c r="F279" s="1285"/>
      <c r="G279" s="1286">
        <v>13700000.000000002</v>
      </c>
      <c r="H279" s="1272"/>
      <c r="I279" s="1287"/>
      <c r="J279" s="1280">
        <f t="shared" si="14"/>
        <v>13700000.000000002</v>
      </c>
      <c r="K279" s="1272"/>
      <c r="L279" s="1272"/>
      <c r="M279" s="1272"/>
      <c r="N279" s="1283"/>
      <c r="O279" s="1272"/>
      <c r="P279" s="49" t="s">
        <v>1215</v>
      </c>
      <c r="Q279" s="1308" t="s">
        <v>4914</v>
      </c>
    </row>
    <row r="280" spans="1:17">
      <c r="A280" s="1305" t="s">
        <v>4905</v>
      </c>
      <c r="B280" s="1284">
        <v>45829</v>
      </c>
      <c r="C280" s="1274" cm="1">
        <f t="array" aca="1" ref="C280" ca="1">_xlfn.IFS(I280&gt;1,B280,B280&lt;TODAY(),TODAY(),B280&gt;TODAY(),B280,B280=TODAY(),TODAY())</f>
        <v>45935</v>
      </c>
      <c r="D280" s="1285" t="s">
        <v>941</v>
      </c>
      <c r="E280" s="1276">
        <v>45769</v>
      </c>
      <c r="F280" s="1285"/>
      <c r="G280" s="1286">
        <v>578000</v>
      </c>
      <c r="H280" s="1272"/>
      <c r="I280" s="1287"/>
      <c r="J280" s="1280">
        <f t="shared" si="14"/>
        <v>578000</v>
      </c>
      <c r="K280" s="1272"/>
      <c r="L280" s="1272"/>
      <c r="M280" s="1272"/>
      <c r="N280" s="1283"/>
      <c r="O280" s="1272"/>
      <c r="P280" s="49" t="s">
        <v>1215</v>
      </c>
      <c r="Q280" s="1308" t="s">
        <v>4912</v>
      </c>
    </row>
    <row r="281" spans="1:17">
      <c r="A281" s="1305" t="s">
        <v>984</v>
      </c>
      <c r="B281" s="1284">
        <v>45829</v>
      </c>
      <c r="C281" s="1274" cm="1">
        <f t="array" aca="1" ref="C281" ca="1">_xlfn.IFS(I281&gt;1,B281,B281&lt;TODAY(),TODAY(),B281&gt;TODAY(),B281,B281=TODAY(),TODAY())</f>
        <v>45935</v>
      </c>
      <c r="D281" s="1285" t="s">
        <v>950</v>
      </c>
      <c r="E281" s="1276">
        <v>45769</v>
      </c>
      <c r="F281" s="1285"/>
      <c r="G281" s="1286">
        <v>380900</v>
      </c>
      <c r="H281" s="1272"/>
      <c r="I281" s="1287"/>
      <c r="J281" s="1280">
        <f t="shared" si="14"/>
        <v>380900</v>
      </c>
      <c r="K281" s="1272"/>
      <c r="L281" s="1272"/>
      <c r="M281" s="1272"/>
      <c r="N281" s="1283"/>
      <c r="O281" s="1272"/>
      <c r="P281" s="49" t="s">
        <v>1215</v>
      </c>
      <c r="Q281" s="1308" t="s">
        <v>4912</v>
      </c>
    </row>
    <row r="282" spans="1:17">
      <c r="A282" s="1305" t="s">
        <v>984</v>
      </c>
      <c r="B282" s="1284">
        <v>45830</v>
      </c>
      <c r="C282" s="1274" cm="1">
        <f t="array" aca="1" ref="C282" ca="1">_xlfn.IFS(I282&gt;1,B282,B282&lt;TODAY(),TODAY(),B282&gt;TODAY(),B282,B282=TODAY(),TODAY())</f>
        <v>45935</v>
      </c>
      <c r="D282" s="1285" t="s">
        <v>951</v>
      </c>
      <c r="E282" s="1276">
        <v>45769</v>
      </c>
      <c r="F282" s="1285"/>
      <c r="G282" s="1286">
        <v>11093926</v>
      </c>
      <c r="H282" s="1272"/>
      <c r="I282" s="1287"/>
      <c r="J282" s="1280">
        <f t="shared" si="14"/>
        <v>11093926</v>
      </c>
      <c r="K282" s="1272"/>
      <c r="L282" s="1272"/>
      <c r="M282" s="1272"/>
      <c r="N282" s="1283"/>
      <c r="O282" s="1272"/>
      <c r="P282" s="49" t="s">
        <v>1215</v>
      </c>
      <c r="Q282" s="1308" t="s">
        <v>4912</v>
      </c>
    </row>
    <row r="283" spans="1:17">
      <c r="A283" s="1305" t="s">
        <v>984</v>
      </c>
      <c r="B283" s="1284">
        <v>45830</v>
      </c>
      <c r="C283" s="1274" cm="1">
        <f t="array" aca="1" ref="C283" ca="1">_xlfn.IFS(I283&gt;1,B283,B283&lt;TODAY(),TODAY(),B283&gt;TODAY(),B283,B283=TODAY(),TODAY())</f>
        <v>45935</v>
      </c>
      <c r="D283" s="1285" t="s">
        <v>866</v>
      </c>
      <c r="E283" s="1276">
        <v>45769</v>
      </c>
      <c r="F283" s="1285"/>
      <c r="G283" s="1286">
        <v>8369232</v>
      </c>
      <c r="H283" s="1272"/>
      <c r="I283" s="1287"/>
      <c r="J283" s="1280">
        <f t="shared" si="14"/>
        <v>8369232</v>
      </c>
      <c r="K283" s="1272"/>
      <c r="L283" s="1272"/>
      <c r="M283" s="1272"/>
      <c r="N283" s="1283"/>
      <c r="O283" s="1272"/>
      <c r="P283" s="49" t="s">
        <v>1215</v>
      </c>
      <c r="Q283" s="1308" t="s">
        <v>4912</v>
      </c>
    </row>
    <row r="284" spans="1:17">
      <c r="A284" s="1305" t="s">
        <v>702</v>
      </c>
      <c r="B284" s="1284">
        <v>45830</v>
      </c>
      <c r="C284" s="1274" cm="1">
        <f t="array" aca="1" ref="C284" ca="1">_xlfn.IFS(I284&gt;1,B284,B284&lt;TODAY(),TODAY(),B284&gt;TODAY(),B284,B284=TODAY(),TODAY())</f>
        <v>45935</v>
      </c>
      <c r="D284" s="1285" t="s">
        <v>952</v>
      </c>
      <c r="E284" s="1276">
        <v>45769</v>
      </c>
      <c r="F284" s="1285"/>
      <c r="G284" s="1286">
        <v>27000000</v>
      </c>
      <c r="H284" s="1272"/>
      <c r="I284" s="1287"/>
      <c r="J284" s="1280">
        <f t="shared" si="14"/>
        <v>27000000</v>
      </c>
      <c r="K284" s="1272"/>
      <c r="L284" s="1272"/>
      <c r="M284" s="1272"/>
      <c r="N284" s="1283"/>
      <c r="O284" s="1272"/>
      <c r="P284" s="49" t="s">
        <v>1215</v>
      </c>
      <c r="Q284" s="1308" t="s">
        <v>4911</v>
      </c>
    </row>
    <row r="285" spans="1:17">
      <c r="A285" s="1305" t="s">
        <v>702</v>
      </c>
      <c r="B285" s="1284">
        <v>45830</v>
      </c>
      <c r="C285" s="1274" cm="1">
        <f t="array" aca="1" ref="C285" ca="1">_xlfn.IFS(I285&gt;1,B285,B285&lt;TODAY(),TODAY(),B285&gt;TODAY(),B285,B285=TODAY(),TODAY())</f>
        <v>45935</v>
      </c>
      <c r="D285" s="1285" t="s">
        <v>929</v>
      </c>
      <c r="E285" s="1276">
        <v>45769</v>
      </c>
      <c r="F285" s="1285"/>
      <c r="G285" s="1286">
        <v>147821.94</v>
      </c>
      <c r="H285" s="1272"/>
      <c r="I285" s="1287"/>
      <c r="J285" s="1280">
        <f t="shared" si="14"/>
        <v>147821.94</v>
      </c>
      <c r="K285" s="1272"/>
      <c r="L285" s="1272"/>
      <c r="M285" s="1272"/>
      <c r="N285" s="1283"/>
      <c r="O285" s="1272"/>
      <c r="P285" s="49" t="s">
        <v>1215</v>
      </c>
      <c r="Q285" s="1308" t="s">
        <v>4911</v>
      </c>
    </row>
    <row r="286" spans="1:17">
      <c r="A286" s="1305" t="s">
        <v>702</v>
      </c>
      <c r="B286" s="1284">
        <v>45830</v>
      </c>
      <c r="C286" s="1274" cm="1">
        <f t="array" aca="1" ref="C286" ca="1">_xlfn.IFS(I286&gt;1,B286,B286&lt;TODAY(),TODAY(),B286&gt;TODAY(),B286,B286=TODAY(),TODAY())</f>
        <v>45935</v>
      </c>
      <c r="D286" s="1285" t="s">
        <v>918</v>
      </c>
      <c r="E286" s="1276">
        <v>45769</v>
      </c>
      <c r="F286" s="1285"/>
      <c r="G286" s="1286">
        <v>3996000</v>
      </c>
      <c r="H286" s="1272"/>
      <c r="I286" s="1287"/>
      <c r="J286" s="1280">
        <f t="shared" si="14"/>
        <v>3996000</v>
      </c>
      <c r="K286" s="1272"/>
      <c r="L286" s="1272"/>
      <c r="M286" s="1272"/>
      <c r="N286" s="1283"/>
      <c r="O286" s="1272"/>
      <c r="P286" s="49" t="s">
        <v>1215</v>
      </c>
      <c r="Q286" s="1308" t="s">
        <v>4911</v>
      </c>
    </row>
    <row r="287" spans="1:17">
      <c r="A287" s="1305" t="s">
        <v>702</v>
      </c>
      <c r="B287" s="1284">
        <v>45830</v>
      </c>
      <c r="C287" s="1274" cm="1">
        <f t="array" aca="1" ref="C287" ca="1">_xlfn.IFS(I287&gt;1,B287,B287&lt;TODAY(),TODAY(),B287&gt;TODAY(),B287,B287=TODAY(),TODAY())</f>
        <v>45935</v>
      </c>
      <c r="D287" s="1285" t="s">
        <v>921</v>
      </c>
      <c r="E287" s="1276">
        <v>45769</v>
      </c>
      <c r="F287" s="1285"/>
      <c r="G287" s="1286">
        <v>30184000</v>
      </c>
      <c r="H287" s="1272"/>
      <c r="I287" s="1287"/>
      <c r="J287" s="1280">
        <f t="shared" si="14"/>
        <v>30184000</v>
      </c>
      <c r="K287" s="1272"/>
      <c r="L287" s="1272"/>
      <c r="M287" s="1272"/>
      <c r="N287" s="1283"/>
      <c r="O287" s="1272"/>
      <c r="P287" s="49" t="s">
        <v>1215</v>
      </c>
      <c r="Q287" s="1308" t="s">
        <v>4911</v>
      </c>
    </row>
    <row r="288" spans="1:17">
      <c r="A288" s="1305" t="s">
        <v>702</v>
      </c>
      <c r="B288" s="1284">
        <v>45830</v>
      </c>
      <c r="C288" s="1274" cm="1">
        <f t="array" aca="1" ref="C288" ca="1">_xlfn.IFS(I288&gt;1,B288,B288&lt;TODAY(),TODAY(),B288&gt;TODAY(),B288,B288=TODAY(),TODAY())</f>
        <v>45935</v>
      </c>
      <c r="D288" s="1285" t="s">
        <v>953</v>
      </c>
      <c r="E288" s="1276">
        <v>45769</v>
      </c>
      <c r="F288" s="1285"/>
      <c r="G288" s="1286">
        <v>843723.6</v>
      </c>
      <c r="H288" s="1272"/>
      <c r="I288" s="1287"/>
      <c r="J288" s="1280">
        <f t="shared" si="14"/>
        <v>843723.6</v>
      </c>
      <c r="K288" s="1272"/>
      <c r="L288" s="1272"/>
      <c r="M288" s="1272"/>
      <c r="N288" s="1283"/>
      <c r="O288" s="1272"/>
      <c r="P288" s="49" t="s">
        <v>1215</v>
      </c>
      <c r="Q288" s="1308" t="s">
        <v>4911</v>
      </c>
    </row>
    <row r="289" spans="1:17">
      <c r="A289" s="1305" t="s">
        <v>702</v>
      </c>
      <c r="B289" s="1284">
        <v>45831</v>
      </c>
      <c r="C289" s="1274" cm="1">
        <f t="array" aca="1" ref="C289" ca="1">_xlfn.IFS(I289&gt;1,B289,B289&lt;TODAY(),TODAY(),B289&gt;TODAY(),B289,B289=TODAY(),TODAY())</f>
        <v>45935</v>
      </c>
      <c r="D289" s="1285" t="s">
        <v>954</v>
      </c>
      <c r="E289" s="1276">
        <v>45769</v>
      </c>
      <c r="F289" s="1285"/>
      <c r="G289" s="1286">
        <v>3867676</v>
      </c>
      <c r="H289" s="1272"/>
      <c r="I289" s="1287"/>
      <c r="J289" s="1280">
        <f t="shared" si="14"/>
        <v>3867676</v>
      </c>
      <c r="K289" s="1272"/>
      <c r="L289" s="1272"/>
      <c r="M289" s="1272"/>
      <c r="N289" s="1283"/>
      <c r="O289" s="1272"/>
      <c r="P289" s="49" t="s">
        <v>1215</v>
      </c>
      <c r="Q289" s="1308" t="s">
        <v>4911</v>
      </c>
    </row>
    <row r="290" spans="1:17">
      <c r="A290" s="1305" t="s">
        <v>702</v>
      </c>
      <c r="B290" s="1284">
        <v>45831</v>
      </c>
      <c r="C290" s="1274" cm="1">
        <f t="array" aca="1" ref="C290" ca="1">_xlfn.IFS(I290&gt;1,B290,B290&lt;TODAY(),TODAY(),B290&gt;TODAY(),B290,B290=TODAY(),TODAY())</f>
        <v>45935</v>
      </c>
      <c r="D290" s="1285" t="s">
        <v>955</v>
      </c>
      <c r="E290" s="1276">
        <v>45769</v>
      </c>
      <c r="F290" s="1285"/>
      <c r="G290" s="1286">
        <v>598290</v>
      </c>
      <c r="H290" s="1272"/>
      <c r="I290" s="1287"/>
      <c r="J290" s="1280">
        <f t="shared" si="14"/>
        <v>598290</v>
      </c>
      <c r="K290" s="1272"/>
      <c r="L290" s="1272"/>
      <c r="M290" s="1272"/>
      <c r="N290" s="1283"/>
      <c r="O290" s="1272"/>
      <c r="P290" s="49" t="s">
        <v>1215</v>
      </c>
      <c r="Q290" s="1308" t="s">
        <v>4911</v>
      </c>
    </row>
    <row r="291" spans="1:17">
      <c r="A291" s="1305" t="s">
        <v>3717</v>
      </c>
      <c r="B291" s="1284">
        <v>45832</v>
      </c>
      <c r="C291" s="1274" cm="1">
        <f t="array" aca="1" ref="C291" ca="1">_xlfn.IFS(I291&gt;1,B291,B291&lt;TODAY(),TODAY(),B291&gt;TODAY(),B291,B291=TODAY(),TODAY())</f>
        <v>45935</v>
      </c>
      <c r="D291" s="1285" t="s">
        <v>956</v>
      </c>
      <c r="E291" s="1276">
        <v>45769</v>
      </c>
      <c r="F291" s="1285"/>
      <c r="G291" s="1286">
        <v>8884879</v>
      </c>
      <c r="H291" s="1272"/>
      <c r="I291" s="1287"/>
      <c r="J291" s="1280">
        <f t="shared" si="14"/>
        <v>8884879</v>
      </c>
      <c r="K291" s="1272"/>
      <c r="L291" s="1272"/>
      <c r="M291" s="1272"/>
      <c r="N291" s="1283"/>
      <c r="O291" s="1272"/>
      <c r="P291" s="49" t="s">
        <v>1215</v>
      </c>
      <c r="Q291" s="1308" t="s">
        <v>4912</v>
      </c>
    </row>
    <row r="292" spans="1:17">
      <c r="A292" s="1305" t="s">
        <v>3717</v>
      </c>
      <c r="B292" s="1284">
        <v>45832</v>
      </c>
      <c r="C292" s="1274" cm="1">
        <f t="array" aca="1" ref="C292" ca="1">_xlfn.IFS(I292&gt;1,B292,B292&lt;TODAY(),TODAY(),B292&gt;TODAY(),B292,B292=TODAY(),TODAY())</f>
        <v>45935</v>
      </c>
      <c r="D292" s="1285" t="s">
        <v>918</v>
      </c>
      <c r="E292" s="1276">
        <v>45769</v>
      </c>
      <c r="F292" s="1285"/>
      <c r="G292" s="1286">
        <v>8884879</v>
      </c>
      <c r="H292" s="1272"/>
      <c r="I292" s="1287"/>
      <c r="J292" s="1280">
        <f t="shared" si="14"/>
        <v>8884879</v>
      </c>
      <c r="K292" s="1272"/>
      <c r="L292" s="1272"/>
      <c r="M292" s="1272"/>
      <c r="N292" s="1283"/>
      <c r="O292" s="1272"/>
      <c r="P292" s="49" t="s">
        <v>1215</v>
      </c>
      <c r="Q292" s="1308" t="s">
        <v>4912</v>
      </c>
    </row>
    <row r="293" spans="1:17">
      <c r="A293" s="1305" t="s">
        <v>3717</v>
      </c>
      <c r="B293" s="1284">
        <v>45833</v>
      </c>
      <c r="C293" s="1274" cm="1">
        <f t="array" aca="1" ref="C293" ca="1">_xlfn.IFS(I293&gt;1,B293,B293&lt;TODAY(),TODAY(),B293&gt;TODAY(),B293,B293=TODAY(),TODAY())</f>
        <v>45935</v>
      </c>
      <c r="D293" s="1285" t="s">
        <v>946</v>
      </c>
      <c r="E293" s="1276">
        <v>45769</v>
      </c>
      <c r="F293" s="1285"/>
      <c r="G293" s="1286">
        <v>8884879</v>
      </c>
      <c r="H293" s="1272"/>
      <c r="I293" s="1287"/>
      <c r="J293" s="1280">
        <f t="shared" si="14"/>
        <v>8884879</v>
      </c>
      <c r="K293" s="1272"/>
      <c r="L293" s="1272"/>
      <c r="M293" s="1272"/>
      <c r="N293" s="1283"/>
      <c r="O293" s="1272"/>
      <c r="P293" s="49" t="s">
        <v>1215</v>
      </c>
      <c r="Q293" s="1308" t="s">
        <v>4912</v>
      </c>
    </row>
    <row r="294" spans="1:17">
      <c r="A294" s="1305" t="s">
        <v>3717</v>
      </c>
      <c r="B294" s="1284">
        <v>45833</v>
      </c>
      <c r="C294" s="1274" cm="1">
        <f t="array" aca="1" ref="C294" ca="1">_xlfn.IFS(I294&gt;1,B294,B294&lt;TODAY(),TODAY(),B294&gt;TODAY(),B294,B294=TODAY(),TODAY())</f>
        <v>45935</v>
      </c>
      <c r="D294" s="1285" t="s">
        <v>926</v>
      </c>
      <c r="E294" s="1276">
        <v>45769</v>
      </c>
      <c r="F294" s="1285"/>
      <c r="G294" s="1286">
        <v>8884879</v>
      </c>
      <c r="H294" s="1272"/>
      <c r="I294" s="1287"/>
      <c r="J294" s="1280">
        <f t="shared" si="14"/>
        <v>8884879</v>
      </c>
      <c r="K294" s="1272"/>
      <c r="L294" s="1272"/>
      <c r="M294" s="1272"/>
      <c r="N294" s="1283"/>
      <c r="O294" s="1272"/>
      <c r="P294" s="49" t="s">
        <v>1215</v>
      </c>
      <c r="Q294" s="1308" t="s">
        <v>4912</v>
      </c>
    </row>
    <row r="295" spans="1:17">
      <c r="A295" s="1305" t="s">
        <v>3717</v>
      </c>
      <c r="B295" s="1284">
        <v>45833</v>
      </c>
      <c r="C295" s="1274" cm="1">
        <f t="array" aca="1" ref="C295" ca="1">_xlfn.IFS(I295&gt;1,B295,B295&lt;TODAY(),TODAY(),B295&gt;TODAY(),B295,B295=TODAY(),TODAY())</f>
        <v>45935</v>
      </c>
      <c r="D295" s="1285" t="s">
        <v>957</v>
      </c>
      <c r="E295" s="1276">
        <v>45769</v>
      </c>
      <c r="F295" s="1285"/>
      <c r="G295" s="1286">
        <v>8884879</v>
      </c>
      <c r="H295" s="1272"/>
      <c r="I295" s="1287"/>
      <c r="J295" s="1280">
        <f t="shared" si="14"/>
        <v>8884879</v>
      </c>
      <c r="K295" s="1272"/>
      <c r="L295" s="1272"/>
      <c r="M295" s="1272"/>
      <c r="N295" s="1283"/>
      <c r="O295" s="1272"/>
      <c r="P295" s="49" t="s">
        <v>1215</v>
      </c>
      <c r="Q295" s="1308" t="s">
        <v>4912</v>
      </c>
    </row>
    <row r="296" spans="1:17">
      <c r="A296" s="1305" t="s">
        <v>3717</v>
      </c>
      <c r="B296" s="1284">
        <v>45833</v>
      </c>
      <c r="C296" s="1274" cm="1">
        <f t="array" aca="1" ref="C296" ca="1">_xlfn.IFS(I296&gt;1,B296,B296&lt;TODAY(),TODAY(),B296&gt;TODAY(),B296,B296=TODAY(),TODAY())</f>
        <v>45935</v>
      </c>
      <c r="D296" s="1285" t="s">
        <v>922</v>
      </c>
      <c r="E296" s="1276">
        <v>45769</v>
      </c>
      <c r="F296" s="1285"/>
      <c r="G296" s="1286">
        <v>8884879</v>
      </c>
      <c r="H296" s="1272"/>
      <c r="I296" s="1287"/>
      <c r="J296" s="1280">
        <f t="shared" si="14"/>
        <v>8884879</v>
      </c>
      <c r="K296" s="1272"/>
      <c r="L296" s="1272"/>
      <c r="M296" s="1272"/>
      <c r="N296" s="1283"/>
      <c r="O296" s="1272"/>
      <c r="P296" s="49" t="s">
        <v>1215</v>
      </c>
      <c r="Q296" s="1308" t="s">
        <v>4912</v>
      </c>
    </row>
    <row r="297" spans="1:17">
      <c r="A297" s="1305" t="s">
        <v>3717</v>
      </c>
      <c r="B297" s="1284">
        <v>45833</v>
      </c>
      <c r="C297" s="1274" cm="1">
        <f t="array" aca="1" ref="C297" ca="1">_xlfn.IFS(I297&gt;1,B297,B297&lt;TODAY(),TODAY(),B297&gt;TODAY(),B297,B297=TODAY(),TODAY())</f>
        <v>45935</v>
      </c>
      <c r="D297" s="1285" t="s">
        <v>918</v>
      </c>
      <c r="E297" s="1276">
        <v>45769</v>
      </c>
      <c r="F297" s="1285"/>
      <c r="G297" s="1286">
        <v>8884879</v>
      </c>
      <c r="H297" s="1272"/>
      <c r="I297" s="1287"/>
      <c r="J297" s="1280">
        <f t="shared" si="14"/>
        <v>8884879</v>
      </c>
      <c r="K297" s="1272"/>
      <c r="L297" s="1272"/>
      <c r="M297" s="1272"/>
      <c r="N297" s="1283"/>
      <c r="O297" s="1272"/>
      <c r="P297" s="49" t="s">
        <v>1215</v>
      </c>
      <c r="Q297" s="1308" t="s">
        <v>4912</v>
      </c>
    </row>
    <row r="298" spans="1:17">
      <c r="A298" s="1305" t="s">
        <v>3717</v>
      </c>
      <c r="B298" s="1284">
        <v>45834</v>
      </c>
      <c r="C298" s="1274" cm="1">
        <f t="array" aca="1" ref="C298" ca="1">_xlfn.IFS(I298&gt;1,B298,B298&lt;TODAY(),TODAY(),B298&gt;TODAY(),B298,B298=TODAY(),TODAY())</f>
        <v>45935</v>
      </c>
      <c r="D298" s="1285" t="s">
        <v>866</v>
      </c>
      <c r="E298" s="1276">
        <v>45769</v>
      </c>
      <c r="F298" s="1285"/>
      <c r="G298" s="1286">
        <v>8884879</v>
      </c>
      <c r="H298" s="1272"/>
      <c r="I298" s="1287"/>
      <c r="J298" s="1280">
        <f t="shared" si="14"/>
        <v>8884879</v>
      </c>
      <c r="K298" s="1272"/>
      <c r="L298" s="1272"/>
      <c r="M298" s="1272"/>
      <c r="N298" s="1283"/>
      <c r="O298" s="1272"/>
      <c r="P298" s="49" t="s">
        <v>1215</v>
      </c>
      <c r="Q298" s="1308" t="s">
        <v>4912</v>
      </c>
    </row>
    <row r="299" spans="1:17">
      <c r="A299" s="1305" t="s">
        <v>3717</v>
      </c>
      <c r="B299" s="1284">
        <v>45834</v>
      </c>
      <c r="C299" s="1274" cm="1">
        <f t="array" aca="1" ref="C299" ca="1">_xlfn.IFS(I299&gt;1,B299,B299&lt;TODAY(),TODAY(),B299&gt;TODAY(),B299,B299=TODAY(),TODAY())</f>
        <v>45935</v>
      </c>
      <c r="D299" s="1285" t="s">
        <v>916</v>
      </c>
      <c r="E299" s="1276">
        <v>45769</v>
      </c>
      <c r="F299" s="1285"/>
      <c r="G299" s="1286">
        <v>8884879</v>
      </c>
      <c r="H299" s="1272"/>
      <c r="I299" s="1287"/>
      <c r="J299" s="1280">
        <f t="shared" si="14"/>
        <v>8884879</v>
      </c>
      <c r="K299" s="1272"/>
      <c r="L299" s="1272"/>
      <c r="M299" s="1272"/>
      <c r="N299" s="1283"/>
      <c r="O299" s="1272"/>
      <c r="P299" s="49" t="s">
        <v>1215</v>
      </c>
      <c r="Q299" s="1308" t="s">
        <v>4912</v>
      </c>
    </row>
    <row r="300" spans="1:17">
      <c r="A300" s="1305" t="s">
        <v>3717</v>
      </c>
      <c r="B300" s="1284">
        <v>45834</v>
      </c>
      <c r="C300" s="1274" cm="1">
        <f t="array" aca="1" ref="C300" ca="1">_xlfn.IFS(I300&gt;1,B300,B300&lt;TODAY(),TODAY(),B300&gt;TODAY(),B300,B300=TODAY(),TODAY())</f>
        <v>45935</v>
      </c>
      <c r="D300" s="1285" t="s">
        <v>914</v>
      </c>
      <c r="E300" s="1276">
        <v>45769</v>
      </c>
      <c r="F300" s="1285"/>
      <c r="G300" s="1286">
        <v>8884879</v>
      </c>
      <c r="H300" s="1272"/>
      <c r="I300" s="1287"/>
      <c r="J300" s="1280">
        <f t="shared" si="14"/>
        <v>8884879</v>
      </c>
      <c r="K300" s="1272"/>
      <c r="L300" s="1272"/>
      <c r="M300" s="1272"/>
      <c r="N300" s="1283"/>
      <c r="O300" s="1272"/>
      <c r="P300" s="49" t="s">
        <v>1215</v>
      </c>
      <c r="Q300" s="1308" t="s">
        <v>4912</v>
      </c>
    </row>
    <row r="301" spans="1:17">
      <c r="A301" s="1305" t="s">
        <v>3717</v>
      </c>
      <c r="B301" s="1284">
        <v>45834</v>
      </c>
      <c r="C301" s="1274" cm="1">
        <f t="array" aca="1" ref="C301" ca="1">_xlfn.IFS(I301&gt;1,B301,B301&lt;TODAY(),TODAY(),B301&gt;TODAY(),B301,B301=TODAY(),TODAY())</f>
        <v>45935</v>
      </c>
      <c r="D301" s="1285" t="s">
        <v>918</v>
      </c>
      <c r="E301" s="1276">
        <v>45769</v>
      </c>
      <c r="F301" s="1285"/>
      <c r="G301" s="1286">
        <v>8884879</v>
      </c>
      <c r="H301" s="1272"/>
      <c r="I301" s="1287"/>
      <c r="J301" s="1280">
        <f t="shared" si="14"/>
        <v>8884879</v>
      </c>
      <c r="K301" s="1272"/>
      <c r="L301" s="1272"/>
      <c r="M301" s="1272"/>
      <c r="N301" s="1283"/>
      <c r="O301" s="1272"/>
      <c r="P301" s="49" t="s">
        <v>1215</v>
      </c>
      <c r="Q301" s="1308" t="s">
        <v>4912</v>
      </c>
    </row>
    <row r="302" spans="1:17">
      <c r="A302" s="1305" t="s">
        <v>3717</v>
      </c>
      <c r="B302" s="1284">
        <v>45835</v>
      </c>
      <c r="C302" s="1274" cm="1">
        <f t="array" aca="1" ref="C302" ca="1">_xlfn.IFS(I302&gt;1,B302,B302&lt;TODAY(),TODAY(),B302&gt;TODAY(),B302,B302=TODAY(),TODAY())</f>
        <v>45935</v>
      </c>
      <c r="D302" s="1285" t="s">
        <v>958</v>
      </c>
      <c r="E302" s="1276">
        <v>45769</v>
      </c>
      <c r="F302" s="1285"/>
      <c r="G302" s="1286">
        <v>8884879</v>
      </c>
      <c r="H302" s="1272"/>
      <c r="I302" s="1287"/>
      <c r="J302" s="1280">
        <f t="shared" si="14"/>
        <v>8884879</v>
      </c>
      <c r="K302" s="1272"/>
      <c r="L302" s="1272"/>
      <c r="M302" s="1272"/>
      <c r="N302" s="1283"/>
      <c r="O302" s="1272"/>
      <c r="P302" s="49" t="s">
        <v>1215</v>
      </c>
      <c r="Q302" s="1308" t="s">
        <v>4912</v>
      </c>
    </row>
    <row r="303" spans="1:17">
      <c r="A303" s="1305" t="s">
        <v>4905</v>
      </c>
      <c r="B303" s="1284">
        <v>45835</v>
      </c>
      <c r="C303" s="1274" cm="1">
        <f t="array" aca="1" ref="C303" ca="1">_xlfn.IFS(I303&gt;1,B303,B303&lt;TODAY(),TODAY(),B303&gt;TODAY(),B303,B303=TODAY(),TODAY())</f>
        <v>45935</v>
      </c>
      <c r="D303" s="1285" t="s">
        <v>918</v>
      </c>
      <c r="E303" s="1276">
        <v>45769</v>
      </c>
      <c r="F303" s="1285"/>
      <c r="G303" s="1286">
        <v>32876.71232876712</v>
      </c>
      <c r="H303" s="1272"/>
      <c r="I303" s="1287"/>
      <c r="J303" s="1280">
        <f t="shared" si="14"/>
        <v>32876.71232876712</v>
      </c>
      <c r="K303" s="1272"/>
      <c r="L303" s="1272"/>
      <c r="M303" s="1272"/>
      <c r="N303" s="1283"/>
      <c r="O303" s="1272"/>
      <c r="P303" s="49" t="s">
        <v>1215</v>
      </c>
      <c r="Q303" s="1308" t="s">
        <v>4912</v>
      </c>
    </row>
    <row r="304" spans="1:17">
      <c r="A304" s="1305" t="s">
        <v>4905</v>
      </c>
      <c r="B304" s="1284">
        <v>45835</v>
      </c>
      <c r="C304" s="1274" cm="1">
        <f t="array" aca="1" ref="C304" ca="1">_xlfn.IFS(I304&gt;1,B304,B304&lt;TODAY(),TODAY(),B304&gt;TODAY(),B304,B304=TODAY(),TODAY())</f>
        <v>45935</v>
      </c>
      <c r="D304" s="1285" t="s">
        <v>941</v>
      </c>
      <c r="E304" s="1276">
        <v>45769</v>
      </c>
      <c r="F304" s="1285"/>
      <c r="G304" s="1286">
        <v>1019178.0821917808</v>
      </c>
      <c r="H304" s="1272"/>
      <c r="I304" s="1287"/>
      <c r="J304" s="1280">
        <f t="shared" si="14"/>
        <v>1019178.0821917808</v>
      </c>
      <c r="K304" s="1272"/>
      <c r="L304" s="1272"/>
      <c r="M304" s="1272"/>
      <c r="N304" s="1283"/>
      <c r="O304" s="1272"/>
      <c r="P304" s="49" t="s">
        <v>1215</v>
      </c>
      <c r="Q304" s="1308" t="s">
        <v>4912</v>
      </c>
    </row>
    <row r="305" spans="1:17">
      <c r="A305" s="1305" t="s">
        <v>4905</v>
      </c>
      <c r="B305" s="1284">
        <v>45836</v>
      </c>
      <c r="C305" s="1274" cm="1">
        <f t="array" aca="1" ref="C305" ca="1">_xlfn.IFS(I305&gt;1,B305,B305&lt;TODAY(),TODAY(),B305&gt;TODAY(),B305,B305=TODAY(),TODAY())</f>
        <v>45935</v>
      </c>
      <c r="D305" s="1285" t="s">
        <v>959</v>
      </c>
      <c r="E305" s="1276">
        <v>45769</v>
      </c>
      <c r="F305" s="1285"/>
      <c r="G305" s="1286">
        <v>986301.36986301374</v>
      </c>
      <c r="H305" s="1272"/>
      <c r="I305" s="1287"/>
      <c r="J305" s="1280">
        <f t="shared" si="14"/>
        <v>986301.36986301374</v>
      </c>
      <c r="K305" s="1272"/>
      <c r="L305" s="1272"/>
      <c r="M305" s="1272"/>
      <c r="N305" s="1283"/>
      <c r="O305" s="1272"/>
      <c r="P305" s="49" t="s">
        <v>1215</v>
      </c>
      <c r="Q305" s="1308" t="s">
        <v>4912</v>
      </c>
    </row>
    <row r="306" spans="1:17">
      <c r="A306" s="1305" t="s">
        <v>4905</v>
      </c>
      <c r="B306" s="1284">
        <v>45836</v>
      </c>
      <c r="C306" s="1274" cm="1">
        <f t="array" aca="1" ref="C306" ca="1">_xlfn.IFS(I306&gt;1,B306,B306&lt;TODAY(),TODAY(),B306&gt;TODAY(),B306,B306=TODAY(),TODAY())</f>
        <v>45935</v>
      </c>
      <c r="D306" s="1285" t="s">
        <v>918</v>
      </c>
      <c r="E306" s="1276">
        <v>45769</v>
      </c>
      <c r="F306" s="1285"/>
      <c r="G306" s="1286">
        <v>986301.36986301374</v>
      </c>
      <c r="H306" s="1272"/>
      <c r="I306" s="1287"/>
      <c r="J306" s="1280">
        <f t="shared" si="14"/>
        <v>986301.36986301374</v>
      </c>
      <c r="K306" s="1272"/>
      <c r="L306" s="1272"/>
      <c r="M306" s="1272"/>
      <c r="N306" s="1283"/>
      <c r="O306" s="1272"/>
      <c r="P306" s="49" t="s">
        <v>1215</v>
      </c>
      <c r="Q306" s="1308" t="s">
        <v>4912</v>
      </c>
    </row>
    <row r="307" spans="1:17">
      <c r="A307" s="1305" t="s">
        <v>4905</v>
      </c>
      <c r="B307" s="1284">
        <v>45837</v>
      </c>
      <c r="C307" s="1274" cm="1">
        <f t="array" aca="1" ref="C307" ca="1">_xlfn.IFS(I307&gt;1,B307,B307&lt;TODAY(),TODAY(),B307&gt;TODAY(),B307,B307=TODAY(),TODAY())</f>
        <v>45935</v>
      </c>
      <c r="D307" s="1285" t="s">
        <v>960</v>
      </c>
      <c r="E307" s="1276">
        <v>45769</v>
      </c>
      <c r="F307" s="1285"/>
      <c r="G307" s="1286">
        <v>413000</v>
      </c>
      <c r="H307" s="1272"/>
      <c r="I307" s="1287"/>
      <c r="J307" s="1280">
        <f t="shared" si="14"/>
        <v>413000</v>
      </c>
      <c r="K307" s="1272"/>
      <c r="L307" s="1272"/>
      <c r="M307" s="1272"/>
      <c r="N307" s="1283"/>
      <c r="O307" s="1272"/>
      <c r="P307" s="49" t="s">
        <v>1215</v>
      </c>
      <c r="Q307" s="1308" t="s">
        <v>4912</v>
      </c>
    </row>
    <row r="308" spans="1:17">
      <c r="A308" s="1305" t="s">
        <v>4905</v>
      </c>
      <c r="B308" s="1284">
        <v>45837</v>
      </c>
      <c r="C308" s="1274" cm="1">
        <f t="array" aca="1" ref="C308" ca="1">_xlfn.IFS(I308&gt;1,B308,B308&lt;TODAY(),TODAY(),B308&gt;TODAY(),B308,B308=TODAY(),TODAY())</f>
        <v>45935</v>
      </c>
      <c r="D308" s="1285" t="s">
        <v>948</v>
      </c>
      <c r="E308" s="1276">
        <v>45769</v>
      </c>
      <c r="F308" s="1285"/>
      <c r="G308" s="1286">
        <v>27808.219178082192</v>
      </c>
      <c r="H308" s="1272"/>
      <c r="I308" s="1287"/>
      <c r="J308" s="1280">
        <f t="shared" si="14"/>
        <v>27808.219178082192</v>
      </c>
      <c r="K308" s="1272"/>
      <c r="L308" s="1272"/>
      <c r="M308" s="1272"/>
      <c r="N308" s="1283"/>
      <c r="O308" s="1272"/>
      <c r="P308" s="49" t="s">
        <v>1215</v>
      </c>
      <c r="Q308" s="1308" t="s">
        <v>4912</v>
      </c>
    </row>
    <row r="309" spans="1:17">
      <c r="A309" s="1305" t="s">
        <v>3717</v>
      </c>
      <c r="B309" s="1284">
        <v>45837</v>
      </c>
      <c r="C309" s="1274" cm="1">
        <f t="array" aca="1" ref="C309" ca="1">_xlfn.IFS(I309&gt;1,B309,B309&lt;TODAY(),TODAY(),B309&gt;TODAY(),B309,B309=TODAY(),TODAY())</f>
        <v>45935</v>
      </c>
      <c r="D309" s="1285" t="s">
        <v>914</v>
      </c>
      <c r="E309" s="1276">
        <v>45769</v>
      </c>
      <c r="F309" s="1285"/>
      <c r="G309" s="1286">
        <v>0</v>
      </c>
      <c r="H309" s="1272"/>
      <c r="I309" s="1287"/>
      <c r="J309" s="1280">
        <f t="shared" si="14"/>
        <v>0</v>
      </c>
      <c r="K309" s="1272"/>
      <c r="L309" s="1272"/>
      <c r="M309" s="1272"/>
      <c r="N309" s="1283"/>
      <c r="O309" s="1272"/>
      <c r="P309" s="49" t="s">
        <v>1215</v>
      </c>
      <c r="Q309" s="1308" t="s">
        <v>4912</v>
      </c>
    </row>
    <row r="310" spans="1:17">
      <c r="A310" s="1305" t="s">
        <v>3717</v>
      </c>
      <c r="B310" s="1284">
        <v>45837</v>
      </c>
      <c r="C310" s="1274" cm="1">
        <f t="array" aca="1" ref="C310" ca="1">_xlfn.IFS(I310&gt;1,B310,B310&lt;TODAY(),TODAY(),B310&gt;TODAY(),B310,B310=TODAY(),TODAY())</f>
        <v>45935</v>
      </c>
      <c r="D310" s="1285" t="s">
        <v>918</v>
      </c>
      <c r="E310" s="1276">
        <v>45769</v>
      </c>
      <c r="F310" s="1285"/>
      <c r="G310" s="1286">
        <v>100</v>
      </c>
      <c r="H310" s="1272"/>
      <c r="I310" s="1287"/>
      <c r="J310" s="1280">
        <f t="shared" si="14"/>
        <v>100</v>
      </c>
      <c r="K310" s="1272"/>
      <c r="L310" s="1272"/>
      <c r="M310" s="1272"/>
      <c r="N310" s="1283"/>
      <c r="O310" s="1272"/>
      <c r="P310" s="49" t="s">
        <v>1215</v>
      </c>
      <c r="Q310" s="1308" t="s">
        <v>4912</v>
      </c>
    </row>
    <row r="311" spans="1:17">
      <c r="A311" s="1305" t="s">
        <v>3717</v>
      </c>
      <c r="B311" s="1284">
        <v>45837</v>
      </c>
      <c r="C311" s="1274" cm="1">
        <f t="array" aca="1" ref="C311" ca="1">_xlfn.IFS(I311&gt;1,B311,B311&lt;TODAY(),TODAY(),B311&gt;TODAY(),B311,B311=TODAY(),TODAY())</f>
        <v>45935</v>
      </c>
      <c r="D311" s="1285" t="s">
        <v>941</v>
      </c>
      <c r="E311" s="1276">
        <v>45769</v>
      </c>
      <c r="F311" s="1285"/>
      <c r="G311" s="1286">
        <v>100</v>
      </c>
      <c r="H311" s="1272"/>
      <c r="I311" s="1287"/>
      <c r="J311" s="1280">
        <f t="shared" si="14"/>
        <v>100</v>
      </c>
      <c r="K311" s="1272"/>
      <c r="L311" s="1272"/>
      <c r="M311" s="1272"/>
      <c r="N311" s="1283"/>
      <c r="O311" s="1272"/>
      <c r="P311" s="49" t="s">
        <v>1215</v>
      </c>
      <c r="Q311" s="1308" t="s">
        <v>4912</v>
      </c>
    </row>
    <row r="312" spans="1:17">
      <c r="A312" s="1305" t="s">
        <v>3717</v>
      </c>
      <c r="B312" s="1284">
        <v>45838</v>
      </c>
      <c r="C312" s="1274" cm="1">
        <f t="array" aca="1" ref="C312" ca="1">_xlfn.IFS(I312&gt;1,B312,B312&lt;TODAY(),TODAY(),B312&gt;TODAY(),B312,B312=TODAY(),TODAY())</f>
        <v>45935</v>
      </c>
      <c r="D312" s="1285" t="s">
        <v>916</v>
      </c>
      <c r="E312" s="1276">
        <v>45769</v>
      </c>
      <c r="F312" s="1285"/>
      <c r="G312" s="1286">
        <v>100</v>
      </c>
      <c r="H312" s="1272"/>
      <c r="I312" s="1287"/>
      <c r="J312" s="1280">
        <f t="shared" si="14"/>
        <v>100</v>
      </c>
      <c r="K312" s="1272"/>
      <c r="L312" s="1272"/>
      <c r="M312" s="1272"/>
      <c r="N312" s="1283"/>
      <c r="O312" s="1272"/>
      <c r="P312" s="49" t="s">
        <v>1215</v>
      </c>
      <c r="Q312" s="1308" t="s">
        <v>4912</v>
      </c>
    </row>
    <row r="313" spans="1:17">
      <c r="A313" s="1305" t="s">
        <v>4905</v>
      </c>
      <c r="B313" s="1284">
        <v>45838</v>
      </c>
      <c r="C313" s="1274" cm="1">
        <f t="array" aca="1" ref="C313" ca="1">_xlfn.IFS(I313&gt;1,B313,B313&lt;TODAY(),TODAY(),B313&gt;TODAY(),B313,B313=TODAY(),TODAY())</f>
        <v>45935</v>
      </c>
      <c r="D313" s="1285" t="s">
        <v>918</v>
      </c>
      <c r="E313" s="1276">
        <v>45769</v>
      </c>
      <c r="F313" s="1285"/>
      <c r="G313" s="1286">
        <v>472739.72602739726</v>
      </c>
      <c r="H313" s="1272"/>
      <c r="I313" s="1287"/>
      <c r="J313" s="1280">
        <f t="shared" si="14"/>
        <v>472739.72602739726</v>
      </c>
      <c r="K313" s="1272"/>
      <c r="L313" s="1272"/>
      <c r="M313" s="1272"/>
      <c r="N313" s="1283"/>
      <c r="O313" s="1272"/>
      <c r="P313" s="49" t="s">
        <v>1215</v>
      </c>
      <c r="Q313" s="1308" t="s">
        <v>4912</v>
      </c>
    </row>
    <row r="314" spans="1:17">
      <c r="A314" s="1305" t="s">
        <v>4905</v>
      </c>
      <c r="B314" s="1284">
        <v>45839</v>
      </c>
      <c r="C314" s="1274" cm="1">
        <f t="array" aca="1" ref="C314" ca="1">_xlfn.IFS(I314&gt;1,B314,B314&lt;TODAY(),TODAY(),B314&gt;TODAY(),B314,B314=TODAY(),TODAY())</f>
        <v>45935</v>
      </c>
      <c r="D314" s="1285" t="s">
        <v>918</v>
      </c>
      <c r="E314" s="1276">
        <v>45769</v>
      </c>
      <c r="F314" s="1285"/>
      <c r="G314" s="1286">
        <v>27808.179452054796</v>
      </c>
      <c r="H314" s="1272"/>
      <c r="I314" s="1287"/>
      <c r="J314" s="1280">
        <f t="shared" si="14"/>
        <v>27808.179452054796</v>
      </c>
      <c r="K314" s="1272"/>
      <c r="L314" s="1272"/>
      <c r="M314" s="1272"/>
      <c r="N314" s="1283"/>
      <c r="O314" s="1272"/>
      <c r="P314" s="49" t="s">
        <v>1215</v>
      </c>
      <c r="Q314" s="1308" t="s">
        <v>4912</v>
      </c>
    </row>
    <row r="315" spans="1:17">
      <c r="A315" s="1305" t="s">
        <v>4905</v>
      </c>
      <c r="B315" s="1284">
        <v>45839</v>
      </c>
      <c r="C315" s="1274" cm="1">
        <f t="array" aca="1" ref="C315" ca="1">_xlfn.IFS(I315&gt;1,B315,B315&lt;TODAY(),TODAY(),B315&gt;TODAY(),B315,B315=TODAY(),TODAY())</f>
        <v>45935</v>
      </c>
      <c r="D315" s="1285" t="s">
        <v>961</v>
      </c>
      <c r="E315" s="1276">
        <v>45769</v>
      </c>
      <c r="F315" s="1285"/>
      <c r="G315" s="1286">
        <v>250273.25753424657</v>
      </c>
      <c r="H315" s="1272"/>
      <c r="I315" s="1287"/>
      <c r="J315" s="1280">
        <f t="shared" si="14"/>
        <v>250273.25753424657</v>
      </c>
      <c r="K315" s="1272"/>
      <c r="L315" s="1272"/>
      <c r="M315" s="1272"/>
      <c r="N315" s="1283"/>
      <c r="O315" s="1272"/>
      <c r="P315" s="49" t="s">
        <v>1215</v>
      </c>
      <c r="Q315" s="1308" t="s">
        <v>4912</v>
      </c>
    </row>
    <row r="316" spans="1:17">
      <c r="A316" s="1305" t="s">
        <v>4905</v>
      </c>
      <c r="B316" s="1284">
        <v>45840</v>
      </c>
      <c r="C316" s="1274" cm="1">
        <f t="array" aca="1" ref="C316" ca="1">_xlfn.IFS(I316&gt;1,B316,B316&lt;TODAY(),TODAY(),B316&gt;TODAY(),B316,B316=TODAY(),TODAY())</f>
        <v>45935</v>
      </c>
      <c r="D316" s="1285" t="s">
        <v>866</v>
      </c>
      <c r="E316" s="1276">
        <v>45769</v>
      </c>
      <c r="F316" s="1285"/>
      <c r="G316" s="1286">
        <v>111232.4</v>
      </c>
      <c r="H316" s="1272"/>
      <c r="I316" s="1287"/>
      <c r="J316" s="1280">
        <f t="shared" si="14"/>
        <v>111232.4</v>
      </c>
      <c r="K316" s="1272"/>
      <c r="L316" s="1272"/>
      <c r="M316" s="1272"/>
      <c r="N316" s="1283"/>
      <c r="O316" s="1272"/>
      <c r="P316" s="49" t="s">
        <v>1215</v>
      </c>
      <c r="Q316" s="1308" t="s">
        <v>4912</v>
      </c>
    </row>
    <row r="317" spans="1:17">
      <c r="A317" s="1305" t="s">
        <v>4905</v>
      </c>
      <c r="B317" s="1284">
        <v>45840</v>
      </c>
      <c r="C317" s="1274" cm="1">
        <f t="array" aca="1" ref="C317" ca="1">_xlfn.IFS(I317&gt;1,B317,B317&lt;TODAY(),TODAY(),B317&gt;TODAY(),B317,B317=TODAY(),TODAY())</f>
        <v>45935</v>
      </c>
      <c r="D317" s="1285" t="s">
        <v>962</v>
      </c>
      <c r="E317" s="1276">
        <v>45769</v>
      </c>
      <c r="F317" s="1285"/>
      <c r="G317" s="1286">
        <v>1724102.2</v>
      </c>
      <c r="H317" s="1272"/>
      <c r="I317" s="1287"/>
      <c r="J317" s="1280">
        <f t="shared" si="14"/>
        <v>1724102.2</v>
      </c>
      <c r="K317" s="1272"/>
      <c r="L317" s="1272"/>
      <c r="M317" s="1272"/>
      <c r="N317" s="1283"/>
      <c r="O317" s="1272"/>
      <c r="P317" s="49" t="s">
        <v>1215</v>
      </c>
      <c r="Q317" s="1308" t="s">
        <v>4912</v>
      </c>
    </row>
    <row r="318" spans="1:17">
      <c r="A318" s="1305" t="s">
        <v>4905</v>
      </c>
      <c r="B318" s="1284">
        <v>45841</v>
      </c>
      <c r="C318" s="1274" cm="1">
        <f t="array" aca="1" ref="C318" ca="1">_xlfn.IFS(I318&gt;1,B318,B318&lt;TODAY(),TODAY(),B318&gt;TODAY(),B318,B318=TODAY(),TODAY())</f>
        <v>45935</v>
      </c>
      <c r="D318" s="1285" t="s">
        <v>947</v>
      </c>
      <c r="E318" s="1276">
        <v>45769</v>
      </c>
      <c r="F318" s="1285"/>
      <c r="G318" s="1286">
        <v>2586153.2999999998</v>
      </c>
      <c r="H318" s="1272"/>
      <c r="I318" s="1287"/>
      <c r="J318" s="1280">
        <f t="shared" si="14"/>
        <v>2586153.2999999998</v>
      </c>
      <c r="K318" s="1272"/>
      <c r="L318" s="1272"/>
      <c r="M318" s="1272"/>
      <c r="N318" s="1283"/>
      <c r="O318" s="1272"/>
      <c r="P318" s="49" t="s">
        <v>1215</v>
      </c>
      <c r="Q318" s="1308" t="s">
        <v>4912</v>
      </c>
    </row>
    <row r="319" spans="1:17">
      <c r="A319" s="1305" t="s">
        <v>3717</v>
      </c>
      <c r="B319" s="1284">
        <v>45842</v>
      </c>
      <c r="C319" s="1274" cm="1">
        <f t="array" aca="1" ref="C319" ca="1">_xlfn.IFS(I319&gt;1,B319,B319&lt;TODAY(),TODAY(),B319&gt;TODAY(),B319,B319=TODAY(),TODAY())</f>
        <v>45935</v>
      </c>
      <c r="D319" s="1285" t="s">
        <v>963</v>
      </c>
      <c r="E319" s="1276">
        <v>45769</v>
      </c>
      <c r="F319" s="1285"/>
      <c r="G319" s="1286">
        <v>8750000</v>
      </c>
      <c r="H319" s="1272"/>
      <c r="I319" s="1287"/>
      <c r="J319" s="1280">
        <f t="shared" si="14"/>
        <v>8750000</v>
      </c>
      <c r="K319" s="1272"/>
      <c r="L319" s="1272"/>
      <c r="M319" s="1272"/>
      <c r="N319" s="1283"/>
      <c r="O319" s="1272"/>
      <c r="P319" s="49" t="s">
        <v>1215</v>
      </c>
      <c r="Q319" s="1308" t="s">
        <v>4912</v>
      </c>
    </row>
    <row r="320" spans="1:17">
      <c r="A320" s="1305" t="s">
        <v>4905</v>
      </c>
      <c r="B320" s="1284">
        <v>45842</v>
      </c>
      <c r="C320" s="1274" cm="1">
        <f t="array" aca="1" ref="C320" ca="1">_xlfn.IFS(I320&gt;1,B320,B320&lt;TODAY(),TODAY(),B320&gt;TODAY(),B320,B320=TODAY(),TODAY())</f>
        <v>45935</v>
      </c>
      <c r="D320" s="1285" t="s">
        <v>964</v>
      </c>
      <c r="E320" s="1276">
        <v>45769</v>
      </c>
      <c r="F320" s="1285"/>
      <c r="G320" s="1286">
        <v>2992844.9301369861</v>
      </c>
      <c r="H320" s="1272"/>
      <c r="I320" s="1287"/>
      <c r="J320" s="1280">
        <f t="shared" si="14"/>
        <v>2992844.9301369861</v>
      </c>
      <c r="K320" s="1272"/>
      <c r="L320" s="1272"/>
      <c r="M320" s="1272"/>
      <c r="N320" s="1283"/>
      <c r="O320" s="1272"/>
      <c r="P320" s="49" t="s">
        <v>1215</v>
      </c>
      <c r="Q320" s="1308" t="s">
        <v>4912</v>
      </c>
    </row>
    <row r="321" spans="1:17">
      <c r="A321" s="1305" t="s">
        <v>4905</v>
      </c>
      <c r="B321" s="1284">
        <v>45842</v>
      </c>
      <c r="C321" s="1274" cm="1">
        <f t="array" aca="1" ref="C321" ca="1">_xlfn.IFS(I321&gt;1,B321,B321&lt;TODAY(),TODAY(),B321&gt;TODAY(),B321,B321=TODAY(),TODAY())</f>
        <v>45935</v>
      </c>
      <c r="D321" s="1285" t="s">
        <v>912</v>
      </c>
      <c r="E321" s="1276">
        <v>45769</v>
      </c>
      <c r="F321" s="1285"/>
      <c r="G321" s="1286">
        <v>3747139.180821918</v>
      </c>
      <c r="H321" s="1272"/>
      <c r="I321" s="1287"/>
      <c r="J321" s="1280">
        <f t="shared" si="14"/>
        <v>3747139.180821918</v>
      </c>
      <c r="K321" s="1272"/>
      <c r="L321" s="1272"/>
      <c r="M321" s="1272"/>
      <c r="N321" s="1283"/>
      <c r="O321" s="1272"/>
      <c r="P321" s="49" t="s">
        <v>1215</v>
      </c>
      <c r="Q321" s="1308" t="s">
        <v>4912</v>
      </c>
    </row>
    <row r="322" spans="1:17">
      <c r="A322" s="1305" t="s">
        <v>4905</v>
      </c>
      <c r="B322" s="1284">
        <v>45842</v>
      </c>
      <c r="C322" s="1274" cm="1">
        <f t="array" aca="1" ref="C322" ca="1">_xlfn.IFS(I322&gt;1,B322,B322&lt;TODAY(),TODAY(),B322&gt;TODAY(),B322,B322=TODAY(),TODAY())</f>
        <v>45935</v>
      </c>
      <c r="D322" s="1285" t="s">
        <v>918</v>
      </c>
      <c r="E322" s="1276">
        <v>45769</v>
      </c>
      <c r="F322" s="1285"/>
      <c r="G322" s="1286">
        <v>4525765.5041095894</v>
      </c>
      <c r="H322" s="1272"/>
      <c r="I322" s="1287"/>
      <c r="J322" s="1280">
        <f t="shared" ref="J322:J385" si="15">G322-I322</f>
        <v>4525765.5041095894</v>
      </c>
      <c r="K322" s="1272"/>
      <c r="L322" s="1272"/>
      <c r="M322" s="1272"/>
      <c r="N322" s="1283"/>
      <c r="O322" s="1272"/>
      <c r="P322" s="49" t="s">
        <v>1215</v>
      </c>
      <c r="Q322" s="1308" t="s">
        <v>4912</v>
      </c>
    </row>
    <row r="323" spans="1:17">
      <c r="A323" s="1305" t="s">
        <v>3717</v>
      </c>
      <c r="B323" s="1284">
        <v>45843</v>
      </c>
      <c r="C323" s="1274" cm="1">
        <f t="array" aca="1" ref="C323" ca="1">_xlfn.IFS(I323&gt;1,B323,B323&lt;TODAY(),TODAY(),B323&gt;TODAY(),B323,B323=TODAY(),TODAY())</f>
        <v>45935</v>
      </c>
      <c r="D323" s="1285" t="s">
        <v>964</v>
      </c>
      <c r="E323" s="1276">
        <v>45769</v>
      </c>
      <c r="F323" s="1285"/>
      <c r="G323" s="1286">
        <v>8750000</v>
      </c>
      <c r="H323" s="1272"/>
      <c r="I323" s="1287"/>
      <c r="J323" s="1280">
        <f t="shared" si="15"/>
        <v>8750000</v>
      </c>
      <c r="K323" s="1272"/>
      <c r="L323" s="1272"/>
      <c r="M323" s="1272"/>
      <c r="N323" s="1283"/>
      <c r="O323" s="1272"/>
      <c r="P323" s="49" t="s">
        <v>1215</v>
      </c>
      <c r="Q323" s="1308" t="s">
        <v>4912</v>
      </c>
    </row>
    <row r="324" spans="1:17">
      <c r="A324" s="1305" t="s">
        <v>4905</v>
      </c>
      <c r="B324" s="1284">
        <v>45843</v>
      </c>
      <c r="C324" s="1274" cm="1">
        <f t="array" aca="1" ref="C324" ca="1">_xlfn.IFS(I324&gt;1,B324,B324&lt;TODAY(),TODAY(),B324&gt;TODAY(),B324,B324=TODAY(),TODAY())</f>
        <v>45935</v>
      </c>
      <c r="D324" s="1285" t="s">
        <v>957</v>
      </c>
      <c r="E324" s="1276">
        <v>45769</v>
      </c>
      <c r="F324" s="1285"/>
      <c r="G324" s="1286">
        <v>4463193.673972602</v>
      </c>
      <c r="H324" s="1272"/>
      <c r="I324" s="1287"/>
      <c r="J324" s="1280">
        <f t="shared" si="15"/>
        <v>4463193.673972602</v>
      </c>
      <c r="K324" s="1272"/>
      <c r="L324" s="1272"/>
      <c r="M324" s="1272"/>
      <c r="N324" s="1283"/>
      <c r="O324" s="1272"/>
      <c r="P324" s="49" t="s">
        <v>1215</v>
      </c>
      <c r="Q324" s="1308" t="s">
        <v>4912</v>
      </c>
    </row>
    <row r="325" spans="1:17">
      <c r="A325" s="1305" t="s">
        <v>4905</v>
      </c>
      <c r="B325" s="1284">
        <v>45843</v>
      </c>
      <c r="C325" s="1274" cm="1">
        <f t="array" aca="1" ref="C325" ca="1">_xlfn.IFS(I325&gt;1,B325,B325&lt;TODAY(),TODAY(),B325&gt;TODAY(),B325,B325=TODAY(),TODAY())</f>
        <v>45935</v>
      </c>
      <c r="D325" s="1285" t="s">
        <v>918</v>
      </c>
      <c r="E325" s="1276">
        <v>45769</v>
      </c>
      <c r="F325" s="1285"/>
      <c r="G325" s="1286">
        <v>5088875.0301369857</v>
      </c>
      <c r="H325" s="1272"/>
      <c r="I325" s="1287"/>
      <c r="J325" s="1280">
        <f t="shared" si="15"/>
        <v>5088875.0301369857</v>
      </c>
      <c r="K325" s="1272"/>
      <c r="L325" s="1272"/>
      <c r="M325" s="1272"/>
      <c r="N325" s="1283"/>
      <c r="O325" s="1272"/>
      <c r="P325" s="49" t="s">
        <v>1215</v>
      </c>
      <c r="Q325" s="1308" t="s">
        <v>4912</v>
      </c>
    </row>
    <row r="326" spans="1:17">
      <c r="A326" s="1305" t="s">
        <v>4905</v>
      </c>
      <c r="B326" s="1284">
        <v>45844</v>
      </c>
      <c r="C326" s="1274" cm="1">
        <f t="array" aca="1" ref="C326" ca="1">_xlfn.IFS(I326&gt;1,B326,B326&lt;TODAY(),TODAY(),B326&gt;TODAY(),B326,B326=TODAY(),TODAY())</f>
        <v>45935</v>
      </c>
      <c r="D326" s="1285" t="s">
        <v>963</v>
      </c>
      <c r="E326" s="1276">
        <v>45769</v>
      </c>
      <c r="F326" s="1285"/>
      <c r="G326" s="1286">
        <v>5714556.3863013694</v>
      </c>
      <c r="H326" s="1272"/>
      <c r="I326" s="1287"/>
      <c r="J326" s="1280">
        <f t="shared" si="15"/>
        <v>5714556.3863013694</v>
      </c>
      <c r="K326" s="1272"/>
      <c r="L326" s="1272"/>
      <c r="M326" s="1272"/>
      <c r="N326" s="1283"/>
      <c r="O326" s="1272"/>
      <c r="P326" s="49" t="s">
        <v>1215</v>
      </c>
      <c r="Q326" s="1308" t="s">
        <v>4912</v>
      </c>
    </row>
    <row r="327" spans="1:17">
      <c r="A327" s="1305" t="s">
        <v>3717</v>
      </c>
      <c r="B327" s="1284">
        <v>45844</v>
      </c>
      <c r="C327" s="1274" cm="1">
        <f t="array" aca="1" ref="C327" ca="1">_xlfn.IFS(I327&gt;1,B327,B327&lt;TODAY(),TODAY(),B327&gt;TODAY(),B327,B327=TODAY(),TODAY())</f>
        <v>45935</v>
      </c>
      <c r="D327" s="1285" t="s">
        <v>947</v>
      </c>
      <c r="E327" s="1276">
        <v>45769</v>
      </c>
      <c r="F327" s="1285"/>
      <c r="G327" s="1286">
        <v>8750000</v>
      </c>
      <c r="H327" s="1272"/>
      <c r="I327" s="1287"/>
      <c r="J327" s="1280">
        <f t="shared" si="15"/>
        <v>8750000</v>
      </c>
      <c r="K327" s="1272"/>
      <c r="L327" s="1272"/>
      <c r="M327" s="1272"/>
      <c r="N327" s="1283"/>
      <c r="O327" s="1272"/>
      <c r="P327" s="49" t="s">
        <v>1215</v>
      </c>
      <c r="Q327" s="1308" t="s">
        <v>4912</v>
      </c>
    </row>
    <row r="328" spans="1:17">
      <c r="A328" s="1305" t="s">
        <v>4905</v>
      </c>
      <c r="B328" s="1284">
        <v>45844</v>
      </c>
      <c r="C328" s="1274" cm="1">
        <f t="array" aca="1" ref="C328" ca="1">_xlfn.IFS(I328&gt;1,B328,B328&lt;TODAY(),TODAY(),B328&gt;TODAY(),B328,B328=TODAY(),TODAY())</f>
        <v>45935</v>
      </c>
      <c r="D328" s="1285" t="s">
        <v>955</v>
      </c>
      <c r="E328" s="1276">
        <v>45769</v>
      </c>
      <c r="F328" s="1285"/>
      <c r="G328" s="1286">
        <v>5300905.4315068489</v>
      </c>
      <c r="H328" s="1272"/>
      <c r="I328" s="1287"/>
      <c r="J328" s="1280">
        <f t="shared" si="15"/>
        <v>5300905.4315068489</v>
      </c>
      <c r="K328" s="1272"/>
      <c r="L328" s="1272"/>
      <c r="M328" s="1272"/>
      <c r="N328" s="1283"/>
      <c r="O328" s="1272"/>
      <c r="P328" s="49" t="s">
        <v>1215</v>
      </c>
      <c r="Q328" s="1308" t="s">
        <v>4912</v>
      </c>
    </row>
    <row r="329" spans="1:17">
      <c r="A329" s="1305" t="s">
        <v>4905</v>
      </c>
      <c r="B329" s="1284">
        <v>45844</v>
      </c>
      <c r="C329" s="1274" cm="1">
        <f t="array" aca="1" ref="C329" ca="1">_xlfn.IFS(I329&gt;1,B329,B329&lt;TODAY(),TODAY(),B329&gt;TODAY(),B329,B329=TODAY(),TODAY())</f>
        <v>45935</v>
      </c>
      <c r="D329" s="1285" t="s">
        <v>962</v>
      </c>
      <c r="E329" s="1276">
        <v>45769</v>
      </c>
      <c r="F329" s="1285"/>
      <c r="G329" s="1286">
        <v>5822305.9657534249</v>
      </c>
      <c r="H329" s="1272"/>
      <c r="I329" s="1287"/>
      <c r="J329" s="1280">
        <f t="shared" si="15"/>
        <v>5822305.9657534249</v>
      </c>
      <c r="K329" s="1272"/>
      <c r="L329" s="1272"/>
      <c r="M329" s="1272"/>
      <c r="N329" s="1283"/>
      <c r="O329" s="1272"/>
      <c r="P329" s="49" t="s">
        <v>1215</v>
      </c>
      <c r="Q329" s="1308" t="s">
        <v>4912</v>
      </c>
    </row>
    <row r="330" spans="1:17">
      <c r="A330" s="1305" t="s">
        <v>4905</v>
      </c>
      <c r="B330" s="1284">
        <v>45844</v>
      </c>
      <c r="C330" s="1274" cm="1">
        <f t="array" aca="1" ref="C330" ca="1">_xlfn.IFS(I330&gt;1,B330,B330&lt;TODAY(),TODAY(),B330&gt;TODAY(),B330,B330=TODAY(),TODAY())</f>
        <v>45935</v>
      </c>
      <c r="D330" s="1285" t="s">
        <v>918</v>
      </c>
      <c r="E330" s="1276">
        <v>45769</v>
      </c>
      <c r="F330" s="1285"/>
      <c r="G330" s="1286">
        <v>6361086.5178082194</v>
      </c>
      <c r="H330" s="1272"/>
      <c r="I330" s="1287"/>
      <c r="J330" s="1280">
        <f t="shared" si="15"/>
        <v>6361086.5178082194</v>
      </c>
      <c r="K330" s="1272"/>
      <c r="L330" s="1272"/>
      <c r="M330" s="1272"/>
      <c r="N330" s="1283"/>
      <c r="O330" s="1272"/>
      <c r="P330" s="49" t="s">
        <v>1215</v>
      </c>
      <c r="Q330" s="1308" t="s">
        <v>4912</v>
      </c>
    </row>
    <row r="331" spans="1:17">
      <c r="A331" s="1305" t="s">
        <v>3717</v>
      </c>
      <c r="B331" s="1284">
        <v>45844</v>
      </c>
      <c r="C331" s="1274" cm="1">
        <f t="array" aca="1" ref="C331" ca="1">_xlfn.IFS(I331&gt;1,B331,B331&lt;TODAY(),TODAY(),B331&gt;TODAY(),B331,B331=TODAY(),TODAY())</f>
        <v>45935</v>
      </c>
      <c r="D331" s="1285" t="s">
        <v>965</v>
      </c>
      <c r="E331" s="1276">
        <v>45769</v>
      </c>
      <c r="F331" s="1285"/>
      <c r="G331" s="1286">
        <v>8750000</v>
      </c>
      <c r="H331" s="1272"/>
      <c r="I331" s="1287"/>
      <c r="J331" s="1280">
        <f t="shared" si="15"/>
        <v>8750000</v>
      </c>
      <c r="K331" s="1272"/>
      <c r="L331" s="1272"/>
      <c r="M331" s="1272"/>
      <c r="N331" s="1283"/>
      <c r="O331" s="1272"/>
      <c r="P331" s="49" t="s">
        <v>1215</v>
      </c>
      <c r="Q331" s="1308" t="s">
        <v>4912</v>
      </c>
    </row>
    <row r="332" spans="1:17">
      <c r="A332" s="1305" t="s">
        <v>4905</v>
      </c>
      <c r="B332" s="1284">
        <v>45844</v>
      </c>
      <c r="C332" s="1274" cm="1">
        <f t="array" aca="1" ref="C332" ca="1">_xlfn.IFS(I332&gt;1,B332,B332&lt;TODAY(),TODAY(),B332&gt;TODAY(),B332,B332=TODAY(),TODAY())</f>
        <v>45935</v>
      </c>
      <c r="D332" s="1285" t="s">
        <v>966</v>
      </c>
      <c r="E332" s="1276">
        <v>45769</v>
      </c>
      <c r="F332" s="1285"/>
      <c r="G332" s="1286">
        <v>5519884.1931506852</v>
      </c>
      <c r="H332" s="1272"/>
      <c r="I332" s="1287"/>
      <c r="J332" s="1280">
        <f t="shared" si="15"/>
        <v>5519884.1931506852</v>
      </c>
      <c r="K332" s="1272"/>
      <c r="L332" s="1272"/>
      <c r="M332" s="1272"/>
      <c r="N332" s="1283"/>
      <c r="O332" s="1272"/>
      <c r="P332" s="49" t="s">
        <v>1215</v>
      </c>
      <c r="Q332" s="1308" t="s">
        <v>4912</v>
      </c>
    </row>
    <row r="333" spans="1:17">
      <c r="A333" s="1305" t="s">
        <v>4905</v>
      </c>
      <c r="B333" s="1284">
        <v>45844</v>
      </c>
      <c r="C333" s="1274" cm="1">
        <f t="array" aca="1" ref="C333" ca="1">_xlfn.IFS(I333&gt;1,B333,B333&lt;TODAY(),TODAY(),B333&gt;TODAY(),B333,B333=TODAY(),TODAY())</f>
        <v>45935</v>
      </c>
      <c r="D333" s="1285" t="s">
        <v>967</v>
      </c>
      <c r="E333" s="1276">
        <v>45769</v>
      </c>
      <c r="F333" s="1285"/>
      <c r="G333" s="1286">
        <v>5937003.9054794516</v>
      </c>
      <c r="H333" s="1272"/>
      <c r="I333" s="1287"/>
      <c r="J333" s="1280">
        <f t="shared" si="15"/>
        <v>5937003.9054794516</v>
      </c>
      <c r="K333" s="1272"/>
      <c r="L333" s="1272"/>
      <c r="M333" s="1272"/>
      <c r="N333" s="1283"/>
      <c r="O333" s="1272"/>
      <c r="P333" s="49" t="s">
        <v>1215</v>
      </c>
      <c r="Q333" s="1308" t="s">
        <v>4912</v>
      </c>
    </row>
    <row r="334" spans="1:17">
      <c r="A334" s="1305" t="s">
        <v>4905</v>
      </c>
      <c r="B334" s="1284">
        <v>45845</v>
      </c>
      <c r="C334" s="1274" cm="1">
        <f t="array" aca="1" ref="C334" ca="1">_xlfn.IFS(I334&gt;1,B334,B334&lt;TODAY(),TODAY(),B334&gt;TODAY(),B334,B334=TODAY(),TODAY())</f>
        <v>45935</v>
      </c>
      <c r="D334" s="1285" t="s">
        <v>918</v>
      </c>
      <c r="E334" s="1276">
        <v>45769</v>
      </c>
      <c r="F334" s="1285"/>
      <c r="G334" s="1286">
        <v>6381931.5986301368</v>
      </c>
      <c r="H334" s="1272"/>
      <c r="I334" s="1287"/>
      <c r="J334" s="1280">
        <f t="shared" si="15"/>
        <v>6381931.5986301368</v>
      </c>
      <c r="K334" s="1272"/>
      <c r="L334" s="1272"/>
      <c r="M334" s="1272"/>
      <c r="N334" s="1283"/>
      <c r="O334" s="1272"/>
      <c r="P334" s="49" t="s">
        <v>1215</v>
      </c>
      <c r="Q334" s="1308" t="s">
        <v>4912</v>
      </c>
    </row>
    <row r="335" spans="1:17">
      <c r="A335" s="1305" t="s">
        <v>3717</v>
      </c>
      <c r="B335" s="1284">
        <v>45847</v>
      </c>
      <c r="C335" s="1274" cm="1">
        <f t="array" aca="1" ref="C335" ca="1">_xlfn.IFS(I335&gt;1,B335,B335&lt;TODAY(),TODAY(),B335&gt;TODAY(),B335,B335=TODAY(),TODAY())</f>
        <v>45935</v>
      </c>
      <c r="D335" s="1285" t="s">
        <v>946</v>
      </c>
      <c r="E335" s="1276">
        <v>45769</v>
      </c>
      <c r="F335" s="1285"/>
      <c r="G335" s="1286">
        <v>8750000</v>
      </c>
      <c r="H335" s="1272"/>
      <c r="I335" s="1287"/>
      <c r="J335" s="1280">
        <f t="shared" si="15"/>
        <v>8750000</v>
      </c>
      <c r="K335" s="1272"/>
      <c r="L335" s="1272"/>
      <c r="M335" s="1272"/>
      <c r="N335" s="1283"/>
      <c r="O335" s="1272"/>
      <c r="P335" s="49" t="s">
        <v>1215</v>
      </c>
      <c r="Q335" s="1308" t="s">
        <v>4912</v>
      </c>
    </row>
    <row r="336" spans="1:17">
      <c r="A336" s="1305" t="s">
        <v>4905</v>
      </c>
      <c r="B336" s="1284">
        <v>45847</v>
      </c>
      <c r="C336" s="1274" cm="1">
        <f t="array" aca="1" ref="C336" ca="1">_xlfn.IFS(I336&gt;1,B336,B336&lt;TODAY(),TODAY(),B336&gt;TODAY(),B336,B336=TODAY(),TODAY())</f>
        <v>45935</v>
      </c>
      <c r="D336" s="1285" t="s">
        <v>968</v>
      </c>
      <c r="E336" s="1276">
        <v>45769</v>
      </c>
      <c r="F336" s="1285"/>
      <c r="G336" s="1286">
        <v>5088845.9506849311</v>
      </c>
      <c r="H336" s="1272"/>
      <c r="I336" s="1287"/>
      <c r="J336" s="1280">
        <f t="shared" si="15"/>
        <v>5088845.9506849311</v>
      </c>
      <c r="K336" s="1272"/>
      <c r="L336" s="1272"/>
      <c r="M336" s="1272"/>
      <c r="N336" s="1283"/>
      <c r="O336" s="1272"/>
      <c r="P336" s="49" t="s">
        <v>1215</v>
      </c>
      <c r="Q336" s="1308" t="s">
        <v>4912</v>
      </c>
    </row>
    <row r="337" spans="1:17">
      <c r="A337" s="1305" t="s">
        <v>4905</v>
      </c>
      <c r="B337" s="1284">
        <v>45847</v>
      </c>
      <c r="C337" s="1274" cm="1">
        <f t="array" aca="1" ref="C337" ca="1">_xlfn.IFS(I337&gt;1,B337,B337&lt;TODAY(),TODAY(),B337&gt;TODAY(),B337,B337=TODAY(),TODAY())</f>
        <v>45935</v>
      </c>
      <c r="D337" s="1285" t="s">
        <v>969</v>
      </c>
      <c r="E337" s="1276">
        <v>45769</v>
      </c>
      <c r="F337" s="1285"/>
      <c r="G337" s="1286">
        <v>5412112.8041095883</v>
      </c>
      <c r="H337" s="1272"/>
      <c r="I337" s="1287"/>
      <c r="J337" s="1280">
        <f t="shared" si="15"/>
        <v>5412112.8041095883</v>
      </c>
      <c r="K337" s="1272"/>
      <c r="L337" s="1272"/>
      <c r="M337" s="1272"/>
      <c r="N337" s="1283"/>
      <c r="O337" s="1272"/>
      <c r="P337" s="49" t="s">
        <v>1215</v>
      </c>
      <c r="Q337" s="1308" t="s">
        <v>4912</v>
      </c>
    </row>
    <row r="338" spans="1:17">
      <c r="A338" s="1305" t="s">
        <v>4905</v>
      </c>
      <c r="B338" s="1284">
        <v>45847</v>
      </c>
      <c r="C338" s="1274" cm="1">
        <f t="array" aca="1" ref="C338" ca="1">_xlfn.IFS(I338&gt;1,B338,B338&lt;TODAY(),TODAY(),B338&gt;TODAY(),B338,B338=TODAY(),TODAY())</f>
        <v>45935</v>
      </c>
      <c r="D338" s="1285" t="s">
        <v>929</v>
      </c>
      <c r="E338" s="1276">
        <v>45769</v>
      </c>
      <c r="F338" s="1285"/>
      <c r="G338" s="1286">
        <v>5735379.6575342463</v>
      </c>
      <c r="H338" s="1272"/>
      <c r="I338" s="1287"/>
      <c r="J338" s="1280">
        <f t="shared" si="15"/>
        <v>5735379.6575342463</v>
      </c>
      <c r="K338" s="1272"/>
      <c r="L338" s="1272"/>
      <c r="M338" s="1272"/>
      <c r="N338" s="1283"/>
      <c r="O338" s="1272"/>
      <c r="P338" s="49" t="s">
        <v>1215</v>
      </c>
      <c r="Q338" s="1308" t="s">
        <v>4912</v>
      </c>
    </row>
    <row r="339" spans="1:17">
      <c r="A339" s="1305" t="s">
        <v>3717</v>
      </c>
      <c r="B339" s="1284">
        <v>45847</v>
      </c>
      <c r="C339" s="1274" cm="1">
        <f t="array" aca="1" ref="C339" ca="1">_xlfn.IFS(I339&gt;1,B339,B339&lt;TODAY(),TODAY(),B339&gt;TODAY(),B339,B339=TODAY(),TODAY())</f>
        <v>45935</v>
      </c>
      <c r="D339" s="1285" t="s">
        <v>918</v>
      </c>
      <c r="E339" s="1276">
        <v>45769</v>
      </c>
      <c r="F339" s="1285"/>
      <c r="G339" s="1286">
        <v>8750000</v>
      </c>
      <c r="H339" s="1272"/>
      <c r="I339" s="1287"/>
      <c r="J339" s="1280">
        <f t="shared" si="15"/>
        <v>8750000</v>
      </c>
      <c r="K339" s="1272"/>
      <c r="L339" s="1272"/>
      <c r="M339" s="1272"/>
      <c r="N339" s="1283"/>
      <c r="O339" s="1272"/>
      <c r="P339" s="49" t="s">
        <v>1215</v>
      </c>
      <c r="Q339" s="1308" t="s">
        <v>4912</v>
      </c>
    </row>
    <row r="340" spans="1:17">
      <c r="A340" s="1305" t="s">
        <v>4905</v>
      </c>
      <c r="B340" s="1284">
        <v>45847</v>
      </c>
      <c r="C340" s="1274" cm="1">
        <f t="array" aca="1" ref="C340" ca="1">_xlfn.IFS(I340&gt;1,B340,B340&lt;TODAY(),TODAY(),B340&gt;TODAY(),B340,B340=TODAY(),TODAY())</f>
        <v>45935</v>
      </c>
      <c r="D340" s="1285" t="s">
        <v>970</v>
      </c>
      <c r="E340" s="1276">
        <v>45769</v>
      </c>
      <c r="F340" s="1285"/>
      <c r="G340" s="1286">
        <v>4018218.7863013698</v>
      </c>
      <c r="H340" s="1272"/>
      <c r="I340" s="1287"/>
      <c r="J340" s="1280">
        <f t="shared" si="15"/>
        <v>4018218.7863013698</v>
      </c>
      <c r="K340" s="1272"/>
      <c r="L340" s="1272"/>
      <c r="M340" s="1272"/>
      <c r="N340" s="1283"/>
      <c r="O340" s="1272"/>
      <c r="P340" s="49" t="s">
        <v>1215</v>
      </c>
      <c r="Q340" s="1308" t="s">
        <v>4912</v>
      </c>
    </row>
    <row r="341" spans="1:17">
      <c r="A341" s="1305" t="s">
        <v>4905</v>
      </c>
      <c r="B341" s="1284">
        <v>45848</v>
      </c>
      <c r="C341" s="1274" cm="1">
        <f t="array" aca="1" ref="C341" ca="1">_xlfn.IFS(I341&gt;1,B341,B341&lt;TODAY(),TODAY(),B341&gt;TODAY(),B341,B341=TODAY(),TODAY())</f>
        <v>45935</v>
      </c>
      <c r="D341" s="1285" t="s">
        <v>946</v>
      </c>
      <c r="E341" s="1276">
        <v>45769</v>
      </c>
      <c r="F341" s="1285"/>
      <c r="G341" s="1286">
        <v>4233728.7904109592</v>
      </c>
      <c r="H341" s="1272"/>
      <c r="I341" s="1287"/>
      <c r="J341" s="1280">
        <f t="shared" si="15"/>
        <v>4233728.7904109592</v>
      </c>
      <c r="K341" s="1272"/>
      <c r="L341" s="1272"/>
      <c r="M341" s="1272"/>
      <c r="N341" s="1283"/>
      <c r="O341" s="1272"/>
      <c r="P341" s="49" t="s">
        <v>1215</v>
      </c>
      <c r="Q341" s="1308" t="s">
        <v>4912</v>
      </c>
    </row>
    <row r="342" spans="1:17">
      <c r="A342" s="1305" t="s">
        <v>4905</v>
      </c>
      <c r="B342" s="1284">
        <v>45848</v>
      </c>
      <c r="C342" s="1274" cm="1">
        <f t="array" aca="1" ref="C342" ca="1">_xlfn.IFS(I342&gt;1,B342,B342&lt;TODAY(),TODAY(),B342&gt;TODAY(),B342,B342=TODAY(),TODAY())</f>
        <v>45935</v>
      </c>
      <c r="D342" s="1285" t="s">
        <v>929</v>
      </c>
      <c r="E342" s="1276">
        <v>45769</v>
      </c>
      <c r="F342" s="1285"/>
      <c r="G342" s="1286">
        <v>4442286.8589041093</v>
      </c>
      <c r="H342" s="1272"/>
      <c r="I342" s="1287"/>
      <c r="J342" s="1280">
        <f t="shared" si="15"/>
        <v>4442286.8589041093</v>
      </c>
      <c r="K342" s="1272"/>
      <c r="L342" s="1272"/>
      <c r="M342" s="1272"/>
      <c r="N342" s="1283"/>
      <c r="O342" s="1272"/>
      <c r="P342" s="49" t="s">
        <v>1215</v>
      </c>
      <c r="Q342" s="1308" t="s">
        <v>4912</v>
      </c>
    </row>
    <row r="343" spans="1:17">
      <c r="A343" s="1305" t="s">
        <v>3717</v>
      </c>
      <c r="B343" s="1284">
        <v>45848</v>
      </c>
      <c r="C343" s="1274" cm="1">
        <f t="array" aca="1" ref="C343" ca="1">_xlfn.IFS(I343&gt;1,B343,B343&lt;TODAY(),TODAY(),B343&gt;TODAY(),B343,B343=TODAY(),TODAY())</f>
        <v>45935</v>
      </c>
      <c r="D343" s="1285" t="s">
        <v>941</v>
      </c>
      <c r="E343" s="1276">
        <v>45769</v>
      </c>
      <c r="F343" s="1285"/>
      <c r="G343" s="1286">
        <v>8750000</v>
      </c>
      <c r="H343" s="1272"/>
      <c r="I343" s="1287"/>
      <c r="J343" s="1280">
        <f t="shared" si="15"/>
        <v>8750000</v>
      </c>
      <c r="K343" s="1272"/>
      <c r="L343" s="1272"/>
      <c r="M343" s="1272"/>
      <c r="N343" s="1283"/>
      <c r="O343" s="1272"/>
      <c r="P343" s="49" t="s">
        <v>1215</v>
      </c>
      <c r="Q343" s="1308" t="s">
        <v>4912</v>
      </c>
    </row>
    <row r="344" spans="1:17">
      <c r="A344" s="1305" t="s">
        <v>4905</v>
      </c>
      <c r="B344" s="1284">
        <v>45848</v>
      </c>
      <c r="C344" s="1274" cm="1">
        <f t="array" aca="1" ref="C344" ca="1">_xlfn.IFS(I344&gt;1,B344,B344&lt;TODAY(),TODAY(),B344&gt;TODAY(),B344,B344=TODAY(),TODAY())</f>
        <v>45935</v>
      </c>
      <c r="D344" s="1285" t="s">
        <v>961</v>
      </c>
      <c r="E344" s="1276">
        <v>45769</v>
      </c>
      <c r="F344" s="1285"/>
      <c r="G344" s="1286">
        <v>2328858.506849315</v>
      </c>
      <c r="H344" s="1272"/>
      <c r="I344" s="1287"/>
      <c r="J344" s="1280">
        <f t="shared" si="15"/>
        <v>2328858.506849315</v>
      </c>
      <c r="K344" s="1272"/>
      <c r="L344" s="1272"/>
      <c r="M344" s="1272"/>
      <c r="N344" s="1283"/>
      <c r="O344" s="1272"/>
      <c r="P344" s="49" t="s">
        <v>1215</v>
      </c>
      <c r="Q344" s="1308" t="s">
        <v>4912</v>
      </c>
    </row>
    <row r="345" spans="1:17">
      <c r="A345" s="1305" t="s">
        <v>4905</v>
      </c>
      <c r="B345" s="1284">
        <v>45848</v>
      </c>
      <c r="C345" s="1274" cm="1">
        <f t="array" aca="1" ref="C345" ca="1">_xlfn.IFS(I345&gt;1,B345,B345&lt;TODAY(),TODAY(),B345&gt;TODAY(),B345,B345=TODAY(),TODAY())</f>
        <v>45935</v>
      </c>
      <c r="D345" s="1285" t="s">
        <v>971</v>
      </c>
      <c r="E345" s="1276">
        <v>45769</v>
      </c>
      <c r="F345" s="1285"/>
      <c r="G345" s="1286">
        <v>2433135.7534246575</v>
      </c>
      <c r="H345" s="1272"/>
      <c r="I345" s="1287"/>
      <c r="J345" s="1280">
        <f t="shared" si="15"/>
        <v>2433135.7534246575</v>
      </c>
      <c r="K345" s="1272"/>
      <c r="L345" s="1272"/>
      <c r="M345" s="1272"/>
      <c r="N345" s="1283"/>
      <c r="O345" s="1272"/>
      <c r="P345" s="49" t="s">
        <v>1215</v>
      </c>
      <c r="Q345" s="1308" t="s">
        <v>4912</v>
      </c>
    </row>
    <row r="346" spans="1:17">
      <c r="A346" s="1305" t="s">
        <v>4905</v>
      </c>
      <c r="B346" s="1284">
        <v>45848</v>
      </c>
      <c r="C346" s="1274" cm="1">
        <f t="array" aca="1" ref="C346" ca="1">_xlfn.IFS(I346&gt;1,B346,B346&lt;TODAY(),TODAY(),B346&gt;TODAY(),B346,B346=TODAY(),TODAY())</f>
        <v>45935</v>
      </c>
      <c r="D346" s="1285" t="s">
        <v>972</v>
      </c>
      <c r="E346" s="1276">
        <v>45769</v>
      </c>
      <c r="F346" s="1285"/>
      <c r="G346" s="1286">
        <v>2544364.8164383559</v>
      </c>
      <c r="H346" s="1272"/>
      <c r="I346" s="1287"/>
      <c r="J346" s="1280">
        <f t="shared" si="15"/>
        <v>2544364.8164383559</v>
      </c>
      <c r="K346" s="1272"/>
      <c r="L346" s="1272"/>
      <c r="M346" s="1272"/>
      <c r="N346" s="1283"/>
      <c r="O346" s="1272"/>
      <c r="P346" s="49" t="s">
        <v>1215</v>
      </c>
      <c r="Q346" s="1308" t="s">
        <v>4912</v>
      </c>
    </row>
    <row r="347" spans="1:17">
      <c r="A347" s="1305" t="s">
        <v>3717</v>
      </c>
      <c r="B347" s="1284">
        <v>45849</v>
      </c>
      <c r="C347" s="1274" cm="1">
        <f t="array" aca="1" ref="C347" ca="1">_xlfn.IFS(I347&gt;1,B347,B347&lt;TODAY(),TODAY(),B347&gt;TODAY(),B347,B347=TODAY(),TODAY())</f>
        <v>45935</v>
      </c>
      <c r="D347" s="1285" t="s">
        <v>968</v>
      </c>
      <c r="E347" s="1276">
        <v>45769</v>
      </c>
      <c r="F347" s="1285"/>
      <c r="G347" s="1286">
        <v>8749700</v>
      </c>
      <c r="H347" s="1272"/>
      <c r="I347" s="1287"/>
      <c r="J347" s="1280">
        <f t="shared" si="15"/>
        <v>8749700</v>
      </c>
      <c r="K347" s="1272"/>
      <c r="L347" s="1272"/>
      <c r="M347" s="1272"/>
      <c r="N347" s="1283"/>
      <c r="O347" s="1272"/>
      <c r="P347" s="49" t="s">
        <v>1215</v>
      </c>
      <c r="Q347" s="1308" t="s">
        <v>4912</v>
      </c>
    </row>
    <row r="348" spans="1:17">
      <c r="A348" s="1305" t="s">
        <v>3724</v>
      </c>
      <c r="B348" s="1284">
        <v>45849</v>
      </c>
      <c r="C348" s="1274" cm="1">
        <f t="array" aca="1" ref="C348" ca="1">_xlfn.IFS(I348&gt;1,B348,B348&lt;TODAY(),TODAY(),B348&gt;TODAY(),B348,B348=TODAY(),TODAY())</f>
        <v>45935</v>
      </c>
      <c r="D348" s="1285" t="s">
        <v>922</v>
      </c>
      <c r="E348" s="1276">
        <v>45769</v>
      </c>
      <c r="F348" s="1285"/>
      <c r="G348" s="1286">
        <v>21287</v>
      </c>
      <c r="H348" s="1272"/>
      <c r="I348" s="1287"/>
      <c r="J348" s="1280">
        <f t="shared" si="15"/>
        <v>21287</v>
      </c>
      <c r="K348" s="1272"/>
      <c r="L348" s="1272"/>
      <c r="M348" s="1272"/>
      <c r="N348" s="1283"/>
      <c r="O348" s="1272"/>
      <c r="P348" s="49" t="s">
        <v>1215</v>
      </c>
      <c r="Q348" s="1310" t="s">
        <v>4913</v>
      </c>
    </row>
    <row r="349" spans="1:17">
      <c r="A349" s="1305" t="s">
        <v>3724</v>
      </c>
      <c r="B349" s="1284">
        <v>45849</v>
      </c>
      <c r="C349" s="1274" cm="1">
        <f t="array" aca="1" ref="C349" ca="1">_xlfn.IFS(I349&gt;1,B349,B349&lt;TODAY(),TODAY(),B349&gt;TODAY(),B349,B349=TODAY(),TODAY())</f>
        <v>45935</v>
      </c>
      <c r="D349" s="1285" t="s">
        <v>918</v>
      </c>
      <c r="E349" s="1276">
        <v>45769</v>
      </c>
      <c r="F349" s="1285"/>
      <c r="G349" s="1286">
        <v>25000</v>
      </c>
      <c r="H349" s="1272"/>
      <c r="I349" s="1287"/>
      <c r="J349" s="1280">
        <f t="shared" si="15"/>
        <v>25000</v>
      </c>
      <c r="K349" s="1272"/>
      <c r="L349" s="1272"/>
      <c r="M349" s="1272"/>
      <c r="N349" s="1283"/>
      <c r="O349" s="1272"/>
      <c r="P349" s="49" t="s">
        <v>1215</v>
      </c>
      <c r="Q349" s="1310" t="s">
        <v>4913</v>
      </c>
    </row>
    <row r="350" spans="1:17">
      <c r="A350" s="1305" t="s">
        <v>3724</v>
      </c>
      <c r="B350" s="1284">
        <v>45851</v>
      </c>
      <c r="C350" s="1274" cm="1">
        <f t="array" aca="1" ref="C350" ca="1">_xlfn.IFS(I350&gt;1,B350,B350&lt;TODAY(),TODAY(),B350&gt;TODAY(),B350,B350=TODAY(),TODAY())</f>
        <v>45935</v>
      </c>
      <c r="D350" s="1285" t="s">
        <v>973</v>
      </c>
      <c r="E350" s="1276">
        <v>45769</v>
      </c>
      <c r="F350" s="1285"/>
      <c r="G350" s="1286">
        <v>30000</v>
      </c>
      <c r="H350" s="1272"/>
      <c r="I350" s="1287"/>
      <c r="J350" s="1280">
        <f t="shared" si="15"/>
        <v>30000</v>
      </c>
      <c r="K350" s="1272"/>
      <c r="L350" s="1272"/>
      <c r="M350" s="1272"/>
      <c r="N350" s="1283"/>
      <c r="O350" s="1272"/>
      <c r="P350" s="49" t="s">
        <v>1215</v>
      </c>
      <c r="Q350" s="1310" t="s">
        <v>4913</v>
      </c>
    </row>
    <row r="351" spans="1:17">
      <c r="A351" s="1305" t="s">
        <v>3724</v>
      </c>
      <c r="B351" s="1284">
        <v>45852</v>
      </c>
      <c r="C351" s="1274" cm="1">
        <f t="array" aca="1" ref="C351" ca="1">_xlfn.IFS(I351&gt;1,B351,B351&lt;TODAY(),TODAY(),B351&gt;TODAY(),B351,B351=TODAY(),TODAY())</f>
        <v>45935</v>
      </c>
      <c r="D351" s="1285" t="s">
        <v>960</v>
      </c>
      <c r="E351" s="1276">
        <v>45769</v>
      </c>
      <c r="F351" s="1285"/>
      <c r="G351" s="1286">
        <v>55000</v>
      </c>
      <c r="H351" s="1272"/>
      <c r="I351" s="1287"/>
      <c r="J351" s="1280">
        <f t="shared" si="15"/>
        <v>55000</v>
      </c>
      <c r="K351" s="1272"/>
      <c r="L351" s="1272"/>
      <c r="M351" s="1272"/>
      <c r="N351" s="1283"/>
      <c r="O351" s="1272"/>
      <c r="P351" s="49" t="s">
        <v>1215</v>
      </c>
      <c r="Q351" s="1310" t="s">
        <v>4913</v>
      </c>
    </row>
    <row r="352" spans="1:17">
      <c r="A352" s="1305" t="s">
        <v>3724</v>
      </c>
      <c r="B352" s="1284">
        <v>45852</v>
      </c>
      <c r="C352" s="1274" cm="1">
        <f t="array" aca="1" ref="C352" ca="1">_xlfn.IFS(I352&gt;1,B352,B352&lt;TODAY(),TODAY(),B352&gt;TODAY(),B352,B352=TODAY(),TODAY())</f>
        <v>45935</v>
      </c>
      <c r="D352" s="1285" t="s">
        <v>947</v>
      </c>
      <c r="E352" s="1276">
        <v>45769</v>
      </c>
      <c r="F352" s="1285"/>
      <c r="G352" s="1286">
        <v>35000</v>
      </c>
      <c r="H352" s="1272"/>
      <c r="I352" s="1287"/>
      <c r="J352" s="1280">
        <f t="shared" si="15"/>
        <v>35000</v>
      </c>
      <c r="K352" s="1272"/>
      <c r="L352" s="1272"/>
      <c r="M352" s="1272"/>
      <c r="N352" s="1283"/>
      <c r="O352" s="1272"/>
      <c r="P352" s="49" t="s">
        <v>1215</v>
      </c>
      <c r="Q352" s="1310" t="s">
        <v>4913</v>
      </c>
    </row>
    <row r="353" spans="1:17">
      <c r="A353" s="1305" t="s">
        <v>3724</v>
      </c>
      <c r="B353" s="1284">
        <v>45852</v>
      </c>
      <c r="C353" s="1274" cm="1">
        <f t="array" aca="1" ref="C353" ca="1">_xlfn.IFS(I353&gt;1,B353,B353&lt;TODAY(),TODAY(),B353&gt;TODAY(),B353,B353=TODAY(),TODAY())</f>
        <v>45935</v>
      </c>
      <c r="D353" s="1285" t="s">
        <v>918</v>
      </c>
      <c r="E353" s="1276">
        <v>45769</v>
      </c>
      <c r="F353" s="1285"/>
      <c r="G353" s="1286">
        <v>25000</v>
      </c>
      <c r="H353" s="1272"/>
      <c r="I353" s="1287"/>
      <c r="J353" s="1280">
        <f t="shared" si="15"/>
        <v>25000</v>
      </c>
      <c r="K353" s="1272"/>
      <c r="L353" s="1272"/>
      <c r="M353" s="1272"/>
      <c r="N353" s="1283"/>
      <c r="O353" s="1272"/>
      <c r="P353" s="49" t="s">
        <v>1215</v>
      </c>
      <c r="Q353" s="1310" t="s">
        <v>4913</v>
      </c>
    </row>
    <row r="354" spans="1:17">
      <c r="A354" s="1305" t="s">
        <v>3724</v>
      </c>
      <c r="B354" s="1284">
        <v>45853</v>
      </c>
      <c r="C354" s="1274" cm="1">
        <f t="array" aca="1" ref="C354" ca="1">_xlfn.IFS(I354&gt;1,B354,B354&lt;TODAY(),TODAY(),B354&gt;TODAY(),B354,B354=TODAY(),TODAY())</f>
        <v>45935</v>
      </c>
      <c r="D354" s="1285" t="s">
        <v>974</v>
      </c>
      <c r="E354" s="1276">
        <v>45769</v>
      </c>
      <c r="F354" s="1285"/>
      <c r="G354" s="1286">
        <v>10000</v>
      </c>
      <c r="H354" s="1272"/>
      <c r="I354" s="1287"/>
      <c r="J354" s="1280">
        <f t="shared" si="15"/>
        <v>10000</v>
      </c>
      <c r="K354" s="1272"/>
      <c r="L354" s="1272"/>
      <c r="M354" s="1272"/>
      <c r="N354" s="1283"/>
      <c r="O354" s="1272"/>
      <c r="P354" s="49" t="s">
        <v>1215</v>
      </c>
      <c r="Q354" s="1310" t="s">
        <v>4913</v>
      </c>
    </row>
    <row r="355" spans="1:17">
      <c r="A355" s="1305" t="s">
        <v>3724</v>
      </c>
      <c r="B355" s="1284">
        <v>45854</v>
      </c>
      <c r="C355" s="1274" cm="1">
        <f t="array" aca="1" ref="C355" ca="1">_xlfn.IFS(I355&gt;1,B355,B355&lt;TODAY(),TODAY(),B355&gt;TODAY(),B355,B355=TODAY(),TODAY())</f>
        <v>45935</v>
      </c>
      <c r="D355" s="1285" t="s">
        <v>926</v>
      </c>
      <c r="E355" s="1276">
        <v>45769</v>
      </c>
      <c r="F355" s="1285"/>
      <c r="G355" s="1286">
        <v>12000</v>
      </c>
      <c r="H355" s="1272"/>
      <c r="I355" s="1287"/>
      <c r="J355" s="1280">
        <f t="shared" si="15"/>
        <v>12000</v>
      </c>
      <c r="K355" s="1272"/>
      <c r="L355" s="1272"/>
      <c r="M355" s="1272"/>
      <c r="N355" s="1283"/>
      <c r="O355" s="1272"/>
      <c r="P355" s="49" t="s">
        <v>1215</v>
      </c>
      <c r="Q355" s="1310" t="s">
        <v>4913</v>
      </c>
    </row>
    <row r="356" spans="1:17">
      <c r="A356" s="1305" t="s">
        <v>984</v>
      </c>
      <c r="B356" s="1284">
        <v>45854</v>
      </c>
      <c r="C356" s="1274" cm="1">
        <f t="array" aca="1" ref="C356" ca="1">_xlfn.IFS(I356&gt;1,B356,B356&lt;TODAY(),TODAY(),B356&gt;TODAY(),B356,B356=TODAY(),TODAY())</f>
        <v>45935</v>
      </c>
      <c r="D356" s="1285" t="s">
        <v>866</v>
      </c>
      <c r="E356" s="1276">
        <v>45769</v>
      </c>
      <c r="F356" s="1285"/>
      <c r="G356" s="1286">
        <v>13029235</v>
      </c>
      <c r="H356" s="1272"/>
      <c r="I356" s="1287"/>
      <c r="J356" s="1280">
        <f t="shared" si="15"/>
        <v>13029235</v>
      </c>
      <c r="K356" s="1272"/>
      <c r="L356" s="1272"/>
      <c r="M356" s="1272"/>
      <c r="N356" s="1283"/>
      <c r="O356" s="1272"/>
      <c r="P356" s="49" t="s">
        <v>1215</v>
      </c>
      <c r="Q356" s="1308" t="s">
        <v>4912</v>
      </c>
    </row>
    <row r="357" spans="1:17">
      <c r="A357" s="1305" t="s">
        <v>3726</v>
      </c>
      <c r="B357" s="1284">
        <v>45854</v>
      </c>
      <c r="C357" s="1274" cm="1">
        <f t="array" aca="1" ref="C357" ca="1">_xlfn.IFS(I357&gt;1,B357,B357&lt;TODAY(),TODAY(),B357&gt;TODAY(),B357,B357=TODAY(),TODAY())</f>
        <v>45935</v>
      </c>
      <c r="D357" s="1285" t="s">
        <v>918</v>
      </c>
      <c r="E357" s="1276">
        <v>45769</v>
      </c>
      <c r="F357" s="1285"/>
      <c r="G357" s="1286">
        <v>0</v>
      </c>
      <c r="H357" s="1272"/>
      <c r="I357" s="1287"/>
      <c r="J357" s="1280">
        <f t="shared" si="15"/>
        <v>0</v>
      </c>
      <c r="K357" s="1272"/>
      <c r="L357" s="1272"/>
      <c r="M357" s="1272"/>
      <c r="N357" s="1283"/>
      <c r="O357" s="1272"/>
      <c r="P357" s="49" t="s">
        <v>1215</v>
      </c>
      <c r="Q357" s="1308" t="s">
        <v>4912</v>
      </c>
    </row>
    <row r="358" spans="1:17">
      <c r="A358" s="1305" t="s">
        <v>3726</v>
      </c>
      <c r="B358" s="1284">
        <v>45855</v>
      </c>
      <c r="C358" s="1274" cm="1">
        <f t="array" aca="1" ref="C358" ca="1">_xlfn.IFS(I358&gt;1,B358,B358&lt;TODAY(),TODAY(),B358&gt;TODAY(),B358,B358=TODAY(),TODAY())</f>
        <v>45935</v>
      </c>
      <c r="D358" s="1285" t="s">
        <v>975</v>
      </c>
      <c r="E358" s="1276">
        <v>45769</v>
      </c>
      <c r="F358" s="1285"/>
      <c r="G358" s="1286">
        <v>0</v>
      </c>
      <c r="H358" s="1272"/>
      <c r="I358" s="1287"/>
      <c r="J358" s="1280">
        <f t="shared" si="15"/>
        <v>0</v>
      </c>
      <c r="K358" s="1272"/>
      <c r="L358" s="1272"/>
      <c r="M358" s="1272"/>
      <c r="N358" s="1283"/>
      <c r="O358" s="1272"/>
      <c r="P358" s="49" t="s">
        <v>1215</v>
      </c>
      <c r="Q358" s="1308" t="s">
        <v>4912</v>
      </c>
    </row>
    <row r="359" spans="1:17">
      <c r="A359" s="1305" t="s">
        <v>3726</v>
      </c>
      <c r="B359" s="1284">
        <v>45855</v>
      </c>
      <c r="C359" s="1274" cm="1">
        <f t="array" aca="1" ref="C359" ca="1">_xlfn.IFS(I359&gt;1,B359,B359&lt;TODAY(),TODAY(),B359&gt;TODAY(),B359,B359=TODAY(),TODAY())</f>
        <v>45935</v>
      </c>
      <c r="D359" s="1285" t="s">
        <v>918</v>
      </c>
      <c r="E359" s="1276">
        <v>45769</v>
      </c>
      <c r="F359" s="1285"/>
      <c r="G359" s="1286">
        <v>33997.1</v>
      </c>
      <c r="H359" s="1272"/>
      <c r="I359" s="1287"/>
      <c r="J359" s="1280">
        <f t="shared" si="15"/>
        <v>33997.1</v>
      </c>
      <c r="K359" s="1272"/>
      <c r="L359" s="1272"/>
      <c r="M359" s="1272"/>
      <c r="N359" s="1283"/>
      <c r="O359" s="1272"/>
      <c r="P359" s="49" t="s">
        <v>1215</v>
      </c>
      <c r="Q359" s="1308" t="s">
        <v>4912</v>
      </c>
    </row>
    <row r="360" spans="1:17">
      <c r="A360" s="1305" t="s">
        <v>3726</v>
      </c>
      <c r="B360" s="1284">
        <v>45856</v>
      </c>
      <c r="C360" s="1274" cm="1">
        <f t="array" aca="1" ref="C360" ca="1">_xlfn.IFS(I360&gt;1,B360,B360&lt;TODAY(),TODAY(),B360&gt;TODAY(),B360,B360=TODAY(),TODAY())</f>
        <v>45935</v>
      </c>
      <c r="D360" s="1285" t="s">
        <v>866</v>
      </c>
      <c r="E360" s="1276">
        <v>45769</v>
      </c>
      <c r="F360" s="1285"/>
      <c r="G360" s="1286">
        <v>471823.23</v>
      </c>
      <c r="H360" s="1272"/>
      <c r="I360" s="1287"/>
      <c r="J360" s="1280">
        <f t="shared" si="15"/>
        <v>471823.23</v>
      </c>
      <c r="K360" s="1272"/>
      <c r="L360" s="1272"/>
      <c r="M360" s="1272"/>
      <c r="N360" s="1283"/>
      <c r="O360" s="1272"/>
      <c r="P360" s="49" t="s">
        <v>1215</v>
      </c>
      <c r="Q360" s="1308" t="s">
        <v>4912</v>
      </c>
    </row>
    <row r="361" spans="1:17">
      <c r="A361" s="1305" t="s">
        <v>3726</v>
      </c>
      <c r="B361" s="1284">
        <v>45856</v>
      </c>
      <c r="C361" s="1274" cm="1">
        <f t="array" aca="1" ref="C361" ca="1">_xlfn.IFS(I361&gt;1,B361,B361&lt;TODAY(),TODAY(),B361&gt;TODAY(),B361,B361=TODAY(),TODAY())</f>
        <v>45935</v>
      </c>
      <c r="D361" s="1285" t="s">
        <v>947</v>
      </c>
      <c r="E361" s="1276">
        <v>45769</v>
      </c>
      <c r="F361" s="1285"/>
      <c r="G361" s="1286">
        <v>372814.91000000003</v>
      </c>
      <c r="H361" s="1272"/>
      <c r="I361" s="1287"/>
      <c r="J361" s="1280">
        <f t="shared" si="15"/>
        <v>372814.91000000003</v>
      </c>
      <c r="K361" s="1272"/>
      <c r="L361" s="1272"/>
      <c r="M361" s="1272"/>
      <c r="N361" s="1283"/>
      <c r="O361" s="1272"/>
      <c r="P361" s="49" t="s">
        <v>1215</v>
      </c>
      <c r="Q361" s="1308" t="s">
        <v>4912</v>
      </c>
    </row>
    <row r="362" spans="1:17">
      <c r="A362" s="1305" t="s">
        <v>3726</v>
      </c>
      <c r="B362" s="1284">
        <v>45856</v>
      </c>
      <c r="C362" s="1274" cm="1">
        <f t="array" aca="1" ref="C362" ca="1">_xlfn.IFS(I362&gt;1,B362,B362&lt;TODAY(),TODAY(),B362&gt;TODAY(),B362,B362=TODAY(),TODAY())</f>
        <v>45935</v>
      </c>
      <c r="D362" s="1285" t="s">
        <v>957</v>
      </c>
      <c r="E362" s="1276">
        <v>45769</v>
      </c>
      <c r="F362" s="1285"/>
      <c r="G362" s="1286">
        <v>114875.29000000001</v>
      </c>
      <c r="H362" s="1272"/>
      <c r="I362" s="1287"/>
      <c r="J362" s="1280">
        <f t="shared" si="15"/>
        <v>114875.29000000001</v>
      </c>
      <c r="K362" s="1272"/>
      <c r="L362" s="1272"/>
      <c r="M362" s="1272"/>
      <c r="N362" s="1283"/>
      <c r="O362" s="1272"/>
      <c r="P362" s="49" t="s">
        <v>1215</v>
      </c>
      <c r="Q362" s="1308" t="s">
        <v>4912</v>
      </c>
    </row>
    <row r="363" spans="1:17">
      <c r="A363" s="1305" t="s">
        <v>3726</v>
      </c>
      <c r="B363" s="1284">
        <v>45856</v>
      </c>
      <c r="C363" s="1274" cm="1">
        <f t="array" aca="1" ref="C363" ca="1">_xlfn.IFS(I363&gt;1,B363,B363&lt;TODAY(),TODAY(),B363&gt;TODAY(),B363,B363=TODAY(),TODAY())</f>
        <v>45935</v>
      </c>
      <c r="D363" s="1285" t="s">
        <v>918</v>
      </c>
      <c r="E363" s="1276">
        <v>45769</v>
      </c>
      <c r="F363" s="1285"/>
      <c r="G363" s="1286">
        <v>369449.60000000003</v>
      </c>
      <c r="H363" s="1272"/>
      <c r="I363" s="1287"/>
      <c r="J363" s="1280">
        <f t="shared" si="15"/>
        <v>369449.60000000003</v>
      </c>
      <c r="K363" s="1272"/>
      <c r="L363" s="1272"/>
      <c r="M363" s="1272"/>
      <c r="N363" s="1283"/>
      <c r="O363" s="1272"/>
      <c r="P363" s="49" t="s">
        <v>1215</v>
      </c>
      <c r="Q363" s="1308" t="s">
        <v>4912</v>
      </c>
    </row>
    <row r="364" spans="1:17">
      <c r="A364" s="1305" t="s">
        <v>3726</v>
      </c>
      <c r="B364" s="1284">
        <v>45857</v>
      </c>
      <c r="C364" s="1274" cm="1">
        <f t="array" aca="1" ref="C364" ca="1">_xlfn.IFS(I364&gt;1,B364,B364&lt;TODAY(),TODAY(),B364&gt;TODAY(),B364,B364=TODAY(),TODAY())</f>
        <v>45935</v>
      </c>
      <c r="D364" s="1285" t="s">
        <v>957</v>
      </c>
      <c r="E364" s="1276">
        <v>45769</v>
      </c>
      <c r="F364" s="1285"/>
      <c r="G364" s="1286">
        <v>116629.07</v>
      </c>
      <c r="H364" s="1272"/>
      <c r="I364" s="1287"/>
      <c r="J364" s="1280">
        <f t="shared" si="15"/>
        <v>116629.07</v>
      </c>
      <c r="K364" s="1272"/>
      <c r="L364" s="1272"/>
      <c r="M364" s="1272"/>
      <c r="N364" s="1283"/>
      <c r="O364" s="1272"/>
      <c r="P364" s="49" t="s">
        <v>1215</v>
      </c>
      <c r="Q364" s="1308" t="s">
        <v>4912</v>
      </c>
    </row>
    <row r="365" spans="1:17">
      <c r="A365" s="1305" t="s">
        <v>3726</v>
      </c>
      <c r="B365" s="1284">
        <v>45857</v>
      </c>
      <c r="C365" s="1274" cm="1">
        <f t="array" aca="1" ref="C365" ca="1">_xlfn.IFS(I365&gt;1,B365,B365&lt;TODAY(),TODAY(),B365&gt;TODAY(),B365,B365=TODAY(),TODAY())</f>
        <v>45935</v>
      </c>
      <c r="D365" s="1285" t="s">
        <v>922</v>
      </c>
      <c r="E365" s="1276">
        <v>45769</v>
      </c>
      <c r="F365" s="1285"/>
      <c r="G365" s="1286">
        <v>20025.600000000002</v>
      </c>
      <c r="H365" s="1272"/>
      <c r="I365" s="1287"/>
      <c r="J365" s="1280">
        <f t="shared" si="15"/>
        <v>20025.600000000002</v>
      </c>
      <c r="K365" s="1272"/>
      <c r="L365" s="1272"/>
      <c r="M365" s="1272"/>
      <c r="N365" s="1283"/>
      <c r="O365" s="1272"/>
      <c r="P365" s="49" t="s">
        <v>1215</v>
      </c>
      <c r="Q365" s="1308" t="s">
        <v>4912</v>
      </c>
    </row>
    <row r="366" spans="1:17">
      <c r="A366" s="1305" t="s">
        <v>3726</v>
      </c>
      <c r="B366" s="1284">
        <v>45857</v>
      </c>
      <c r="C366" s="1274" cm="1">
        <f t="array" aca="1" ref="C366" ca="1">_xlfn.IFS(I366&gt;1,B366,B366&lt;TODAY(),TODAY(),B366&gt;TODAY(),B366,B366=TODAY(),TODAY())</f>
        <v>45935</v>
      </c>
      <c r="D366" s="1285" t="s">
        <v>962</v>
      </c>
      <c r="E366" s="1276">
        <v>45769</v>
      </c>
      <c r="F366" s="1285"/>
      <c r="G366" s="1286">
        <v>109553.45</v>
      </c>
      <c r="H366" s="1272"/>
      <c r="I366" s="1287"/>
      <c r="J366" s="1280">
        <f t="shared" si="15"/>
        <v>109553.45</v>
      </c>
      <c r="K366" s="1272"/>
      <c r="L366" s="1272"/>
      <c r="M366" s="1272"/>
      <c r="N366" s="1283"/>
      <c r="O366" s="1272"/>
      <c r="P366" s="49" t="s">
        <v>1215</v>
      </c>
      <c r="Q366" s="1308" t="s">
        <v>4912</v>
      </c>
    </row>
    <row r="367" spans="1:17">
      <c r="A367" s="1305" t="s">
        <v>3726</v>
      </c>
      <c r="B367" s="1284">
        <v>45857</v>
      </c>
      <c r="C367" s="1274" cm="1">
        <f t="array" aca="1" ref="C367" ca="1">_xlfn.IFS(I367&gt;1,B367,B367&lt;TODAY(),TODAY(),B367&gt;TODAY(),B367,B367=TODAY(),TODAY())</f>
        <v>45935</v>
      </c>
      <c r="D367" s="1285" t="s">
        <v>918</v>
      </c>
      <c r="E367" s="1276">
        <v>45769</v>
      </c>
      <c r="F367" s="1285"/>
      <c r="G367" s="1286">
        <v>91292.89</v>
      </c>
      <c r="H367" s="1272"/>
      <c r="I367" s="1287"/>
      <c r="J367" s="1280">
        <f t="shared" si="15"/>
        <v>91292.89</v>
      </c>
      <c r="K367" s="1272"/>
      <c r="L367" s="1272"/>
      <c r="M367" s="1272"/>
      <c r="N367" s="1283"/>
      <c r="O367" s="1272"/>
      <c r="P367" s="49" t="s">
        <v>1215</v>
      </c>
      <c r="Q367" s="1308" t="s">
        <v>4912</v>
      </c>
    </row>
    <row r="368" spans="1:17">
      <c r="A368" s="1305" t="s">
        <v>3726</v>
      </c>
      <c r="B368" s="1284">
        <v>45857</v>
      </c>
      <c r="C368" s="1274" cm="1">
        <f t="array" aca="1" ref="C368" ca="1">_xlfn.IFS(I368&gt;1,B368,B368&lt;TODAY(),TODAY(),B368&gt;TODAY(),B368,B368=TODAY(),TODAY())</f>
        <v>45935</v>
      </c>
      <c r="D368" s="1285" t="s">
        <v>941</v>
      </c>
      <c r="E368" s="1276">
        <v>45769</v>
      </c>
      <c r="F368" s="1285"/>
      <c r="G368" s="1286">
        <v>20025.600000000002</v>
      </c>
      <c r="H368" s="1272"/>
      <c r="I368" s="1287"/>
      <c r="J368" s="1280">
        <f t="shared" si="15"/>
        <v>20025.600000000002</v>
      </c>
      <c r="K368" s="1272"/>
      <c r="L368" s="1272"/>
      <c r="M368" s="1272"/>
      <c r="N368" s="1283"/>
      <c r="O368" s="1272"/>
      <c r="P368" s="49" t="s">
        <v>1215</v>
      </c>
      <c r="Q368" s="1308" t="s">
        <v>4912</v>
      </c>
    </row>
    <row r="369" spans="1:17">
      <c r="A369" s="1305" t="s">
        <v>3726</v>
      </c>
      <c r="B369" s="1284">
        <v>45857</v>
      </c>
      <c r="C369" s="1274" cm="1">
        <f t="array" aca="1" ref="C369" ca="1">_xlfn.IFS(I369&gt;1,B369,B369&lt;TODAY(),TODAY(),B369&gt;TODAY(),B369,B369=TODAY(),TODAY())</f>
        <v>45935</v>
      </c>
      <c r="D369" s="1285" t="s">
        <v>976</v>
      </c>
      <c r="E369" s="1276">
        <v>45769</v>
      </c>
      <c r="F369" s="1285"/>
      <c r="G369" s="1286">
        <v>42382.31</v>
      </c>
      <c r="H369" s="1272"/>
      <c r="I369" s="1287"/>
      <c r="J369" s="1280">
        <f t="shared" si="15"/>
        <v>42382.31</v>
      </c>
      <c r="K369" s="1272"/>
      <c r="L369" s="1272"/>
      <c r="M369" s="1272"/>
      <c r="N369" s="1283"/>
      <c r="O369" s="1272"/>
      <c r="P369" s="49" t="s">
        <v>1215</v>
      </c>
      <c r="Q369" s="1308" t="s">
        <v>4912</v>
      </c>
    </row>
    <row r="370" spans="1:17">
      <c r="A370" s="1305" t="s">
        <v>3726</v>
      </c>
      <c r="B370" s="1284">
        <v>45858</v>
      </c>
      <c r="C370" s="1274" cm="1">
        <f t="array" aca="1" ref="C370" ca="1">_xlfn.IFS(I370&gt;1,B370,B370&lt;TODAY(),TODAY(),B370&gt;TODAY(),B370,B370=TODAY(),TODAY())</f>
        <v>45935</v>
      </c>
      <c r="D370" s="1285" t="s">
        <v>946</v>
      </c>
      <c r="E370" s="1276">
        <v>45769</v>
      </c>
      <c r="F370" s="1285"/>
      <c r="G370" s="1286">
        <v>128795.2</v>
      </c>
      <c r="H370" s="1272"/>
      <c r="I370" s="1287"/>
      <c r="J370" s="1280">
        <f t="shared" si="15"/>
        <v>128795.2</v>
      </c>
      <c r="K370" s="1272"/>
      <c r="L370" s="1272"/>
      <c r="M370" s="1272"/>
      <c r="N370" s="1283"/>
      <c r="O370" s="1272"/>
      <c r="P370" s="49" t="s">
        <v>1215</v>
      </c>
      <c r="Q370" s="1308" t="s">
        <v>4912</v>
      </c>
    </row>
    <row r="371" spans="1:17">
      <c r="A371" s="1305" t="s">
        <v>3726</v>
      </c>
      <c r="B371" s="1284">
        <v>45858</v>
      </c>
      <c r="C371" s="1274" cm="1">
        <f t="array" aca="1" ref="C371" ca="1">_xlfn.IFS(I371&gt;1,B371,B371&lt;TODAY(),TODAY(),B371&gt;TODAY(),B371,B371=TODAY(),TODAY())</f>
        <v>45935</v>
      </c>
      <c r="D371" s="1285" t="s">
        <v>977</v>
      </c>
      <c r="E371" s="1276">
        <v>45769</v>
      </c>
      <c r="F371" s="1285"/>
      <c r="G371" s="1286">
        <v>418374.11</v>
      </c>
      <c r="H371" s="1272"/>
      <c r="I371" s="1287"/>
      <c r="J371" s="1280">
        <f t="shared" si="15"/>
        <v>418374.11</v>
      </c>
      <c r="K371" s="1272"/>
      <c r="L371" s="1272"/>
      <c r="M371" s="1272"/>
      <c r="N371" s="1283"/>
      <c r="O371" s="1272"/>
      <c r="P371" s="49" t="s">
        <v>1215</v>
      </c>
      <c r="Q371" s="1308" t="s">
        <v>4912</v>
      </c>
    </row>
    <row r="372" spans="1:17">
      <c r="A372" s="1305" t="s">
        <v>3726</v>
      </c>
      <c r="B372" s="1284">
        <v>45858</v>
      </c>
      <c r="C372" s="1274" cm="1">
        <f t="array" aca="1" ref="C372" ca="1">_xlfn.IFS(I372&gt;1,B372,B372&lt;TODAY(),TODAY(),B372&gt;TODAY(),B372,B372=TODAY(),TODAY())</f>
        <v>45935</v>
      </c>
      <c r="D372" s="1285" t="s">
        <v>918</v>
      </c>
      <c r="E372" s="1276">
        <v>45769</v>
      </c>
      <c r="F372" s="1285"/>
      <c r="G372" s="1286">
        <v>58369.950000000004</v>
      </c>
      <c r="H372" s="1272"/>
      <c r="I372" s="1287"/>
      <c r="J372" s="1280">
        <f t="shared" si="15"/>
        <v>58369.950000000004</v>
      </c>
      <c r="K372" s="1272"/>
      <c r="L372" s="1272"/>
      <c r="M372" s="1272"/>
      <c r="N372" s="1283"/>
      <c r="O372" s="1272"/>
      <c r="P372" s="49" t="s">
        <v>1215</v>
      </c>
      <c r="Q372" s="1308" t="s">
        <v>4912</v>
      </c>
    </row>
    <row r="373" spans="1:17">
      <c r="A373" s="1305" t="s">
        <v>3726</v>
      </c>
      <c r="B373" s="1284">
        <v>45859</v>
      </c>
      <c r="C373" s="1274" cm="1">
        <f t="array" aca="1" ref="C373" ca="1">_xlfn.IFS(I373&gt;1,B373,B373&lt;TODAY(),TODAY(),B373&gt;TODAY(),B373,B373=TODAY(),TODAY())</f>
        <v>45935</v>
      </c>
      <c r="D373" s="1285" t="s">
        <v>945</v>
      </c>
      <c r="E373" s="1276">
        <v>45769</v>
      </c>
      <c r="F373" s="1285"/>
      <c r="G373" s="1286">
        <v>8542.44</v>
      </c>
      <c r="H373" s="1272"/>
      <c r="I373" s="1287"/>
      <c r="J373" s="1280">
        <f t="shared" si="15"/>
        <v>8542.44</v>
      </c>
      <c r="K373" s="1272"/>
      <c r="L373" s="1272"/>
      <c r="M373" s="1272"/>
      <c r="N373" s="1283"/>
      <c r="O373" s="1272"/>
      <c r="P373" s="49" t="s">
        <v>1215</v>
      </c>
      <c r="Q373" s="1308" t="s">
        <v>4912</v>
      </c>
    </row>
    <row r="374" spans="1:17">
      <c r="A374" s="1305" t="s">
        <v>3726</v>
      </c>
      <c r="B374" s="1284">
        <v>45859</v>
      </c>
      <c r="C374" s="1274" cm="1">
        <f t="array" aca="1" ref="C374" ca="1">_xlfn.IFS(I374&gt;1,B374,B374&lt;TODAY(),TODAY(),B374&gt;TODAY(),B374,B374=TODAY(),TODAY())</f>
        <v>45935</v>
      </c>
      <c r="D374" s="1285" t="s">
        <v>918</v>
      </c>
      <c r="E374" s="1276">
        <v>45769</v>
      </c>
      <c r="F374" s="1285"/>
      <c r="G374" s="1286">
        <v>68440</v>
      </c>
      <c r="H374" s="1272"/>
      <c r="I374" s="1287"/>
      <c r="J374" s="1280">
        <f t="shared" si="15"/>
        <v>68440</v>
      </c>
      <c r="K374" s="1272"/>
      <c r="L374" s="1272"/>
      <c r="M374" s="1272"/>
      <c r="N374" s="1283"/>
      <c r="O374" s="1272"/>
      <c r="P374" s="49" t="s">
        <v>1215</v>
      </c>
      <c r="Q374" s="1308" t="s">
        <v>4912</v>
      </c>
    </row>
    <row r="375" spans="1:17">
      <c r="A375" s="1305" t="s">
        <v>3726</v>
      </c>
      <c r="B375" s="1284">
        <v>45859</v>
      </c>
      <c r="C375" s="1274" cm="1">
        <f t="array" aca="1" ref="C375" ca="1">_xlfn.IFS(I375&gt;1,B375,B375&lt;TODAY(),TODAY(),B375&gt;TODAY(),B375,B375=TODAY(),TODAY())</f>
        <v>45935</v>
      </c>
      <c r="D375" s="1285" t="s">
        <v>971</v>
      </c>
      <c r="E375" s="1276">
        <v>45769</v>
      </c>
      <c r="F375" s="1285"/>
      <c r="G375" s="1286">
        <v>52915.92</v>
      </c>
      <c r="H375" s="1272"/>
      <c r="I375" s="1287"/>
      <c r="J375" s="1280">
        <f t="shared" si="15"/>
        <v>52915.92</v>
      </c>
      <c r="K375" s="1272"/>
      <c r="L375" s="1272"/>
      <c r="M375" s="1272"/>
      <c r="N375" s="1283"/>
      <c r="O375" s="1272"/>
      <c r="P375" s="49" t="s">
        <v>1215</v>
      </c>
      <c r="Q375" s="1308" t="s">
        <v>4912</v>
      </c>
    </row>
    <row r="376" spans="1:17">
      <c r="A376" s="1305" t="s">
        <v>3726</v>
      </c>
      <c r="B376" s="1284">
        <v>45859</v>
      </c>
      <c r="C376" s="1274" cm="1">
        <f t="array" aca="1" ref="C376" ca="1">_xlfn.IFS(I376&gt;1,B376,B376&lt;TODAY(),TODAY(),B376&gt;TODAY(),B376,B376=TODAY(),TODAY())</f>
        <v>45935</v>
      </c>
      <c r="D376" s="1285" t="s">
        <v>978</v>
      </c>
      <c r="E376" s="1276">
        <v>45769</v>
      </c>
      <c r="F376" s="1285"/>
      <c r="G376" s="1286">
        <v>71861.41</v>
      </c>
      <c r="H376" s="1272"/>
      <c r="I376" s="1287"/>
      <c r="J376" s="1280">
        <f t="shared" si="15"/>
        <v>71861.41</v>
      </c>
      <c r="K376" s="1272"/>
      <c r="L376" s="1272"/>
      <c r="M376" s="1272"/>
      <c r="N376" s="1283"/>
      <c r="O376" s="1272"/>
      <c r="P376" s="49" t="s">
        <v>1215</v>
      </c>
      <c r="Q376" s="1308" t="s">
        <v>4912</v>
      </c>
    </row>
    <row r="377" spans="1:17">
      <c r="A377" s="1305" t="s">
        <v>3726</v>
      </c>
      <c r="B377" s="1284">
        <v>45859</v>
      </c>
      <c r="C377" s="1274" cm="1">
        <f t="array" aca="1" ref="C377" ca="1">_xlfn.IFS(I377&gt;1,B377,B377&lt;TODAY(),TODAY(),B377&gt;TODAY(),B377,B377=TODAY(),TODAY())</f>
        <v>45935</v>
      </c>
      <c r="D377" s="1285" t="s">
        <v>979</v>
      </c>
      <c r="E377" s="1276">
        <v>45769</v>
      </c>
      <c r="F377" s="1285"/>
      <c r="G377" s="1286">
        <v>33632.15</v>
      </c>
      <c r="H377" s="1272"/>
      <c r="I377" s="1287"/>
      <c r="J377" s="1280">
        <f t="shared" si="15"/>
        <v>33632.15</v>
      </c>
      <c r="K377" s="1272"/>
      <c r="L377" s="1272"/>
      <c r="M377" s="1272"/>
      <c r="N377" s="1283"/>
      <c r="O377" s="1272"/>
      <c r="P377" s="49" t="s">
        <v>1215</v>
      </c>
      <c r="Q377" s="1308" t="s">
        <v>4912</v>
      </c>
    </row>
    <row r="378" spans="1:17">
      <c r="A378" s="1305" t="s">
        <v>3726</v>
      </c>
      <c r="B378" s="1284">
        <v>45861</v>
      </c>
      <c r="C378" s="1274" cm="1">
        <f t="array" aca="1" ref="C378" ca="1">_xlfn.IFS(I378&gt;1,B378,B378&lt;TODAY(),TODAY(),B378&gt;TODAY(),B378,B378=TODAY(),TODAY())</f>
        <v>45935</v>
      </c>
      <c r="D378" s="1285" t="s">
        <v>922</v>
      </c>
      <c r="E378" s="1276">
        <v>45769</v>
      </c>
      <c r="F378" s="1285"/>
      <c r="G378" s="1286">
        <v>11048.93</v>
      </c>
      <c r="H378" s="1272"/>
      <c r="I378" s="1287"/>
      <c r="J378" s="1280">
        <f t="shared" si="15"/>
        <v>11048.93</v>
      </c>
      <c r="K378" s="1272"/>
      <c r="L378" s="1272"/>
      <c r="M378" s="1272"/>
      <c r="N378" s="1283"/>
      <c r="O378" s="1272"/>
      <c r="P378" s="49" t="s">
        <v>1215</v>
      </c>
      <c r="Q378" s="1308" t="s">
        <v>4912</v>
      </c>
    </row>
    <row r="379" spans="1:17">
      <c r="A379" s="1305" t="s">
        <v>3726</v>
      </c>
      <c r="B379" s="1284">
        <v>45861</v>
      </c>
      <c r="C379" s="1274" cm="1">
        <f t="array" aca="1" ref="C379" ca="1">_xlfn.IFS(I379&gt;1,B379,B379&lt;TODAY(),TODAY(),B379&gt;TODAY(),B379,B379=TODAY(),TODAY())</f>
        <v>45935</v>
      </c>
      <c r="D379" s="1285" t="s">
        <v>918</v>
      </c>
      <c r="E379" s="1276">
        <v>45769</v>
      </c>
      <c r="F379" s="1285"/>
      <c r="G379" s="1286">
        <v>55705.270000000004</v>
      </c>
      <c r="H379" s="1272"/>
      <c r="I379" s="1287"/>
      <c r="J379" s="1280">
        <f t="shared" si="15"/>
        <v>55705.270000000004</v>
      </c>
      <c r="K379" s="1272"/>
      <c r="L379" s="1272"/>
      <c r="M379" s="1272"/>
      <c r="N379" s="1283"/>
      <c r="O379" s="1272"/>
      <c r="P379" s="49" t="s">
        <v>1215</v>
      </c>
      <c r="Q379" s="1308" t="s">
        <v>4912</v>
      </c>
    </row>
    <row r="380" spans="1:17">
      <c r="A380" s="1305" t="s">
        <v>3726</v>
      </c>
      <c r="B380" s="1284">
        <v>45862</v>
      </c>
      <c r="C380" s="1274" cm="1">
        <f t="array" aca="1" ref="C380" ca="1">_xlfn.IFS(I380&gt;1,B380,B380&lt;TODAY(),TODAY(),B380&gt;TODAY(),B380,B380=TODAY(),TODAY())</f>
        <v>45935</v>
      </c>
      <c r="D380" s="1285" t="s">
        <v>929</v>
      </c>
      <c r="E380" s="1276">
        <v>45769</v>
      </c>
      <c r="F380" s="1285"/>
      <c r="G380" s="1286">
        <v>49075.200000000004</v>
      </c>
      <c r="H380" s="1272"/>
      <c r="I380" s="1287"/>
      <c r="J380" s="1280">
        <f t="shared" si="15"/>
        <v>49075.200000000004</v>
      </c>
      <c r="K380" s="1272"/>
      <c r="L380" s="1272"/>
      <c r="M380" s="1272"/>
      <c r="N380" s="1283"/>
      <c r="O380" s="1272"/>
      <c r="P380" s="49" t="s">
        <v>1215</v>
      </c>
      <c r="Q380" s="1308" t="s">
        <v>4912</v>
      </c>
    </row>
    <row r="381" spans="1:17">
      <c r="A381" s="1305" t="s">
        <v>3726</v>
      </c>
      <c r="B381" s="1284">
        <v>45862</v>
      </c>
      <c r="C381" s="1274" cm="1">
        <f t="array" aca="1" ref="C381" ca="1">_xlfn.IFS(I381&gt;1,B381,B381&lt;TODAY(),TODAY(),B381&gt;TODAY(),B381,B381=TODAY(),TODAY())</f>
        <v>45935</v>
      </c>
      <c r="D381" s="1285" t="s">
        <v>980</v>
      </c>
      <c r="E381" s="1276">
        <v>45769</v>
      </c>
      <c r="F381" s="1285"/>
      <c r="G381" s="1286">
        <v>73045.67</v>
      </c>
      <c r="H381" s="1272"/>
      <c r="I381" s="1287"/>
      <c r="J381" s="1280">
        <f t="shared" si="15"/>
        <v>73045.67</v>
      </c>
      <c r="K381" s="1272"/>
      <c r="L381" s="1272"/>
      <c r="M381" s="1272"/>
      <c r="N381" s="1283"/>
      <c r="O381" s="1272"/>
      <c r="P381" s="49" t="s">
        <v>1215</v>
      </c>
      <c r="Q381" s="1308" t="s">
        <v>4912</v>
      </c>
    </row>
    <row r="382" spans="1:17">
      <c r="A382" s="1305" t="s">
        <v>3726</v>
      </c>
      <c r="B382" s="1284">
        <v>45862</v>
      </c>
      <c r="C382" s="1274" cm="1">
        <f t="array" aca="1" ref="C382" ca="1">_xlfn.IFS(I382&gt;1,B382,B382&lt;TODAY(),TODAY(),B382&gt;TODAY(),B382,B382=TODAY(),TODAY())</f>
        <v>45935</v>
      </c>
      <c r="D382" s="1285" t="s">
        <v>790</v>
      </c>
      <c r="E382" s="1276">
        <v>45769</v>
      </c>
      <c r="F382" s="1285"/>
      <c r="G382" s="1286">
        <v>2563.16</v>
      </c>
      <c r="H382" s="1272"/>
      <c r="I382" s="1287"/>
      <c r="J382" s="1280">
        <f t="shared" si="15"/>
        <v>2563.16</v>
      </c>
      <c r="K382" s="1272"/>
      <c r="L382" s="1272"/>
      <c r="M382" s="1272"/>
      <c r="N382" s="1283"/>
      <c r="O382" s="1272"/>
      <c r="P382" s="49" t="s">
        <v>1215</v>
      </c>
      <c r="Q382" s="1308" t="s">
        <v>4912</v>
      </c>
    </row>
    <row r="383" spans="1:17">
      <c r="A383" s="1305" t="s">
        <v>3726</v>
      </c>
      <c r="B383" s="1284">
        <v>45862</v>
      </c>
      <c r="C383" s="1274" cm="1">
        <f t="array" aca="1" ref="C383" ca="1">_xlfn.IFS(I383&gt;1,B383,B383&lt;TODAY(),TODAY(),B383&gt;TODAY(),B383,B383=TODAY(),TODAY())</f>
        <v>45935</v>
      </c>
      <c r="D383" s="1285" t="s">
        <v>932</v>
      </c>
      <c r="E383" s="1276">
        <v>45769</v>
      </c>
      <c r="F383" s="1285"/>
      <c r="G383" s="1286">
        <v>119306</v>
      </c>
      <c r="H383" s="1272"/>
      <c r="I383" s="1287"/>
      <c r="J383" s="1280">
        <f t="shared" si="15"/>
        <v>119306</v>
      </c>
      <c r="K383" s="1272"/>
      <c r="L383" s="1272"/>
      <c r="M383" s="1272"/>
      <c r="N383" s="1283"/>
      <c r="O383" s="1272"/>
      <c r="P383" s="49" t="s">
        <v>1215</v>
      </c>
      <c r="Q383" s="1308" t="s">
        <v>4912</v>
      </c>
    </row>
    <row r="384" spans="1:17">
      <c r="A384" s="1305" t="s">
        <v>3726</v>
      </c>
      <c r="B384" s="1284">
        <v>45862</v>
      </c>
      <c r="C384" s="1274" cm="1">
        <f t="array" aca="1" ref="C384" ca="1">_xlfn.IFS(I384&gt;1,B384,B384&lt;TODAY(),TODAY(),B384&gt;TODAY(),B384,B384=TODAY(),TODAY())</f>
        <v>45935</v>
      </c>
      <c r="D384" s="1285" t="s">
        <v>918</v>
      </c>
      <c r="E384" s="1276">
        <v>45769</v>
      </c>
      <c r="F384" s="1285"/>
      <c r="G384" s="1286">
        <v>10575.2</v>
      </c>
      <c r="H384" s="1272"/>
      <c r="I384" s="1287"/>
      <c r="J384" s="1280">
        <f t="shared" si="15"/>
        <v>10575.2</v>
      </c>
      <c r="K384" s="1272"/>
      <c r="L384" s="1272"/>
      <c r="M384" s="1272"/>
      <c r="N384" s="1283"/>
      <c r="O384" s="1272"/>
      <c r="P384" s="49" t="s">
        <v>1215</v>
      </c>
      <c r="Q384" s="1308" t="s">
        <v>4912</v>
      </c>
    </row>
    <row r="385" spans="1:17">
      <c r="A385" s="1305" t="s">
        <v>3726</v>
      </c>
      <c r="B385" s="1284">
        <v>45863</v>
      </c>
      <c r="C385" s="1274" cm="1">
        <f t="array" aca="1" ref="C385" ca="1">_xlfn.IFS(I385&gt;1,B385,B385&lt;TODAY(),TODAY(),B385&gt;TODAY(),B385,B385=TODAY(),TODAY())</f>
        <v>45935</v>
      </c>
      <c r="D385" s="1285" t="s">
        <v>981</v>
      </c>
      <c r="E385" s="1276">
        <v>45769</v>
      </c>
      <c r="F385" s="1285"/>
      <c r="G385" s="1286">
        <v>59222.97</v>
      </c>
      <c r="H385" s="1272"/>
      <c r="I385" s="1287"/>
      <c r="J385" s="1280">
        <f t="shared" si="15"/>
        <v>59222.97</v>
      </c>
      <c r="K385" s="1272"/>
      <c r="L385" s="1272"/>
      <c r="M385" s="1272"/>
      <c r="N385" s="1283"/>
      <c r="O385" s="1272"/>
      <c r="P385" s="49" t="s">
        <v>1215</v>
      </c>
      <c r="Q385" s="1308" t="s">
        <v>4912</v>
      </c>
    </row>
    <row r="386" spans="1:17">
      <c r="A386" s="1305" t="s">
        <v>3726</v>
      </c>
      <c r="B386" s="1284">
        <v>45863</v>
      </c>
      <c r="C386" s="1274" cm="1">
        <f t="array" aca="1" ref="C386" ca="1">_xlfn.IFS(I386&gt;1,B386,B386&lt;TODAY(),TODAY(),B386&gt;TODAY(),B386,B386=TODAY(),TODAY())</f>
        <v>45935</v>
      </c>
      <c r="D386" s="1285" t="s">
        <v>922</v>
      </c>
      <c r="E386" s="1276">
        <v>45769</v>
      </c>
      <c r="F386" s="1285"/>
      <c r="G386" s="1286">
        <v>102971.65000000001</v>
      </c>
      <c r="H386" s="1272"/>
      <c r="I386" s="1287"/>
      <c r="J386" s="1280">
        <f t="shared" ref="J386:J449" si="16">G386-I386</f>
        <v>102971.65000000001</v>
      </c>
      <c r="K386" s="1272"/>
      <c r="L386" s="1272"/>
      <c r="M386" s="1272"/>
      <c r="N386" s="1283"/>
      <c r="O386" s="1272"/>
      <c r="P386" s="49" t="s">
        <v>1215</v>
      </c>
      <c r="Q386" s="1308" t="s">
        <v>4912</v>
      </c>
    </row>
    <row r="387" spans="1:17">
      <c r="A387" s="1305" t="s">
        <v>3726</v>
      </c>
      <c r="B387" s="1284">
        <v>45863</v>
      </c>
      <c r="C387" s="1274" cm="1">
        <f t="array" aca="1" ref="C387" ca="1">_xlfn.IFS(I387&gt;1,B387,B387&lt;TODAY(),TODAY(),B387&gt;TODAY(),B387,B387=TODAY(),TODAY())</f>
        <v>45935</v>
      </c>
      <c r="D387" s="1285" t="s">
        <v>918</v>
      </c>
      <c r="E387" s="1276">
        <v>45769</v>
      </c>
      <c r="F387" s="1285"/>
      <c r="G387" s="1286">
        <v>8723.42</v>
      </c>
      <c r="H387" s="1272"/>
      <c r="I387" s="1287"/>
      <c r="J387" s="1280">
        <f t="shared" si="16"/>
        <v>8723.42</v>
      </c>
      <c r="K387" s="1272"/>
      <c r="L387" s="1272"/>
      <c r="M387" s="1272"/>
      <c r="N387" s="1283"/>
      <c r="O387" s="1272"/>
      <c r="P387" s="49" t="s">
        <v>1215</v>
      </c>
      <c r="Q387" s="1308" t="s">
        <v>4912</v>
      </c>
    </row>
    <row r="388" spans="1:17">
      <c r="A388" s="1305" t="s">
        <v>3726</v>
      </c>
      <c r="B388" s="1284">
        <v>45863</v>
      </c>
      <c r="C388" s="1274" cm="1">
        <f t="array" aca="1" ref="C388" ca="1">_xlfn.IFS(I388&gt;1,B388,B388&lt;TODAY(),TODAY(),B388&gt;TODAY(),B388,B388=TODAY(),TODAY())</f>
        <v>45935</v>
      </c>
      <c r="D388" s="1285" t="s">
        <v>941</v>
      </c>
      <c r="E388" s="1276">
        <v>45769</v>
      </c>
      <c r="F388" s="1285"/>
      <c r="G388" s="1286">
        <v>141170.72</v>
      </c>
      <c r="H388" s="1272"/>
      <c r="I388" s="1287"/>
      <c r="J388" s="1280">
        <f t="shared" si="16"/>
        <v>141170.72</v>
      </c>
      <c r="K388" s="1272"/>
      <c r="L388" s="1272"/>
      <c r="M388" s="1272"/>
      <c r="N388" s="1283"/>
      <c r="O388" s="1272"/>
      <c r="P388" s="49" t="s">
        <v>1215</v>
      </c>
      <c r="Q388" s="1308" t="s">
        <v>4912</v>
      </c>
    </row>
    <row r="389" spans="1:17">
      <c r="A389" s="1305" t="s">
        <v>3726</v>
      </c>
      <c r="B389" s="1284">
        <v>45864</v>
      </c>
      <c r="C389" s="1274" cm="1">
        <f t="array" aca="1" ref="C389" ca="1">_xlfn.IFS(I389&gt;1,B389,B389&lt;TODAY(),TODAY(),B389&gt;TODAY(),B389,B389=TODAY(),TODAY())</f>
        <v>45935</v>
      </c>
      <c r="D389" s="1285" t="s">
        <v>918</v>
      </c>
      <c r="E389" s="1276">
        <v>45769</v>
      </c>
      <c r="F389" s="1285"/>
      <c r="G389" s="1286">
        <v>13863.02</v>
      </c>
      <c r="H389" s="1272"/>
      <c r="I389" s="1287"/>
      <c r="J389" s="1280">
        <f t="shared" si="16"/>
        <v>13863.02</v>
      </c>
      <c r="K389" s="1272"/>
      <c r="L389" s="1272"/>
      <c r="M389" s="1272"/>
      <c r="N389" s="1283"/>
      <c r="O389" s="1272"/>
      <c r="P389" s="49" t="s">
        <v>1215</v>
      </c>
      <c r="Q389" s="1308" t="s">
        <v>4912</v>
      </c>
    </row>
    <row r="390" spans="1:17">
      <c r="A390" s="1305" t="s">
        <v>3726</v>
      </c>
      <c r="B390" s="1284">
        <v>45865</v>
      </c>
      <c r="C390" s="1274" cm="1">
        <f t="array" aca="1" ref="C390" ca="1">_xlfn.IFS(I390&gt;1,B390,B390&lt;TODAY(),TODAY(),B390&gt;TODAY(),B390,B390=TODAY(),TODAY())</f>
        <v>45935</v>
      </c>
      <c r="D390" s="1285" t="s">
        <v>918</v>
      </c>
      <c r="E390" s="1276">
        <v>45769</v>
      </c>
      <c r="F390" s="1285"/>
      <c r="G390" s="1286">
        <v>20739.46</v>
      </c>
      <c r="H390" s="1272"/>
      <c r="I390" s="1287"/>
      <c r="J390" s="1280">
        <f t="shared" si="16"/>
        <v>20739.46</v>
      </c>
      <c r="K390" s="1272"/>
      <c r="L390" s="1272"/>
      <c r="M390" s="1272"/>
      <c r="N390" s="1283"/>
      <c r="O390" s="1272"/>
      <c r="P390" s="49" t="s">
        <v>1215</v>
      </c>
      <c r="Q390" s="1308" t="s">
        <v>4912</v>
      </c>
    </row>
    <row r="391" spans="1:17">
      <c r="A391" s="1305" t="s">
        <v>3726</v>
      </c>
      <c r="B391" s="1284">
        <v>45867</v>
      </c>
      <c r="C391" s="1274" cm="1">
        <f t="array" aca="1" ref="C391" ca="1">_xlfn.IFS(I391&gt;1,B391,B391&lt;TODAY(),TODAY(),B391&gt;TODAY(),B391,B391=TODAY(),TODAY())</f>
        <v>45935</v>
      </c>
      <c r="D391" s="1285" t="s">
        <v>941</v>
      </c>
      <c r="E391" s="1276">
        <v>45769</v>
      </c>
      <c r="F391" s="1285"/>
      <c r="G391" s="1286">
        <v>27638.41</v>
      </c>
      <c r="H391" s="1272"/>
      <c r="I391" s="1287"/>
      <c r="J391" s="1280">
        <f t="shared" si="16"/>
        <v>27638.41</v>
      </c>
      <c r="K391" s="1272"/>
      <c r="L391" s="1272"/>
      <c r="M391" s="1272"/>
      <c r="N391" s="1283"/>
      <c r="O391" s="1272"/>
      <c r="P391" s="49" t="s">
        <v>1215</v>
      </c>
      <c r="Q391" s="1308" t="s">
        <v>4912</v>
      </c>
    </row>
    <row r="392" spans="1:17">
      <c r="A392" s="1305" t="s">
        <v>3726</v>
      </c>
      <c r="B392" s="1284">
        <v>45868</v>
      </c>
      <c r="C392" s="1274" cm="1">
        <f t="array" aca="1" ref="C392" ca="1">_xlfn.IFS(I392&gt;1,B392,B392&lt;TODAY(),TODAY(),B392&gt;TODAY(),B392,B392=TODAY(),TODAY())</f>
        <v>45935</v>
      </c>
      <c r="D392" s="1285" t="s">
        <v>866</v>
      </c>
      <c r="E392" s="1276">
        <v>45769</v>
      </c>
      <c r="F392" s="1285"/>
      <c r="G392" s="1286">
        <v>51812.41</v>
      </c>
      <c r="H392" s="1272"/>
      <c r="I392" s="1287"/>
      <c r="J392" s="1280">
        <f t="shared" si="16"/>
        <v>51812.41</v>
      </c>
      <c r="K392" s="1272"/>
      <c r="L392" s="1272"/>
      <c r="M392" s="1272"/>
      <c r="N392" s="1283"/>
      <c r="O392" s="1272"/>
      <c r="P392" s="49" t="s">
        <v>1215</v>
      </c>
      <c r="Q392" s="1308" t="s">
        <v>4912</v>
      </c>
    </row>
    <row r="393" spans="1:17">
      <c r="A393" s="1305" t="s">
        <v>3726</v>
      </c>
      <c r="B393" s="1284">
        <v>45868</v>
      </c>
      <c r="C393" s="1274" cm="1">
        <f t="array" aca="1" ref="C393" ca="1">_xlfn.IFS(I393&gt;1,B393,B393&lt;TODAY(),TODAY(),B393&gt;TODAY(),B393,B393=TODAY(),TODAY())</f>
        <v>45935</v>
      </c>
      <c r="D393" s="1285" t="s">
        <v>914</v>
      </c>
      <c r="E393" s="1276">
        <v>45769</v>
      </c>
      <c r="F393" s="1285"/>
      <c r="G393" s="1286">
        <v>41518.080000000002</v>
      </c>
      <c r="H393" s="1272"/>
      <c r="I393" s="1287"/>
      <c r="J393" s="1280">
        <f t="shared" si="16"/>
        <v>41518.080000000002</v>
      </c>
      <c r="K393" s="1272"/>
      <c r="L393" s="1272"/>
      <c r="M393" s="1272"/>
      <c r="N393" s="1283"/>
      <c r="O393" s="1272"/>
      <c r="P393" s="49" t="s">
        <v>1215</v>
      </c>
      <c r="Q393" s="1308" t="s">
        <v>4912</v>
      </c>
    </row>
    <row r="394" spans="1:17">
      <c r="A394" s="1305" t="s">
        <v>3726</v>
      </c>
      <c r="B394" s="1284">
        <v>45883</v>
      </c>
      <c r="C394" s="1274" cm="1">
        <f t="array" aca="1" ref="C394" ca="1">_xlfn.IFS(I394&gt;1,B394,B394&lt;TODAY(),TODAY(),B394&gt;TODAY(),B394,B394=TODAY(),TODAY())</f>
        <v>45935</v>
      </c>
      <c r="D394" s="1285" t="s">
        <v>941</v>
      </c>
      <c r="E394" s="1276">
        <v>45769</v>
      </c>
      <c r="F394" s="1285"/>
      <c r="G394" s="1286">
        <v>3809</v>
      </c>
      <c r="H394" s="1272"/>
      <c r="I394" s="1287"/>
      <c r="J394" s="1280">
        <f t="shared" si="16"/>
        <v>3809</v>
      </c>
      <c r="K394" s="1272"/>
      <c r="L394" s="1272"/>
      <c r="M394" s="1272"/>
      <c r="N394" s="1283"/>
      <c r="O394" s="1272"/>
      <c r="P394" s="49" t="s">
        <v>1215</v>
      </c>
      <c r="Q394" s="1308" t="s">
        <v>4912</v>
      </c>
    </row>
    <row r="395" spans="1:17">
      <c r="A395" s="1305" t="s">
        <v>3726</v>
      </c>
      <c r="B395" s="1288">
        <v>45854</v>
      </c>
      <c r="C395" s="1274" cm="1">
        <f t="array" aca="1" ref="C395" ca="1">_xlfn.IFS(I395&gt;1,B395,B395&lt;TODAY(),TODAY(),B395&gt;TODAY(),B395,B395=TODAY(),TODAY())</f>
        <v>45935</v>
      </c>
      <c r="D395" s="1285" t="s">
        <v>982</v>
      </c>
      <c r="E395" s="1276">
        <v>45769</v>
      </c>
      <c r="F395" s="1285"/>
      <c r="G395" s="1289">
        <v>110939.26000000001</v>
      </c>
      <c r="H395" s="1272"/>
      <c r="I395" s="1287"/>
      <c r="J395" s="1280">
        <f t="shared" si="16"/>
        <v>110939.26000000001</v>
      </c>
      <c r="K395" s="1272"/>
      <c r="L395" s="1272"/>
      <c r="M395" s="1272"/>
      <c r="N395" s="1283"/>
      <c r="O395" s="1272"/>
      <c r="P395" s="49" t="s">
        <v>1215</v>
      </c>
      <c r="Q395" s="1308" t="s">
        <v>4912</v>
      </c>
    </row>
    <row r="396" spans="1:17">
      <c r="A396" s="1305" t="s">
        <v>3726</v>
      </c>
      <c r="B396" s="1290">
        <v>45773</v>
      </c>
      <c r="C396" s="1274" cm="1">
        <f t="array" aca="1" ref="C396" ca="1">_xlfn.IFS(I396&gt;1,B396,B396&lt;TODAY(),TODAY(),B396&gt;TODAY(),B396,B396=TODAY(),TODAY())</f>
        <v>45935</v>
      </c>
      <c r="D396" s="1285" t="s">
        <v>917</v>
      </c>
      <c r="E396" s="1276">
        <v>45769</v>
      </c>
      <c r="F396" s="1285"/>
      <c r="G396" s="1286">
        <v>83692.320000000007</v>
      </c>
      <c r="H396" s="1272"/>
      <c r="I396" s="1287"/>
      <c r="J396" s="1280">
        <f t="shared" si="16"/>
        <v>83692.320000000007</v>
      </c>
      <c r="K396" s="1272"/>
      <c r="L396" s="1272"/>
      <c r="M396" s="1272"/>
      <c r="N396" s="1283"/>
      <c r="O396" s="1272"/>
      <c r="P396" s="49" t="s">
        <v>1215</v>
      </c>
      <c r="Q396" s="1308" t="s">
        <v>4912</v>
      </c>
    </row>
    <row r="397" spans="1:17">
      <c r="A397" s="1305" t="s">
        <v>3726</v>
      </c>
      <c r="B397" s="1288">
        <f>E397</f>
        <v>45769</v>
      </c>
      <c r="C397" s="1274" cm="1">
        <f t="array" aca="1" ref="C397" ca="1">_xlfn.IFS(I397&gt;1,B397,B397&lt;TODAY(),TODAY(),B397&gt;TODAY(),B397,B397=TODAY(),TODAY())</f>
        <v>45935</v>
      </c>
      <c r="D397" s="1285" t="s">
        <v>983</v>
      </c>
      <c r="E397" s="1276">
        <v>45769</v>
      </c>
      <c r="F397" s="1285"/>
      <c r="G397" s="1286">
        <v>130292.35</v>
      </c>
      <c r="H397" s="1272"/>
      <c r="I397" s="1287"/>
      <c r="J397" s="1280">
        <f t="shared" si="16"/>
        <v>130292.35</v>
      </c>
      <c r="K397" s="1272"/>
      <c r="L397" s="1272"/>
      <c r="M397" s="1272"/>
      <c r="N397" s="1283"/>
      <c r="O397" s="1272"/>
      <c r="P397" s="49" t="s">
        <v>1215</v>
      </c>
      <c r="Q397" s="1308" t="s">
        <v>4912</v>
      </c>
    </row>
    <row r="398" spans="1:17">
      <c r="A398" s="1305" t="s">
        <v>702</v>
      </c>
      <c r="B398" s="1284">
        <v>45839</v>
      </c>
      <c r="C398" s="1274" cm="1">
        <f t="array" aca="1" ref="C398" ca="1">_xlfn.IFS(I398&gt;1,B398,B398&lt;TODAY(),TODAY(),B398&gt;TODAY(),B398,B398=TODAY(),TODAY())</f>
        <v>45839</v>
      </c>
      <c r="D398" s="1272" t="s">
        <v>888</v>
      </c>
      <c r="E398" s="1276">
        <v>45769</v>
      </c>
      <c r="F398" s="1285"/>
      <c r="G398" s="1286">
        <v>432848</v>
      </c>
      <c r="H398" s="1272"/>
      <c r="I398" s="1291">
        <f t="shared" ref="I398:I405" si="17">G398</f>
        <v>432848</v>
      </c>
      <c r="J398" s="1280">
        <f t="shared" si="16"/>
        <v>0</v>
      </c>
      <c r="K398" s="1272"/>
      <c r="L398" s="1272"/>
      <c r="M398" s="1272"/>
      <c r="N398" s="1283"/>
      <c r="O398" s="1272"/>
      <c r="P398" s="49" t="s">
        <v>1216</v>
      </c>
      <c r="Q398" s="1308" t="s">
        <v>4911</v>
      </c>
    </row>
    <row r="399" spans="1:17">
      <c r="A399" s="1305" t="s">
        <v>702</v>
      </c>
      <c r="B399" s="1284">
        <v>45840</v>
      </c>
      <c r="C399" s="1274" cm="1">
        <f t="array" aca="1" ref="C399" ca="1">_xlfn.IFS(I399&gt;1,B399,B399&lt;TODAY(),TODAY(),B399&gt;TODAY(),B399,B399=TODAY(),TODAY())</f>
        <v>45840</v>
      </c>
      <c r="D399" s="1272" t="s">
        <v>889</v>
      </c>
      <c r="E399" s="1276">
        <v>45769</v>
      </c>
      <c r="F399" s="1285"/>
      <c r="G399" s="1286">
        <v>7542060</v>
      </c>
      <c r="H399" s="1272"/>
      <c r="I399" s="1291">
        <f t="shared" si="17"/>
        <v>7542060</v>
      </c>
      <c r="J399" s="1280">
        <f t="shared" si="16"/>
        <v>0</v>
      </c>
      <c r="K399" s="1272"/>
      <c r="L399" s="1272"/>
      <c r="M399" s="1272"/>
      <c r="N399" s="1283"/>
      <c r="O399" s="1272"/>
      <c r="P399" s="49" t="s">
        <v>1216</v>
      </c>
      <c r="Q399" s="1308" t="s">
        <v>4911</v>
      </c>
    </row>
    <row r="400" spans="1:17">
      <c r="A400" s="1305" t="s">
        <v>702</v>
      </c>
      <c r="B400" s="1284">
        <v>45840</v>
      </c>
      <c r="C400" s="1274" cm="1">
        <f t="array" aca="1" ref="C400" ca="1">_xlfn.IFS(I400&gt;1,B400,B400&lt;TODAY(),TODAY(),B400&gt;TODAY(),B400,B400=TODAY(),TODAY())</f>
        <v>45840</v>
      </c>
      <c r="D400" s="1272" t="s">
        <v>890</v>
      </c>
      <c r="E400" s="1276">
        <v>45769</v>
      </c>
      <c r="F400" s="1285"/>
      <c r="G400" s="1286">
        <v>2406354</v>
      </c>
      <c r="H400" s="1272"/>
      <c r="I400" s="1291">
        <f t="shared" si="17"/>
        <v>2406354</v>
      </c>
      <c r="J400" s="1280">
        <f t="shared" si="16"/>
        <v>0</v>
      </c>
      <c r="K400" s="1272"/>
      <c r="L400" s="1272"/>
      <c r="M400" s="1272"/>
      <c r="N400" s="1283"/>
      <c r="O400" s="1272"/>
      <c r="P400" s="49" t="s">
        <v>1216</v>
      </c>
      <c r="Q400" s="1308" t="s">
        <v>4911</v>
      </c>
    </row>
    <row r="401" spans="1:17">
      <c r="A401" s="1305" t="s">
        <v>702</v>
      </c>
      <c r="B401" s="1284">
        <v>45841</v>
      </c>
      <c r="C401" s="1274" cm="1">
        <f t="array" aca="1" ref="C401" ca="1">_xlfn.IFS(I401&gt;1,B401,B401&lt;TODAY(),TODAY(),B401&gt;TODAY(),B401,B401=TODAY(),TODAY())</f>
        <v>45841</v>
      </c>
      <c r="D401" s="1272" t="s">
        <v>891</v>
      </c>
      <c r="E401" s="1276">
        <v>45769</v>
      </c>
      <c r="F401" s="1285"/>
      <c r="G401" s="1286">
        <v>127576</v>
      </c>
      <c r="H401" s="1272"/>
      <c r="I401" s="1291">
        <f t="shared" si="17"/>
        <v>127576</v>
      </c>
      <c r="J401" s="1280">
        <f t="shared" si="16"/>
        <v>0</v>
      </c>
      <c r="K401" s="1272"/>
      <c r="L401" s="1272"/>
      <c r="M401" s="1272"/>
      <c r="N401" s="1283"/>
      <c r="O401" s="1272"/>
      <c r="P401" s="49" t="s">
        <v>1216</v>
      </c>
      <c r="Q401" s="1308" t="s">
        <v>4911</v>
      </c>
    </row>
    <row r="402" spans="1:17">
      <c r="A402" s="1305" t="s">
        <v>702</v>
      </c>
      <c r="B402" s="1284">
        <v>45842</v>
      </c>
      <c r="C402" s="1274" cm="1">
        <f t="array" aca="1" ref="C402" ca="1">_xlfn.IFS(I402&gt;1,B402,B402&lt;TODAY(),TODAY(),B402&gt;TODAY(),B402,B402=TODAY(),TODAY())</f>
        <v>45842</v>
      </c>
      <c r="D402" s="1272" t="s">
        <v>889</v>
      </c>
      <c r="E402" s="1276">
        <v>45769</v>
      </c>
      <c r="F402" s="1285"/>
      <c r="G402" s="1286">
        <v>689710</v>
      </c>
      <c r="H402" s="1272"/>
      <c r="I402" s="1291">
        <f t="shared" si="17"/>
        <v>689710</v>
      </c>
      <c r="J402" s="1280">
        <f t="shared" si="16"/>
        <v>0</v>
      </c>
      <c r="K402" s="1272"/>
      <c r="L402" s="1272"/>
      <c r="M402" s="1272"/>
      <c r="N402" s="1283"/>
      <c r="O402" s="1272"/>
      <c r="P402" s="49" t="s">
        <v>1216</v>
      </c>
      <c r="Q402" s="1308" t="s">
        <v>4911</v>
      </c>
    </row>
    <row r="403" spans="1:17">
      <c r="A403" s="1305" t="s">
        <v>702</v>
      </c>
      <c r="B403" s="1284">
        <v>45842</v>
      </c>
      <c r="C403" s="1274" cm="1">
        <f t="array" aca="1" ref="C403" ca="1">_xlfn.IFS(I403&gt;1,B403,B403&lt;TODAY(),TODAY(),B403&gt;TODAY(),B403,B403=TODAY(),TODAY())</f>
        <v>45842</v>
      </c>
      <c r="D403" s="1272" t="s">
        <v>891</v>
      </c>
      <c r="E403" s="1276">
        <v>45769</v>
      </c>
      <c r="F403" s="1285"/>
      <c r="G403" s="1286">
        <v>139613</v>
      </c>
      <c r="H403" s="1272"/>
      <c r="I403" s="1291">
        <f t="shared" si="17"/>
        <v>139613</v>
      </c>
      <c r="J403" s="1280">
        <f t="shared" si="16"/>
        <v>0</v>
      </c>
      <c r="K403" s="1272"/>
      <c r="L403" s="1272"/>
      <c r="M403" s="1272"/>
      <c r="N403" s="1283"/>
      <c r="O403" s="1272"/>
      <c r="P403" s="49" t="s">
        <v>1216</v>
      </c>
      <c r="Q403" s="1308" t="s">
        <v>4911</v>
      </c>
    </row>
    <row r="404" spans="1:17">
      <c r="A404" s="1305" t="s">
        <v>702</v>
      </c>
      <c r="B404" s="1284">
        <v>45842</v>
      </c>
      <c r="C404" s="1274" cm="1">
        <f t="array" aca="1" ref="C404" ca="1">_xlfn.IFS(I404&gt;1,B404,B404&lt;TODAY(),TODAY(),B404&gt;TODAY(),B404,B404=TODAY(),TODAY())</f>
        <v>45842</v>
      </c>
      <c r="D404" s="1272" t="s">
        <v>890</v>
      </c>
      <c r="E404" s="1276">
        <v>45769</v>
      </c>
      <c r="F404" s="1285"/>
      <c r="G404" s="1286">
        <v>100000</v>
      </c>
      <c r="H404" s="1272"/>
      <c r="I404" s="1291">
        <f t="shared" si="17"/>
        <v>100000</v>
      </c>
      <c r="J404" s="1280">
        <f t="shared" si="16"/>
        <v>0</v>
      </c>
      <c r="K404" s="1272"/>
      <c r="L404" s="1272"/>
      <c r="M404" s="1272"/>
      <c r="N404" s="1283"/>
      <c r="O404" s="1272"/>
      <c r="P404" s="49" t="s">
        <v>1216</v>
      </c>
      <c r="Q404" s="1308" t="s">
        <v>4911</v>
      </c>
    </row>
    <row r="405" spans="1:17">
      <c r="A405" s="1305" t="s">
        <v>702</v>
      </c>
      <c r="B405" s="1284">
        <v>45852</v>
      </c>
      <c r="C405" s="1274" cm="1">
        <f t="array" aca="1" ref="C405" ca="1">_xlfn.IFS(I405&gt;1,B405,B405&lt;TODAY(),TODAY(),B405&gt;TODAY(),B405,B405=TODAY(),TODAY())</f>
        <v>45852</v>
      </c>
      <c r="D405" s="1285" t="s">
        <v>890</v>
      </c>
      <c r="E405" s="1276">
        <v>45769</v>
      </c>
      <c r="F405" s="1285"/>
      <c r="G405" s="1286">
        <v>25245</v>
      </c>
      <c r="H405" s="1272"/>
      <c r="I405" s="1291">
        <f t="shared" si="17"/>
        <v>25245</v>
      </c>
      <c r="J405" s="1280">
        <f t="shared" si="16"/>
        <v>0</v>
      </c>
      <c r="K405" s="1272"/>
      <c r="L405" s="1272"/>
      <c r="M405" s="1272"/>
      <c r="N405" s="1283"/>
      <c r="O405" s="1272"/>
      <c r="P405" s="49" t="s">
        <v>1216</v>
      </c>
      <c r="Q405" s="1308" t="s">
        <v>4911</v>
      </c>
    </row>
    <row r="406" spans="1:17">
      <c r="A406" s="1305" t="s">
        <v>702</v>
      </c>
      <c r="B406" s="1284">
        <v>45856</v>
      </c>
      <c r="C406" s="1274" cm="1">
        <f t="array" aca="1" ref="C406" ca="1">_xlfn.IFS(I406&gt;1,B406,B406&lt;TODAY(),TODAY(),B406&gt;TODAY(),B406,B406=TODAY(),TODAY())</f>
        <v>45856</v>
      </c>
      <c r="D406" s="1285" t="s">
        <v>890</v>
      </c>
      <c r="E406" s="1276">
        <v>45769</v>
      </c>
      <c r="F406" s="1285"/>
      <c r="G406" s="1286">
        <v>553896.64</v>
      </c>
      <c r="H406" s="1284">
        <v>45856</v>
      </c>
      <c r="I406" s="1291">
        <f t="shared" ref="I406:I412" ca="1" si="18">IF(B406&lt;TODAY(),G406,0)</f>
        <v>553896.64</v>
      </c>
      <c r="J406" s="1280">
        <f t="shared" ca="1" si="16"/>
        <v>0</v>
      </c>
      <c r="K406" s="1272"/>
      <c r="L406" s="1272"/>
      <c r="M406" s="1272"/>
      <c r="N406" s="1283"/>
      <c r="O406" s="1272"/>
      <c r="P406" s="49" t="s">
        <v>1216</v>
      </c>
      <c r="Q406" s="1308" t="s">
        <v>4911</v>
      </c>
    </row>
    <row r="407" spans="1:17">
      <c r="A407" s="1305" t="s">
        <v>702</v>
      </c>
      <c r="B407" s="1284">
        <v>45857</v>
      </c>
      <c r="C407" s="1274" cm="1">
        <f t="array" aca="1" ref="C407" ca="1">_xlfn.IFS(I407&gt;1,B407,B407&lt;TODAY(),TODAY(),B407&gt;TODAY(),B407,B407=TODAY(),TODAY())</f>
        <v>45857</v>
      </c>
      <c r="D407" s="1285" t="s">
        <v>892</v>
      </c>
      <c r="E407" s="1276">
        <v>45769</v>
      </c>
      <c r="F407" s="1285"/>
      <c r="G407" s="1286">
        <v>1114567</v>
      </c>
      <c r="H407" s="1272"/>
      <c r="I407" s="1291">
        <f t="shared" ca="1" si="18"/>
        <v>1114567</v>
      </c>
      <c r="J407" s="1280">
        <f t="shared" ca="1" si="16"/>
        <v>0</v>
      </c>
      <c r="K407" s="1272"/>
      <c r="L407" s="1272"/>
      <c r="M407" s="1272"/>
      <c r="N407" s="1283"/>
      <c r="O407" s="1272"/>
      <c r="P407" s="49" t="s">
        <v>1216</v>
      </c>
      <c r="Q407" s="1308" t="s">
        <v>4911</v>
      </c>
    </row>
    <row r="408" spans="1:17">
      <c r="A408" s="1305" t="s">
        <v>702</v>
      </c>
      <c r="B408" s="1284">
        <v>45859</v>
      </c>
      <c r="C408" s="1274" cm="1">
        <f t="array" aca="1" ref="C408" ca="1">_xlfn.IFS(I408&gt;1,B408,B408&lt;TODAY(),TODAY(),B408&gt;TODAY(),B408,B408=TODAY(),TODAY())</f>
        <v>45859</v>
      </c>
      <c r="D408" s="1285" t="s">
        <v>893</v>
      </c>
      <c r="E408" s="1276">
        <v>45769</v>
      </c>
      <c r="F408" s="1285"/>
      <c r="G408" s="1286">
        <v>557904</v>
      </c>
      <c r="H408" s="1272"/>
      <c r="I408" s="1291">
        <f t="shared" ca="1" si="18"/>
        <v>557904</v>
      </c>
      <c r="J408" s="1280">
        <f t="shared" ca="1" si="16"/>
        <v>0</v>
      </c>
      <c r="K408" s="1272"/>
      <c r="L408" s="1272"/>
      <c r="M408" s="1272"/>
      <c r="N408" s="1283"/>
      <c r="O408" s="1272"/>
      <c r="P408" s="49" t="s">
        <v>1216</v>
      </c>
      <c r="Q408" s="1308" t="s">
        <v>4911</v>
      </c>
    </row>
    <row r="409" spans="1:17">
      <c r="A409" s="1305" t="s">
        <v>702</v>
      </c>
      <c r="B409" s="1284">
        <v>45859</v>
      </c>
      <c r="C409" s="1274" cm="1">
        <f t="array" aca="1" ref="C409" ca="1">_xlfn.IFS(I409&gt;1,B409,B409&lt;TODAY(),TODAY(),B409&gt;TODAY(),B409,B409=TODAY(),TODAY())</f>
        <v>45859</v>
      </c>
      <c r="D409" s="1285" t="s">
        <v>894</v>
      </c>
      <c r="E409" s="1276">
        <v>45769</v>
      </c>
      <c r="F409" s="1285"/>
      <c r="G409" s="1286">
        <v>91521</v>
      </c>
      <c r="H409" s="1272"/>
      <c r="I409" s="1291">
        <f t="shared" ca="1" si="18"/>
        <v>91521</v>
      </c>
      <c r="J409" s="1280">
        <f t="shared" ca="1" si="16"/>
        <v>0</v>
      </c>
      <c r="K409" s="1272"/>
      <c r="L409" s="1272"/>
      <c r="M409" s="1272"/>
      <c r="N409" s="1283"/>
      <c r="O409" s="1272"/>
      <c r="P409" s="49" t="s">
        <v>1216</v>
      </c>
      <c r="Q409" s="1308" t="s">
        <v>4911</v>
      </c>
    </row>
    <row r="410" spans="1:17">
      <c r="A410" s="1305" t="s">
        <v>702</v>
      </c>
      <c r="B410" s="1284">
        <v>45860</v>
      </c>
      <c r="C410" s="1274" cm="1">
        <f t="array" aca="1" ref="C410" ca="1">_xlfn.IFS(I410&gt;1,B410,B410&lt;TODAY(),TODAY(),B410&gt;TODAY(),B410,B410=TODAY(),TODAY())</f>
        <v>45860</v>
      </c>
      <c r="D410" s="1285" t="s">
        <v>890</v>
      </c>
      <c r="E410" s="1276">
        <v>45769</v>
      </c>
      <c r="F410" s="1285"/>
      <c r="G410" s="1286">
        <v>254225</v>
      </c>
      <c r="H410" s="1272"/>
      <c r="I410" s="1291">
        <f t="shared" ca="1" si="18"/>
        <v>254225</v>
      </c>
      <c r="J410" s="1280">
        <f t="shared" ca="1" si="16"/>
        <v>0</v>
      </c>
      <c r="K410" s="1272"/>
      <c r="L410" s="1272"/>
      <c r="M410" s="1272"/>
      <c r="N410" s="1283"/>
      <c r="O410" s="1272"/>
      <c r="P410" s="49" t="s">
        <v>1216</v>
      </c>
      <c r="Q410" s="1308" t="s">
        <v>4911</v>
      </c>
    </row>
    <row r="411" spans="1:17">
      <c r="A411" s="1305" t="s">
        <v>702</v>
      </c>
      <c r="B411" s="1284">
        <v>45866</v>
      </c>
      <c r="C411" s="1274" cm="1">
        <f t="array" aca="1" ref="C411" ca="1">_xlfn.IFS(I411&gt;1,B411,B411&lt;TODAY(),TODAY(),B411&gt;TODAY(),B411,B411=TODAY(),TODAY())</f>
        <v>45866</v>
      </c>
      <c r="D411" s="1285" t="s">
        <v>890</v>
      </c>
      <c r="E411" s="1276">
        <v>45769</v>
      </c>
      <c r="F411" s="1285"/>
      <c r="G411" s="1286">
        <v>567049</v>
      </c>
      <c r="H411" s="1272"/>
      <c r="I411" s="1291">
        <f t="shared" ca="1" si="18"/>
        <v>567049</v>
      </c>
      <c r="J411" s="1280">
        <f t="shared" ca="1" si="16"/>
        <v>0</v>
      </c>
      <c r="K411" s="1272"/>
      <c r="L411" s="1272"/>
      <c r="M411" s="1272"/>
      <c r="N411" s="1283"/>
      <c r="O411" s="1272"/>
      <c r="P411" s="49" t="s">
        <v>1216</v>
      </c>
      <c r="Q411" s="1308" t="s">
        <v>4911</v>
      </c>
    </row>
    <row r="412" spans="1:17">
      <c r="A412" s="1305" t="s">
        <v>702</v>
      </c>
      <c r="B412" s="1284">
        <v>45866</v>
      </c>
      <c r="C412" s="1274" cm="1">
        <f t="array" aca="1" ref="C412" ca="1">_xlfn.IFS(I412&gt;1,B412,B412&lt;TODAY(),TODAY(),B412&gt;TODAY(),B412,B412=TODAY(),TODAY())</f>
        <v>45866</v>
      </c>
      <c r="D412" s="1285" t="s">
        <v>888</v>
      </c>
      <c r="E412" s="1276">
        <v>45769</v>
      </c>
      <c r="F412" s="1285"/>
      <c r="G412" s="1286">
        <v>178274</v>
      </c>
      <c r="H412" s="1272"/>
      <c r="I412" s="1291">
        <f t="shared" ca="1" si="18"/>
        <v>178274</v>
      </c>
      <c r="J412" s="1280">
        <f t="shared" ca="1" si="16"/>
        <v>0</v>
      </c>
      <c r="K412" s="1272"/>
      <c r="L412" s="1272"/>
      <c r="M412" s="1272"/>
      <c r="N412" s="1283"/>
      <c r="O412" s="1272"/>
      <c r="P412" s="49" t="s">
        <v>1216</v>
      </c>
      <c r="Q412" s="1308" t="s">
        <v>4911</v>
      </c>
    </row>
    <row r="413" spans="1:17">
      <c r="A413" s="1305" t="s">
        <v>702</v>
      </c>
      <c r="B413" s="1284">
        <v>45842</v>
      </c>
      <c r="C413" s="1274" cm="1">
        <f t="array" aca="1" ref="C413" ca="1">_xlfn.IFS(I413&gt;1,B413,B413&lt;TODAY(),TODAY(),B413&gt;TODAY(),B413,B413=TODAY(),TODAY())</f>
        <v>45842</v>
      </c>
      <c r="D413" s="1272" t="s">
        <v>863</v>
      </c>
      <c r="E413" s="1276">
        <v>45769</v>
      </c>
      <c r="F413" s="1292" t="s">
        <v>677</v>
      </c>
      <c r="G413" s="1286">
        <v>758041.51</v>
      </c>
      <c r="H413" s="1272"/>
      <c r="I413" s="1291">
        <f t="shared" ref="I413:I418" si="19">G413</f>
        <v>758041.51</v>
      </c>
      <c r="J413" s="1280">
        <f t="shared" si="16"/>
        <v>0</v>
      </c>
      <c r="K413" s="1272"/>
      <c r="L413" s="1292" t="s">
        <v>862</v>
      </c>
      <c r="M413" s="1292" t="s">
        <v>864</v>
      </c>
      <c r="N413" s="1261" t="s">
        <v>895</v>
      </c>
      <c r="O413" s="1272"/>
      <c r="P413" s="49" t="s">
        <v>1216</v>
      </c>
      <c r="Q413" s="1308" t="s">
        <v>4911</v>
      </c>
    </row>
    <row r="414" spans="1:17">
      <c r="A414" s="1305" t="s">
        <v>702</v>
      </c>
      <c r="B414" s="1284">
        <v>45843</v>
      </c>
      <c r="C414" s="1274" cm="1">
        <f t="array" aca="1" ref="C414" ca="1">_xlfn.IFS(I414&gt;1,B414,B414&lt;TODAY(),TODAY(),B414&gt;TODAY(),B414,B414=TODAY(),TODAY())</f>
        <v>45843</v>
      </c>
      <c r="D414" s="1272" t="s">
        <v>866</v>
      </c>
      <c r="E414" s="1276">
        <v>45769</v>
      </c>
      <c r="F414" s="1292" t="s">
        <v>678</v>
      </c>
      <c r="G414" s="1286">
        <v>146851</v>
      </c>
      <c r="H414" s="1272"/>
      <c r="I414" s="1291">
        <f t="shared" si="19"/>
        <v>146851</v>
      </c>
      <c r="J414" s="1280">
        <f t="shared" si="16"/>
        <v>0</v>
      </c>
      <c r="K414" s="1272"/>
      <c r="L414" s="1292" t="s">
        <v>862</v>
      </c>
      <c r="M414" s="1292" t="s">
        <v>867</v>
      </c>
      <c r="N414" s="1261" t="s">
        <v>895</v>
      </c>
      <c r="O414" s="1272"/>
      <c r="P414" s="49" t="s">
        <v>1216</v>
      </c>
      <c r="Q414" s="1308" t="s">
        <v>4911</v>
      </c>
    </row>
    <row r="415" spans="1:17">
      <c r="A415" s="1305" t="s">
        <v>702</v>
      </c>
      <c r="B415" s="1284">
        <v>45845</v>
      </c>
      <c r="C415" s="1274" cm="1">
        <f t="array" aca="1" ref="C415" ca="1">_xlfn.IFS(I415&gt;1,B415,B415&lt;TODAY(),TODAY(),B415&gt;TODAY(),B415,B415=TODAY(),TODAY())</f>
        <v>45845</v>
      </c>
      <c r="D415" s="1272" t="s">
        <v>790</v>
      </c>
      <c r="E415" s="1276">
        <v>45769</v>
      </c>
      <c r="F415" s="1292" t="s">
        <v>4869</v>
      </c>
      <c r="G415" s="1286">
        <v>567200</v>
      </c>
      <c r="H415" s="1272"/>
      <c r="I415" s="1291">
        <f t="shared" si="19"/>
        <v>567200</v>
      </c>
      <c r="J415" s="1280">
        <f t="shared" si="16"/>
        <v>0</v>
      </c>
      <c r="K415" s="1272"/>
      <c r="L415" s="1292" t="s">
        <v>868</v>
      </c>
      <c r="M415" s="1292" t="s">
        <v>869</v>
      </c>
      <c r="N415" s="1261" t="s">
        <v>895</v>
      </c>
      <c r="O415" s="1272"/>
      <c r="P415" s="49" t="s">
        <v>1216</v>
      </c>
      <c r="Q415" s="1308" t="s">
        <v>4911</v>
      </c>
    </row>
    <row r="416" spans="1:17">
      <c r="A416" s="1305" t="s">
        <v>702</v>
      </c>
      <c r="B416" s="1284">
        <v>45847</v>
      </c>
      <c r="C416" s="1274" cm="1">
        <f t="array" aca="1" ref="C416" ca="1">_xlfn.IFS(I416&gt;1,B416,B416&lt;TODAY(),TODAY(),B416&gt;TODAY(),B416,B416=TODAY(),TODAY())</f>
        <v>45847</v>
      </c>
      <c r="D416" s="1272" t="s">
        <v>790</v>
      </c>
      <c r="E416" s="1276">
        <v>45769</v>
      </c>
      <c r="F416" s="1292" t="s">
        <v>4870</v>
      </c>
      <c r="G416" s="1286">
        <v>2085663</v>
      </c>
      <c r="H416" s="1272"/>
      <c r="I416" s="1291">
        <f t="shared" si="19"/>
        <v>2085663</v>
      </c>
      <c r="J416" s="1280">
        <f t="shared" si="16"/>
        <v>0</v>
      </c>
      <c r="K416" s="1272"/>
      <c r="L416" s="1292" t="s">
        <v>868</v>
      </c>
      <c r="M416" s="1292" t="s">
        <v>870</v>
      </c>
      <c r="N416" s="1261" t="s">
        <v>895</v>
      </c>
      <c r="O416" s="1272"/>
      <c r="P416" s="49" t="s">
        <v>1216</v>
      </c>
      <c r="Q416" s="1308" t="s">
        <v>4911</v>
      </c>
    </row>
    <row r="417" spans="1:17">
      <c r="A417" s="1305" t="s">
        <v>702</v>
      </c>
      <c r="B417" s="1284">
        <v>45849</v>
      </c>
      <c r="C417" s="1274" cm="1">
        <f t="array" aca="1" ref="C417" ca="1">_xlfn.IFS(I417&gt;1,B417,B417&lt;TODAY(),TODAY(),B417&gt;TODAY(),B417,B417=TODAY(),TODAY())</f>
        <v>45849</v>
      </c>
      <c r="D417" s="1272" t="s">
        <v>871</v>
      </c>
      <c r="E417" s="1276">
        <v>45769</v>
      </c>
      <c r="F417" s="1292" t="s">
        <v>694</v>
      </c>
      <c r="G417" s="1286">
        <v>67968</v>
      </c>
      <c r="H417" s="1272"/>
      <c r="I417" s="1291">
        <f t="shared" si="19"/>
        <v>67968</v>
      </c>
      <c r="J417" s="1280">
        <f t="shared" si="16"/>
        <v>0</v>
      </c>
      <c r="K417" s="1272"/>
      <c r="L417" s="1292" t="s">
        <v>862</v>
      </c>
      <c r="M417" s="1292" t="s">
        <v>872</v>
      </c>
      <c r="N417" s="1261" t="s">
        <v>895</v>
      </c>
      <c r="O417" s="1272"/>
      <c r="P417" s="49" t="s">
        <v>1216</v>
      </c>
      <c r="Q417" s="1308" t="s">
        <v>4911</v>
      </c>
    </row>
    <row r="418" spans="1:17">
      <c r="A418" s="1305" t="s">
        <v>702</v>
      </c>
      <c r="B418" s="1284">
        <v>45852</v>
      </c>
      <c r="C418" s="1274" cm="1">
        <f t="array" aca="1" ref="C418" ca="1">_xlfn.IFS(I418&gt;1,B418,B418&lt;TODAY(),TODAY(),B418&gt;TODAY(),B418,B418=TODAY(),TODAY())</f>
        <v>45852</v>
      </c>
      <c r="D418" s="1272" t="s">
        <v>873</v>
      </c>
      <c r="E418" s="1276">
        <v>45769</v>
      </c>
      <c r="F418" s="1292" t="s">
        <v>4871</v>
      </c>
      <c r="G418" s="1286">
        <v>3111696</v>
      </c>
      <c r="H418" s="1272"/>
      <c r="I418" s="1291">
        <f t="shared" si="19"/>
        <v>3111696</v>
      </c>
      <c r="J418" s="1280">
        <f t="shared" si="16"/>
        <v>0</v>
      </c>
      <c r="K418" s="1272"/>
      <c r="L418" s="1292" t="s">
        <v>868</v>
      </c>
      <c r="M418" s="1292" t="s">
        <v>874</v>
      </c>
      <c r="N418" s="1261" t="s">
        <v>895</v>
      </c>
      <c r="O418" s="1272"/>
      <c r="P418" s="49" t="s">
        <v>1216</v>
      </c>
      <c r="Q418" s="1308" t="s">
        <v>4911</v>
      </c>
    </row>
    <row r="419" spans="1:17">
      <c r="A419" s="1305" t="s">
        <v>702</v>
      </c>
      <c r="B419" s="1284">
        <v>45857</v>
      </c>
      <c r="C419" s="1274" cm="1">
        <f t="array" aca="1" ref="C419" ca="1">_xlfn.IFS(I419&gt;1,B419,B419&lt;TODAY(),TODAY(),B419&gt;TODAY(),B419,B419=TODAY(),TODAY())</f>
        <v>45857</v>
      </c>
      <c r="D419" s="1272" t="s">
        <v>790</v>
      </c>
      <c r="E419" s="1276">
        <v>45769</v>
      </c>
      <c r="F419" s="1292" t="s">
        <v>4872</v>
      </c>
      <c r="G419" s="1286">
        <v>3013362</v>
      </c>
      <c r="H419" s="1272"/>
      <c r="I419" s="1291">
        <f t="shared" ref="I419:I433" ca="1" si="20">IF(B419&lt;TODAY(),G419,0)</f>
        <v>3013362</v>
      </c>
      <c r="J419" s="1280">
        <f t="shared" ca="1" si="16"/>
        <v>0</v>
      </c>
      <c r="K419" s="1272"/>
      <c r="L419" s="1292" t="s">
        <v>868</v>
      </c>
      <c r="M419" s="1292" t="s">
        <v>870</v>
      </c>
      <c r="N419" s="1261" t="s">
        <v>865</v>
      </c>
      <c r="O419" s="1272"/>
      <c r="P419" s="49" t="s">
        <v>1216</v>
      </c>
      <c r="Q419" s="1308" t="s">
        <v>4911</v>
      </c>
    </row>
    <row r="420" spans="1:17">
      <c r="A420" s="1305" t="s">
        <v>702</v>
      </c>
      <c r="B420" s="1284">
        <v>45857</v>
      </c>
      <c r="C420" s="1274" cm="1">
        <f t="array" aca="1" ref="C420" ca="1">_xlfn.IFS(I420&gt;1,B420,B420&lt;TODAY(),TODAY(),B420&gt;TODAY(),B420,B420=TODAY(),TODAY())</f>
        <v>45857</v>
      </c>
      <c r="D420" s="1272" t="s">
        <v>875</v>
      </c>
      <c r="E420" s="1276">
        <v>45769</v>
      </c>
      <c r="F420" s="1292" t="s">
        <v>4873</v>
      </c>
      <c r="G420" s="1286">
        <v>7570402</v>
      </c>
      <c r="H420" s="1272"/>
      <c r="I420" s="1291">
        <f t="shared" ca="1" si="20"/>
        <v>7570402</v>
      </c>
      <c r="J420" s="1280">
        <f t="shared" ca="1" si="16"/>
        <v>0</v>
      </c>
      <c r="K420" s="1272"/>
      <c r="L420" s="1292" t="s">
        <v>862</v>
      </c>
      <c r="M420" s="1292" t="s">
        <v>876</v>
      </c>
      <c r="N420" s="1261" t="s">
        <v>865</v>
      </c>
      <c r="O420" s="1272"/>
      <c r="P420" s="49" t="s">
        <v>1216</v>
      </c>
      <c r="Q420" s="1308" t="s">
        <v>4911</v>
      </c>
    </row>
    <row r="421" spans="1:17">
      <c r="A421" s="1305" t="s">
        <v>702</v>
      </c>
      <c r="B421" s="1284">
        <v>45857</v>
      </c>
      <c r="C421" s="1274" cm="1">
        <f t="array" aca="1" ref="C421" ca="1">_xlfn.IFS(I421&gt;1,B421,B421&lt;TODAY(),TODAY(),B421&gt;TODAY(),B421,B421=TODAY(),TODAY())</f>
        <v>45857</v>
      </c>
      <c r="D421" s="1272" t="s">
        <v>875</v>
      </c>
      <c r="E421" s="1276">
        <v>45769</v>
      </c>
      <c r="F421" s="1292" t="s">
        <v>4874</v>
      </c>
      <c r="G421" s="1286">
        <v>232463</v>
      </c>
      <c r="H421" s="1272"/>
      <c r="I421" s="1291">
        <f t="shared" ca="1" si="20"/>
        <v>232463</v>
      </c>
      <c r="J421" s="1280">
        <f t="shared" ca="1" si="16"/>
        <v>0</v>
      </c>
      <c r="K421" s="1272"/>
      <c r="L421" s="1292" t="s">
        <v>862</v>
      </c>
      <c r="M421" s="1292" t="s">
        <v>877</v>
      </c>
      <c r="N421" s="1261" t="s">
        <v>865</v>
      </c>
      <c r="O421" s="1272"/>
      <c r="P421" s="49" t="s">
        <v>1216</v>
      </c>
      <c r="Q421" s="1308" t="s">
        <v>4911</v>
      </c>
    </row>
    <row r="422" spans="1:17">
      <c r="A422" s="1305" t="s">
        <v>702</v>
      </c>
      <c r="B422" s="1284">
        <v>45857</v>
      </c>
      <c r="C422" s="1274" cm="1">
        <f t="array" aca="1" ref="C422" ca="1">_xlfn.IFS(I422&gt;1,B422,B422&lt;TODAY(),TODAY(),B422&gt;TODAY(),B422,B422=TODAY(),TODAY())</f>
        <v>45857</v>
      </c>
      <c r="D422" s="1272" t="s">
        <v>790</v>
      </c>
      <c r="E422" s="1276">
        <v>45769</v>
      </c>
      <c r="F422" s="1292" t="s">
        <v>4872</v>
      </c>
      <c r="G422" s="1286">
        <v>723461</v>
      </c>
      <c r="H422" s="1272"/>
      <c r="I422" s="1291">
        <f t="shared" ca="1" si="20"/>
        <v>723461</v>
      </c>
      <c r="J422" s="1280">
        <f t="shared" ca="1" si="16"/>
        <v>0</v>
      </c>
      <c r="K422" s="1272"/>
      <c r="L422" s="1292" t="s">
        <v>868</v>
      </c>
      <c r="M422" s="1292" t="s">
        <v>870</v>
      </c>
      <c r="N422" s="1261" t="s">
        <v>865</v>
      </c>
      <c r="O422" s="1272"/>
      <c r="P422" s="49" t="s">
        <v>1216</v>
      </c>
      <c r="Q422" s="1308" t="s">
        <v>4911</v>
      </c>
    </row>
    <row r="423" spans="1:17">
      <c r="A423" s="1305" t="s">
        <v>702</v>
      </c>
      <c r="B423" s="1284">
        <v>45859</v>
      </c>
      <c r="C423" s="1274" cm="1">
        <f t="array" aca="1" ref="C423" ca="1">_xlfn.IFS(I423&gt;1,B423,B423&lt;TODAY(),TODAY(),B423&gt;TODAY(),B423,B423=TODAY(),TODAY())</f>
        <v>45859</v>
      </c>
      <c r="D423" s="1272" t="s">
        <v>873</v>
      </c>
      <c r="E423" s="1276">
        <v>45769</v>
      </c>
      <c r="F423" s="1292" t="s">
        <v>4875</v>
      </c>
      <c r="G423" s="1286">
        <v>79380</v>
      </c>
      <c r="H423" s="1272"/>
      <c r="I423" s="1291">
        <f t="shared" ca="1" si="20"/>
        <v>79380</v>
      </c>
      <c r="J423" s="1280">
        <f t="shared" ca="1" si="16"/>
        <v>0</v>
      </c>
      <c r="K423" s="1272"/>
      <c r="L423" s="1292" t="s">
        <v>868</v>
      </c>
      <c r="M423" s="1292" t="s">
        <v>878</v>
      </c>
      <c r="N423" s="1261" t="s">
        <v>865</v>
      </c>
      <c r="O423" s="1272"/>
      <c r="P423" s="49" t="s">
        <v>1216</v>
      </c>
      <c r="Q423" s="1308" t="s">
        <v>4911</v>
      </c>
    </row>
    <row r="424" spans="1:17">
      <c r="A424" s="1305" t="s">
        <v>702</v>
      </c>
      <c r="B424" s="1284">
        <v>45862</v>
      </c>
      <c r="C424" s="1274" cm="1">
        <f t="array" aca="1" ref="C424" ca="1">_xlfn.IFS(I424&gt;1,B424,B424&lt;TODAY(),TODAY(),B424&gt;TODAY(),B424,B424=TODAY(),TODAY())</f>
        <v>45862</v>
      </c>
      <c r="D424" s="1272" t="s">
        <v>879</v>
      </c>
      <c r="E424" s="1276">
        <v>45769</v>
      </c>
      <c r="F424" s="1292" t="s">
        <v>4876</v>
      </c>
      <c r="G424" s="1286">
        <v>2527470</v>
      </c>
      <c r="H424" s="1272"/>
      <c r="I424" s="1291">
        <f t="shared" ca="1" si="20"/>
        <v>2527470</v>
      </c>
      <c r="J424" s="1280">
        <f t="shared" ca="1" si="16"/>
        <v>0</v>
      </c>
      <c r="K424" s="1272"/>
      <c r="L424" s="1292" t="s">
        <v>868</v>
      </c>
      <c r="M424" s="1292" t="s">
        <v>880</v>
      </c>
      <c r="N424" s="1261" t="s">
        <v>865</v>
      </c>
      <c r="O424" s="1272"/>
      <c r="P424" s="49" t="s">
        <v>1216</v>
      </c>
      <c r="Q424" s="1308" t="s">
        <v>4911</v>
      </c>
    </row>
    <row r="425" spans="1:17">
      <c r="A425" s="1305" t="s">
        <v>702</v>
      </c>
      <c r="B425" s="1284">
        <v>45862</v>
      </c>
      <c r="C425" s="1274" cm="1">
        <f t="array" aca="1" ref="C425" ca="1">_xlfn.IFS(I425&gt;1,B425,B425&lt;TODAY(),TODAY(),B425&gt;TODAY(),B425,B425=TODAY(),TODAY())</f>
        <v>45862</v>
      </c>
      <c r="D425" s="1272" t="s">
        <v>790</v>
      </c>
      <c r="E425" s="1276">
        <v>45769</v>
      </c>
      <c r="F425" s="1292" t="s">
        <v>4877</v>
      </c>
      <c r="G425" s="1286">
        <v>1371645</v>
      </c>
      <c r="H425" s="1272"/>
      <c r="I425" s="1291">
        <f t="shared" ca="1" si="20"/>
        <v>1371645</v>
      </c>
      <c r="J425" s="1280">
        <f t="shared" ca="1" si="16"/>
        <v>0</v>
      </c>
      <c r="K425" s="1272"/>
      <c r="L425" s="1292" t="s">
        <v>868</v>
      </c>
      <c r="M425" s="1292" t="s">
        <v>881</v>
      </c>
      <c r="N425" s="1261" t="s">
        <v>865</v>
      </c>
      <c r="O425" s="1272"/>
      <c r="P425" s="49" t="s">
        <v>1216</v>
      </c>
      <c r="Q425" s="1308" t="s">
        <v>4911</v>
      </c>
    </row>
    <row r="426" spans="1:17">
      <c r="A426" s="1305" t="s">
        <v>702</v>
      </c>
      <c r="B426" s="1284">
        <v>45862</v>
      </c>
      <c r="C426" s="1274" cm="1">
        <f t="array" aca="1" ref="C426" ca="1">_xlfn.IFS(I426&gt;1,B426,B426&lt;TODAY(),TODAY(),B426&gt;TODAY(),B426,B426=TODAY(),TODAY())</f>
        <v>45862</v>
      </c>
      <c r="D426" s="1272" t="s">
        <v>882</v>
      </c>
      <c r="E426" s="1276">
        <v>45769</v>
      </c>
      <c r="F426" s="1292" t="s">
        <v>4878</v>
      </c>
      <c r="G426" s="1286">
        <v>331797</v>
      </c>
      <c r="H426" s="1272"/>
      <c r="I426" s="1291">
        <f t="shared" ca="1" si="20"/>
        <v>331797</v>
      </c>
      <c r="J426" s="1280">
        <f t="shared" ca="1" si="16"/>
        <v>0</v>
      </c>
      <c r="K426" s="1272"/>
      <c r="L426" s="1292" t="s">
        <v>862</v>
      </c>
      <c r="M426" s="1292" t="s">
        <v>883</v>
      </c>
      <c r="N426" s="1261" t="s">
        <v>865</v>
      </c>
      <c r="O426" s="1272"/>
      <c r="P426" s="49" t="s">
        <v>1216</v>
      </c>
      <c r="Q426" s="1308" t="s">
        <v>4911</v>
      </c>
    </row>
    <row r="427" spans="1:17">
      <c r="A427" s="1305" t="s">
        <v>702</v>
      </c>
      <c r="B427" s="1284">
        <v>45863</v>
      </c>
      <c r="C427" s="1274" cm="1">
        <f t="array" aca="1" ref="C427" ca="1">_xlfn.IFS(I427&gt;1,B427,B427&lt;TODAY(),TODAY(),B427&gt;TODAY(),B427,B427=TODAY(),TODAY())</f>
        <v>45863</v>
      </c>
      <c r="D427" s="1272" t="s">
        <v>863</v>
      </c>
      <c r="E427" s="1276">
        <v>45769</v>
      </c>
      <c r="F427" s="1292" t="s">
        <v>4879</v>
      </c>
      <c r="G427" s="1286">
        <v>162657.60000000001</v>
      </c>
      <c r="H427" s="1272"/>
      <c r="I427" s="1291">
        <f t="shared" ca="1" si="20"/>
        <v>162657.60000000001</v>
      </c>
      <c r="J427" s="1280">
        <f t="shared" ca="1" si="16"/>
        <v>0</v>
      </c>
      <c r="K427" s="1272"/>
      <c r="L427" s="1292" t="s">
        <v>862</v>
      </c>
      <c r="M427" s="1292" t="s">
        <v>864</v>
      </c>
      <c r="N427" s="1261" t="s">
        <v>884</v>
      </c>
      <c r="O427" s="1272"/>
      <c r="P427" s="49" t="s">
        <v>1216</v>
      </c>
      <c r="Q427" s="1308" t="s">
        <v>4911</v>
      </c>
    </row>
    <row r="428" spans="1:17">
      <c r="A428" s="1305" t="s">
        <v>702</v>
      </c>
      <c r="B428" s="1284">
        <v>45863</v>
      </c>
      <c r="C428" s="1274" cm="1">
        <f t="array" aca="1" ref="C428" ca="1">_xlfn.IFS(I428&gt;1,B428,B428&lt;TODAY(),TODAY(),B428&gt;TODAY(),B428,B428=TODAY(),TODAY())</f>
        <v>45863</v>
      </c>
      <c r="D428" s="1272" t="s">
        <v>885</v>
      </c>
      <c r="E428" s="1276">
        <v>45769</v>
      </c>
      <c r="F428" s="1292" t="s">
        <v>4880</v>
      </c>
      <c r="G428" s="1286">
        <v>3664238</v>
      </c>
      <c r="H428" s="1272"/>
      <c r="I428" s="1291">
        <f t="shared" ca="1" si="20"/>
        <v>3664238</v>
      </c>
      <c r="J428" s="1280">
        <f t="shared" ca="1" si="16"/>
        <v>0</v>
      </c>
      <c r="K428" s="1272"/>
      <c r="L428" s="1292" t="s">
        <v>862</v>
      </c>
      <c r="M428" s="1292" t="s">
        <v>886</v>
      </c>
      <c r="N428" s="1261" t="s">
        <v>865</v>
      </c>
      <c r="O428" s="1272"/>
      <c r="P428" s="49" t="s">
        <v>1216</v>
      </c>
      <c r="Q428" s="1308" t="s">
        <v>4911</v>
      </c>
    </row>
    <row r="429" spans="1:17">
      <c r="A429" s="1305" t="s">
        <v>702</v>
      </c>
      <c r="B429" s="1284">
        <v>45863</v>
      </c>
      <c r="C429" s="1274" cm="1">
        <f t="array" aca="1" ref="C429" ca="1">_xlfn.IFS(I429&gt;1,B429,B429&lt;TODAY(),TODAY(),B429&gt;TODAY(),B429,B429=TODAY(),TODAY())</f>
        <v>45863</v>
      </c>
      <c r="D429" s="1272" t="s">
        <v>863</v>
      </c>
      <c r="E429" s="1276">
        <v>45769</v>
      </c>
      <c r="F429" s="1292" t="s">
        <v>4881</v>
      </c>
      <c r="G429" s="1286">
        <v>214927</v>
      </c>
      <c r="H429" s="1272"/>
      <c r="I429" s="1291">
        <f t="shared" ca="1" si="20"/>
        <v>214927</v>
      </c>
      <c r="J429" s="1280">
        <f t="shared" ca="1" si="16"/>
        <v>0</v>
      </c>
      <c r="K429" s="1272"/>
      <c r="L429" s="1292" t="s">
        <v>862</v>
      </c>
      <c r="M429" s="1292" t="s">
        <v>887</v>
      </c>
      <c r="N429" s="1261" t="s">
        <v>865</v>
      </c>
      <c r="O429" s="1272"/>
      <c r="P429" s="49" t="s">
        <v>1216</v>
      </c>
      <c r="Q429" s="1308" t="s">
        <v>4911</v>
      </c>
    </row>
    <row r="430" spans="1:17">
      <c r="A430" s="1305" t="s">
        <v>702</v>
      </c>
      <c r="B430" s="1284">
        <v>45866</v>
      </c>
      <c r="C430" s="1274" cm="1">
        <f t="array" aca="1" ref="C430" ca="1">_xlfn.IFS(I430&gt;1,B430,B430&lt;TODAY(),TODAY(),B430&gt;TODAY(),B430,B430=TODAY(),TODAY())</f>
        <v>45866</v>
      </c>
      <c r="D430" s="1272" t="s">
        <v>879</v>
      </c>
      <c r="E430" s="1276">
        <v>45769</v>
      </c>
      <c r="F430" s="1292" t="s">
        <v>4882</v>
      </c>
      <c r="G430" s="1286">
        <v>10000000</v>
      </c>
      <c r="H430" s="1272"/>
      <c r="I430" s="1291">
        <f t="shared" ca="1" si="20"/>
        <v>10000000</v>
      </c>
      <c r="J430" s="1280">
        <f t="shared" ca="1" si="16"/>
        <v>0</v>
      </c>
      <c r="K430" s="1272"/>
      <c r="L430" s="1292" t="s">
        <v>868</v>
      </c>
      <c r="M430" s="1292" t="s">
        <v>880</v>
      </c>
      <c r="N430" s="1261" t="s">
        <v>865</v>
      </c>
      <c r="O430" s="1272"/>
      <c r="P430" s="49" t="s">
        <v>1216</v>
      </c>
      <c r="Q430" s="1308" t="s">
        <v>4911</v>
      </c>
    </row>
    <row r="431" spans="1:17">
      <c r="A431" s="1305" t="s">
        <v>702</v>
      </c>
      <c r="B431" s="1284">
        <v>45866</v>
      </c>
      <c r="C431" s="1274" cm="1">
        <f t="array" aca="1" ref="C431" ca="1">_xlfn.IFS(I431&gt;1,B431,B431&lt;TODAY(),TODAY(),B431&gt;TODAY(),B431,B431=TODAY(),TODAY())</f>
        <v>45866</v>
      </c>
      <c r="D431" s="1272" t="s">
        <v>790</v>
      </c>
      <c r="E431" s="1276">
        <v>45769</v>
      </c>
      <c r="F431" s="1292" t="s">
        <v>4883</v>
      </c>
      <c r="G431" s="1286">
        <v>866384</v>
      </c>
      <c r="H431" s="1272"/>
      <c r="I431" s="1291">
        <f t="shared" ca="1" si="20"/>
        <v>866384</v>
      </c>
      <c r="J431" s="1280">
        <f t="shared" ca="1" si="16"/>
        <v>0</v>
      </c>
      <c r="K431" s="1272"/>
      <c r="L431" s="1292" t="s">
        <v>868</v>
      </c>
      <c r="M431" s="1292" t="s">
        <v>870</v>
      </c>
      <c r="N431" s="1261" t="s">
        <v>865</v>
      </c>
      <c r="O431" s="1272"/>
      <c r="P431" s="49" t="s">
        <v>1216</v>
      </c>
      <c r="Q431" s="1308" t="s">
        <v>4911</v>
      </c>
    </row>
    <row r="432" spans="1:17">
      <c r="A432" s="1305" t="s">
        <v>702</v>
      </c>
      <c r="B432" s="1284">
        <v>45867</v>
      </c>
      <c r="C432" s="1274" cm="1">
        <f t="array" aca="1" ref="C432" ca="1">_xlfn.IFS(I432&gt;1,B432,B432&lt;TODAY(),TODAY(),B432&gt;TODAY(),B432,B432=TODAY(),TODAY())</f>
        <v>45867</v>
      </c>
      <c r="D432" s="1272" t="s">
        <v>790</v>
      </c>
      <c r="E432" s="1276">
        <v>45769</v>
      </c>
      <c r="F432" s="1292" t="s">
        <v>4884</v>
      </c>
      <c r="G432" s="1286">
        <v>1595812</v>
      </c>
      <c r="H432" s="1272"/>
      <c r="I432" s="1291">
        <f t="shared" ca="1" si="20"/>
        <v>1595812</v>
      </c>
      <c r="J432" s="1280">
        <f t="shared" ca="1" si="16"/>
        <v>0</v>
      </c>
      <c r="K432" s="1272"/>
      <c r="L432" s="1292" t="s">
        <v>868</v>
      </c>
      <c r="M432" s="1292" t="s">
        <v>881</v>
      </c>
      <c r="N432" s="1261" t="s">
        <v>865</v>
      </c>
      <c r="O432" s="1272"/>
      <c r="P432" s="49" t="s">
        <v>1216</v>
      </c>
      <c r="Q432" s="1308" t="s">
        <v>4911</v>
      </c>
    </row>
    <row r="433" spans="1:17">
      <c r="A433" s="1305" t="s">
        <v>702</v>
      </c>
      <c r="B433" s="1284">
        <v>45868</v>
      </c>
      <c r="C433" s="1274" cm="1">
        <f t="array" aca="1" ref="C433" ca="1">_xlfn.IFS(I433&gt;1,B433,B433&lt;TODAY(),TODAY(),B433&gt;TODAY(),B433,B433=TODAY(),TODAY())</f>
        <v>45868</v>
      </c>
      <c r="D433" s="1272" t="s">
        <v>879</v>
      </c>
      <c r="E433" s="1276">
        <v>45769</v>
      </c>
      <c r="F433" s="1292" t="s">
        <v>4885</v>
      </c>
      <c r="G433" s="1286">
        <v>49990</v>
      </c>
      <c r="H433" s="1272"/>
      <c r="I433" s="1291">
        <f t="shared" ca="1" si="20"/>
        <v>49990</v>
      </c>
      <c r="J433" s="1280">
        <f t="shared" ca="1" si="16"/>
        <v>0</v>
      </c>
      <c r="K433" s="1272"/>
      <c r="L433" s="1292" t="s">
        <v>868</v>
      </c>
      <c r="M433" s="1292" t="s">
        <v>880</v>
      </c>
      <c r="N433" s="1261" t="s">
        <v>865</v>
      </c>
      <c r="O433" s="1272"/>
      <c r="P433" s="49" t="s">
        <v>1216</v>
      </c>
      <c r="Q433" s="1308" t="s">
        <v>4911</v>
      </c>
    </row>
    <row r="434" spans="1:17">
      <c r="A434" s="1305" t="s">
        <v>702</v>
      </c>
      <c r="B434" s="1293">
        <v>45854</v>
      </c>
      <c r="C434" s="1274" cm="1">
        <f t="array" aca="1" ref="C434" ca="1">_xlfn.IFS(I434&gt;1,B434,B434&lt;TODAY(),TODAY(),B434&gt;TODAY(),B434,B434=TODAY(),TODAY())</f>
        <v>45854</v>
      </c>
      <c r="D434" s="1285" t="s">
        <v>985</v>
      </c>
      <c r="E434" s="1276">
        <v>45769</v>
      </c>
      <c r="F434" s="1285"/>
      <c r="G434" s="1289">
        <v>106842</v>
      </c>
      <c r="H434" s="1293">
        <v>45854</v>
      </c>
      <c r="I434" s="1291">
        <v>62194420</v>
      </c>
      <c r="J434" s="1294">
        <f t="shared" si="16"/>
        <v>-62087578</v>
      </c>
      <c r="K434" s="1272"/>
      <c r="L434" s="1272"/>
      <c r="M434" s="1272"/>
      <c r="N434" s="1283"/>
      <c r="O434" s="1272"/>
      <c r="P434" s="49" t="s">
        <v>1215</v>
      </c>
      <c r="Q434" s="1308" t="s">
        <v>4911</v>
      </c>
    </row>
    <row r="435" spans="1:17">
      <c r="A435" s="1305" t="s">
        <v>702</v>
      </c>
      <c r="B435" s="1293">
        <v>45874</v>
      </c>
      <c r="C435" s="1274" cm="1">
        <f t="array" aca="1" ref="C435" ca="1">_xlfn.IFS(I435&gt;1,B435,B435&lt;TODAY(),TODAY(),B435&gt;TODAY(),B435,B435=TODAY(),TODAY())</f>
        <v>45935</v>
      </c>
      <c r="D435" s="1295" t="s">
        <v>4886</v>
      </c>
      <c r="E435" s="1276">
        <v>45769</v>
      </c>
      <c r="F435" s="1296" t="s">
        <v>4887</v>
      </c>
      <c r="G435" s="1291">
        <v>2724322</v>
      </c>
      <c r="H435" s="1272"/>
      <c r="I435" s="1287"/>
      <c r="J435" s="1294">
        <f t="shared" si="16"/>
        <v>2724322</v>
      </c>
      <c r="K435" s="1272"/>
      <c r="L435" s="1272"/>
      <c r="M435" s="1272"/>
      <c r="N435" s="1295" t="s">
        <v>986</v>
      </c>
      <c r="O435" s="1297" t="s">
        <v>987</v>
      </c>
      <c r="P435" s="49" t="s">
        <v>1215</v>
      </c>
      <c r="Q435" s="1308" t="s">
        <v>4911</v>
      </c>
    </row>
    <row r="436" spans="1:17">
      <c r="A436" s="1305" t="s">
        <v>702</v>
      </c>
      <c r="B436" s="1293">
        <v>45857</v>
      </c>
      <c r="C436" s="1274" cm="1">
        <f t="array" aca="1" ref="C436" ca="1">_xlfn.IFS(I436&gt;1,B436,B436&lt;TODAY(),TODAY(),B436&gt;TODAY(),B436,B436=TODAY(),TODAY())</f>
        <v>45935</v>
      </c>
      <c r="D436" s="1295" t="s">
        <v>4888</v>
      </c>
      <c r="E436" s="1276">
        <v>45769</v>
      </c>
      <c r="F436" s="1296" t="s">
        <v>4889</v>
      </c>
      <c r="G436" s="1291">
        <v>59400</v>
      </c>
      <c r="H436" s="1272"/>
      <c r="I436" s="1287"/>
      <c r="J436" s="1294">
        <f t="shared" si="16"/>
        <v>59400</v>
      </c>
      <c r="K436" s="1272"/>
      <c r="L436" s="1272"/>
      <c r="M436" s="1272"/>
      <c r="N436" s="1295" t="s">
        <v>988</v>
      </c>
      <c r="O436" s="1297" t="s">
        <v>987</v>
      </c>
      <c r="P436" s="49" t="s">
        <v>1215</v>
      </c>
      <c r="Q436" s="1308" t="s">
        <v>4911</v>
      </c>
    </row>
    <row r="437" spans="1:17">
      <c r="A437" s="1305" t="s">
        <v>702</v>
      </c>
      <c r="B437" s="1293">
        <v>45915</v>
      </c>
      <c r="C437" s="1274" cm="1">
        <f t="array" aca="1" ref="C437" ca="1">_xlfn.IFS(I437&gt;1,B437,B437&lt;TODAY(),TODAY(),B437&gt;TODAY(),B437,B437=TODAY(),TODAY())</f>
        <v>45935</v>
      </c>
      <c r="D437" s="1298" t="s">
        <v>4890</v>
      </c>
      <c r="E437" s="1276">
        <v>45769</v>
      </c>
      <c r="F437" s="1299" t="s">
        <v>4889</v>
      </c>
      <c r="G437" s="1291">
        <v>576594</v>
      </c>
      <c r="H437" s="1272"/>
      <c r="I437" s="1287"/>
      <c r="J437" s="1294">
        <f t="shared" si="16"/>
        <v>576594</v>
      </c>
      <c r="K437" s="1272"/>
      <c r="L437" s="1272"/>
      <c r="M437" s="1272"/>
      <c r="N437" s="1300" t="s">
        <v>989</v>
      </c>
      <c r="O437" s="1301" t="s">
        <v>990</v>
      </c>
      <c r="P437" s="49" t="s">
        <v>1215</v>
      </c>
      <c r="Q437" s="1308" t="s">
        <v>4911</v>
      </c>
    </row>
    <row r="438" spans="1:17">
      <c r="A438" s="1305" t="s">
        <v>702</v>
      </c>
      <c r="B438" s="1293">
        <v>45863</v>
      </c>
      <c r="C438" s="1274" cm="1">
        <f t="array" aca="1" ref="C438" ca="1">_xlfn.IFS(I438&gt;1,B438,B438&lt;TODAY(),TODAY(),B438&gt;TODAY(),B438,B438=TODAY(),TODAY())</f>
        <v>45935</v>
      </c>
      <c r="D438" s="1298" t="s">
        <v>4891</v>
      </c>
      <c r="E438" s="1276">
        <v>45769</v>
      </c>
      <c r="F438" s="1299" t="s">
        <v>4889</v>
      </c>
      <c r="G438" s="1291">
        <v>2302446</v>
      </c>
      <c r="H438" s="1272"/>
      <c r="I438" s="1287"/>
      <c r="J438" s="1294">
        <f t="shared" si="16"/>
        <v>2302446</v>
      </c>
      <c r="K438" s="1272"/>
      <c r="L438" s="1272"/>
      <c r="M438" s="1272"/>
      <c r="N438" s="1302" t="s">
        <v>988</v>
      </c>
      <c r="O438" s="1303" t="s">
        <v>987</v>
      </c>
      <c r="P438" s="49" t="s">
        <v>1215</v>
      </c>
      <c r="Q438" s="1308" t="s">
        <v>4911</v>
      </c>
    </row>
    <row r="439" spans="1:17">
      <c r="A439" s="1305" t="s">
        <v>702</v>
      </c>
      <c r="B439" s="1293">
        <v>45867</v>
      </c>
      <c r="C439" s="1274" cm="1">
        <f t="array" aca="1" ref="C439" ca="1">_xlfn.IFS(I439&gt;1,B439,B439&lt;TODAY(),TODAY(),B439&gt;TODAY(),B439,B439=TODAY(),TODAY())</f>
        <v>45935</v>
      </c>
      <c r="D439" s="1295" t="s">
        <v>4892</v>
      </c>
      <c r="E439" s="1276">
        <v>45769</v>
      </c>
      <c r="F439" s="1296" t="s">
        <v>4893</v>
      </c>
      <c r="G439" s="1291">
        <v>2695803</v>
      </c>
      <c r="H439" s="1272"/>
      <c r="I439" s="1287"/>
      <c r="J439" s="1294">
        <f t="shared" si="16"/>
        <v>2695803</v>
      </c>
      <c r="K439" s="1272"/>
      <c r="L439" s="1272"/>
      <c r="M439" s="1272"/>
      <c r="N439" s="1295" t="s">
        <v>988</v>
      </c>
      <c r="O439" s="1297" t="s">
        <v>987</v>
      </c>
      <c r="P439" s="49" t="s">
        <v>1215</v>
      </c>
      <c r="Q439" s="1308" t="s">
        <v>4911</v>
      </c>
    </row>
    <row r="440" spans="1:17">
      <c r="A440" s="1305" t="s">
        <v>702</v>
      </c>
      <c r="B440" s="1293">
        <v>45940</v>
      </c>
      <c r="C440" s="1274" cm="1">
        <f t="array" aca="1" ref="C440" ca="1">_xlfn.IFS(I440&gt;1,B440,B440&lt;TODAY(),TODAY(),B440&gt;TODAY(),B440,B440=TODAY(),TODAY())</f>
        <v>45940</v>
      </c>
      <c r="D440" s="1298" t="s">
        <v>4894</v>
      </c>
      <c r="E440" s="1276">
        <v>45769</v>
      </c>
      <c r="F440" s="1299" t="s">
        <v>4889</v>
      </c>
      <c r="G440" s="1291">
        <v>155111</v>
      </c>
      <c r="H440" s="1272"/>
      <c r="I440" s="1287"/>
      <c r="J440" s="1294">
        <f t="shared" si="16"/>
        <v>155111</v>
      </c>
      <c r="K440" s="1272"/>
      <c r="L440" s="1272"/>
      <c r="M440" s="1272"/>
      <c r="N440" s="1300" t="s">
        <v>989</v>
      </c>
      <c r="O440" s="1301" t="s">
        <v>990</v>
      </c>
      <c r="P440" s="49" t="s">
        <v>1215</v>
      </c>
      <c r="Q440" s="1308" t="s">
        <v>4911</v>
      </c>
    </row>
    <row r="441" spans="1:17">
      <c r="A441" s="1305" t="s">
        <v>702</v>
      </c>
      <c r="B441" s="1293">
        <v>45868</v>
      </c>
      <c r="C441" s="1274" cm="1">
        <f t="array" aca="1" ref="C441" ca="1">_xlfn.IFS(I441&gt;1,B441,B441&lt;TODAY(),TODAY(),B441&gt;TODAY(),B441,B441=TODAY(),TODAY())</f>
        <v>45935</v>
      </c>
      <c r="D441" s="1298" t="s">
        <v>4895</v>
      </c>
      <c r="E441" s="1276">
        <v>45769</v>
      </c>
      <c r="F441" s="1299" t="s">
        <v>4896</v>
      </c>
      <c r="G441" s="1291">
        <v>342371</v>
      </c>
      <c r="H441" s="1272"/>
      <c r="I441" s="1287"/>
      <c r="J441" s="1294">
        <f t="shared" si="16"/>
        <v>342371</v>
      </c>
      <c r="K441" s="1272"/>
      <c r="L441" s="1272"/>
      <c r="M441" s="1272"/>
      <c r="N441" s="1295" t="s">
        <v>986</v>
      </c>
      <c r="O441" s="1304" t="s">
        <v>987</v>
      </c>
      <c r="P441" s="49" t="s">
        <v>1215</v>
      </c>
      <c r="Q441" s="1308" t="s">
        <v>4911</v>
      </c>
    </row>
    <row r="442" spans="1:17">
      <c r="A442" s="1305" t="s">
        <v>702</v>
      </c>
      <c r="B442" s="1293">
        <v>45962</v>
      </c>
      <c r="C442" s="1274" cm="1">
        <f t="array" aca="1" ref="C442" ca="1">_xlfn.IFS(I442&gt;1,B442,B442&lt;TODAY(),TODAY(),B442&gt;TODAY(),B442,B442=TODAY(),TODAY())</f>
        <v>45962</v>
      </c>
      <c r="D442" s="1295" t="s">
        <v>4897</v>
      </c>
      <c r="E442" s="1276">
        <v>45769</v>
      </c>
      <c r="F442" s="1296" t="s">
        <v>4889</v>
      </c>
      <c r="G442" s="1291">
        <v>599863</v>
      </c>
      <c r="H442" s="1272"/>
      <c r="I442" s="1287"/>
      <c r="J442" s="1294">
        <f t="shared" si="16"/>
        <v>599863</v>
      </c>
      <c r="K442" s="1272"/>
      <c r="L442" s="1272"/>
      <c r="M442" s="1272"/>
      <c r="N442" s="1300" t="s">
        <v>989</v>
      </c>
      <c r="O442" s="1297" t="s">
        <v>990</v>
      </c>
      <c r="P442" s="49" t="s">
        <v>1215</v>
      </c>
      <c r="Q442" s="1308" t="s">
        <v>4911</v>
      </c>
    </row>
    <row r="443" spans="1:17">
      <c r="A443" s="1305" t="s">
        <v>702</v>
      </c>
      <c r="B443" s="1293">
        <v>45860</v>
      </c>
      <c r="C443" s="1274" cm="1">
        <f t="array" aca="1" ref="C443" ca="1">_xlfn.IFS(I443&gt;1,B443,B443&lt;TODAY(),TODAY(),B443&gt;TODAY(),B443,B443=TODAY(),TODAY())</f>
        <v>45935</v>
      </c>
      <c r="D443" s="1298" t="s">
        <v>4898</v>
      </c>
      <c r="E443" s="1276">
        <v>45769</v>
      </c>
      <c r="F443" s="1299" t="s">
        <v>4896</v>
      </c>
      <c r="G443" s="1291">
        <v>264509</v>
      </c>
      <c r="H443" s="1272"/>
      <c r="I443" s="1287"/>
      <c r="J443" s="1294">
        <f t="shared" si="16"/>
        <v>264509</v>
      </c>
      <c r="K443" s="1272"/>
      <c r="L443" s="1272"/>
      <c r="M443" s="1272"/>
      <c r="N443" s="1295" t="s">
        <v>986</v>
      </c>
      <c r="O443" s="1304" t="s">
        <v>987</v>
      </c>
      <c r="P443" s="49" t="s">
        <v>1215</v>
      </c>
      <c r="Q443" s="1308" t="s">
        <v>4911</v>
      </c>
    </row>
    <row r="444" spans="1:17">
      <c r="A444" s="1305" t="s">
        <v>702</v>
      </c>
      <c r="B444" s="1293">
        <v>45930</v>
      </c>
      <c r="C444" s="1274" cm="1">
        <f t="array" aca="1" ref="C444" ca="1">_xlfn.IFS(I444&gt;1,B444,B444&lt;TODAY(),TODAY(),B444&gt;TODAY(),B444,B444=TODAY(),TODAY())</f>
        <v>45935</v>
      </c>
      <c r="D444" s="1298" t="s">
        <v>4899</v>
      </c>
      <c r="E444" s="1276">
        <v>45769</v>
      </c>
      <c r="F444" s="1299" t="s">
        <v>4900</v>
      </c>
      <c r="G444" s="1291">
        <v>17686</v>
      </c>
      <c r="H444" s="1272"/>
      <c r="I444" s="1287"/>
      <c r="J444" s="1294">
        <f t="shared" si="16"/>
        <v>17686</v>
      </c>
      <c r="K444" s="1272"/>
      <c r="L444" s="1272"/>
      <c r="M444" s="1272"/>
      <c r="N444" s="1295" t="s">
        <v>991</v>
      </c>
      <c r="O444" s="1304" t="s">
        <v>992</v>
      </c>
      <c r="P444" s="49" t="s">
        <v>1215</v>
      </c>
      <c r="Q444" s="1308" t="s">
        <v>4911</v>
      </c>
    </row>
    <row r="445" spans="1:17" ht="16.5" thickBot="1">
      <c r="A445" s="1305" t="s">
        <v>702</v>
      </c>
      <c r="B445" s="82">
        <v>45861</v>
      </c>
      <c r="C445" s="1274" cm="1">
        <f t="array" aca="1" ref="C445" ca="1">_xlfn.IFS(I445&gt;1,B445,B445&lt;TODAY(),TODAY(),B445&gt;TODAY(),B445,B445=TODAY(),TODAY())</f>
        <v>45935</v>
      </c>
      <c r="D445" s="83" t="s">
        <v>4901</v>
      </c>
      <c r="E445" s="1276">
        <v>45769</v>
      </c>
      <c r="F445" s="85" t="s">
        <v>4902</v>
      </c>
      <c r="G445" s="86">
        <v>19200219</v>
      </c>
      <c r="H445" s="84"/>
      <c r="I445" s="87"/>
      <c r="J445" s="1294">
        <f t="shared" si="16"/>
        <v>19200219</v>
      </c>
      <c r="K445" s="84"/>
      <c r="L445" s="84"/>
      <c r="M445" s="84"/>
      <c r="N445" s="88" t="s">
        <v>988</v>
      </c>
      <c r="O445" s="89" t="s">
        <v>987</v>
      </c>
      <c r="P445" s="90" t="s">
        <v>1215</v>
      </c>
      <c r="Q445" s="1308" t="s">
        <v>4911</v>
      </c>
    </row>
    <row r="446" spans="1:17">
      <c r="A446" s="1305" t="s">
        <v>702</v>
      </c>
      <c r="B446" s="1">
        <v>45877</v>
      </c>
      <c r="C446" s="1274" cm="1">
        <f t="array" aca="1" ref="C446" ca="1">_xlfn.IFS(I446&gt;1,B446,B446&lt;TODAY(),TODAY(),B446&gt;TODAY(),B446,B446=TODAY(),TODAY())</f>
        <v>45935</v>
      </c>
      <c r="D446" t="s">
        <v>1412</v>
      </c>
      <c r="E446" s="1276">
        <v>45769</v>
      </c>
      <c r="G446">
        <v>226381</v>
      </c>
      <c r="J446" s="1294">
        <f t="shared" si="16"/>
        <v>226381</v>
      </c>
      <c r="P446" s="239" t="s">
        <v>1216</v>
      </c>
      <c r="Q446" s="1308" t="s">
        <v>4911</v>
      </c>
    </row>
    <row r="447" spans="1:17">
      <c r="A447" s="1305" t="s">
        <v>702</v>
      </c>
      <c r="B447" s="1">
        <v>45890</v>
      </c>
      <c r="C447" s="1274" cm="1">
        <f t="array" aca="1" ref="C447" ca="1">_xlfn.IFS(I447&gt;1,B447,B447&lt;TODAY(),TODAY(),B447&gt;TODAY(),B447,B447=TODAY(),TODAY())</f>
        <v>45935</v>
      </c>
      <c r="D447" t="s">
        <v>1413</v>
      </c>
      <c r="E447" s="1276">
        <v>45769</v>
      </c>
      <c r="G447">
        <v>228271</v>
      </c>
      <c r="J447" s="1294">
        <f t="shared" si="16"/>
        <v>228271</v>
      </c>
      <c r="P447" s="239" t="s">
        <v>1216</v>
      </c>
      <c r="Q447" s="1308" t="s">
        <v>4911</v>
      </c>
    </row>
    <row r="448" spans="1:17">
      <c r="A448" s="1305" t="s">
        <v>702</v>
      </c>
      <c r="B448" s="1">
        <v>45871</v>
      </c>
      <c r="C448" s="1274" cm="1">
        <f t="array" aca="1" ref="C448" ca="1">_xlfn.IFS(I448&gt;1,B448,B448&lt;TODAY(),TODAY(),B448&gt;TODAY(),B448,B448=TODAY(),TODAY())</f>
        <v>45935</v>
      </c>
      <c r="D448" t="s">
        <v>863</v>
      </c>
      <c r="E448" s="1276">
        <v>45769</v>
      </c>
      <c r="G448">
        <v>235966</v>
      </c>
      <c r="J448" s="1294">
        <f t="shared" si="16"/>
        <v>235966</v>
      </c>
      <c r="P448" s="239" t="s">
        <v>1216</v>
      </c>
      <c r="Q448" s="1308" t="s">
        <v>4911</v>
      </c>
    </row>
    <row r="449" spans="1:17">
      <c r="A449" s="1305" t="s">
        <v>702</v>
      </c>
      <c r="B449" s="1">
        <v>45883</v>
      </c>
      <c r="C449" s="1274" cm="1">
        <f t="array" aca="1" ref="C449" ca="1">_xlfn.IFS(I449&gt;1,B449,B449&lt;TODAY(),TODAY(),B449&gt;TODAY(),B449,B449=TODAY(),TODAY())</f>
        <v>45935</v>
      </c>
      <c r="D449" t="s">
        <v>885</v>
      </c>
      <c r="E449" s="1276">
        <v>45769</v>
      </c>
      <c r="G449">
        <v>126360</v>
      </c>
      <c r="J449" s="1294">
        <f t="shared" si="16"/>
        <v>126360</v>
      </c>
      <c r="P449" s="239" t="s">
        <v>1216</v>
      </c>
      <c r="Q449" s="1308" t="s">
        <v>4911</v>
      </c>
    </row>
    <row r="450" spans="1:17">
      <c r="A450" s="1305" t="s">
        <v>702</v>
      </c>
      <c r="B450" s="1">
        <v>45871</v>
      </c>
      <c r="C450" s="1274" cm="1">
        <f t="array" aca="1" ref="C450" ca="1">_xlfn.IFS(I450&gt;1,B450,B450&lt;TODAY(),TODAY(),B450&gt;TODAY(),B450,B450=TODAY(),TODAY())</f>
        <v>45935</v>
      </c>
      <c r="D450" t="s">
        <v>863</v>
      </c>
      <c r="E450" s="1276">
        <v>45769</v>
      </c>
      <c r="G450">
        <v>872531</v>
      </c>
      <c r="J450" s="1294">
        <f t="shared" ref="J450:J492" si="21">G450-I450</f>
        <v>872531</v>
      </c>
      <c r="P450" s="239" t="s">
        <v>1216</v>
      </c>
      <c r="Q450" s="1308" t="s">
        <v>4911</v>
      </c>
    </row>
    <row r="451" spans="1:17">
      <c r="A451" s="1305" t="s">
        <v>702</v>
      </c>
      <c r="B451" s="1">
        <v>45891</v>
      </c>
      <c r="C451" s="1274" cm="1">
        <f t="array" aca="1" ref="C451" ca="1">_xlfn.IFS(I451&gt;1,B451,B451&lt;TODAY(),TODAY(),B451&gt;TODAY(),B451,B451=TODAY(),TODAY())</f>
        <v>45935</v>
      </c>
      <c r="D451" t="s">
        <v>1414</v>
      </c>
      <c r="E451" s="1276">
        <v>45769</v>
      </c>
      <c r="G451">
        <v>1333724</v>
      </c>
      <c r="J451" s="1294">
        <f t="shared" si="21"/>
        <v>1333724</v>
      </c>
      <c r="P451" s="239" t="s">
        <v>1216</v>
      </c>
      <c r="Q451" s="1308" t="s">
        <v>4911</v>
      </c>
    </row>
    <row r="452" spans="1:17">
      <c r="A452" s="1305" t="s">
        <v>702</v>
      </c>
      <c r="B452" s="1">
        <v>45887</v>
      </c>
      <c r="C452" s="1274" cm="1">
        <f t="array" aca="1" ref="C452" ca="1">_xlfn.IFS(I452&gt;1,B452,B452&lt;TODAY(),TODAY(),B452&gt;TODAY(),B452,B452=TODAY(),TODAY())</f>
        <v>45935</v>
      </c>
      <c r="D452" t="s">
        <v>879</v>
      </c>
      <c r="E452" s="1276">
        <v>45769</v>
      </c>
      <c r="G452">
        <v>508071</v>
      </c>
      <c r="J452" s="1294">
        <f t="shared" si="21"/>
        <v>508071</v>
      </c>
      <c r="P452" s="239" t="s">
        <v>1216</v>
      </c>
      <c r="Q452" s="1308" t="s">
        <v>4911</v>
      </c>
    </row>
    <row r="453" spans="1:17">
      <c r="A453" s="1305" t="s">
        <v>702</v>
      </c>
      <c r="B453" s="1">
        <v>45875</v>
      </c>
      <c r="C453" s="1274" cm="1">
        <f t="array" aca="1" ref="C453" ca="1">_xlfn.IFS(I453&gt;1,B453,B453&lt;TODAY(),TODAY(),B453&gt;TODAY(),B453,B453=TODAY(),TODAY())</f>
        <v>45935</v>
      </c>
      <c r="D453" t="s">
        <v>879</v>
      </c>
      <c r="E453" s="1276">
        <v>45769</v>
      </c>
      <c r="G453">
        <v>157303</v>
      </c>
      <c r="J453" s="1294">
        <f t="shared" si="21"/>
        <v>157303</v>
      </c>
      <c r="P453" s="239" t="s">
        <v>1216</v>
      </c>
      <c r="Q453" s="1308" t="s">
        <v>4911</v>
      </c>
    </row>
    <row r="454" spans="1:17">
      <c r="A454" s="1305" t="s">
        <v>702</v>
      </c>
      <c r="B454" s="1">
        <v>45880</v>
      </c>
      <c r="C454" s="1274" cm="1">
        <f t="array" aca="1" ref="C454" ca="1">_xlfn.IFS(I454&gt;1,B454,B454&lt;TODAY(),TODAY(),B454&gt;TODAY(),B454,B454=TODAY(),TODAY())</f>
        <v>45935</v>
      </c>
      <c r="D454" t="s">
        <v>879</v>
      </c>
      <c r="E454" s="1276">
        <v>45769</v>
      </c>
      <c r="G454">
        <v>12243</v>
      </c>
      <c r="J454" s="1294">
        <f t="shared" si="21"/>
        <v>12243</v>
      </c>
      <c r="P454" s="239" t="s">
        <v>1216</v>
      </c>
      <c r="Q454" s="1308" t="s">
        <v>4911</v>
      </c>
    </row>
    <row r="455" spans="1:17">
      <c r="A455" s="1305" t="s">
        <v>702</v>
      </c>
      <c r="B455" s="1">
        <v>45740</v>
      </c>
      <c r="C455" s="1274" cm="1">
        <f t="array" aca="1" ref="C455" ca="1">_xlfn.IFS(I455&gt;1,B455,B455&lt;TODAY(),TODAY(),B455&gt;TODAY(),B455,B455=TODAY(),TODAY())</f>
        <v>45935</v>
      </c>
      <c r="D455" t="s">
        <v>1415</v>
      </c>
      <c r="E455" s="1276">
        <v>45769</v>
      </c>
      <c r="G455">
        <v>424050</v>
      </c>
      <c r="J455" s="1294">
        <f t="shared" si="21"/>
        <v>424050</v>
      </c>
      <c r="P455" s="239" t="s">
        <v>1216</v>
      </c>
      <c r="Q455" s="1308" t="s">
        <v>4911</v>
      </c>
    </row>
    <row r="456" spans="1:17">
      <c r="A456" s="1305" t="s">
        <v>702</v>
      </c>
      <c r="B456" s="1">
        <v>45754</v>
      </c>
      <c r="C456" s="1274" cm="1">
        <f t="array" aca="1" ref="C456" ca="1">_xlfn.IFS(I456&gt;1,B456,B456&lt;TODAY(),TODAY(),B456&gt;TODAY(),B456,B456=TODAY(),TODAY())</f>
        <v>45935</v>
      </c>
      <c r="D456" t="s">
        <v>1415</v>
      </c>
      <c r="E456" s="1276">
        <v>45769</v>
      </c>
      <c r="G456">
        <v>2900000</v>
      </c>
      <c r="J456" s="1294">
        <f t="shared" si="21"/>
        <v>2900000</v>
      </c>
      <c r="P456" s="239" t="s">
        <v>1216</v>
      </c>
      <c r="Q456" s="1308" t="s">
        <v>4911</v>
      </c>
    </row>
    <row r="457" spans="1:17">
      <c r="A457" s="1305" t="s">
        <v>702</v>
      </c>
      <c r="B457" s="1">
        <v>45772</v>
      </c>
      <c r="C457" s="1274" cm="1">
        <f t="array" aca="1" ref="C457" ca="1">_xlfn.IFS(I457&gt;1,B457,B457&lt;TODAY(),TODAY(),B457&gt;TODAY(),B457,B457=TODAY(),TODAY())</f>
        <v>45935</v>
      </c>
      <c r="D457" t="s">
        <v>1415</v>
      </c>
      <c r="E457" s="1276">
        <v>45769</v>
      </c>
      <c r="G457">
        <v>401176</v>
      </c>
      <c r="J457" s="1294">
        <f t="shared" si="21"/>
        <v>401176</v>
      </c>
      <c r="P457" s="239" t="s">
        <v>1216</v>
      </c>
      <c r="Q457" s="1308" t="s">
        <v>4911</v>
      </c>
    </row>
    <row r="458" spans="1:17">
      <c r="A458" s="1305" t="s">
        <v>702</v>
      </c>
      <c r="B458" s="1">
        <v>45796</v>
      </c>
      <c r="C458" s="1274" cm="1">
        <f t="array" aca="1" ref="C458" ca="1">_xlfn.IFS(I458&gt;1,B458,B458&lt;TODAY(),TODAY(),B458&gt;TODAY(),B458,B458=TODAY(),TODAY())</f>
        <v>45935</v>
      </c>
      <c r="D458" t="s">
        <v>1415</v>
      </c>
      <c r="E458" s="1276">
        <v>45769</v>
      </c>
      <c r="G458">
        <v>47520</v>
      </c>
      <c r="J458" s="1294">
        <f t="shared" si="21"/>
        <v>47520</v>
      </c>
      <c r="P458" s="239" t="s">
        <v>1216</v>
      </c>
      <c r="Q458" s="1308" t="s">
        <v>4911</v>
      </c>
    </row>
    <row r="459" spans="1:17">
      <c r="A459" s="1305" t="s">
        <v>702</v>
      </c>
      <c r="B459" s="1">
        <v>45800</v>
      </c>
      <c r="C459" s="1274" cm="1">
        <f t="array" aca="1" ref="C459" ca="1">_xlfn.IFS(I459&gt;1,B459,B459&lt;TODAY(),TODAY(),B459&gt;TODAY(),B459,B459=TODAY(),TODAY())</f>
        <v>45935</v>
      </c>
      <c r="D459" t="s">
        <v>1415</v>
      </c>
      <c r="E459" s="1276">
        <v>45769</v>
      </c>
      <c r="G459">
        <v>1031778</v>
      </c>
      <c r="J459" s="1294">
        <f t="shared" si="21"/>
        <v>1031778</v>
      </c>
      <c r="P459" s="239" t="s">
        <v>1216</v>
      </c>
      <c r="Q459" s="1308" t="s">
        <v>4911</v>
      </c>
    </row>
    <row r="460" spans="1:17">
      <c r="A460" s="1305" t="s">
        <v>702</v>
      </c>
      <c r="B460" s="1">
        <v>45888</v>
      </c>
      <c r="C460" s="1274" cm="1">
        <f t="array" aca="1" ref="C460" ca="1">_xlfn.IFS(I460&gt;1,B460,B460&lt;TODAY(),TODAY(),B460&gt;TODAY(),B460,B460=TODAY(),TODAY())</f>
        <v>45935</v>
      </c>
      <c r="D460" t="s">
        <v>1416</v>
      </c>
      <c r="E460" s="1276">
        <v>45769</v>
      </c>
      <c r="G460">
        <v>2137696</v>
      </c>
      <c r="J460" s="1294">
        <f t="shared" si="21"/>
        <v>2137696</v>
      </c>
      <c r="P460" s="239" t="s">
        <v>1216</v>
      </c>
      <c r="Q460" s="1308" t="s">
        <v>4911</v>
      </c>
    </row>
    <row r="461" spans="1:17">
      <c r="A461" s="1305" t="s">
        <v>702</v>
      </c>
      <c r="B461" s="1">
        <v>45870</v>
      </c>
      <c r="C461" s="1274" cm="1">
        <f t="array" aca="1" ref="C461" ca="1">_xlfn.IFS(I461&gt;1,B461,B461&lt;TODAY(),TODAY(),B461&gt;TODAY(),B461,B461=TODAY(),TODAY())</f>
        <v>45935</v>
      </c>
      <c r="D461" t="s">
        <v>889</v>
      </c>
      <c r="E461" s="1276">
        <v>45769</v>
      </c>
      <c r="G461">
        <v>5343360</v>
      </c>
      <c r="J461" s="1294">
        <f t="shared" si="21"/>
        <v>5343360</v>
      </c>
      <c r="P461" s="239" t="s">
        <v>1216</v>
      </c>
      <c r="Q461" s="1308" t="s">
        <v>4911</v>
      </c>
    </row>
    <row r="462" spans="1:17">
      <c r="A462" s="1305" t="s">
        <v>702</v>
      </c>
      <c r="B462" s="1">
        <v>45874</v>
      </c>
      <c r="C462" s="1274" cm="1">
        <f t="array" aca="1" ref="C462" ca="1">_xlfn.IFS(I462&gt;1,B462,B462&lt;TODAY(),TODAY(),B462&gt;TODAY(),B462,B462=TODAY(),TODAY())</f>
        <v>45935</v>
      </c>
      <c r="D462" t="s">
        <v>889</v>
      </c>
      <c r="E462" s="1276">
        <v>45769</v>
      </c>
      <c r="G462">
        <v>2869381</v>
      </c>
      <c r="J462" s="1294">
        <f t="shared" si="21"/>
        <v>2869381</v>
      </c>
      <c r="P462" s="239" t="s">
        <v>1216</v>
      </c>
      <c r="Q462" s="1308" t="s">
        <v>4911</v>
      </c>
    </row>
    <row r="463" spans="1:17">
      <c r="A463" s="1305" t="s">
        <v>702</v>
      </c>
      <c r="B463" s="1">
        <v>45885</v>
      </c>
      <c r="C463" s="1274" cm="1">
        <f t="array" aca="1" ref="C463" ca="1">_xlfn.IFS(I463&gt;1,B463,B463&lt;TODAY(),TODAY(),B463&gt;TODAY(),B463,B463=TODAY(),TODAY())</f>
        <v>45935</v>
      </c>
      <c r="D463" t="s">
        <v>893</v>
      </c>
      <c r="E463" s="1276">
        <v>45769</v>
      </c>
      <c r="G463">
        <v>210945</v>
      </c>
      <c r="J463" s="1294">
        <f t="shared" si="21"/>
        <v>210945</v>
      </c>
      <c r="P463" s="239" t="s">
        <v>1216</v>
      </c>
      <c r="Q463" s="1308" t="s">
        <v>4911</v>
      </c>
    </row>
    <row r="464" spans="1:17">
      <c r="A464" s="1305" t="s">
        <v>702</v>
      </c>
      <c r="B464" s="1">
        <v>45870</v>
      </c>
      <c r="C464" s="1274" cm="1">
        <f t="array" aca="1" ref="C464" ca="1">_xlfn.IFS(I464&gt;1,B464,B464&lt;TODAY(),TODAY(),B464&gt;TODAY(),B464,B464=TODAY(),TODAY())</f>
        <v>45935</v>
      </c>
      <c r="D464" t="s">
        <v>894</v>
      </c>
      <c r="E464" s="1276">
        <v>45769</v>
      </c>
      <c r="G464">
        <v>129056</v>
      </c>
      <c r="J464" s="1294">
        <f t="shared" si="21"/>
        <v>129056</v>
      </c>
      <c r="P464" s="239" t="s">
        <v>1216</v>
      </c>
      <c r="Q464" s="1308" t="s">
        <v>4911</v>
      </c>
    </row>
    <row r="465" spans="1:17">
      <c r="A465" s="1305" t="s">
        <v>702</v>
      </c>
      <c r="B465" s="1">
        <v>45880</v>
      </c>
      <c r="C465" s="1274" cm="1">
        <f t="array" aca="1" ref="C465" ca="1">_xlfn.IFS(I465&gt;1,B465,B465&lt;TODAY(),TODAY(),B465&gt;TODAY(),B465,B465=TODAY(),TODAY())</f>
        <v>45935</v>
      </c>
      <c r="D465" t="s">
        <v>894</v>
      </c>
      <c r="E465" s="1276">
        <v>45769</v>
      </c>
      <c r="G465">
        <v>200747.5</v>
      </c>
      <c r="J465" s="1294">
        <f t="shared" si="21"/>
        <v>200747.5</v>
      </c>
      <c r="P465" s="239" t="s">
        <v>1216</v>
      </c>
      <c r="Q465" s="1308" t="s">
        <v>4911</v>
      </c>
    </row>
    <row r="466" spans="1:17">
      <c r="A466" s="1305" t="s">
        <v>702</v>
      </c>
      <c r="B466" s="1">
        <v>45881</v>
      </c>
      <c r="C466" s="1274" cm="1">
        <f t="array" aca="1" ref="C466" ca="1">_xlfn.IFS(I466&gt;1,B466,B466&lt;TODAY(),TODAY(),B466&gt;TODAY(),B466,B466=TODAY(),TODAY())</f>
        <v>45935</v>
      </c>
      <c r="D466" t="s">
        <v>894</v>
      </c>
      <c r="E466" s="1276">
        <v>45769</v>
      </c>
      <c r="G466">
        <v>129056</v>
      </c>
      <c r="J466" s="1294">
        <f t="shared" si="21"/>
        <v>129056</v>
      </c>
      <c r="P466" s="239" t="s">
        <v>1216</v>
      </c>
      <c r="Q466" s="1308" t="s">
        <v>4911</v>
      </c>
    </row>
    <row r="467" spans="1:17">
      <c r="A467" s="1305" t="s">
        <v>702</v>
      </c>
      <c r="B467" s="1">
        <v>45885</v>
      </c>
      <c r="C467" s="1274" cm="1">
        <f t="array" aca="1" ref="C467" ca="1">_xlfn.IFS(I467&gt;1,B467,B467&lt;TODAY(),TODAY(),B467&gt;TODAY(),B467,B467=TODAY(),TODAY())</f>
        <v>45935</v>
      </c>
      <c r="D467" t="s">
        <v>894</v>
      </c>
      <c r="E467" s="1276">
        <v>45769</v>
      </c>
      <c r="G467">
        <v>219232</v>
      </c>
      <c r="J467" s="1294">
        <f t="shared" si="21"/>
        <v>219232</v>
      </c>
      <c r="P467" s="239" t="s">
        <v>1216</v>
      </c>
      <c r="Q467" s="1308" t="s">
        <v>4911</v>
      </c>
    </row>
    <row r="468" spans="1:17">
      <c r="A468" s="1305" t="s">
        <v>702</v>
      </c>
      <c r="B468" s="1">
        <v>45887</v>
      </c>
      <c r="C468" s="1274" cm="1">
        <f t="array" aca="1" ref="C468" ca="1">_xlfn.IFS(I468&gt;1,B468,B468&lt;TODAY(),TODAY(),B468&gt;TODAY(),B468,B468=TODAY(),TODAY())</f>
        <v>45935</v>
      </c>
      <c r="D468" t="s">
        <v>894</v>
      </c>
      <c r="E468" s="1276">
        <v>45769</v>
      </c>
      <c r="G468">
        <v>1785960</v>
      </c>
      <c r="J468" s="1294">
        <f t="shared" si="21"/>
        <v>1785960</v>
      </c>
      <c r="P468" s="239" t="s">
        <v>1216</v>
      </c>
      <c r="Q468" s="1308" t="s">
        <v>4911</v>
      </c>
    </row>
    <row r="469" spans="1:17">
      <c r="A469" s="1305" t="s">
        <v>702</v>
      </c>
      <c r="B469" s="1">
        <v>45888</v>
      </c>
      <c r="C469" s="1274" cm="1">
        <f t="array" aca="1" ref="C469" ca="1">_xlfn.IFS(I469&gt;1,B469,B469&lt;TODAY(),TODAY(),B469&gt;TODAY(),B469,B469=TODAY(),TODAY())</f>
        <v>45935</v>
      </c>
      <c r="D469" t="s">
        <v>894</v>
      </c>
      <c r="E469" s="1276">
        <v>45769</v>
      </c>
      <c r="G469">
        <v>923733</v>
      </c>
      <c r="J469" s="1294">
        <f t="shared" si="21"/>
        <v>923733</v>
      </c>
      <c r="P469" s="239" t="s">
        <v>1216</v>
      </c>
      <c r="Q469" s="1308" t="s">
        <v>4911</v>
      </c>
    </row>
    <row r="470" spans="1:17">
      <c r="A470" s="1305" t="s">
        <v>702</v>
      </c>
      <c r="B470" s="1">
        <v>45894</v>
      </c>
      <c r="C470" s="1274" cm="1">
        <f t="array" aca="1" ref="C470" ca="1">_xlfn.IFS(I470&gt;1,B470,B470&lt;TODAY(),TODAY(),B470&gt;TODAY(),B470,B470=TODAY(),TODAY())</f>
        <v>45935</v>
      </c>
      <c r="D470" t="s">
        <v>894</v>
      </c>
      <c r="E470" s="1276">
        <v>45769</v>
      </c>
      <c r="G470">
        <v>513052</v>
      </c>
      <c r="J470" s="1294">
        <f t="shared" si="21"/>
        <v>513052</v>
      </c>
      <c r="P470" s="239" t="s">
        <v>1216</v>
      </c>
      <c r="Q470" s="1308" t="s">
        <v>4911</v>
      </c>
    </row>
    <row r="471" spans="1:17">
      <c r="A471" s="1305" t="s">
        <v>702</v>
      </c>
      <c r="B471" s="1">
        <v>45897</v>
      </c>
      <c r="C471" s="1274" cm="1">
        <f t="array" aca="1" ref="C471" ca="1">_xlfn.IFS(I471&gt;1,B471,B471&lt;TODAY(),TODAY(),B471&gt;TODAY(),B471,B471=TODAY(),TODAY())</f>
        <v>45935</v>
      </c>
      <c r="D471" t="s">
        <v>894</v>
      </c>
      <c r="E471" s="1276">
        <v>45769</v>
      </c>
      <c r="G471">
        <v>197541</v>
      </c>
      <c r="J471" s="1294">
        <f t="shared" si="21"/>
        <v>197541</v>
      </c>
      <c r="P471" s="239" t="s">
        <v>1216</v>
      </c>
      <c r="Q471" s="1308" t="s">
        <v>4911</v>
      </c>
    </row>
    <row r="472" spans="1:17">
      <c r="A472" s="1305" t="s">
        <v>702</v>
      </c>
      <c r="B472" s="1">
        <v>45894</v>
      </c>
      <c r="C472" s="1274" cm="1">
        <f t="array" aca="1" ref="C472" ca="1">_xlfn.IFS(I472&gt;1,B472,B472&lt;TODAY(),TODAY(),B472&gt;TODAY(),B472,B472=TODAY(),TODAY())</f>
        <v>45935</v>
      </c>
      <c r="D472" t="s">
        <v>888</v>
      </c>
      <c r="E472" s="1276">
        <v>45769</v>
      </c>
      <c r="G472">
        <v>316800</v>
      </c>
      <c r="J472" s="1294">
        <f t="shared" si="21"/>
        <v>316800</v>
      </c>
      <c r="P472" s="239" t="s">
        <v>1216</v>
      </c>
      <c r="Q472" s="1308" t="s">
        <v>4911</v>
      </c>
    </row>
    <row r="473" spans="1:17">
      <c r="A473" s="1305" t="s">
        <v>702</v>
      </c>
      <c r="B473" s="1">
        <v>45870</v>
      </c>
      <c r="C473" s="1274" cm="1">
        <f t="array" aca="1" ref="C473" ca="1">_xlfn.IFS(I473&gt;1,B473,B473&lt;TODAY(),TODAY(),B473&gt;TODAY(),B473,B473=TODAY(),TODAY())</f>
        <v>45935</v>
      </c>
      <c r="D473" t="s">
        <v>1417</v>
      </c>
      <c r="E473" s="1276">
        <v>45769</v>
      </c>
      <c r="G473">
        <v>120508</v>
      </c>
      <c r="J473" s="1294">
        <f t="shared" si="21"/>
        <v>120508</v>
      </c>
      <c r="P473" s="239" t="s">
        <v>1216</v>
      </c>
      <c r="Q473" s="1308" t="s">
        <v>4911</v>
      </c>
    </row>
    <row r="474" spans="1:17">
      <c r="A474" s="1305" t="s">
        <v>702</v>
      </c>
      <c r="B474" s="1">
        <v>45894</v>
      </c>
      <c r="C474" s="1274" cm="1">
        <f t="array" aca="1" ref="C474" ca="1">_xlfn.IFS(I474&gt;1,B474,B474&lt;TODAY(),TODAY(),B474&gt;TODAY(),B474,B474=TODAY(),TODAY())</f>
        <v>45935</v>
      </c>
      <c r="D474" t="s">
        <v>1417</v>
      </c>
      <c r="E474" s="1276">
        <v>45769</v>
      </c>
      <c r="G474">
        <v>115693</v>
      </c>
      <c r="J474" s="1294">
        <f t="shared" si="21"/>
        <v>115693</v>
      </c>
      <c r="P474" s="239" t="s">
        <v>1216</v>
      </c>
      <c r="Q474" s="1308" t="s">
        <v>4911</v>
      </c>
    </row>
    <row r="475" spans="1:17">
      <c r="A475" s="1305" t="s">
        <v>702</v>
      </c>
      <c r="B475" s="1">
        <v>45897</v>
      </c>
      <c r="C475" s="1274" cm="1">
        <f t="array" aca="1" ref="C475" ca="1">_xlfn.IFS(I475&gt;1,B475,B475&lt;TODAY(),TODAY(),B475&gt;TODAY(),B475,B475=TODAY(),TODAY())</f>
        <v>45935</v>
      </c>
      <c r="D475" t="s">
        <v>1417</v>
      </c>
      <c r="E475" s="1276">
        <v>45769</v>
      </c>
      <c r="G475">
        <v>1192689</v>
      </c>
      <c r="J475" s="1294">
        <f t="shared" si="21"/>
        <v>1192689</v>
      </c>
      <c r="P475" s="239" t="s">
        <v>1216</v>
      </c>
      <c r="Q475" s="1308" t="s">
        <v>4911</v>
      </c>
    </row>
    <row r="476" spans="1:17">
      <c r="A476" s="1305" t="s">
        <v>702</v>
      </c>
      <c r="B476" s="1">
        <v>45871</v>
      </c>
      <c r="C476" s="1274" cm="1">
        <f t="array" aca="1" ref="C476" ca="1">_xlfn.IFS(I476&gt;1,B476,B476&lt;TODAY(),TODAY(),B476&gt;TODAY(),B476,B476=TODAY(),TODAY())</f>
        <v>45935</v>
      </c>
      <c r="D476" t="s">
        <v>1418</v>
      </c>
      <c r="E476" s="1276">
        <v>45769</v>
      </c>
      <c r="G476">
        <v>1150076</v>
      </c>
      <c r="J476" s="1294">
        <f t="shared" si="21"/>
        <v>1150076</v>
      </c>
      <c r="P476" s="239" t="s">
        <v>1216</v>
      </c>
      <c r="Q476" s="1308" t="s">
        <v>4911</v>
      </c>
    </row>
    <row r="477" spans="1:17">
      <c r="A477" s="1305" t="s">
        <v>702</v>
      </c>
      <c r="B477" s="1">
        <v>45873</v>
      </c>
      <c r="C477" s="1274" cm="1">
        <f t="array" aca="1" ref="C477" ca="1">_xlfn.IFS(I477&gt;1,B477,B477&lt;TODAY(),TODAY(),B477&gt;TODAY(),B477,B477=TODAY(),TODAY())</f>
        <v>45935</v>
      </c>
      <c r="D477" t="s">
        <v>1419</v>
      </c>
      <c r="E477" s="1276">
        <v>45769</v>
      </c>
      <c r="G477">
        <v>117600</v>
      </c>
      <c r="J477" s="1294">
        <f t="shared" si="21"/>
        <v>117600</v>
      </c>
      <c r="P477" s="239" t="s">
        <v>1216</v>
      </c>
      <c r="Q477" s="1308" t="s">
        <v>4911</v>
      </c>
    </row>
    <row r="478" spans="1:17">
      <c r="A478" s="1305" t="s">
        <v>702</v>
      </c>
      <c r="B478" s="1">
        <v>45874</v>
      </c>
      <c r="C478" s="1274" cm="1">
        <f t="array" aca="1" ref="C478" ca="1">_xlfn.IFS(I478&gt;1,B478,B478&lt;TODAY(),TODAY(),B478&gt;TODAY(),B478,B478=TODAY(),TODAY())</f>
        <v>45935</v>
      </c>
      <c r="D478" t="s">
        <v>1419</v>
      </c>
      <c r="E478" s="1276">
        <v>45769</v>
      </c>
      <c r="G478">
        <v>174861</v>
      </c>
      <c r="J478" s="1294">
        <f t="shared" si="21"/>
        <v>174861</v>
      </c>
      <c r="P478" s="239" t="s">
        <v>1216</v>
      </c>
      <c r="Q478" s="1308" t="s">
        <v>4911</v>
      </c>
    </row>
    <row r="479" spans="1:17">
      <c r="A479" s="1305" t="s">
        <v>702</v>
      </c>
      <c r="B479" s="1">
        <v>45873</v>
      </c>
      <c r="C479" s="1274" cm="1">
        <f t="array" aca="1" ref="C479" ca="1">_xlfn.IFS(I479&gt;1,B479,B479&lt;TODAY(),TODAY(),B479&gt;TODAY(),B479,B479=TODAY(),TODAY())</f>
        <v>45935</v>
      </c>
      <c r="D479" t="s">
        <v>1420</v>
      </c>
      <c r="E479" s="1276">
        <v>45769</v>
      </c>
      <c r="G479">
        <v>172511</v>
      </c>
      <c r="J479" s="1294">
        <f t="shared" si="21"/>
        <v>172511</v>
      </c>
      <c r="P479" s="239" t="s">
        <v>1216</v>
      </c>
      <c r="Q479" s="1308" t="s">
        <v>4911</v>
      </c>
    </row>
    <row r="480" spans="1:17">
      <c r="A480" s="1305" t="s">
        <v>702</v>
      </c>
      <c r="B480" s="1">
        <v>45889</v>
      </c>
      <c r="C480" s="1274" cm="1">
        <f t="array" aca="1" ref="C480" ca="1">_xlfn.IFS(I480&gt;1,B480,B480&lt;TODAY(),TODAY(),B480&gt;TODAY(),B480,B480=TODAY(),TODAY())</f>
        <v>45935</v>
      </c>
      <c r="D480" t="s">
        <v>1420</v>
      </c>
      <c r="E480" s="1276">
        <v>45769</v>
      </c>
      <c r="G480">
        <v>64845</v>
      </c>
      <c r="J480" s="1294">
        <f t="shared" si="21"/>
        <v>64845</v>
      </c>
      <c r="P480" s="239" t="s">
        <v>1216</v>
      </c>
      <c r="Q480" s="1308" t="s">
        <v>4911</v>
      </c>
    </row>
    <row r="481" spans="1:17">
      <c r="A481" s="1305" t="s">
        <v>702</v>
      </c>
      <c r="B481" s="1">
        <v>45894</v>
      </c>
      <c r="C481" s="1274" cm="1">
        <f t="array" aca="1" ref="C481" ca="1">_xlfn.IFS(I481&gt;1,B481,B481&lt;TODAY(),TODAY(),B481&gt;TODAY(),B481,B481=TODAY(),TODAY())</f>
        <v>45935</v>
      </c>
      <c r="D481" t="s">
        <v>1420</v>
      </c>
      <c r="E481" s="1276">
        <v>45769</v>
      </c>
      <c r="G481">
        <v>2395512</v>
      </c>
      <c r="J481" s="1294">
        <f t="shared" si="21"/>
        <v>2395512</v>
      </c>
      <c r="P481" s="239" t="s">
        <v>1216</v>
      </c>
      <c r="Q481" s="1308" t="s">
        <v>4911</v>
      </c>
    </row>
    <row r="482" spans="1:17">
      <c r="A482" s="1305" t="s">
        <v>702</v>
      </c>
      <c r="B482" s="1">
        <v>45897</v>
      </c>
      <c r="C482" s="1274" cm="1">
        <f t="array" aca="1" ref="C482" ca="1">_xlfn.IFS(I482&gt;1,B482,B482&lt;TODAY(),TODAY(),B482&gt;TODAY(),B482,B482=TODAY(),TODAY())</f>
        <v>45935</v>
      </c>
      <c r="D482" t="s">
        <v>1420</v>
      </c>
      <c r="E482" s="1276">
        <v>45769</v>
      </c>
      <c r="G482">
        <v>1223142</v>
      </c>
      <c r="J482" s="1294">
        <f t="shared" si="21"/>
        <v>1223142</v>
      </c>
      <c r="P482" s="239" t="s">
        <v>1216</v>
      </c>
      <c r="Q482" s="1308" t="s">
        <v>4911</v>
      </c>
    </row>
    <row r="483" spans="1:17">
      <c r="A483" s="1305" t="s">
        <v>702</v>
      </c>
      <c r="B483" s="1">
        <v>45876</v>
      </c>
      <c r="C483" s="1274" cm="1">
        <f t="array" aca="1" ref="C483" ca="1">_xlfn.IFS(I483&gt;1,B483,B483&lt;TODAY(),TODAY(),B483&gt;TODAY(),B483,B483=TODAY(),TODAY())</f>
        <v>45935</v>
      </c>
      <c r="D483" t="s">
        <v>1421</v>
      </c>
      <c r="E483" s="1276">
        <v>45769</v>
      </c>
      <c r="G483">
        <v>113528</v>
      </c>
      <c r="J483" s="1294">
        <f t="shared" si="21"/>
        <v>113528</v>
      </c>
      <c r="P483" s="239" t="s">
        <v>1216</v>
      </c>
      <c r="Q483" s="1308" t="s">
        <v>4911</v>
      </c>
    </row>
    <row r="484" spans="1:17">
      <c r="A484" s="1305" t="s">
        <v>702</v>
      </c>
      <c r="B484" s="1">
        <v>45880</v>
      </c>
      <c r="C484" s="1274" cm="1">
        <f t="array" aca="1" ref="C484" ca="1">_xlfn.IFS(I484&gt;1,B484,B484&lt;TODAY(),TODAY(),B484&gt;TODAY(),B484,B484=TODAY(),TODAY())</f>
        <v>45935</v>
      </c>
      <c r="D484" t="s">
        <v>1422</v>
      </c>
      <c r="E484" s="1276">
        <v>45769</v>
      </c>
      <c r="G484">
        <v>112789</v>
      </c>
      <c r="J484" s="1294">
        <f t="shared" si="21"/>
        <v>112789</v>
      </c>
      <c r="P484" s="239" t="s">
        <v>1216</v>
      </c>
      <c r="Q484" s="1308" t="s">
        <v>4911</v>
      </c>
    </row>
    <row r="485" spans="1:17">
      <c r="A485" s="1305" t="s">
        <v>702</v>
      </c>
      <c r="B485" s="1">
        <v>45880</v>
      </c>
      <c r="C485" s="1274" cm="1">
        <f t="array" aca="1" ref="C485" ca="1">_xlfn.IFS(I485&gt;1,B485,B485&lt;TODAY(),TODAY(),B485&gt;TODAY(),B485,B485=TODAY(),TODAY())</f>
        <v>45935</v>
      </c>
      <c r="D485" t="s">
        <v>1423</v>
      </c>
      <c r="E485" s="1276">
        <v>45769</v>
      </c>
      <c r="G485">
        <v>759095</v>
      </c>
      <c r="J485" s="1294">
        <f t="shared" si="21"/>
        <v>759095</v>
      </c>
      <c r="P485" s="239" t="s">
        <v>1216</v>
      </c>
      <c r="Q485" s="1308" t="s">
        <v>4911</v>
      </c>
    </row>
    <row r="486" spans="1:17">
      <c r="A486" s="1305" t="s">
        <v>702</v>
      </c>
      <c r="B486" s="1">
        <v>45880</v>
      </c>
      <c r="C486" s="1274" cm="1">
        <f t="array" aca="1" ref="C486" ca="1">_xlfn.IFS(I486&gt;1,B486,B486&lt;TODAY(),TODAY(),B486&gt;TODAY(),B486,B486=TODAY(),TODAY())</f>
        <v>45935</v>
      </c>
      <c r="D486" t="s">
        <v>1424</v>
      </c>
      <c r="E486" s="1276">
        <v>45769</v>
      </c>
      <c r="G486">
        <v>134831.51999999999</v>
      </c>
      <c r="J486" s="1294">
        <f t="shared" si="21"/>
        <v>134831.51999999999</v>
      </c>
      <c r="P486" s="239" t="s">
        <v>1216</v>
      </c>
      <c r="Q486" s="1308" t="s">
        <v>4911</v>
      </c>
    </row>
    <row r="487" spans="1:17">
      <c r="A487" s="1305" t="s">
        <v>702</v>
      </c>
      <c r="B487" s="1">
        <v>45885</v>
      </c>
      <c r="C487" s="1274" cm="1">
        <f t="array" aca="1" ref="C487" ca="1">_xlfn.IFS(I487&gt;1,B487,B487&lt;TODAY(),TODAY(),B487&gt;TODAY(),B487,B487=TODAY(),TODAY())</f>
        <v>45935</v>
      </c>
      <c r="D487" t="s">
        <v>1424</v>
      </c>
      <c r="E487" s="1276">
        <v>45769</v>
      </c>
      <c r="G487">
        <v>1090718</v>
      </c>
      <c r="J487" s="1294">
        <f t="shared" si="21"/>
        <v>1090718</v>
      </c>
      <c r="P487" s="239" t="s">
        <v>1216</v>
      </c>
      <c r="Q487" s="1308" t="s">
        <v>4911</v>
      </c>
    </row>
    <row r="488" spans="1:17">
      <c r="A488" s="1305" t="s">
        <v>702</v>
      </c>
      <c r="B488" s="1">
        <v>45894</v>
      </c>
      <c r="C488" s="1274" cm="1">
        <f t="array" aca="1" ref="C488" ca="1">_xlfn.IFS(I488&gt;1,B488,B488&lt;TODAY(),TODAY(),B488&gt;TODAY(),B488,B488=TODAY(),TODAY())</f>
        <v>45935</v>
      </c>
      <c r="D488" t="s">
        <v>1424</v>
      </c>
      <c r="E488" s="1276">
        <v>45769</v>
      </c>
      <c r="G488">
        <v>457776</v>
      </c>
      <c r="J488" s="1294">
        <f t="shared" si="21"/>
        <v>457776</v>
      </c>
      <c r="P488" s="239" t="s">
        <v>1216</v>
      </c>
      <c r="Q488" s="1308" t="s">
        <v>4911</v>
      </c>
    </row>
    <row r="489" spans="1:17">
      <c r="A489" s="1305" t="s">
        <v>702</v>
      </c>
      <c r="B489" s="1">
        <v>45894</v>
      </c>
      <c r="C489" s="1274" cm="1">
        <f t="array" aca="1" ref="C489" ca="1">_xlfn.IFS(I489&gt;1,B489,B489&lt;TODAY(),TODAY(),B489&gt;TODAY(),B489,B489=TODAY(),TODAY())</f>
        <v>45935</v>
      </c>
      <c r="D489">
        <v>0</v>
      </c>
      <c r="E489" s="1276">
        <v>45769</v>
      </c>
      <c r="G489">
        <v>246960</v>
      </c>
      <c r="J489" s="1294">
        <f t="shared" si="21"/>
        <v>246960</v>
      </c>
      <c r="P489" s="239" t="s">
        <v>1216</v>
      </c>
      <c r="Q489" s="1308" t="s">
        <v>4911</v>
      </c>
    </row>
    <row r="490" spans="1:17">
      <c r="A490" s="1305" t="s">
        <v>702</v>
      </c>
      <c r="B490" s="1">
        <v>45875</v>
      </c>
      <c r="C490" s="1274" cm="1">
        <f t="array" aca="1" ref="C490" ca="1">_xlfn.IFS(I490&gt;1,B490,B490&lt;TODAY(),TODAY(),B490&gt;TODAY(),B490,B490=TODAY(),TODAY())</f>
        <v>45935</v>
      </c>
      <c r="D490" s="22">
        <v>0</v>
      </c>
      <c r="E490" s="1276">
        <v>45769</v>
      </c>
      <c r="G490">
        <v>108948</v>
      </c>
      <c r="J490" s="1294">
        <f t="shared" si="21"/>
        <v>108948</v>
      </c>
      <c r="P490" s="239" t="s">
        <v>1216</v>
      </c>
      <c r="Q490" s="1308" t="s">
        <v>4911</v>
      </c>
    </row>
    <row r="491" spans="1:17">
      <c r="A491" s="1305" t="s">
        <v>702</v>
      </c>
      <c r="B491" s="1">
        <v>45875</v>
      </c>
      <c r="C491" s="1274" cm="1">
        <f t="array" aca="1" ref="C491" ca="1">_xlfn.IFS(I491&gt;1,B491,B491&lt;TODAY(),TODAY(),B491&gt;TODAY(),B491,B491=TODAY(),TODAY())</f>
        <v>45935</v>
      </c>
      <c r="D491" s="22">
        <v>0</v>
      </c>
      <c r="E491" s="1276">
        <v>45769</v>
      </c>
      <c r="G491">
        <v>405504</v>
      </c>
      <c r="J491" s="1294">
        <f t="shared" si="21"/>
        <v>405504</v>
      </c>
      <c r="P491" s="239" t="s">
        <v>1216</v>
      </c>
      <c r="Q491" s="1308" t="s">
        <v>4911</v>
      </c>
    </row>
    <row r="492" spans="1:17">
      <c r="A492" s="1305" t="s">
        <v>702</v>
      </c>
      <c r="B492" s="1">
        <v>45879</v>
      </c>
      <c r="C492" s="1274" cm="1">
        <f t="array" aca="1" ref="C492" ca="1">_xlfn.IFS(I492&gt;1,B492,B492&lt;TODAY(),TODAY(),B492&gt;TODAY(),B492,B492=TODAY(),TODAY())</f>
        <v>45935</v>
      </c>
      <c r="D492" s="22">
        <v>0</v>
      </c>
      <c r="E492" s="1276">
        <v>45769</v>
      </c>
      <c r="G492">
        <v>141008</v>
      </c>
      <c r="J492" s="1294">
        <f t="shared" si="21"/>
        <v>141008</v>
      </c>
      <c r="P492" s="239" t="s">
        <v>1216</v>
      </c>
      <c r="Q492" s="1308" t="s">
        <v>4911</v>
      </c>
    </row>
    <row r="493" spans="1:17">
      <c r="A493" s="1305" t="s">
        <v>702</v>
      </c>
      <c r="B493" s="29">
        <v>45839</v>
      </c>
      <c r="C493" s="48">
        <v>45839</v>
      </c>
      <c r="D493" s="22">
        <v>0</v>
      </c>
      <c r="E493" s="1276">
        <v>45769</v>
      </c>
      <c r="G493" s="183">
        <v>665420</v>
      </c>
      <c r="H493" s="21"/>
      <c r="I493" s="21"/>
      <c r="J493" s="53">
        <v>4973181</v>
      </c>
      <c r="P493" s="239" t="s">
        <v>1215</v>
      </c>
      <c r="Q493" s="1308" t="s">
        <v>4911</v>
      </c>
    </row>
    <row r="494" spans="1:17">
      <c r="A494" s="1305" t="s">
        <v>702</v>
      </c>
      <c r="B494" s="29">
        <v>45840</v>
      </c>
      <c r="C494" s="48">
        <v>45840</v>
      </c>
      <c r="D494" s="22">
        <v>0</v>
      </c>
      <c r="E494" s="1276">
        <v>45769</v>
      </c>
      <c r="G494" s="183">
        <v>24475306</v>
      </c>
      <c r="H494" s="21"/>
      <c r="I494" s="21"/>
      <c r="J494" s="53">
        <v>4973181</v>
      </c>
      <c r="P494" s="239" t="s">
        <v>1215</v>
      </c>
      <c r="Q494" s="1308" t="s">
        <v>4911</v>
      </c>
    </row>
    <row r="495" spans="1:17">
      <c r="A495" s="1305" t="s">
        <v>702</v>
      </c>
      <c r="B495" s="29">
        <v>45841</v>
      </c>
      <c r="C495" s="48">
        <v>45841</v>
      </c>
      <c r="D495" s="22">
        <v>0</v>
      </c>
      <c r="E495" s="1276">
        <v>45769</v>
      </c>
      <c r="G495" s="183">
        <v>239384.2</v>
      </c>
      <c r="H495" s="21"/>
      <c r="I495" s="21"/>
      <c r="J495" s="53">
        <v>4973181</v>
      </c>
      <c r="P495" s="239" t="s">
        <v>1215</v>
      </c>
      <c r="Q495" s="1308" t="s">
        <v>4911</v>
      </c>
    </row>
    <row r="496" spans="1:17">
      <c r="A496" s="1305" t="s">
        <v>702</v>
      </c>
      <c r="B496" s="29">
        <v>45842</v>
      </c>
      <c r="C496" s="48">
        <v>45842</v>
      </c>
      <c r="D496" s="22">
        <v>0</v>
      </c>
      <c r="E496" s="1276">
        <v>45769</v>
      </c>
      <c r="G496" s="183">
        <v>980828</v>
      </c>
      <c r="H496" s="21"/>
      <c r="I496" s="21"/>
      <c r="J496" s="53">
        <v>4973181</v>
      </c>
      <c r="P496" s="239" t="s">
        <v>1215</v>
      </c>
      <c r="Q496" s="1308" t="s">
        <v>4911</v>
      </c>
    </row>
    <row r="497" spans="1:17">
      <c r="A497" s="1305" t="s">
        <v>702</v>
      </c>
      <c r="B497" s="29">
        <v>45843</v>
      </c>
      <c r="C497" s="48">
        <v>45843</v>
      </c>
      <c r="D497" s="22">
        <v>0</v>
      </c>
      <c r="E497" s="1276">
        <v>45769</v>
      </c>
      <c r="G497" s="183">
        <v>1294483</v>
      </c>
      <c r="H497" s="21"/>
      <c r="I497" s="21"/>
      <c r="J497" s="53">
        <v>4973181</v>
      </c>
      <c r="P497" s="239" t="s">
        <v>1215</v>
      </c>
      <c r="Q497" s="1308" t="s">
        <v>4911</v>
      </c>
    </row>
    <row r="498" spans="1:17">
      <c r="A498" s="1305" t="s">
        <v>702</v>
      </c>
      <c r="B498" s="29">
        <v>45844</v>
      </c>
      <c r="C498" s="48">
        <v>45844</v>
      </c>
      <c r="D498" s="22">
        <v>0</v>
      </c>
      <c r="E498" s="1276">
        <v>45769</v>
      </c>
      <c r="G498" s="183">
        <v>1598412</v>
      </c>
      <c r="H498" s="21"/>
      <c r="I498" s="21"/>
      <c r="J498" s="53">
        <v>4973181</v>
      </c>
      <c r="P498" s="239" t="s">
        <v>1215</v>
      </c>
      <c r="Q498" s="1308" t="s">
        <v>4911</v>
      </c>
    </row>
    <row r="499" spans="1:17">
      <c r="A499" s="1305" t="s">
        <v>702</v>
      </c>
      <c r="B499" s="29">
        <v>45845</v>
      </c>
      <c r="C499" s="48">
        <v>45845</v>
      </c>
      <c r="D499" s="22">
        <v>0</v>
      </c>
      <c r="E499" s="1276">
        <v>45769</v>
      </c>
      <c r="G499" s="183">
        <v>665280</v>
      </c>
      <c r="H499" s="21"/>
      <c r="I499" s="21"/>
      <c r="J499" s="53">
        <v>4973181</v>
      </c>
      <c r="P499" s="239" t="s">
        <v>1215</v>
      </c>
      <c r="Q499" s="1308" t="s">
        <v>4911</v>
      </c>
    </row>
    <row r="500" spans="1:17">
      <c r="A500" s="1305" t="s">
        <v>702</v>
      </c>
      <c r="B500" s="29">
        <v>45846</v>
      </c>
      <c r="C500" s="48">
        <v>45846</v>
      </c>
      <c r="D500" s="22">
        <v>0</v>
      </c>
      <c r="E500" s="1276">
        <v>45769</v>
      </c>
      <c r="G500" s="183">
        <v>1858834</v>
      </c>
      <c r="H500" s="21"/>
      <c r="I500" s="21"/>
      <c r="J500" s="53">
        <v>4973181</v>
      </c>
      <c r="P500" s="239" t="s">
        <v>1215</v>
      </c>
      <c r="Q500" s="1308" t="s">
        <v>4911</v>
      </c>
    </row>
    <row r="501" spans="1:17">
      <c r="A501" s="1305" t="s">
        <v>702</v>
      </c>
      <c r="B501" s="29">
        <v>45847</v>
      </c>
      <c r="C501" s="48">
        <v>45847</v>
      </c>
      <c r="D501" s="22">
        <v>0</v>
      </c>
      <c r="E501" s="1276">
        <v>45769</v>
      </c>
      <c r="G501" s="183">
        <v>194893</v>
      </c>
      <c r="H501" s="21"/>
      <c r="I501" s="21"/>
      <c r="J501" s="53">
        <v>4973181</v>
      </c>
      <c r="P501" s="239" t="s">
        <v>1215</v>
      </c>
      <c r="Q501" s="1308" t="s">
        <v>4911</v>
      </c>
    </row>
    <row r="502" spans="1:17">
      <c r="A502" s="1305" t="s">
        <v>702</v>
      </c>
      <c r="B502" s="29">
        <v>45848</v>
      </c>
      <c r="C502" s="48">
        <v>45848</v>
      </c>
      <c r="D502" s="22">
        <v>0</v>
      </c>
      <c r="E502" s="1276">
        <v>45769</v>
      </c>
      <c r="G502" s="183">
        <v>245423</v>
      </c>
      <c r="H502" s="21"/>
      <c r="I502" s="21"/>
      <c r="J502" s="53">
        <v>4973181</v>
      </c>
      <c r="P502" s="239" t="s">
        <v>1215</v>
      </c>
      <c r="Q502" s="1308" t="s">
        <v>4911</v>
      </c>
    </row>
    <row r="503" spans="1:17">
      <c r="A503" s="1305" t="s">
        <v>702</v>
      </c>
      <c r="B503" s="29">
        <v>45849</v>
      </c>
      <c r="C503" s="48">
        <v>45849</v>
      </c>
      <c r="D503" s="22">
        <v>0</v>
      </c>
      <c r="E503" s="1276">
        <v>45769</v>
      </c>
      <c r="G503" s="183">
        <v>324002</v>
      </c>
      <c r="H503" s="21"/>
      <c r="I503" s="21"/>
      <c r="J503" s="53">
        <v>4973181</v>
      </c>
      <c r="P503" s="239" t="s">
        <v>1215</v>
      </c>
      <c r="Q503" s="1308" t="s">
        <v>4911</v>
      </c>
    </row>
    <row r="504" spans="1:17">
      <c r="A504" s="1305" t="s">
        <v>702</v>
      </c>
      <c r="B504" s="29">
        <v>45850</v>
      </c>
      <c r="C504" s="48">
        <v>45850</v>
      </c>
      <c r="D504" s="22">
        <v>0</v>
      </c>
      <c r="E504" s="1276">
        <v>45769</v>
      </c>
      <c r="G504" s="183">
        <v>48950611</v>
      </c>
      <c r="H504" s="21"/>
      <c r="I504" s="21"/>
      <c r="J504" s="53">
        <v>4973181</v>
      </c>
      <c r="P504" s="239" t="s">
        <v>1215</v>
      </c>
      <c r="Q504" s="1308" t="s">
        <v>4911</v>
      </c>
    </row>
    <row r="505" spans="1:17">
      <c r="A505" s="1305" t="s">
        <v>702</v>
      </c>
      <c r="B505" s="29">
        <v>45851</v>
      </c>
      <c r="C505" s="48">
        <v>45851</v>
      </c>
      <c r="D505" s="22">
        <v>0</v>
      </c>
      <c r="E505" s="1276">
        <v>45769</v>
      </c>
      <c r="G505" s="183">
        <v>1034127</v>
      </c>
      <c r="H505" s="21"/>
      <c r="I505" s="21"/>
      <c r="J505" s="53">
        <v>4973181</v>
      </c>
      <c r="P505" s="239" t="s">
        <v>1215</v>
      </c>
      <c r="Q505" s="1308" t="s">
        <v>4911</v>
      </c>
    </row>
    <row r="506" spans="1:17">
      <c r="A506" s="1305" t="s">
        <v>702</v>
      </c>
      <c r="B506" s="29">
        <v>45852</v>
      </c>
      <c r="C506" s="48">
        <v>45852</v>
      </c>
      <c r="D506" s="22">
        <v>0</v>
      </c>
      <c r="E506" s="1276">
        <v>45769</v>
      </c>
      <c r="G506" s="183">
        <v>132480</v>
      </c>
      <c r="H506" s="21"/>
      <c r="I506" s="21"/>
      <c r="J506" s="53">
        <v>4973181</v>
      </c>
      <c r="P506" s="239" t="s">
        <v>1215</v>
      </c>
      <c r="Q506" s="1308" t="s">
        <v>4911</v>
      </c>
    </row>
    <row r="507" spans="1:17">
      <c r="A507" s="1305" t="s">
        <v>702</v>
      </c>
      <c r="B507" s="29">
        <v>45853</v>
      </c>
      <c r="C507" s="48">
        <v>45853</v>
      </c>
      <c r="D507" s="22">
        <v>0</v>
      </c>
      <c r="E507" s="1276">
        <v>45769</v>
      </c>
      <c r="G507" s="183">
        <v>152928</v>
      </c>
      <c r="H507" s="21"/>
      <c r="I507" s="21"/>
      <c r="J507" s="53">
        <v>4973181</v>
      </c>
      <c r="P507" s="239" t="s">
        <v>1215</v>
      </c>
      <c r="Q507" s="1308" t="s">
        <v>4911</v>
      </c>
    </row>
    <row r="508" spans="1:17">
      <c r="A508" s="1305" t="s">
        <v>702</v>
      </c>
      <c r="B508" s="29">
        <v>45854</v>
      </c>
      <c r="C508" s="48">
        <v>45854</v>
      </c>
      <c r="D508" s="22">
        <v>0</v>
      </c>
      <c r="E508" s="1276">
        <v>45769</v>
      </c>
      <c r="G508" s="183">
        <v>536102.07999999996</v>
      </c>
      <c r="H508" s="21"/>
      <c r="I508" s="21"/>
      <c r="J508" s="53">
        <v>4973181</v>
      </c>
      <c r="P508" s="239" t="s">
        <v>1215</v>
      </c>
      <c r="Q508" s="1308" t="s">
        <v>4911</v>
      </c>
    </row>
    <row r="509" spans="1:17">
      <c r="A509" s="1305" t="s">
        <v>702</v>
      </c>
      <c r="B509" s="29">
        <v>45855</v>
      </c>
      <c r="C509" s="48">
        <v>45855</v>
      </c>
      <c r="D509" s="22">
        <v>0</v>
      </c>
      <c r="E509" s="1276">
        <v>45769</v>
      </c>
      <c r="G509" s="183">
        <v>12540000</v>
      </c>
      <c r="H509" s="21"/>
      <c r="I509" s="21"/>
      <c r="J509" s="53">
        <v>4973181</v>
      </c>
      <c r="P509" s="239" t="s">
        <v>1215</v>
      </c>
      <c r="Q509" s="1308" t="s">
        <v>4911</v>
      </c>
    </row>
    <row r="510" spans="1:17">
      <c r="A510" s="1305" t="s">
        <v>702</v>
      </c>
      <c r="B510" s="29">
        <v>45856</v>
      </c>
      <c r="C510" s="48">
        <v>45856</v>
      </c>
      <c r="D510" s="22">
        <v>0</v>
      </c>
      <c r="E510" s="1276">
        <v>45769</v>
      </c>
      <c r="G510" s="183">
        <v>3114258</v>
      </c>
      <c r="H510" s="21"/>
      <c r="I510" s="21"/>
      <c r="J510" s="53">
        <v>4973181</v>
      </c>
      <c r="P510" s="239" t="s">
        <v>1215</v>
      </c>
      <c r="Q510" s="1308" t="s">
        <v>4911</v>
      </c>
    </row>
    <row r="511" spans="1:17">
      <c r="A511" s="1305" t="s">
        <v>702</v>
      </c>
      <c r="B511" s="29">
        <v>45857</v>
      </c>
      <c r="C511" s="48">
        <v>45857</v>
      </c>
      <c r="D511" s="22">
        <v>0</v>
      </c>
      <c r="E511" s="1276">
        <v>45769</v>
      </c>
      <c r="G511" s="183">
        <v>1238992</v>
      </c>
      <c r="H511" s="21"/>
      <c r="I511" s="21"/>
      <c r="J511" s="53">
        <v>4973181</v>
      </c>
      <c r="P511" s="239" t="s">
        <v>1215</v>
      </c>
      <c r="Q511" s="1308" t="s">
        <v>4911</v>
      </c>
    </row>
    <row r="512" spans="1:17">
      <c r="A512" s="1305" t="s">
        <v>702</v>
      </c>
      <c r="B512" s="29">
        <v>45858</v>
      </c>
      <c r="C512" s="48">
        <v>45858</v>
      </c>
      <c r="D512" s="22">
        <v>0</v>
      </c>
      <c r="E512" s="1276">
        <v>45769</v>
      </c>
      <c r="G512" s="183">
        <v>619500</v>
      </c>
      <c r="H512" s="21"/>
      <c r="I512" s="21"/>
      <c r="J512" s="53">
        <v>4973181</v>
      </c>
      <c r="P512" s="239" t="s">
        <v>1215</v>
      </c>
      <c r="Q512" s="1308" t="s">
        <v>4911</v>
      </c>
    </row>
    <row r="513" spans="1:17">
      <c r="A513" s="1305" t="s">
        <v>702</v>
      </c>
      <c r="B513" s="29">
        <v>45859</v>
      </c>
      <c r="C513" s="48">
        <v>45859</v>
      </c>
      <c r="D513" s="22">
        <v>0</v>
      </c>
      <c r="E513" s="1276">
        <v>45769</v>
      </c>
      <c r="G513" s="183">
        <v>619164</v>
      </c>
      <c r="H513" s="21"/>
      <c r="I513" s="21"/>
      <c r="J513" s="53">
        <v>4973181</v>
      </c>
      <c r="P513" s="239" t="s">
        <v>1215</v>
      </c>
      <c r="Q513" s="1308" t="s">
        <v>4911</v>
      </c>
    </row>
    <row r="514" spans="1:17">
      <c r="A514" s="1305" t="s">
        <v>702</v>
      </c>
      <c r="B514" s="29">
        <v>45860</v>
      </c>
      <c r="C514" s="48">
        <v>45860</v>
      </c>
      <c r="D514" s="22">
        <v>0</v>
      </c>
      <c r="E514" s="1276">
        <v>45769</v>
      </c>
      <c r="G514" s="183">
        <v>2749279</v>
      </c>
      <c r="H514" s="21"/>
      <c r="I514" s="21"/>
      <c r="J514" s="53">
        <v>4973181</v>
      </c>
      <c r="P514" s="239" t="s">
        <v>1215</v>
      </c>
      <c r="Q514" s="1308" t="s">
        <v>4911</v>
      </c>
    </row>
    <row r="515" spans="1:17">
      <c r="A515" s="1305" t="s">
        <v>702</v>
      </c>
      <c r="B515" s="29">
        <v>45861</v>
      </c>
      <c r="C515" s="48">
        <v>45861</v>
      </c>
      <c r="D515" s="22">
        <v>0</v>
      </c>
      <c r="E515" s="1276">
        <v>45769</v>
      </c>
      <c r="G515" s="183">
        <v>94400</v>
      </c>
      <c r="H515" s="21"/>
      <c r="I515" s="21"/>
      <c r="J515" s="53">
        <v>4973181</v>
      </c>
      <c r="P515" s="239" t="s">
        <v>1215</v>
      </c>
      <c r="Q515" s="1308" t="s">
        <v>4911</v>
      </c>
    </row>
    <row r="516" spans="1:17">
      <c r="A516" s="1305" t="s">
        <v>702</v>
      </c>
      <c r="B516" s="29">
        <v>45862</v>
      </c>
      <c r="C516" s="48">
        <v>45862</v>
      </c>
      <c r="D516" s="22">
        <v>0</v>
      </c>
      <c r="E516" s="1276">
        <v>45769</v>
      </c>
      <c r="G516" s="183">
        <v>4637400</v>
      </c>
      <c r="H516" s="21"/>
      <c r="I516" s="21"/>
      <c r="J516" s="53">
        <v>4973181</v>
      </c>
      <c r="P516" s="239" t="s">
        <v>1215</v>
      </c>
      <c r="Q516" s="1308" t="s">
        <v>4911</v>
      </c>
    </row>
    <row r="517" spans="1:17">
      <c r="A517" s="1305" t="s">
        <v>702</v>
      </c>
      <c r="B517" s="29">
        <v>45863</v>
      </c>
      <c r="C517" s="29">
        <v>45863</v>
      </c>
      <c r="D517" s="22">
        <v>0</v>
      </c>
      <c r="E517" s="1276">
        <v>45769</v>
      </c>
      <c r="G517" s="183">
        <v>1388321</v>
      </c>
      <c r="H517" s="21"/>
      <c r="I517" s="21"/>
      <c r="J517" s="53">
        <v>4973181</v>
      </c>
      <c r="P517" s="239" t="s">
        <v>1215</v>
      </c>
      <c r="Q517" s="1308" t="s">
        <v>4911</v>
      </c>
    </row>
    <row r="518" spans="1:17">
      <c r="A518" s="1305" t="s">
        <v>702</v>
      </c>
      <c r="B518" s="29">
        <v>45864</v>
      </c>
      <c r="C518" s="48">
        <v>45864</v>
      </c>
      <c r="D518" s="22">
        <v>0</v>
      </c>
      <c r="E518" s="1276">
        <v>45769</v>
      </c>
      <c r="G518" s="183">
        <v>1165994</v>
      </c>
      <c r="H518" s="21"/>
      <c r="I518" s="21"/>
      <c r="J518" s="53">
        <v>4973181</v>
      </c>
      <c r="P518" s="239" t="s">
        <v>1215</v>
      </c>
      <c r="Q518" s="1308" t="s">
        <v>4911</v>
      </c>
    </row>
    <row r="519" spans="1:17">
      <c r="A519" s="1305" t="s">
        <v>702</v>
      </c>
      <c r="B519" s="29">
        <v>45865</v>
      </c>
      <c r="C519" s="48">
        <v>45865</v>
      </c>
      <c r="D519" s="22">
        <v>0</v>
      </c>
      <c r="E519" s="1276">
        <v>45769</v>
      </c>
      <c r="G519" s="183">
        <v>1906712</v>
      </c>
      <c r="H519" s="21"/>
      <c r="I519" s="21"/>
      <c r="J519" s="53">
        <v>4973181</v>
      </c>
      <c r="P519" s="239" t="s">
        <v>1215</v>
      </c>
      <c r="Q519" s="1308" t="s">
        <v>4911</v>
      </c>
    </row>
    <row r="520" spans="1:17">
      <c r="A520" s="1305" t="s">
        <v>702</v>
      </c>
      <c r="B520" s="29">
        <v>45866</v>
      </c>
      <c r="C520" s="48">
        <v>45866</v>
      </c>
      <c r="D520" s="22">
        <v>0</v>
      </c>
      <c r="E520" s="1276">
        <v>45769</v>
      </c>
      <c r="G520" s="183">
        <v>172959</v>
      </c>
      <c r="H520" s="21"/>
      <c r="I520" s="21"/>
      <c r="J520" s="53">
        <v>4973181</v>
      </c>
      <c r="P520" s="239" t="s">
        <v>1215</v>
      </c>
      <c r="Q520" s="1308" t="s">
        <v>4911</v>
      </c>
    </row>
    <row r="521" spans="1:17">
      <c r="A521" s="1305" t="s">
        <v>702</v>
      </c>
      <c r="B521" s="29">
        <v>45867</v>
      </c>
      <c r="C521" s="48">
        <v>45867</v>
      </c>
      <c r="D521" s="22">
        <v>0</v>
      </c>
      <c r="E521" s="1276">
        <v>45769</v>
      </c>
      <c r="G521" s="183">
        <v>394307</v>
      </c>
      <c r="H521" s="21"/>
      <c r="I521" s="21"/>
      <c r="J521" s="53">
        <v>4973181</v>
      </c>
      <c r="P521" s="239" t="s">
        <v>1215</v>
      </c>
      <c r="Q521" s="1308" t="s">
        <v>4911</v>
      </c>
    </row>
    <row r="522" spans="1:17">
      <c r="A522" s="1305" t="s">
        <v>702</v>
      </c>
      <c r="B522" s="29">
        <v>45868</v>
      </c>
      <c r="C522" s="48">
        <v>45868</v>
      </c>
      <c r="D522" s="22">
        <v>0</v>
      </c>
      <c r="E522" s="1276">
        <v>45769</v>
      </c>
      <c r="G522" s="183">
        <v>2379672</v>
      </c>
      <c r="H522" s="21"/>
      <c r="I522" s="21"/>
      <c r="J522" s="53">
        <v>4973181</v>
      </c>
      <c r="P522" s="239" t="s">
        <v>1215</v>
      </c>
      <c r="Q522" s="1308" t="s">
        <v>4911</v>
      </c>
    </row>
    <row r="523" spans="1:17">
      <c r="A523" s="1305" t="s">
        <v>702</v>
      </c>
      <c r="B523" s="29">
        <v>45869</v>
      </c>
      <c r="C523" s="48">
        <v>45869</v>
      </c>
      <c r="D523" s="22">
        <v>0</v>
      </c>
      <c r="E523" s="1276">
        <v>45769</v>
      </c>
      <c r="G523" s="183">
        <v>20000000</v>
      </c>
      <c r="H523" s="21"/>
      <c r="I523" s="21"/>
      <c r="J523" s="53">
        <v>4973181</v>
      </c>
      <c r="P523" s="239" t="s">
        <v>1215</v>
      </c>
      <c r="Q523" s="1308" t="s">
        <v>4911</v>
      </c>
    </row>
    <row r="524" spans="1:17">
      <c r="A524" s="1305" t="s">
        <v>702</v>
      </c>
      <c r="B524" s="29">
        <v>45854</v>
      </c>
      <c r="C524" s="48">
        <v>45854</v>
      </c>
      <c r="D524" s="22">
        <v>0</v>
      </c>
      <c r="E524" s="1276">
        <v>45769</v>
      </c>
      <c r="G524" s="256">
        <v>99208.79</v>
      </c>
      <c r="H524" s="21"/>
      <c r="I524" s="21"/>
      <c r="J524" s="53">
        <v>2000000</v>
      </c>
      <c r="P524" s="239" t="s">
        <v>1216</v>
      </c>
      <c r="Q524" s="1308" t="s">
        <v>4911</v>
      </c>
    </row>
    <row r="525" spans="1:17">
      <c r="A525" s="1305" t="s">
        <v>702</v>
      </c>
      <c r="B525" s="29">
        <v>45844</v>
      </c>
      <c r="C525" s="48">
        <v>45844</v>
      </c>
      <c r="D525" s="22">
        <v>0</v>
      </c>
      <c r="E525" s="1276">
        <v>45769</v>
      </c>
      <c r="G525" s="256">
        <v>9176220</v>
      </c>
      <c r="H525" s="21"/>
      <c r="I525" s="21"/>
      <c r="J525" s="53">
        <v>2000000</v>
      </c>
      <c r="P525" s="239" t="s">
        <v>1216</v>
      </c>
      <c r="Q525" s="1308" t="s">
        <v>4911</v>
      </c>
    </row>
    <row r="526" spans="1:17">
      <c r="A526" s="1305" t="s">
        <v>702</v>
      </c>
      <c r="B526" s="29">
        <v>45846</v>
      </c>
      <c r="C526" s="48">
        <v>45846</v>
      </c>
      <c r="D526" s="22">
        <v>0</v>
      </c>
      <c r="E526" s="1276">
        <v>45769</v>
      </c>
      <c r="G526" s="256">
        <v>1397080</v>
      </c>
      <c r="H526" s="21"/>
      <c r="I526" s="21"/>
      <c r="J526" s="53">
        <v>2000000</v>
      </c>
      <c r="P526" s="239" t="s">
        <v>1216</v>
      </c>
      <c r="Q526" s="1308" t="s">
        <v>4911</v>
      </c>
    </row>
    <row r="527" spans="1:17">
      <c r="A527" s="1305" t="s">
        <v>702</v>
      </c>
      <c r="B527" s="29">
        <v>45848</v>
      </c>
      <c r="C527" s="48">
        <v>45848</v>
      </c>
      <c r="D527" s="22">
        <v>0</v>
      </c>
      <c r="E527" s="1276">
        <v>45769</v>
      </c>
      <c r="G527" s="256">
        <v>1160182</v>
      </c>
      <c r="H527" s="21"/>
      <c r="I527" s="21"/>
      <c r="J527" s="53">
        <v>2000000</v>
      </c>
      <c r="P527" s="239" t="s">
        <v>1216</v>
      </c>
      <c r="Q527" s="1308" t="s">
        <v>4911</v>
      </c>
    </row>
    <row r="528" spans="1:17">
      <c r="A528" s="1305" t="s">
        <v>702</v>
      </c>
      <c r="B528" s="29">
        <v>45851</v>
      </c>
      <c r="C528" s="48">
        <v>45851</v>
      </c>
      <c r="D528" s="22">
        <v>0</v>
      </c>
      <c r="E528" s="1276">
        <v>45769</v>
      </c>
      <c r="G528" s="256">
        <v>3000000</v>
      </c>
      <c r="H528" s="21"/>
      <c r="I528" s="21"/>
      <c r="J528" s="53">
        <v>2000000</v>
      </c>
      <c r="P528" s="239" t="s">
        <v>1216</v>
      </c>
      <c r="Q528" s="1308" t="s">
        <v>4911</v>
      </c>
    </row>
    <row r="529" spans="1:17">
      <c r="A529" s="1305" t="s">
        <v>702</v>
      </c>
      <c r="B529" s="29">
        <v>45853</v>
      </c>
      <c r="C529" s="48">
        <v>45853</v>
      </c>
      <c r="D529" s="22">
        <v>0</v>
      </c>
      <c r="E529" s="1276">
        <v>45769</v>
      </c>
      <c r="G529" s="256">
        <v>1625447</v>
      </c>
      <c r="H529" s="21"/>
      <c r="I529" s="21"/>
      <c r="J529" s="53">
        <v>2000000</v>
      </c>
      <c r="P529" s="239" t="s">
        <v>1216</v>
      </c>
      <c r="Q529" s="1308" t="s">
        <v>4911</v>
      </c>
    </row>
    <row r="530" spans="1:17">
      <c r="A530" s="1305" t="s">
        <v>702</v>
      </c>
      <c r="B530" s="29">
        <v>45855</v>
      </c>
      <c r="C530" s="48">
        <v>45855</v>
      </c>
      <c r="D530" s="22">
        <v>0</v>
      </c>
      <c r="E530" s="1276">
        <v>45769</v>
      </c>
      <c r="G530" s="256">
        <v>1239000</v>
      </c>
      <c r="H530" s="21"/>
      <c r="I530" s="21"/>
      <c r="J530" s="53">
        <v>2000000</v>
      </c>
      <c r="P530" s="239" t="s">
        <v>1216</v>
      </c>
      <c r="Q530" s="1308" t="s">
        <v>4911</v>
      </c>
    </row>
    <row r="531" spans="1:17">
      <c r="A531" s="1305" t="s">
        <v>702</v>
      </c>
      <c r="B531" s="29">
        <v>45854</v>
      </c>
      <c r="C531" s="48">
        <v>45854</v>
      </c>
      <c r="D531" s="22">
        <v>0</v>
      </c>
      <c r="E531" s="1276">
        <v>45769</v>
      </c>
      <c r="G531" s="256">
        <v>3432000</v>
      </c>
      <c r="H531" s="21"/>
      <c r="I531" s="21"/>
      <c r="J531" s="53">
        <v>2000000</v>
      </c>
      <c r="P531" s="239" t="s">
        <v>1216</v>
      </c>
      <c r="Q531" s="1308" t="s">
        <v>4911</v>
      </c>
    </row>
    <row r="532" spans="1:17">
      <c r="A532" s="1305" t="s">
        <v>702</v>
      </c>
      <c r="B532" s="29">
        <v>45858</v>
      </c>
      <c r="C532" s="48">
        <v>45858</v>
      </c>
      <c r="D532" s="22">
        <v>0</v>
      </c>
      <c r="E532" s="1276">
        <v>45769</v>
      </c>
      <c r="G532" s="256">
        <v>241664</v>
      </c>
      <c r="H532" s="21"/>
      <c r="I532" s="21"/>
      <c r="J532" s="53">
        <v>2000000</v>
      </c>
      <c r="P532" s="239" t="s">
        <v>1216</v>
      </c>
      <c r="Q532" s="1308" t="s">
        <v>4911</v>
      </c>
    </row>
    <row r="533" spans="1:17">
      <c r="A533" s="1305" t="s">
        <v>702</v>
      </c>
      <c r="B533" s="29">
        <v>45861</v>
      </c>
      <c r="C533" s="48">
        <v>45861</v>
      </c>
      <c r="D533" s="22">
        <v>0</v>
      </c>
      <c r="E533" s="1276">
        <v>45769</v>
      </c>
      <c r="G533" s="256">
        <v>539325.88</v>
      </c>
      <c r="H533" s="21"/>
      <c r="I533" s="21"/>
      <c r="J533" s="53">
        <v>2000000</v>
      </c>
      <c r="P533" s="239" t="s">
        <v>1216</v>
      </c>
      <c r="Q533" s="1308" t="s">
        <v>4911</v>
      </c>
    </row>
    <row r="534" spans="1:17">
      <c r="A534" s="1305" t="s">
        <v>702</v>
      </c>
      <c r="B534" s="29">
        <v>46000</v>
      </c>
      <c r="C534" s="29">
        <v>46000</v>
      </c>
      <c r="D534" t="s">
        <v>866</v>
      </c>
      <c r="E534" s="1276">
        <v>45769</v>
      </c>
      <c r="G534">
        <v>1469965</v>
      </c>
      <c r="I534">
        <v>0</v>
      </c>
      <c r="J534">
        <v>1469965</v>
      </c>
      <c r="K534">
        <v>0</v>
      </c>
      <c r="P534" t="s">
        <v>1216</v>
      </c>
      <c r="Q534" s="1308" t="s">
        <v>4911</v>
      </c>
    </row>
    <row r="535" spans="1:17">
      <c r="A535" s="1305" t="s">
        <v>702</v>
      </c>
      <c r="B535" s="29">
        <v>46000</v>
      </c>
      <c r="C535" s="29">
        <v>46000</v>
      </c>
      <c r="D535" t="s">
        <v>946</v>
      </c>
      <c r="E535" s="1276">
        <v>45769</v>
      </c>
      <c r="G535">
        <v>118625</v>
      </c>
      <c r="I535">
        <v>0</v>
      </c>
      <c r="J535">
        <v>118625</v>
      </c>
      <c r="K535">
        <v>0</v>
      </c>
      <c r="P535" t="s">
        <v>1216</v>
      </c>
      <c r="Q535" s="1308" t="s">
        <v>4911</v>
      </c>
    </row>
    <row r="536" spans="1:17">
      <c r="A536" s="1305" t="s">
        <v>702</v>
      </c>
      <c r="B536" s="29">
        <v>46000</v>
      </c>
      <c r="C536" s="29">
        <v>46000</v>
      </c>
      <c r="D536" t="s">
        <v>866</v>
      </c>
      <c r="E536" s="1276">
        <v>45769</v>
      </c>
      <c r="G536">
        <v>515040</v>
      </c>
      <c r="I536">
        <v>0</v>
      </c>
      <c r="J536">
        <v>515040</v>
      </c>
      <c r="K536">
        <v>0</v>
      </c>
      <c r="P536" t="s">
        <v>1216</v>
      </c>
      <c r="Q536" s="1308" t="s">
        <v>4911</v>
      </c>
    </row>
    <row r="537" spans="1:17">
      <c r="A537" s="1305" t="s">
        <v>702</v>
      </c>
      <c r="B537" s="29">
        <v>46000</v>
      </c>
      <c r="C537" s="29">
        <v>46000</v>
      </c>
      <c r="D537" t="s">
        <v>922</v>
      </c>
      <c r="E537" s="1276">
        <v>45769</v>
      </c>
      <c r="G537">
        <v>89133.759999999995</v>
      </c>
      <c r="I537">
        <v>0</v>
      </c>
      <c r="J537">
        <v>89133.759999999995</v>
      </c>
      <c r="K537">
        <v>0</v>
      </c>
      <c r="P537" t="s">
        <v>1216</v>
      </c>
      <c r="Q537" s="1308" t="s">
        <v>4911</v>
      </c>
    </row>
    <row r="538" spans="1:17">
      <c r="A538" s="1305" t="s">
        <v>702</v>
      </c>
      <c r="B538" s="29">
        <v>46001</v>
      </c>
      <c r="C538" s="29">
        <v>46001</v>
      </c>
      <c r="D538" t="s">
        <v>4609</v>
      </c>
      <c r="E538" s="1276">
        <v>45769</v>
      </c>
      <c r="G538">
        <v>5026375</v>
      </c>
      <c r="I538">
        <v>0</v>
      </c>
      <c r="J538">
        <v>5026375</v>
      </c>
      <c r="K538">
        <v>0</v>
      </c>
      <c r="P538" t="s">
        <v>1216</v>
      </c>
      <c r="Q538" s="1308" t="s">
        <v>4911</v>
      </c>
    </row>
    <row r="539" spans="1:17">
      <c r="A539" s="1305" t="s">
        <v>702</v>
      </c>
      <c r="B539" s="29">
        <v>46001</v>
      </c>
      <c r="C539" s="29">
        <v>46001</v>
      </c>
      <c r="D539" t="s">
        <v>935</v>
      </c>
      <c r="E539" s="1276">
        <v>45769</v>
      </c>
      <c r="G539">
        <v>2767050</v>
      </c>
      <c r="I539">
        <v>0</v>
      </c>
      <c r="J539">
        <v>2767050</v>
      </c>
      <c r="K539">
        <v>0</v>
      </c>
      <c r="P539" t="s">
        <v>1216</v>
      </c>
      <c r="Q539" s="1308" t="s">
        <v>4911</v>
      </c>
    </row>
    <row r="540" spans="1:17">
      <c r="A540" s="1305" t="s">
        <v>702</v>
      </c>
      <c r="B540" s="29">
        <v>46001</v>
      </c>
      <c r="C540" s="29">
        <v>46001</v>
      </c>
      <c r="D540" t="s">
        <v>4063</v>
      </c>
      <c r="E540" s="1276">
        <v>45769</v>
      </c>
      <c r="G540">
        <v>2633589</v>
      </c>
      <c r="I540">
        <v>0</v>
      </c>
      <c r="J540">
        <v>2633589</v>
      </c>
      <c r="K540">
        <v>0</v>
      </c>
      <c r="P540" t="s">
        <v>1216</v>
      </c>
      <c r="Q540" s="1308" t="s">
        <v>4911</v>
      </c>
    </row>
    <row r="541" spans="1:17">
      <c r="A541" s="1305" t="s">
        <v>702</v>
      </c>
      <c r="B541" s="29">
        <v>46002</v>
      </c>
      <c r="C541" s="29">
        <v>46002</v>
      </c>
      <c r="D541" t="s">
        <v>962</v>
      </c>
      <c r="E541" s="1276">
        <v>45769</v>
      </c>
      <c r="G541">
        <v>419596</v>
      </c>
      <c r="I541">
        <v>0</v>
      </c>
      <c r="J541">
        <v>419596</v>
      </c>
      <c r="K541">
        <v>0</v>
      </c>
      <c r="P541" t="s">
        <v>1216</v>
      </c>
      <c r="Q541" s="1308" t="s">
        <v>4911</v>
      </c>
    </row>
    <row r="542" spans="1:17">
      <c r="A542" s="1305" t="s">
        <v>702</v>
      </c>
      <c r="B542" s="29">
        <v>46002</v>
      </c>
      <c r="C542" s="29">
        <v>46002</v>
      </c>
      <c r="D542" t="s">
        <v>4605</v>
      </c>
      <c r="E542" s="1276">
        <v>45769</v>
      </c>
      <c r="G542">
        <v>1667952</v>
      </c>
      <c r="I542">
        <v>0</v>
      </c>
      <c r="J542">
        <v>1667952</v>
      </c>
      <c r="K542">
        <v>0</v>
      </c>
      <c r="P542" t="s">
        <v>1216</v>
      </c>
      <c r="Q542" s="1308" t="s">
        <v>4911</v>
      </c>
    </row>
    <row r="543" spans="1:17">
      <c r="A543" s="1305" t="s">
        <v>702</v>
      </c>
      <c r="B543" s="29">
        <v>46002</v>
      </c>
      <c r="C543" s="29">
        <v>46002</v>
      </c>
      <c r="D543" t="s">
        <v>4603</v>
      </c>
      <c r="E543" s="1276">
        <v>45769</v>
      </c>
      <c r="G543">
        <v>465156</v>
      </c>
      <c r="I543">
        <v>0</v>
      </c>
      <c r="J543">
        <v>465156</v>
      </c>
      <c r="K543">
        <v>0</v>
      </c>
      <c r="P543" t="s">
        <v>1216</v>
      </c>
      <c r="Q543" s="1308" t="s">
        <v>4911</v>
      </c>
    </row>
    <row r="544" spans="1:17">
      <c r="A544" s="1305" t="s">
        <v>702</v>
      </c>
      <c r="B544" s="29">
        <v>46002</v>
      </c>
      <c r="C544" s="29">
        <v>46002</v>
      </c>
      <c r="D544" t="s">
        <v>932</v>
      </c>
      <c r="E544" s="1276">
        <v>45769</v>
      </c>
      <c r="G544">
        <v>3107737.78</v>
      </c>
      <c r="I544">
        <v>0</v>
      </c>
      <c r="J544">
        <v>3107737.78</v>
      </c>
      <c r="K544">
        <v>0</v>
      </c>
      <c r="P544" t="s">
        <v>1216</v>
      </c>
      <c r="Q544" s="1308" t="s">
        <v>4911</v>
      </c>
    </row>
    <row r="545" spans="1:17">
      <c r="A545" s="1305" t="s">
        <v>702</v>
      </c>
      <c r="B545" s="29">
        <v>46002</v>
      </c>
      <c r="C545" s="29">
        <v>46002</v>
      </c>
      <c r="D545" t="s">
        <v>930</v>
      </c>
      <c r="E545" s="1276">
        <v>45769</v>
      </c>
      <c r="G545">
        <v>5349050</v>
      </c>
      <c r="I545">
        <v>0</v>
      </c>
      <c r="J545">
        <v>5349050</v>
      </c>
      <c r="K545">
        <v>0</v>
      </c>
      <c r="P545" t="s">
        <v>1216</v>
      </c>
      <c r="Q545" s="1308" t="s">
        <v>4911</v>
      </c>
    </row>
    <row r="546" spans="1:17">
      <c r="A546" s="1305" t="s">
        <v>702</v>
      </c>
      <c r="B546" s="29">
        <v>46003</v>
      </c>
      <c r="C546" s="29">
        <v>46003</v>
      </c>
      <c r="D546" t="s">
        <v>3956</v>
      </c>
      <c r="E546" s="1276">
        <v>45769</v>
      </c>
      <c r="G546">
        <v>1760149</v>
      </c>
      <c r="I546">
        <v>0</v>
      </c>
      <c r="J546">
        <v>1760149</v>
      </c>
      <c r="K546">
        <v>0</v>
      </c>
      <c r="P546" t="s">
        <v>1216</v>
      </c>
      <c r="Q546" s="1308" t="s">
        <v>4911</v>
      </c>
    </row>
    <row r="547" spans="1:17">
      <c r="A547" s="1305" t="s">
        <v>702</v>
      </c>
      <c r="B547" s="29">
        <v>46003</v>
      </c>
      <c r="C547" s="29">
        <v>46003</v>
      </c>
      <c r="D547" t="s">
        <v>4610</v>
      </c>
      <c r="E547" s="1276">
        <v>45769</v>
      </c>
      <c r="G547">
        <v>498657</v>
      </c>
      <c r="I547">
        <v>0</v>
      </c>
      <c r="J547">
        <v>498657</v>
      </c>
      <c r="K547">
        <v>0</v>
      </c>
      <c r="P547" t="s">
        <v>1216</v>
      </c>
      <c r="Q547" s="1308" t="s">
        <v>4911</v>
      </c>
    </row>
    <row r="548" spans="1:17">
      <c r="A548" s="1305" t="s">
        <v>702</v>
      </c>
      <c r="B548" s="29">
        <v>46003</v>
      </c>
      <c r="C548" s="29">
        <v>46003</v>
      </c>
      <c r="D548" t="s">
        <v>4602</v>
      </c>
      <c r="E548" s="1276">
        <v>45769</v>
      </c>
      <c r="G548">
        <v>35474</v>
      </c>
      <c r="I548">
        <v>0</v>
      </c>
      <c r="J548">
        <v>35474</v>
      </c>
      <c r="K548">
        <v>0</v>
      </c>
      <c r="P548" t="s">
        <v>1216</v>
      </c>
      <c r="Q548" s="1308" t="s">
        <v>4911</v>
      </c>
    </row>
    <row r="549" spans="1:17">
      <c r="A549" s="1305" t="s">
        <v>702</v>
      </c>
      <c r="B549" s="29">
        <v>46003</v>
      </c>
      <c r="C549" s="29">
        <v>46003</v>
      </c>
      <c r="D549" t="s">
        <v>4604</v>
      </c>
      <c r="E549" s="1276">
        <v>45769</v>
      </c>
      <c r="G549">
        <v>815891</v>
      </c>
      <c r="I549">
        <v>0</v>
      </c>
      <c r="J549">
        <v>815891</v>
      </c>
      <c r="K549">
        <v>0</v>
      </c>
      <c r="P549" t="s">
        <v>1216</v>
      </c>
      <c r="Q549" s="1308" t="s">
        <v>4911</v>
      </c>
    </row>
    <row r="550" spans="1:17">
      <c r="A550" s="1305" t="s">
        <v>702</v>
      </c>
      <c r="B550" s="29">
        <v>46003</v>
      </c>
      <c r="C550" s="29">
        <v>46003</v>
      </c>
      <c r="D550" t="s">
        <v>4612</v>
      </c>
      <c r="E550" s="1276">
        <v>45769</v>
      </c>
      <c r="G550">
        <v>198027</v>
      </c>
      <c r="I550">
        <v>0</v>
      </c>
      <c r="J550">
        <v>198027</v>
      </c>
      <c r="K550">
        <v>0</v>
      </c>
      <c r="P550" t="s">
        <v>1216</v>
      </c>
      <c r="Q550" s="1308" t="s">
        <v>4911</v>
      </c>
    </row>
    <row r="551" spans="1:17">
      <c r="A551" s="1305" t="s">
        <v>702</v>
      </c>
      <c r="B551" s="29">
        <v>46003</v>
      </c>
      <c r="C551" s="29">
        <v>46003</v>
      </c>
      <c r="D551" t="s">
        <v>790</v>
      </c>
      <c r="E551" s="1276">
        <v>45769</v>
      </c>
      <c r="G551">
        <v>319858</v>
      </c>
      <c r="I551">
        <v>0</v>
      </c>
      <c r="J551">
        <v>319858</v>
      </c>
      <c r="K551">
        <v>0</v>
      </c>
      <c r="P551" t="s">
        <v>1216</v>
      </c>
      <c r="Q551" s="1308" t="s">
        <v>4911</v>
      </c>
    </row>
    <row r="552" spans="1:17">
      <c r="A552" s="1305" t="s">
        <v>702</v>
      </c>
      <c r="B552" s="29">
        <v>46006</v>
      </c>
      <c r="C552" s="29">
        <v>46006</v>
      </c>
      <c r="D552" t="s">
        <v>4608</v>
      </c>
      <c r="E552" s="1276">
        <v>45769</v>
      </c>
      <c r="G552">
        <v>317520</v>
      </c>
      <c r="I552">
        <v>0</v>
      </c>
      <c r="J552">
        <v>317520</v>
      </c>
      <c r="K552">
        <v>0</v>
      </c>
      <c r="P552" t="s">
        <v>1216</v>
      </c>
      <c r="Q552" s="1308" t="s">
        <v>4911</v>
      </c>
    </row>
    <row r="553" spans="1:17">
      <c r="A553" s="1305" t="s">
        <v>702</v>
      </c>
      <c r="B553" s="29">
        <v>46006</v>
      </c>
      <c r="C553" s="29">
        <v>46006</v>
      </c>
      <c r="D553" t="s">
        <v>4610</v>
      </c>
      <c r="E553" s="1276">
        <v>45769</v>
      </c>
      <c r="G553">
        <v>417990</v>
      </c>
      <c r="I553">
        <v>0</v>
      </c>
      <c r="J553">
        <v>417990</v>
      </c>
      <c r="K553">
        <v>0</v>
      </c>
      <c r="P553" t="s">
        <v>1216</v>
      </c>
      <c r="Q553" s="1308" t="s">
        <v>4911</v>
      </c>
    </row>
    <row r="554" spans="1:17">
      <c r="A554" s="1305" t="s">
        <v>702</v>
      </c>
      <c r="B554" s="29">
        <v>46006</v>
      </c>
      <c r="C554" s="29">
        <v>46006</v>
      </c>
      <c r="D554" t="s">
        <v>3491</v>
      </c>
      <c r="E554" s="1276">
        <v>45769</v>
      </c>
      <c r="G554">
        <v>1594008</v>
      </c>
      <c r="I554">
        <v>0</v>
      </c>
      <c r="J554">
        <v>1594008</v>
      </c>
      <c r="K554">
        <v>0</v>
      </c>
      <c r="P554" t="s">
        <v>1216</v>
      </c>
      <c r="Q554" s="1308" t="s">
        <v>4911</v>
      </c>
    </row>
    <row r="555" spans="1:17">
      <c r="A555" s="1305" t="s">
        <v>702</v>
      </c>
      <c r="B555" s="29">
        <v>46006</v>
      </c>
      <c r="C555" s="29">
        <v>46006</v>
      </c>
      <c r="D555" t="s">
        <v>4420</v>
      </c>
      <c r="E555" s="1276">
        <v>45769</v>
      </c>
      <c r="G555">
        <v>1231860</v>
      </c>
      <c r="I555">
        <v>0</v>
      </c>
      <c r="J555">
        <v>1231860</v>
      </c>
      <c r="K555">
        <v>0</v>
      </c>
      <c r="P555" t="s">
        <v>1216</v>
      </c>
      <c r="Q555" s="1308" t="s">
        <v>4911</v>
      </c>
    </row>
    <row r="556" spans="1:17">
      <c r="A556" s="1305" t="s">
        <v>702</v>
      </c>
      <c r="B556" s="29">
        <v>46007</v>
      </c>
      <c r="C556" s="29">
        <v>46007</v>
      </c>
      <c r="D556" t="s">
        <v>4422</v>
      </c>
      <c r="E556" s="1276">
        <v>45769</v>
      </c>
      <c r="G556">
        <v>647995</v>
      </c>
      <c r="I556">
        <v>0</v>
      </c>
      <c r="J556">
        <v>647995</v>
      </c>
      <c r="K556">
        <v>0</v>
      </c>
      <c r="P556" t="s">
        <v>1216</v>
      </c>
      <c r="Q556" s="1308" t="s">
        <v>4911</v>
      </c>
    </row>
    <row r="557" spans="1:17">
      <c r="A557" s="1305" t="s">
        <v>702</v>
      </c>
      <c r="B557" s="29">
        <v>46007</v>
      </c>
      <c r="C557" s="29">
        <v>46007</v>
      </c>
      <c r="D557" t="s">
        <v>790</v>
      </c>
      <c r="E557" s="1276">
        <v>45769</v>
      </c>
      <c r="G557">
        <v>190777</v>
      </c>
      <c r="I557">
        <v>0</v>
      </c>
      <c r="J557">
        <v>190777</v>
      </c>
      <c r="K557">
        <v>0</v>
      </c>
      <c r="P557" t="s">
        <v>1216</v>
      </c>
      <c r="Q557" s="1308" t="s">
        <v>4911</v>
      </c>
    </row>
    <row r="558" spans="1:17">
      <c r="A558" s="1305" t="s">
        <v>702</v>
      </c>
      <c r="B558" s="29">
        <v>46007</v>
      </c>
      <c r="C558" s="29">
        <v>46007</v>
      </c>
      <c r="D558" t="s">
        <v>4603</v>
      </c>
      <c r="E558" s="1276">
        <v>45769</v>
      </c>
      <c r="G558">
        <v>32400</v>
      </c>
      <c r="I558">
        <v>0</v>
      </c>
      <c r="J558">
        <v>32400</v>
      </c>
      <c r="K558">
        <v>0</v>
      </c>
      <c r="P558" t="s">
        <v>1216</v>
      </c>
      <c r="Q558" s="1308" t="s">
        <v>4911</v>
      </c>
    </row>
    <row r="559" spans="1:17">
      <c r="A559" s="1305" t="s">
        <v>702</v>
      </c>
      <c r="B559" s="29">
        <v>46008</v>
      </c>
      <c r="C559" s="29">
        <v>46008</v>
      </c>
      <c r="D559" t="s">
        <v>4063</v>
      </c>
      <c r="E559" s="1276">
        <v>45769</v>
      </c>
      <c r="G559">
        <v>1938466</v>
      </c>
      <c r="I559">
        <v>0</v>
      </c>
      <c r="J559">
        <v>1938466</v>
      </c>
      <c r="K559">
        <v>0</v>
      </c>
      <c r="P559" t="s">
        <v>1216</v>
      </c>
      <c r="Q559" s="1308" t="s">
        <v>4911</v>
      </c>
    </row>
    <row r="560" spans="1:17">
      <c r="A560" s="1305" t="s">
        <v>702</v>
      </c>
      <c r="B560" s="29">
        <v>46009</v>
      </c>
      <c r="C560" s="29">
        <v>46009</v>
      </c>
      <c r="D560" t="s">
        <v>4606</v>
      </c>
      <c r="E560" s="1276">
        <v>45769</v>
      </c>
      <c r="G560">
        <v>22850100</v>
      </c>
      <c r="I560">
        <v>0</v>
      </c>
      <c r="J560">
        <v>22850100</v>
      </c>
      <c r="K560">
        <v>0</v>
      </c>
      <c r="P560" t="s">
        <v>1216</v>
      </c>
      <c r="Q560" s="1308" t="s">
        <v>4911</v>
      </c>
    </row>
    <row r="561" spans="1:17">
      <c r="A561" s="1305" t="s">
        <v>702</v>
      </c>
      <c r="B561" s="29">
        <v>46010</v>
      </c>
      <c r="C561" s="29">
        <v>46010</v>
      </c>
      <c r="D561" t="s">
        <v>4600</v>
      </c>
      <c r="E561" s="1276">
        <v>45769</v>
      </c>
      <c r="G561">
        <v>46457</v>
      </c>
      <c r="I561">
        <v>0</v>
      </c>
      <c r="J561">
        <v>46457</v>
      </c>
      <c r="K561">
        <v>0</v>
      </c>
      <c r="P561" t="s">
        <v>1216</v>
      </c>
      <c r="Q561" s="1308" t="s">
        <v>4911</v>
      </c>
    </row>
    <row r="562" spans="1:17">
      <c r="A562" s="1305" t="s">
        <v>702</v>
      </c>
      <c r="B562" s="29">
        <v>46013</v>
      </c>
      <c r="C562" s="29">
        <v>46013</v>
      </c>
      <c r="D562" t="s">
        <v>4614</v>
      </c>
      <c r="E562" s="1276">
        <v>45769</v>
      </c>
      <c r="G562">
        <v>1135716</v>
      </c>
      <c r="I562">
        <v>0</v>
      </c>
      <c r="J562">
        <v>1135716</v>
      </c>
      <c r="K562">
        <v>0</v>
      </c>
      <c r="P562" t="s">
        <v>1216</v>
      </c>
      <c r="Q562" s="1308" t="s">
        <v>4911</v>
      </c>
    </row>
    <row r="563" spans="1:17">
      <c r="A563" s="1305" t="s">
        <v>702</v>
      </c>
      <c r="B563" s="29">
        <v>46013</v>
      </c>
      <c r="C563" s="29">
        <v>46013</v>
      </c>
      <c r="D563" t="s">
        <v>1371</v>
      </c>
      <c r="E563" s="1276">
        <v>45769</v>
      </c>
      <c r="G563">
        <v>48950611</v>
      </c>
      <c r="I563">
        <v>0</v>
      </c>
      <c r="J563">
        <v>48950611</v>
      </c>
      <c r="K563">
        <v>0</v>
      </c>
      <c r="P563" t="s">
        <v>1216</v>
      </c>
      <c r="Q563" s="1308" t="s">
        <v>4911</v>
      </c>
    </row>
    <row r="564" spans="1:17">
      <c r="A564" s="1305" t="s">
        <v>702</v>
      </c>
      <c r="B564" s="29">
        <v>46013</v>
      </c>
      <c r="C564" s="29">
        <v>46013</v>
      </c>
      <c r="D564" t="s">
        <v>4609</v>
      </c>
      <c r="E564" s="1276">
        <v>45769</v>
      </c>
      <c r="G564">
        <v>1730610</v>
      </c>
      <c r="I564">
        <v>0</v>
      </c>
      <c r="J564">
        <v>1730610</v>
      </c>
      <c r="K564">
        <v>0</v>
      </c>
      <c r="P564" t="s">
        <v>1216</v>
      </c>
      <c r="Q564" s="1308" t="s">
        <v>4911</v>
      </c>
    </row>
    <row r="565" spans="1:17">
      <c r="A565" s="1305" t="s">
        <v>702</v>
      </c>
      <c r="B565" s="29">
        <v>46013</v>
      </c>
      <c r="C565" s="29">
        <v>46013</v>
      </c>
      <c r="D565" t="s">
        <v>4063</v>
      </c>
      <c r="E565" s="1276">
        <v>45769</v>
      </c>
      <c r="G565">
        <v>877391</v>
      </c>
      <c r="I565">
        <v>0</v>
      </c>
      <c r="J565">
        <v>877391</v>
      </c>
      <c r="K565">
        <v>0</v>
      </c>
      <c r="P565" t="s">
        <v>1216</v>
      </c>
      <c r="Q565" s="1308" t="s">
        <v>4911</v>
      </c>
    </row>
    <row r="566" spans="1:17">
      <c r="A566" s="1305" t="s">
        <v>702</v>
      </c>
      <c r="B566" s="29">
        <v>46014</v>
      </c>
      <c r="C566" s="29">
        <v>46014</v>
      </c>
      <c r="D566" t="s">
        <v>930</v>
      </c>
      <c r="E566" s="1276">
        <v>45769</v>
      </c>
      <c r="G566">
        <v>900891</v>
      </c>
      <c r="I566">
        <v>0</v>
      </c>
      <c r="J566">
        <v>900891</v>
      </c>
      <c r="K566">
        <v>0</v>
      </c>
      <c r="P566" t="s">
        <v>1216</v>
      </c>
      <c r="Q566" s="1308" t="s">
        <v>4911</v>
      </c>
    </row>
    <row r="567" spans="1:17">
      <c r="A567" s="1305" t="s">
        <v>702</v>
      </c>
      <c r="B567" s="29">
        <v>46015</v>
      </c>
      <c r="C567" s="29">
        <v>46015</v>
      </c>
      <c r="D567" t="s">
        <v>4602</v>
      </c>
      <c r="E567" s="1276">
        <v>45769</v>
      </c>
      <c r="G567">
        <v>5043460</v>
      </c>
      <c r="I567">
        <v>0</v>
      </c>
      <c r="J567">
        <v>5043460</v>
      </c>
      <c r="K567">
        <v>0</v>
      </c>
      <c r="P567" t="s">
        <v>1216</v>
      </c>
      <c r="Q567" s="1308" t="s">
        <v>4911</v>
      </c>
    </row>
    <row r="568" spans="1:17">
      <c r="A568" s="1305" t="s">
        <v>702</v>
      </c>
      <c r="B568" s="29">
        <v>46017</v>
      </c>
      <c r="C568" s="29">
        <v>46017</v>
      </c>
      <c r="D568" t="s">
        <v>922</v>
      </c>
      <c r="E568" s="1276">
        <v>45769</v>
      </c>
      <c r="G568">
        <v>21488</v>
      </c>
      <c r="I568">
        <v>0</v>
      </c>
      <c r="J568">
        <v>21488</v>
      </c>
      <c r="K568">
        <v>0</v>
      </c>
      <c r="P568" t="s">
        <v>1216</v>
      </c>
      <c r="Q568" s="1308" t="s">
        <v>4911</v>
      </c>
    </row>
    <row r="569" spans="1:17">
      <c r="A569" s="1305" t="s">
        <v>702</v>
      </c>
      <c r="B569" s="29">
        <v>46017</v>
      </c>
      <c r="C569" s="29">
        <v>46017</v>
      </c>
      <c r="D569" t="s">
        <v>4601</v>
      </c>
      <c r="E569" s="1276">
        <v>45769</v>
      </c>
      <c r="G569">
        <v>122259</v>
      </c>
      <c r="I569">
        <v>0</v>
      </c>
      <c r="J569">
        <v>122259</v>
      </c>
      <c r="K569">
        <v>0</v>
      </c>
      <c r="P569" t="s">
        <v>1216</v>
      </c>
      <c r="Q569" s="1308" t="s">
        <v>4911</v>
      </c>
    </row>
    <row r="570" spans="1:17">
      <c r="A570" s="1305" t="s">
        <v>702</v>
      </c>
      <c r="B570" s="29">
        <v>46021</v>
      </c>
      <c r="C570" s="29">
        <v>46021</v>
      </c>
      <c r="D570" t="s">
        <v>4615</v>
      </c>
      <c r="E570" s="1276">
        <v>45769</v>
      </c>
      <c r="G570">
        <v>4085240</v>
      </c>
      <c r="I570">
        <v>0</v>
      </c>
      <c r="J570">
        <v>4085240</v>
      </c>
      <c r="K570">
        <v>0</v>
      </c>
      <c r="P570" t="s">
        <v>1216</v>
      </c>
      <c r="Q570" s="1308" t="s">
        <v>4911</v>
      </c>
    </row>
    <row r="571" spans="1:17">
      <c r="A571" s="1305" t="s">
        <v>702</v>
      </c>
      <c r="B571" s="29">
        <v>46022</v>
      </c>
      <c r="C571" s="29">
        <v>46022</v>
      </c>
      <c r="D571" t="s">
        <v>922</v>
      </c>
      <c r="E571" s="1276">
        <v>45769</v>
      </c>
      <c r="G571">
        <v>209656</v>
      </c>
      <c r="I571">
        <v>0</v>
      </c>
      <c r="J571">
        <v>209656</v>
      </c>
      <c r="K571">
        <v>0</v>
      </c>
      <c r="P571" t="s">
        <v>1216</v>
      </c>
      <c r="Q571" s="1308" t="s">
        <v>4911</v>
      </c>
    </row>
    <row r="572" spans="1:17">
      <c r="A572" s="1305" t="s">
        <v>702</v>
      </c>
      <c r="B572" s="29">
        <v>46022</v>
      </c>
      <c r="C572" s="29">
        <v>46022</v>
      </c>
      <c r="D572" t="s">
        <v>4601</v>
      </c>
      <c r="E572" s="1276">
        <v>45769</v>
      </c>
      <c r="G572">
        <v>141034</v>
      </c>
      <c r="I572">
        <v>0</v>
      </c>
      <c r="J572">
        <v>141034</v>
      </c>
      <c r="K572">
        <v>0</v>
      </c>
      <c r="P572" t="s">
        <v>1216</v>
      </c>
      <c r="Q572" s="1308" t="s">
        <v>4911</v>
      </c>
    </row>
    <row r="573" spans="1:17">
      <c r="A573" s="1305" t="s">
        <v>702</v>
      </c>
      <c r="B573" s="29">
        <v>46022</v>
      </c>
      <c r="C573" s="29">
        <v>46022</v>
      </c>
      <c r="D573" t="s">
        <v>4616</v>
      </c>
      <c r="E573" s="1276">
        <v>45769</v>
      </c>
      <c r="G573">
        <v>320760</v>
      </c>
      <c r="I573">
        <v>0</v>
      </c>
      <c r="J573">
        <v>320760</v>
      </c>
      <c r="K573">
        <v>0</v>
      </c>
      <c r="P573" t="s">
        <v>1216</v>
      </c>
      <c r="Q573" s="1308" t="s">
        <v>4911</v>
      </c>
    </row>
    <row r="574" spans="1:17">
      <c r="A574" s="1305" t="s">
        <v>702</v>
      </c>
      <c r="B574" s="29">
        <v>46022</v>
      </c>
      <c r="C574" s="29">
        <v>46022</v>
      </c>
      <c r="D574" t="s">
        <v>866</v>
      </c>
      <c r="E574" s="1276">
        <v>45769</v>
      </c>
      <c r="G574">
        <v>1918129</v>
      </c>
      <c r="I574">
        <v>0</v>
      </c>
      <c r="J574">
        <v>1918129</v>
      </c>
      <c r="K574">
        <v>0</v>
      </c>
      <c r="P574" t="s">
        <v>1216</v>
      </c>
      <c r="Q574" s="1308" t="s">
        <v>4911</v>
      </c>
    </row>
    <row r="575" spans="1:17">
      <c r="A575" s="1305" t="s">
        <v>702</v>
      </c>
      <c r="B575" s="29">
        <v>46022</v>
      </c>
      <c r="C575" s="29">
        <v>46022</v>
      </c>
      <c r="D575" t="s">
        <v>3956</v>
      </c>
      <c r="E575" s="1276">
        <v>45769</v>
      </c>
      <c r="G575">
        <v>5087392</v>
      </c>
      <c r="I575">
        <v>0</v>
      </c>
      <c r="J575">
        <v>5087392</v>
      </c>
      <c r="K575">
        <v>0</v>
      </c>
      <c r="P575" t="s">
        <v>1216</v>
      </c>
      <c r="Q575" s="1308" t="s">
        <v>4911</v>
      </c>
    </row>
    <row r="576" spans="1:17">
      <c r="A576" s="1305" t="s">
        <v>702</v>
      </c>
      <c r="B576" s="29">
        <v>46024</v>
      </c>
      <c r="C576" s="29">
        <v>46024</v>
      </c>
      <c r="D576" t="s">
        <v>946</v>
      </c>
      <c r="E576" s="1276">
        <v>45769</v>
      </c>
      <c r="G576">
        <v>609020.6</v>
      </c>
      <c r="I576">
        <v>0</v>
      </c>
      <c r="J576">
        <v>609020.6</v>
      </c>
      <c r="K576">
        <v>0</v>
      </c>
      <c r="P576" t="s">
        <v>1216</v>
      </c>
      <c r="Q576" s="1308" t="s">
        <v>4911</v>
      </c>
    </row>
    <row r="577" spans="1:17">
      <c r="A577" s="1305" t="s">
        <v>702</v>
      </c>
      <c r="B577" s="29">
        <v>46025</v>
      </c>
      <c r="C577" s="29">
        <v>46025</v>
      </c>
      <c r="D577" t="s">
        <v>4601</v>
      </c>
      <c r="E577" s="1276">
        <v>45769</v>
      </c>
      <c r="G577">
        <v>59520</v>
      </c>
      <c r="I577">
        <v>0</v>
      </c>
      <c r="J577">
        <v>59520</v>
      </c>
      <c r="K577">
        <v>0</v>
      </c>
      <c r="P577" t="s">
        <v>1216</v>
      </c>
      <c r="Q577" s="1308" t="s">
        <v>4911</v>
      </c>
    </row>
    <row r="578" spans="1:17">
      <c r="A578" s="1305" t="s">
        <v>702</v>
      </c>
      <c r="B578" s="29">
        <v>46025</v>
      </c>
      <c r="C578" s="29">
        <v>46025</v>
      </c>
      <c r="D578" t="s">
        <v>947</v>
      </c>
      <c r="E578" s="1276">
        <v>45769</v>
      </c>
      <c r="G578">
        <v>772867</v>
      </c>
      <c r="I578">
        <v>0</v>
      </c>
      <c r="J578">
        <v>772867</v>
      </c>
      <c r="K578">
        <v>0</v>
      </c>
      <c r="P578" t="s">
        <v>1216</v>
      </c>
      <c r="Q578" s="1308" t="s">
        <v>4911</v>
      </c>
    </row>
    <row r="579" spans="1:17">
      <c r="A579" s="1305" t="s">
        <v>702</v>
      </c>
      <c r="B579" s="29">
        <v>46025</v>
      </c>
      <c r="C579" s="29">
        <v>46025</v>
      </c>
      <c r="D579" t="s">
        <v>968</v>
      </c>
      <c r="E579" s="1276">
        <v>45769</v>
      </c>
      <c r="G579">
        <v>172691.82</v>
      </c>
      <c r="I579">
        <v>0</v>
      </c>
      <c r="J579">
        <v>172691.82</v>
      </c>
      <c r="K579">
        <v>0</v>
      </c>
      <c r="P579" t="s">
        <v>1216</v>
      </c>
      <c r="Q579" s="1308" t="s">
        <v>4911</v>
      </c>
    </row>
    <row r="580" spans="1:17">
      <c r="A580" s="1305" t="s">
        <v>702</v>
      </c>
      <c r="B580" s="29">
        <v>46025</v>
      </c>
      <c r="C580" s="29">
        <v>46025</v>
      </c>
      <c r="D580" t="s">
        <v>4611</v>
      </c>
      <c r="E580" s="1276">
        <v>45769</v>
      </c>
      <c r="G580">
        <v>750978</v>
      </c>
      <c r="I580">
        <v>0</v>
      </c>
      <c r="J580">
        <v>750978</v>
      </c>
      <c r="K580">
        <v>0</v>
      </c>
      <c r="P580" t="s">
        <v>1216</v>
      </c>
      <c r="Q580" s="1308" t="s">
        <v>4911</v>
      </c>
    </row>
    <row r="581" spans="1:17">
      <c r="A581" s="1305" t="s">
        <v>702</v>
      </c>
      <c r="B581" s="29">
        <v>46027</v>
      </c>
      <c r="C581" s="29">
        <v>46027</v>
      </c>
      <c r="D581" t="s">
        <v>4602</v>
      </c>
      <c r="E581" s="1276">
        <v>45769</v>
      </c>
      <c r="G581">
        <v>3134826</v>
      </c>
      <c r="I581">
        <v>0</v>
      </c>
      <c r="J581">
        <v>3134826</v>
      </c>
      <c r="K581">
        <v>0</v>
      </c>
      <c r="P581" t="s">
        <v>1216</v>
      </c>
      <c r="Q581" s="1308" t="s">
        <v>4911</v>
      </c>
    </row>
    <row r="582" spans="1:17">
      <c r="A582" s="1305" t="s">
        <v>702</v>
      </c>
      <c r="B582" s="29">
        <v>46027</v>
      </c>
      <c r="C582" s="29">
        <v>46027</v>
      </c>
      <c r="D582" t="s">
        <v>934</v>
      </c>
      <c r="E582" s="1276">
        <v>45769</v>
      </c>
      <c r="G582">
        <v>593850</v>
      </c>
      <c r="I582">
        <v>0</v>
      </c>
      <c r="J582">
        <v>593850</v>
      </c>
      <c r="K582">
        <v>0</v>
      </c>
      <c r="P582" t="s">
        <v>1216</v>
      </c>
      <c r="Q582" s="1308" t="s">
        <v>4911</v>
      </c>
    </row>
    <row r="583" spans="1:17">
      <c r="A583" s="1305" t="s">
        <v>702</v>
      </c>
      <c r="B583" s="29">
        <v>46028</v>
      </c>
      <c r="C583" s="29">
        <v>46028</v>
      </c>
      <c r="D583" t="s">
        <v>4612</v>
      </c>
      <c r="E583" s="1276">
        <v>45769</v>
      </c>
      <c r="G583">
        <v>1266266</v>
      </c>
      <c r="I583">
        <v>0</v>
      </c>
      <c r="J583">
        <v>1266266</v>
      </c>
      <c r="K583">
        <v>0</v>
      </c>
      <c r="P583" t="s">
        <v>1216</v>
      </c>
      <c r="Q583" s="1308" t="s">
        <v>4911</v>
      </c>
    </row>
    <row r="584" spans="1:17">
      <c r="A584" s="1305" t="s">
        <v>702</v>
      </c>
      <c r="B584" s="29">
        <v>46028</v>
      </c>
      <c r="C584" s="29">
        <v>46028</v>
      </c>
      <c r="D584" t="s">
        <v>866</v>
      </c>
      <c r="E584" s="1276">
        <v>45769</v>
      </c>
      <c r="G584">
        <v>5468149</v>
      </c>
      <c r="I584">
        <v>0</v>
      </c>
      <c r="J584">
        <v>5468149</v>
      </c>
      <c r="K584">
        <v>0</v>
      </c>
      <c r="P584" t="s">
        <v>1216</v>
      </c>
      <c r="Q584" s="1308" t="s">
        <v>4911</v>
      </c>
    </row>
    <row r="585" spans="1:17">
      <c r="A585" s="1305" t="s">
        <v>702</v>
      </c>
      <c r="B585" s="29">
        <v>46028</v>
      </c>
      <c r="C585" s="29">
        <v>46028</v>
      </c>
      <c r="D585" t="s">
        <v>866</v>
      </c>
      <c r="E585" s="1276">
        <v>45769</v>
      </c>
      <c r="G585">
        <v>9395640</v>
      </c>
      <c r="I585">
        <v>0</v>
      </c>
      <c r="J585">
        <v>9395640</v>
      </c>
      <c r="K585">
        <v>0</v>
      </c>
      <c r="P585" t="s">
        <v>1216</v>
      </c>
      <c r="Q585" s="1308" t="s">
        <v>4911</v>
      </c>
    </row>
    <row r="586" spans="1:17">
      <c r="A586" s="1305" t="s">
        <v>702</v>
      </c>
      <c r="B586" s="29">
        <v>46029</v>
      </c>
      <c r="C586" s="29">
        <v>46029</v>
      </c>
      <c r="D586" t="s">
        <v>1371</v>
      </c>
      <c r="E586" s="1276">
        <v>45769</v>
      </c>
      <c r="G586">
        <v>48985664</v>
      </c>
      <c r="I586">
        <v>0</v>
      </c>
      <c r="J586">
        <v>48985664</v>
      </c>
      <c r="K586">
        <v>0</v>
      </c>
      <c r="P586" t="s">
        <v>1216</v>
      </c>
      <c r="Q586" s="1308" t="s">
        <v>4911</v>
      </c>
    </row>
    <row r="587" spans="1:17">
      <c r="A587" s="1305" t="s">
        <v>702</v>
      </c>
      <c r="B587" s="29">
        <v>46029</v>
      </c>
      <c r="C587" s="29">
        <v>46029</v>
      </c>
      <c r="D587" t="s">
        <v>866</v>
      </c>
      <c r="E587" s="1276">
        <v>45769</v>
      </c>
      <c r="G587">
        <v>5750072</v>
      </c>
      <c r="I587">
        <v>0</v>
      </c>
      <c r="J587">
        <v>5750072</v>
      </c>
      <c r="K587">
        <v>0</v>
      </c>
      <c r="P587" t="s">
        <v>1216</v>
      </c>
      <c r="Q587" s="1308" t="s">
        <v>4911</v>
      </c>
    </row>
    <row r="588" spans="1:17">
      <c r="A588" s="1305" t="s">
        <v>702</v>
      </c>
      <c r="B588" s="29">
        <v>46031</v>
      </c>
      <c r="C588" s="29">
        <v>46031</v>
      </c>
      <c r="D588" t="s">
        <v>1371</v>
      </c>
      <c r="E588" s="1276">
        <v>45769</v>
      </c>
      <c r="G588">
        <v>24475306</v>
      </c>
      <c r="I588">
        <v>0</v>
      </c>
      <c r="J588">
        <v>24475306</v>
      </c>
      <c r="K588">
        <v>0</v>
      </c>
      <c r="P588" t="s">
        <v>1216</v>
      </c>
      <c r="Q588" s="1308" t="s">
        <v>4911</v>
      </c>
    </row>
    <row r="589" spans="1:17">
      <c r="A589" s="1305" t="s">
        <v>702</v>
      </c>
      <c r="B589" s="29">
        <v>46031</v>
      </c>
      <c r="C589" s="29">
        <v>46031</v>
      </c>
      <c r="D589" t="s">
        <v>917</v>
      </c>
      <c r="E589" s="1276">
        <v>45769</v>
      </c>
      <c r="G589">
        <v>333723</v>
      </c>
      <c r="I589">
        <v>0</v>
      </c>
      <c r="J589">
        <v>333723</v>
      </c>
      <c r="K589">
        <v>0</v>
      </c>
      <c r="P589" t="s">
        <v>1216</v>
      </c>
      <c r="Q589" s="1308" t="s">
        <v>4911</v>
      </c>
    </row>
    <row r="590" spans="1:17">
      <c r="A590" s="1305" t="s">
        <v>702</v>
      </c>
      <c r="B590" s="29">
        <v>46031</v>
      </c>
      <c r="C590" s="29">
        <v>46031</v>
      </c>
      <c r="D590" t="s">
        <v>4601</v>
      </c>
      <c r="E590" s="1276">
        <v>45769</v>
      </c>
      <c r="G590">
        <v>4991859</v>
      </c>
      <c r="I590">
        <v>0</v>
      </c>
      <c r="J590">
        <v>4991859</v>
      </c>
      <c r="K590">
        <v>0</v>
      </c>
      <c r="P590" t="s">
        <v>1216</v>
      </c>
      <c r="Q590" s="1308" t="s">
        <v>4911</v>
      </c>
    </row>
    <row r="591" spans="1:17">
      <c r="A591" s="1305" t="s">
        <v>702</v>
      </c>
      <c r="B591" s="29">
        <v>46031</v>
      </c>
      <c r="C591" s="29">
        <v>46031</v>
      </c>
      <c r="D591" t="s">
        <v>4616</v>
      </c>
      <c r="E591" s="1276">
        <v>45769</v>
      </c>
      <c r="G591">
        <v>427680</v>
      </c>
      <c r="I591">
        <v>0</v>
      </c>
      <c r="J591">
        <v>427680</v>
      </c>
      <c r="K591">
        <v>0</v>
      </c>
      <c r="P591" t="s">
        <v>1216</v>
      </c>
      <c r="Q591" s="1308" t="s">
        <v>4911</v>
      </c>
    </row>
    <row r="592" spans="1:17">
      <c r="A592" s="1305" t="s">
        <v>702</v>
      </c>
      <c r="B592" s="29">
        <v>46031</v>
      </c>
      <c r="C592" s="29">
        <v>46031</v>
      </c>
      <c r="D592" t="s">
        <v>917</v>
      </c>
      <c r="E592" s="1276">
        <v>45769</v>
      </c>
      <c r="G592">
        <v>5250668</v>
      </c>
      <c r="I592">
        <v>0</v>
      </c>
      <c r="J592">
        <v>5250668</v>
      </c>
      <c r="K592">
        <v>0</v>
      </c>
      <c r="P592" t="s">
        <v>1216</v>
      </c>
      <c r="Q592" s="1308" t="s">
        <v>4911</v>
      </c>
    </row>
    <row r="593" spans="1:17">
      <c r="A593" s="1305" t="s">
        <v>702</v>
      </c>
      <c r="B593" s="29">
        <v>46034</v>
      </c>
      <c r="C593" s="29">
        <v>46034</v>
      </c>
      <c r="D593" t="s">
        <v>1371</v>
      </c>
      <c r="E593" s="1276">
        <v>45769</v>
      </c>
      <c r="G593">
        <v>24475305</v>
      </c>
      <c r="I593">
        <v>0</v>
      </c>
      <c r="J593">
        <v>24475305</v>
      </c>
      <c r="K593">
        <v>0</v>
      </c>
      <c r="P593" t="s">
        <v>1216</v>
      </c>
      <c r="Q593" s="1308" t="s">
        <v>4911</v>
      </c>
    </row>
    <row r="594" spans="1:17">
      <c r="A594" s="1305" t="s">
        <v>702</v>
      </c>
      <c r="B594" s="29">
        <v>46034</v>
      </c>
      <c r="C594" s="29">
        <v>46034</v>
      </c>
      <c r="D594" t="s">
        <v>601</v>
      </c>
      <c r="E594" s="1276">
        <v>45769</v>
      </c>
      <c r="G594">
        <v>168300</v>
      </c>
      <c r="I594">
        <v>0</v>
      </c>
      <c r="J594">
        <v>168300</v>
      </c>
      <c r="K594">
        <v>0</v>
      </c>
      <c r="P594" t="s">
        <v>1216</v>
      </c>
      <c r="Q594" s="1308" t="s">
        <v>4911</v>
      </c>
    </row>
    <row r="595" spans="1:17">
      <c r="A595" s="1305" t="s">
        <v>702</v>
      </c>
      <c r="B595" s="29">
        <v>46035</v>
      </c>
      <c r="C595" s="29">
        <v>46035</v>
      </c>
      <c r="D595" t="s">
        <v>3956</v>
      </c>
      <c r="E595" s="1276">
        <v>45769</v>
      </c>
      <c r="G595">
        <v>3526436</v>
      </c>
      <c r="I595">
        <v>0</v>
      </c>
      <c r="J595">
        <v>3526436</v>
      </c>
      <c r="K595">
        <v>0</v>
      </c>
      <c r="P595" t="s">
        <v>1216</v>
      </c>
      <c r="Q595" s="1308" t="s">
        <v>4911</v>
      </c>
    </row>
    <row r="596" spans="1:17">
      <c r="A596" s="1305" t="s">
        <v>702</v>
      </c>
      <c r="B596" s="29">
        <v>46036</v>
      </c>
      <c r="C596" s="29">
        <v>46036</v>
      </c>
      <c r="D596" t="s">
        <v>4448</v>
      </c>
      <c r="E596" s="1276">
        <v>45769</v>
      </c>
      <c r="G596">
        <v>11600000</v>
      </c>
      <c r="I596">
        <v>0</v>
      </c>
      <c r="J596">
        <v>11600000</v>
      </c>
      <c r="K596">
        <v>0</v>
      </c>
      <c r="P596" t="s">
        <v>1216</v>
      </c>
      <c r="Q596" s="1308" t="s">
        <v>4911</v>
      </c>
    </row>
    <row r="597" spans="1:17">
      <c r="A597" s="1305" t="s">
        <v>702</v>
      </c>
      <c r="B597" s="29">
        <v>46036</v>
      </c>
      <c r="C597" s="29">
        <v>46036</v>
      </c>
      <c r="D597" t="s">
        <v>917</v>
      </c>
      <c r="E597" s="1276">
        <v>45769</v>
      </c>
      <c r="G597">
        <v>1971922</v>
      </c>
      <c r="I597">
        <v>0</v>
      </c>
      <c r="J597">
        <v>1971922</v>
      </c>
      <c r="K597">
        <v>0</v>
      </c>
      <c r="P597" t="s">
        <v>1216</v>
      </c>
      <c r="Q597" s="1308" t="s">
        <v>4911</v>
      </c>
    </row>
    <row r="598" spans="1:17">
      <c r="A598" s="1305" t="s">
        <v>702</v>
      </c>
      <c r="B598" s="29">
        <v>46036</v>
      </c>
      <c r="C598" s="29">
        <v>46036</v>
      </c>
      <c r="D598" t="s">
        <v>4497</v>
      </c>
      <c r="E598" s="1276">
        <v>45769</v>
      </c>
      <c r="G598">
        <v>1158110</v>
      </c>
      <c r="I598">
        <v>0</v>
      </c>
      <c r="J598">
        <v>1158110</v>
      </c>
      <c r="K598">
        <v>0</v>
      </c>
      <c r="P598" t="s">
        <v>1216</v>
      </c>
      <c r="Q598" s="1308" t="s">
        <v>4911</v>
      </c>
    </row>
    <row r="599" spans="1:17">
      <c r="A599" s="1305" t="s">
        <v>702</v>
      </c>
      <c r="B599" s="29">
        <v>46036</v>
      </c>
      <c r="C599" s="29">
        <v>46036</v>
      </c>
      <c r="D599" t="s">
        <v>4607</v>
      </c>
      <c r="E599" s="1276">
        <v>45769</v>
      </c>
      <c r="G599">
        <v>927197</v>
      </c>
      <c r="I599">
        <v>0</v>
      </c>
      <c r="J599">
        <v>927197</v>
      </c>
      <c r="K599">
        <v>0</v>
      </c>
      <c r="P599" t="s">
        <v>1216</v>
      </c>
      <c r="Q599" s="1308" t="s">
        <v>4911</v>
      </c>
    </row>
    <row r="600" spans="1:17">
      <c r="A600" s="1305" t="s">
        <v>702</v>
      </c>
      <c r="B600" s="29">
        <v>46036</v>
      </c>
      <c r="C600" s="29">
        <v>46036</v>
      </c>
      <c r="D600" t="s">
        <v>4617</v>
      </c>
      <c r="E600" s="1276">
        <v>45769</v>
      </c>
      <c r="G600">
        <v>428787</v>
      </c>
      <c r="I600">
        <v>0</v>
      </c>
      <c r="J600">
        <v>428787</v>
      </c>
      <c r="K600">
        <v>0</v>
      </c>
      <c r="P600" t="s">
        <v>1216</v>
      </c>
      <c r="Q600" s="1308" t="s">
        <v>4911</v>
      </c>
    </row>
    <row r="601" spans="1:17">
      <c r="A601" s="1305" t="s">
        <v>702</v>
      </c>
      <c r="B601" s="29">
        <v>46037</v>
      </c>
      <c r="C601" s="29">
        <v>46037</v>
      </c>
      <c r="D601" t="s">
        <v>1371</v>
      </c>
      <c r="E601" s="1276">
        <v>45769</v>
      </c>
      <c r="G601">
        <v>19705948</v>
      </c>
      <c r="I601">
        <v>0</v>
      </c>
      <c r="J601">
        <v>19705948</v>
      </c>
      <c r="K601">
        <v>0</v>
      </c>
      <c r="P601" t="s">
        <v>1216</v>
      </c>
      <c r="Q601" s="1308" t="s">
        <v>4911</v>
      </c>
    </row>
    <row r="602" spans="1:17">
      <c r="A602" s="1305" t="s">
        <v>702</v>
      </c>
      <c r="B602" s="29">
        <v>46039</v>
      </c>
      <c r="C602" s="29">
        <v>46039</v>
      </c>
      <c r="D602" t="s">
        <v>1371</v>
      </c>
      <c r="E602" s="1276">
        <v>45769</v>
      </c>
      <c r="G602">
        <v>39374924</v>
      </c>
      <c r="I602">
        <v>0</v>
      </c>
      <c r="J602">
        <v>39374924</v>
      </c>
      <c r="K602">
        <v>0</v>
      </c>
      <c r="P602" t="s">
        <v>1216</v>
      </c>
      <c r="Q602" s="1308" t="s">
        <v>4911</v>
      </c>
    </row>
    <row r="603" spans="1:17">
      <c r="A603" s="1305" t="s">
        <v>702</v>
      </c>
      <c r="B603" s="29">
        <v>46039</v>
      </c>
      <c r="C603" s="29">
        <v>46039</v>
      </c>
      <c r="D603" t="s">
        <v>1371</v>
      </c>
      <c r="E603" s="1276">
        <v>45769</v>
      </c>
      <c r="G603">
        <v>24475305</v>
      </c>
      <c r="I603">
        <v>0</v>
      </c>
      <c r="J603">
        <v>24475305</v>
      </c>
      <c r="K603">
        <v>0</v>
      </c>
      <c r="P603" t="s">
        <v>1216</v>
      </c>
      <c r="Q603" s="1308" t="s">
        <v>4911</v>
      </c>
    </row>
    <row r="604" spans="1:17">
      <c r="A604" s="1305" t="s">
        <v>702</v>
      </c>
      <c r="B604" s="29">
        <v>46042</v>
      </c>
      <c r="C604" s="29">
        <v>46042</v>
      </c>
      <c r="D604" t="s">
        <v>4063</v>
      </c>
      <c r="E604" s="1276">
        <v>45769</v>
      </c>
      <c r="G604">
        <v>3093025</v>
      </c>
      <c r="I604">
        <v>0</v>
      </c>
      <c r="J604">
        <v>3093025</v>
      </c>
      <c r="K604">
        <v>0</v>
      </c>
      <c r="P604" t="s">
        <v>1216</v>
      </c>
      <c r="Q604" s="1308" t="s">
        <v>4911</v>
      </c>
    </row>
    <row r="605" spans="1:17">
      <c r="A605" s="1305" t="s">
        <v>702</v>
      </c>
      <c r="B605" s="29">
        <v>46049</v>
      </c>
      <c r="C605" s="29">
        <v>46049</v>
      </c>
      <c r="D605" t="s">
        <v>922</v>
      </c>
      <c r="E605" s="1276">
        <v>45769</v>
      </c>
      <c r="G605">
        <v>5477687</v>
      </c>
      <c r="I605">
        <v>0</v>
      </c>
      <c r="J605">
        <v>5477687</v>
      </c>
      <c r="K605">
        <v>0</v>
      </c>
      <c r="P605" t="s">
        <v>1216</v>
      </c>
      <c r="Q605" s="1308" t="s">
        <v>4911</v>
      </c>
    </row>
    <row r="606" spans="1:17">
      <c r="A606" s="1305" t="s">
        <v>702</v>
      </c>
      <c r="B606" s="29">
        <v>46050</v>
      </c>
      <c r="C606" s="29">
        <v>46050</v>
      </c>
      <c r="D606" t="s">
        <v>946</v>
      </c>
      <c r="E606" s="1276">
        <v>45769</v>
      </c>
      <c r="G606">
        <v>624158</v>
      </c>
      <c r="I606">
        <v>0</v>
      </c>
      <c r="J606">
        <v>624158</v>
      </c>
      <c r="K606">
        <v>0</v>
      </c>
      <c r="P606" t="s">
        <v>1216</v>
      </c>
      <c r="Q606" s="1308" t="s">
        <v>4911</v>
      </c>
    </row>
    <row r="607" spans="1:17">
      <c r="A607" s="1305" t="s">
        <v>702</v>
      </c>
      <c r="B607" s="29">
        <v>46052</v>
      </c>
      <c r="C607" s="29">
        <v>46052</v>
      </c>
      <c r="D607" t="s">
        <v>934</v>
      </c>
      <c r="E607" s="1276">
        <v>45769</v>
      </c>
      <c r="G607">
        <v>792540</v>
      </c>
      <c r="I607">
        <v>0</v>
      </c>
      <c r="J607">
        <v>792540</v>
      </c>
      <c r="K607">
        <v>0</v>
      </c>
      <c r="P607" t="s">
        <v>1216</v>
      </c>
      <c r="Q607" s="1308" t="s">
        <v>4911</v>
      </c>
    </row>
    <row r="608" spans="1:17">
      <c r="A608" s="1305" t="s">
        <v>702</v>
      </c>
      <c r="B608" s="29">
        <v>46052</v>
      </c>
      <c r="C608" s="29">
        <v>46052</v>
      </c>
      <c r="D608" t="s">
        <v>935</v>
      </c>
      <c r="E608" s="1276">
        <v>45769</v>
      </c>
      <c r="G608">
        <v>2188890</v>
      </c>
      <c r="I608">
        <v>0</v>
      </c>
      <c r="J608">
        <v>2188890</v>
      </c>
      <c r="K608">
        <v>0</v>
      </c>
      <c r="P608" t="s">
        <v>1216</v>
      </c>
      <c r="Q608" s="1308" t="s">
        <v>4911</v>
      </c>
    </row>
    <row r="609" spans="1:17">
      <c r="A609" s="1305" t="s">
        <v>702</v>
      </c>
      <c r="B609" s="29">
        <v>46053</v>
      </c>
      <c r="C609" s="29">
        <v>46053</v>
      </c>
      <c r="D609" t="s">
        <v>4603</v>
      </c>
      <c r="E609" s="1276">
        <v>45769</v>
      </c>
      <c r="G609">
        <v>241664</v>
      </c>
      <c r="I609">
        <v>0</v>
      </c>
      <c r="J609">
        <v>241664</v>
      </c>
      <c r="K609">
        <v>0</v>
      </c>
      <c r="P609" t="s">
        <v>1216</v>
      </c>
      <c r="Q609" s="1308" t="s">
        <v>4911</v>
      </c>
    </row>
    <row r="610" spans="1:17">
      <c r="A610" s="1305" t="s">
        <v>702</v>
      </c>
      <c r="B610" s="29">
        <v>46055</v>
      </c>
      <c r="C610" s="29">
        <v>46055</v>
      </c>
      <c r="D610" t="s">
        <v>1371</v>
      </c>
      <c r="E610" s="1276">
        <v>45769</v>
      </c>
      <c r="G610">
        <v>8251674</v>
      </c>
      <c r="I610">
        <v>0</v>
      </c>
      <c r="J610">
        <v>8251674</v>
      </c>
      <c r="K610">
        <v>0</v>
      </c>
      <c r="P610" t="s">
        <v>1216</v>
      </c>
      <c r="Q610" s="1308" t="s">
        <v>4911</v>
      </c>
    </row>
    <row r="611" spans="1:17">
      <c r="A611" s="1305" t="s">
        <v>702</v>
      </c>
      <c r="B611" s="29">
        <v>46055</v>
      </c>
      <c r="C611" s="29">
        <v>46055</v>
      </c>
      <c r="D611" t="s">
        <v>1371</v>
      </c>
      <c r="E611" s="1276">
        <v>45769</v>
      </c>
      <c r="G611">
        <v>8281674</v>
      </c>
      <c r="I611">
        <v>0</v>
      </c>
      <c r="J611">
        <v>8281674</v>
      </c>
      <c r="K611">
        <v>0</v>
      </c>
      <c r="P611" t="s">
        <v>1216</v>
      </c>
      <c r="Q611" s="1308" t="s">
        <v>4911</v>
      </c>
    </row>
    <row r="612" spans="1:17">
      <c r="A612" s="1305" t="s">
        <v>702</v>
      </c>
      <c r="B612" s="29">
        <v>46055</v>
      </c>
      <c r="C612" s="29">
        <v>46055</v>
      </c>
      <c r="D612" t="s">
        <v>1371</v>
      </c>
      <c r="E612" s="1276">
        <v>45769</v>
      </c>
      <c r="G612">
        <v>48950611</v>
      </c>
      <c r="I612">
        <v>0</v>
      </c>
      <c r="J612">
        <v>48950611</v>
      </c>
      <c r="K612">
        <v>0</v>
      </c>
      <c r="P612" t="s">
        <v>1216</v>
      </c>
      <c r="Q612" s="1308" t="s">
        <v>4911</v>
      </c>
    </row>
    <row r="613" spans="1:17">
      <c r="A613" s="1305" t="s">
        <v>702</v>
      </c>
      <c r="B613" s="29">
        <v>46056</v>
      </c>
      <c r="C613" s="29">
        <v>46056</v>
      </c>
      <c r="D613" t="s">
        <v>1371</v>
      </c>
      <c r="E613" s="1276">
        <v>45769</v>
      </c>
      <c r="G613">
        <v>48950611</v>
      </c>
      <c r="I613">
        <v>0</v>
      </c>
      <c r="J613">
        <v>48950611</v>
      </c>
      <c r="K613">
        <v>0</v>
      </c>
      <c r="P613" t="s">
        <v>1216</v>
      </c>
      <c r="Q613" s="1308" t="s">
        <v>4911</v>
      </c>
    </row>
    <row r="614" spans="1:17">
      <c r="A614" s="1305" t="s">
        <v>702</v>
      </c>
      <c r="B614" s="29">
        <v>46056</v>
      </c>
      <c r="C614" s="29">
        <v>46056</v>
      </c>
      <c r="D614" t="s">
        <v>1371</v>
      </c>
      <c r="E614" s="1276">
        <v>45769</v>
      </c>
      <c r="G614">
        <v>48950611</v>
      </c>
      <c r="I614">
        <v>0</v>
      </c>
      <c r="J614">
        <v>48950611</v>
      </c>
      <c r="K614">
        <v>0</v>
      </c>
      <c r="P614" t="s">
        <v>1216</v>
      </c>
      <c r="Q614" s="1308" t="s">
        <v>4911</v>
      </c>
    </row>
    <row r="615" spans="1:17">
      <c r="A615" s="1305" t="s">
        <v>702</v>
      </c>
      <c r="B615" s="29">
        <v>46057</v>
      </c>
      <c r="C615" s="29">
        <v>46057</v>
      </c>
      <c r="D615" t="s">
        <v>1371</v>
      </c>
      <c r="E615" s="1276">
        <v>45769</v>
      </c>
      <c r="G615">
        <v>5915482</v>
      </c>
      <c r="I615">
        <v>0</v>
      </c>
      <c r="J615">
        <v>5915482</v>
      </c>
      <c r="K615">
        <v>0</v>
      </c>
      <c r="P615" t="s">
        <v>1216</v>
      </c>
      <c r="Q615" s="1308" t="s">
        <v>4911</v>
      </c>
    </row>
    <row r="616" spans="1:17">
      <c r="A616" s="1305" t="s">
        <v>702</v>
      </c>
      <c r="B616" s="29">
        <v>46057</v>
      </c>
      <c r="C616" s="29">
        <v>46057</v>
      </c>
      <c r="D616" t="s">
        <v>1371</v>
      </c>
      <c r="E616" s="1276">
        <v>45769</v>
      </c>
      <c r="G616">
        <v>5989425</v>
      </c>
      <c r="I616">
        <v>0</v>
      </c>
      <c r="J616">
        <v>5989425</v>
      </c>
      <c r="K616">
        <v>0</v>
      </c>
      <c r="P616" t="s">
        <v>1216</v>
      </c>
      <c r="Q616" s="1308" t="s">
        <v>4911</v>
      </c>
    </row>
    <row r="617" spans="1:17">
      <c r="A617" s="1305" t="s">
        <v>702</v>
      </c>
      <c r="B617" s="29">
        <v>46057</v>
      </c>
      <c r="C617" s="29">
        <v>46057</v>
      </c>
      <c r="D617" t="s">
        <v>1371</v>
      </c>
      <c r="E617" s="1276">
        <v>45769</v>
      </c>
      <c r="G617">
        <v>5323933</v>
      </c>
      <c r="I617">
        <v>0</v>
      </c>
      <c r="J617">
        <v>5323933</v>
      </c>
      <c r="K617">
        <v>0</v>
      </c>
      <c r="P617" t="s">
        <v>1216</v>
      </c>
      <c r="Q617" s="1308" t="s">
        <v>4911</v>
      </c>
    </row>
    <row r="618" spans="1:17">
      <c r="A618" s="1305" t="s">
        <v>702</v>
      </c>
      <c r="B618" s="29">
        <v>46057</v>
      </c>
      <c r="C618" s="29">
        <v>46057</v>
      </c>
      <c r="D618" t="s">
        <v>1371</v>
      </c>
      <c r="E618" s="1276">
        <v>45769</v>
      </c>
      <c r="G618">
        <v>8873223</v>
      </c>
      <c r="I618">
        <v>0</v>
      </c>
      <c r="J618">
        <v>8873223</v>
      </c>
      <c r="K618">
        <v>0</v>
      </c>
      <c r="P618" t="s">
        <v>1216</v>
      </c>
      <c r="Q618" s="1308" t="s">
        <v>4911</v>
      </c>
    </row>
    <row r="619" spans="1:17">
      <c r="A619" s="1305" t="s">
        <v>702</v>
      </c>
      <c r="B619" s="29">
        <v>46058</v>
      </c>
      <c r="C619" s="29">
        <v>46058</v>
      </c>
      <c r="D619" t="s">
        <v>1371</v>
      </c>
      <c r="E619" s="1276">
        <v>45769</v>
      </c>
      <c r="G619">
        <v>8577447</v>
      </c>
      <c r="I619">
        <v>0</v>
      </c>
      <c r="J619">
        <v>8577447</v>
      </c>
      <c r="K619">
        <v>0</v>
      </c>
      <c r="P619" t="s">
        <v>1216</v>
      </c>
      <c r="Q619" s="1308" t="s">
        <v>4911</v>
      </c>
    </row>
    <row r="620" spans="1:17">
      <c r="A620" s="1305" t="s">
        <v>702</v>
      </c>
      <c r="B620" s="29">
        <v>46058</v>
      </c>
      <c r="C620" s="29">
        <v>46058</v>
      </c>
      <c r="D620" t="s">
        <v>1371</v>
      </c>
      <c r="E620" s="1276">
        <v>45769</v>
      </c>
      <c r="G620">
        <v>8170759</v>
      </c>
      <c r="I620">
        <v>0</v>
      </c>
      <c r="J620">
        <v>8170759</v>
      </c>
      <c r="K620">
        <v>0</v>
      </c>
      <c r="P620" t="s">
        <v>1216</v>
      </c>
      <c r="Q620" s="1308" t="s">
        <v>4911</v>
      </c>
    </row>
    <row r="621" spans="1:17">
      <c r="A621" s="1305" t="s">
        <v>702</v>
      </c>
      <c r="B621" s="29">
        <v>46058</v>
      </c>
      <c r="C621" s="29">
        <v>46058</v>
      </c>
      <c r="D621" t="s">
        <v>1371</v>
      </c>
      <c r="E621" s="1276">
        <v>45769</v>
      </c>
      <c r="G621">
        <v>5323933</v>
      </c>
      <c r="I621">
        <v>0</v>
      </c>
      <c r="J621">
        <v>5323933</v>
      </c>
      <c r="K621">
        <v>0</v>
      </c>
      <c r="P621" t="s">
        <v>1216</v>
      </c>
      <c r="Q621" s="1308" t="s">
        <v>4911</v>
      </c>
    </row>
    <row r="622" spans="1:17">
      <c r="A622" s="1305" t="s">
        <v>702</v>
      </c>
      <c r="B622" s="29">
        <v>46058</v>
      </c>
      <c r="C622" s="29">
        <v>46058</v>
      </c>
      <c r="D622" t="s">
        <v>1371</v>
      </c>
      <c r="E622" s="1276">
        <v>45769</v>
      </c>
      <c r="G622">
        <v>5767595</v>
      </c>
      <c r="I622">
        <v>0</v>
      </c>
      <c r="J622">
        <v>5767595</v>
      </c>
      <c r="K622">
        <v>0</v>
      </c>
      <c r="P622" t="s">
        <v>1216</v>
      </c>
      <c r="Q622" s="1308" t="s">
        <v>4911</v>
      </c>
    </row>
    <row r="623" spans="1:17">
      <c r="A623" s="1305" t="s">
        <v>702</v>
      </c>
      <c r="B623" s="29">
        <v>46060</v>
      </c>
      <c r="C623" s="29">
        <v>46060</v>
      </c>
      <c r="D623" t="s">
        <v>1371</v>
      </c>
      <c r="E623" s="1276">
        <v>45769</v>
      </c>
      <c r="G623">
        <v>4732384</v>
      </c>
      <c r="I623">
        <v>0</v>
      </c>
      <c r="J623">
        <v>4732384</v>
      </c>
      <c r="K623">
        <v>0</v>
      </c>
      <c r="P623" t="s">
        <v>1216</v>
      </c>
      <c r="Q623" s="1308" t="s">
        <v>4911</v>
      </c>
    </row>
    <row r="624" spans="1:17">
      <c r="A624" s="1305" t="s">
        <v>702</v>
      </c>
      <c r="B624" s="29">
        <v>46060</v>
      </c>
      <c r="C624" s="29">
        <v>46060</v>
      </c>
      <c r="D624" t="s">
        <v>1371</v>
      </c>
      <c r="E624" s="1276">
        <v>45769</v>
      </c>
      <c r="G624">
        <v>7098576</v>
      </c>
      <c r="I624">
        <v>0</v>
      </c>
      <c r="J624">
        <v>7098576</v>
      </c>
      <c r="K624">
        <v>0</v>
      </c>
      <c r="P624" t="s">
        <v>1216</v>
      </c>
      <c r="Q624" s="1308" t="s">
        <v>4911</v>
      </c>
    </row>
    <row r="625" spans="1:17">
      <c r="A625" s="1305" t="s">
        <v>702</v>
      </c>
      <c r="B625" s="29">
        <v>46060</v>
      </c>
      <c r="C625" s="29">
        <v>46060</v>
      </c>
      <c r="D625" t="s">
        <v>1371</v>
      </c>
      <c r="E625" s="1276">
        <v>45769</v>
      </c>
      <c r="G625">
        <v>2957741</v>
      </c>
      <c r="I625">
        <v>0</v>
      </c>
      <c r="J625">
        <v>2957741</v>
      </c>
      <c r="K625">
        <v>0</v>
      </c>
      <c r="P625" t="s">
        <v>1216</v>
      </c>
      <c r="Q625" s="1308" t="s">
        <v>4911</v>
      </c>
    </row>
    <row r="626" spans="1:17">
      <c r="A626" s="1305" t="s">
        <v>702</v>
      </c>
      <c r="B626" s="29">
        <v>46060</v>
      </c>
      <c r="C626" s="29">
        <v>46060</v>
      </c>
      <c r="D626" t="s">
        <v>4606</v>
      </c>
      <c r="E626" s="1276">
        <v>45769</v>
      </c>
      <c r="G626">
        <v>10000000</v>
      </c>
      <c r="I626">
        <v>0</v>
      </c>
      <c r="J626">
        <v>10000000</v>
      </c>
      <c r="K626">
        <v>0</v>
      </c>
      <c r="P626" t="s">
        <v>1216</v>
      </c>
      <c r="Q626" s="1308" t="s">
        <v>4911</v>
      </c>
    </row>
    <row r="627" spans="1:17">
      <c r="A627" s="1305" t="s">
        <v>702</v>
      </c>
      <c r="B627" s="29">
        <v>46062</v>
      </c>
      <c r="C627" s="29">
        <v>46062</v>
      </c>
      <c r="D627" t="s">
        <v>3495</v>
      </c>
      <c r="E627" s="1276">
        <v>45769</v>
      </c>
      <c r="G627">
        <v>1304205</v>
      </c>
      <c r="I627">
        <v>0</v>
      </c>
      <c r="J627">
        <v>1304205</v>
      </c>
      <c r="K627">
        <v>0</v>
      </c>
      <c r="P627" t="s">
        <v>1216</v>
      </c>
      <c r="Q627" s="1308" t="s">
        <v>4911</v>
      </c>
    </row>
    <row r="628" spans="1:17">
      <c r="A628" s="1305" t="s">
        <v>702</v>
      </c>
      <c r="B628" s="29">
        <v>46063</v>
      </c>
      <c r="C628" s="29">
        <v>46063</v>
      </c>
      <c r="D628" t="s">
        <v>1371</v>
      </c>
      <c r="E628" s="1276">
        <v>45769</v>
      </c>
      <c r="G628">
        <v>23286912</v>
      </c>
      <c r="I628">
        <v>0</v>
      </c>
      <c r="J628">
        <v>23286912</v>
      </c>
      <c r="K628">
        <v>0</v>
      </c>
      <c r="P628" t="s">
        <v>1216</v>
      </c>
      <c r="Q628" s="1308" t="s">
        <v>4911</v>
      </c>
    </row>
    <row r="629" spans="1:17">
      <c r="A629" s="1305" t="s">
        <v>702</v>
      </c>
      <c r="B629" s="29">
        <v>46063</v>
      </c>
      <c r="C629" s="29">
        <v>46063</v>
      </c>
      <c r="D629" t="s">
        <v>1371</v>
      </c>
      <c r="E629" s="1276">
        <v>45769</v>
      </c>
      <c r="G629">
        <v>30000000</v>
      </c>
      <c r="I629">
        <v>0</v>
      </c>
      <c r="J629">
        <v>30000000</v>
      </c>
      <c r="K629">
        <v>0</v>
      </c>
      <c r="P629" t="s">
        <v>1216</v>
      </c>
      <c r="Q629" s="1308" t="s">
        <v>4911</v>
      </c>
    </row>
    <row r="630" spans="1:17">
      <c r="A630" s="1305" t="s">
        <v>702</v>
      </c>
      <c r="B630" s="29">
        <v>46066</v>
      </c>
      <c r="C630" s="29">
        <v>46066</v>
      </c>
      <c r="D630" t="s">
        <v>1371</v>
      </c>
      <c r="E630" s="1276">
        <v>45769</v>
      </c>
      <c r="G630">
        <v>24497178</v>
      </c>
      <c r="I630">
        <v>0</v>
      </c>
      <c r="J630">
        <v>24497178</v>
      </c>
      <c r="K630">
        <v>0</v>
      </c>
      <c r="P630" t="s">
        <v>1216</v>
      </c>
      <c r="Q630" s="1308" t="s">
        <v>4911</v>
      </c>
    </row>
    <row r="631" spans="1:17">
      <c r="A631" s="1305" t="s">
        <v>702</v>
      </c>
      <c r="B631" s="29">
        <v>46066</v>
      </c>
      <c r="C631" s="29">
        <v>46066</v>
      </c>
      <c r="D631" t="s">
        <v>1371</v>
      </c>
      <c r="E631" s="1276">
        <v>45769</v>
      </c>
      <c r="G631">
        <v>24497178</v>
      </c>
      <c r="I631">
        <v>0</v>
      </c>
      <c r="J631">
        <v>24497178</v>
      </c>
      <c r="K631">
        <v>0</v>
      </c>
      <c r="P631" t="s">
        <v>1216</v>
      </c>
      <c r="Q631" s="1308" t="s">
        <v>4911</v>
      </c>
    </row>
    <row r="632" spans="1:17">
      <c r="A632" s="1305" t="s">
        <v>702</v>
      </c>
      <c r="B632" s="29">
        <v>46069</v>
      </c>
      <c r="C632" s="29">
        <v>46069</v>
      </c>
      <c r="D632" t="s">
        <v>4606</v>
      </c>
      <c r="E632" s="1276">
        <v>45769</v>
      </c>
      <c r="G632">
        <v>22850100</v>
      </c>
      <c r="I632">
        <v>0</v>
      </c>
      <c r="J632">
        <v>22850100</v>
      </c>
      <c r="K632">
        <v>0</v>
      </c>
      <c r="P632" t="s">
        <v>1216</v>
      </c>
      <c r="Q632" s="1308" t="s">
        <v>4911</v>
      </c>
    </row>
    <row r="633" spans="1:17">
      <c r="A633" s="1305" t="s">
        <v>702</v>
      </c>
      <c r="B633" s="29">
        <v>46070</v>
      </c>
      <c r="C633" s="29">
        <v>46070</v>
      </c>
      <c r="D633" t="s">
        <v>1371</v>
      </c>
      <c r="E633" s="1276">
        <v>45769</v>
      </c>
      <c r="G633">
        <v>18100000</v>
      </c>
      <c r="I633">
        <v>0</v>
      </c>
      <c r="J633">
        <v>18100000</v>
      </c>
      <c r="K633">
        <v>0</v>
      </c>
      <c r="P633" t="s">
        <v>1216</v>
      </c>
      <c r="Q633" s="1308" t="s">
        <v>4911</v>
      </c>
    </row>
    <row r="634" spans="1:17">
      <c r="A634" s="1305" t="s">
        <v>4905</v>
      </c>
      <c r="B634" s="29">
        <v>45900</v>
      </c>
      <c r="C634" s="29">
        <v>45935</v>
      </c>
      <c r="D634" t="s">
        <v>4618</v>
      </c>
      <c r="E634" s="1276">
        <v>45769</v>
      </c>
      <c r="G634" s="20">
        <v>35342.465753424658</v>
      </c>
      <c r="H634" s="20"/>
      <c r="I634" s="20">
        <v>0</v>
      </c>
      <c r="J634" s="20">
        <v>35342.465753424658</v>
      </c>
      <c r="K634">
        <v>0</v>
      </c>
      <c r="P634" t="s">
        <v>1216</v>
      </c>
      <c r="Q634" s="1308" t="s">
        <v>4912</v>
      </c>
    </row>
    <row r="635" spans="1:17">
      <c r="A635" s="1305" t="s">
        <v>4905</v>
      </c>
      <c r="B635" s="29">
        <v>45930</v>
      </c>
      <c r="C635" s="29">
        <v>45935</v>
      </c>
      <c r="D635" t="s">
        <v>4618</v>
      </c>
      <c r="E635" s="1276">
        <v>45769</v>
      </c>
      <c r="G635" s="20">
        <v>1060273.9726027397</v>
      </c>
      <c r="H635" s="20"/>
      <c r="I635" s="20">
        <v>0</v>
      </c>
      <c r="J635" s="20">
        <v>1060273.9726027397</v>
      </c>
      <c r="K635">
        <v>0</v>
      </c>
      <c r="P635" t="s">
        <v>1216</v>
      </c>
      <c r="Q635" s="1308" t="s">
        <v>4912</v>
      </c>
    </row>
    <row r="636" spans="1:17">
      <c r="A636" s="1305" t="s">
        <v>4905</v>
      </c>
      <c r="B636" s="29">
        <v>45961</v>
      </c>
      <c r="C636" s="29">
        <v>45961</v>
      </c>
      <c r="D636" t="s">
        <v>4618</v>
      </c>
      <c r="E636" s="1276">
        <v>45769</v>
      </c>
      <c r="G636" s="20">
        <v>1095616.4383561644</v>
      </c>
      <c r="H636" s="20"/>
      <c r="I636" s="20">
        <v>0</v>
      </c>
      <c r="J636" s="20">
        <v>1095616.4383561644</v>
      </c>
      <c r="K636">
        <v>0</v>
      </c>
      <c r="P636" t="s">
        <v>1216</v>
      </c>
      <c r="Q636" s="1308" t="s">
        <v>4912</v>
      </c>
    </row>
    <row r="637" spans="1:17">
      <c r="A637" s="1305" t="s">
        <v>4905</v>
      </c>
      <c r="B637" s="29">
        <v>45989</v>
      </c>
      <c r="C637" s="29">
        <v>45989</v>
      </c>
      <c r="D637" t="s">
        <v>4618</v>
      </c>
      <c r="E637" s="1276">
        <v>45769</v>
      </c>
      <c r="G637" s="20">
        <v>989589.04109589045</v>
      </c>
      <c r="H637" s="20"/>
      <c r="I637" s="20">
        <v>0</v>
      </c>
      <c r="J637" s="20">
        <v>989589.04109589045</v>
      </c>
      <c r="K637">
        <v>0</v>
      </c>
      <c r="P637" t="s">
        <v>1216</v>
      </c>
      <c r="Q637" s="1308" t="s">
        <v>4912</v>
      </c>
    </row>
    <row r="638" spans="1:17">
      <c r="A638" s="1305" t="s">
        <v>4905</v>
      </c>
      <c r="B638" s="29">
        <v>45989</v>
      </c>
      <c r="C638" s="29">
        <v>45989</v>
      </c>
      <c r="D638" t="s">
        <v>4618</v>
      </c>
      <c r="E638" s="1276">
        <v>45769</v>
      </c>
      <c r="G638" s="20">
        <v>100000000</v>
      </c>
      <c r="H638" s="20"/>
      <c r="I638" s="20">
        <v>0</v>
      </c>
      <c r="J638" s="20">
        <v>100000000</v>
      </c>
      <c r="K638">
        <v>0</v>
      </c>
      <c r="P638" t="s">
        <v>1216</v>
      </c>
      <c r="Q638" s="1308" t="s">
        <v>4912</v>
      </c>
    </row>
    <row r="639" spans="1:17">
      <c r="A639" s="1305" t="s">
        <v>4905</v>
      </c>
      <c r="B639" s="29">
        <v>45900</v>
      </c>
      <c r="C639" s="29">
        <v>45935</v>
      </c>
      <c r="D639" t="s">
        <v>4618</v>
      </c>
      <c r="E639" s="1276">
        <v>45769</v>
      </c>
      <c r="G639" s="20">
        <v>17671</v>
      </c>
      <c r="H639" s="20"/>
      <c r="I639" s="20">
        <v>0</v>
      </c>
      <c r="J639" s="20">
        <v>17671</v>
      </c>
      <c r="K639">
        <v>0</v>
      </c>
      <c r="P639" t="s">
        <v>1216</v>
      </c>
      <c r="Q639" s="1308" t="s">
        <v>4912</v>
      </c>
    </row>
    <row r="640" spans="1:17">
      <c r="A640" s="1305" t="s">
        <v>4905</v>
      </c>
      <c r="B640" s="29">
        <v>45930</v>
      </c>
      <c r="C640" s="29">
        <v>45935</v>
      </c>
      <c r="D640" t="s">
        <v>4618</v>
      </c>
      <c r="E640" s="1276">
        <v>45769</v>
      </c>
      <c r="G640" s="20">
        <v>530137</v>
      </c>
      <c r="H640" s="20"/>
      <c r="I640" s="20">
        <v>0</v>
      </c>
      <c r="J640" s="20">
        <v>530137</v>
      </c>
      <c r="K640">
        <v>0</v>
      </c>
      <c r="P640" t="s">
        <v>1216</v>
      </c>
      <c r="Q640" s="1308" t="s">
        <v>4912</v>
      </c>
    </row>
    <row r="641" spans="1:17">
      <c r="A641" s="1305" t="s">
        <v>4905</v>
      </c>
      <c r="B641" s="29">
        <v>45961</v>
      </c>
      <c r="C641" s="29">
        <v>45961</v>
      </c>
      <c r="D641" t="s">
        <v>4618</v>
      </c>
      <c r="E641" s="1276">
        <v>45769</v>
      </c>
      <c r="G641" s="20">
        <v>547808</v>
      </c>
      <c r="H641" s="20"/>
      <c r="I641" s="20">
        <v>0</v>
      </c>
      <c r="J641" s="20">
        <v>547808</v>
      </c>
      <c r="K641">
        <v>0</v>
      </c>
      <c r="P641" t="s">
        <v>1216</v>
      </c>
      <c r="Q641" s="1308" t="s">
        <v>4912</v>
      </c>
    </row>
    <row r="642" spans="1:17">
      <c r="A642" s="1305" t="s">
        <v>4905</v>
      </c>
      <c r="B642" s="29">
        <v>45989</v>
      </c>
      <c r="C642" s="29">
        <v>45989</v>
      </c>
      <c r="D642" t="s">
        <v>4618</v>
      </c>
      <c r="E642" s="1276">
        <v>45769</v>
      </c>
      <c r="G642" s="20">
        <v>494795</v>
      </c>
      <c r="H642" s="20"/>
      <c r="I642" s="20">
        <v>0</v>
      </c>
      <c r="J642" s="20">
        <v>494795</v>
      </c>
      <c r="K642">
        <v>0</v>
      </c>
      <c r="P642" t="s">
        <v>1216</v>
      </c>
      <c r="Q642" s="1308" t="s">
        <v>4912</v>
      </c>
    </row>
    <row r="643" spans="1:17">
      <c r="A643" s="1305" t="s">
        <v>4905</v>
      </c>
      <c r="B643" s="29">
        <v>45989</v>
      </c>
      <c r="C643" s="29">
        <v>45989</v>
      </c>
      <c r="D643" t="s">
        <v>4618</v>
      </c>
      <c r="E643" s="1276">
        <v>45769</v>
      </c>
      <c r="G643" s="20">
        <v>50000000</v>
      </c>
      <c r="H643" s="20"/>
      <c r="I643" s="20">
        <v>0</v>
      </c>
      <c r="J643" s="20">
        <v>50000000</v>
      </c>
      <c r="K643">
        <v>0</v>
      </c>
      <c r="P643" t="s">
        <v>1216</v>
      </c>
      <c r="Q643" s="1308" t="s">
        <v>4912</v>
      </c>
    </row>
    <row r="644" spans="1:17">
      <c r="A644" s="1305" t="s">
        <v>3724</v>
      </c>
      <c r="B644" s="29">
        <v>45925</v>
      </c>
      <c r="C644" s="29">
        <v>45935</v>
      </c>
      <c r="D644" t="s">
        <v>4619</v>
      </c>
      <c r="E644" s="1276">
        <v>45769</v>
      </c>
      <c r="G644" s="20">
        <v>4000000</v>
      </c>
      <c r="H644" s="20"/>
      <c r="I644" s="20">
        <v>0</v>
      </c>
      <c r="J644" s="20">
        <v>4000000</v>
      </c>
      <c r="K644">
        <v>0</v>
      </c>
      <c r="P644" t="s">
        <v>1216</v>
      </c>
      <c r="Q644" s="1310" t="s">
        <v>4913</v>
      </c>
    </row>
    <row r="645" spans="1:17">
      <c r="A645" s="1305" t="s">
        <v>3724</v>
      </c>
      <c r="B645" s="29">
        <v>45955</v>
      </c>
      <c r="C645" s="29">
        <v>45955</v>
      </c>
      <c r="D645" t="s">
        <v>4619</v>
      </c>
      <c r="E645" s="1276">
        <v>45769</v>
      </c>
      <c r="G645" s="20">
        <v>4000000</v>
      </c>
      <c r="H645" s="20"/>
      <c r="I645" s="20">
        <v>0</v>
      </c>
      <c r="J645" s="20">
        <v>4000000</v>
      </c>
      <c r="K645">
        <v>0</v>
      </c>
      <c r="P645" t="s">
        <v>1216</v>
      </c>
      <c r="Q645" s="1310" t="s">
        <v>4913</v>
      </c>
    </row>
    <row r="646" spans="1:17">
      <c r="A646" s="1305" t="s">
        <v>3724</v>
      </c>
      <c r="B646" s="29">
        <v>45986</v>
      </c>
      <c r="C646" s="29">
        <v>45986</v>
      </c>
      <c r="D646" t="s">
        <v>4619</v>
      </c>
      <c r="E646" s="1276">
        <v>45769</v>
      </c>
      <c r="G646" s="20">
        <v>4000000</v>
      </c>
      <c r="H646" s="20"/>
      <c r="I646" s="20">
        <v>0</v>
      </c>
      <c r="J646" s="20">
        <v>4000000</v>
      </c>
      <c r="K646">
        <v>0</v>
      </c>
      <c r="P646" t="s">
        <v>1216</v>
      </c>
      <c r="Q646" s="1310" t="s">
        <v>4913</v>
      </c>
    </row>
    <row r="647" spans="1:17">
      <c r="A647" s="1305" t="s">
        <v>3724</v>
      </c>
      <c r="B647" s="29">
        <v>46016</v>
      </c>
      <c r="C647" s="29">
        <v>46016</v>
      </c>
      <c r="D647" t="s">
        <v>4619</v>
      </c>
      <c r="E647" s="1276">
        <v>45769</v>
      </c>
      <c r="G647" s="20">
        <v>4000000</v>
      </c>
      <c r="H647" s="20"/>
      <c r="I647" s="20">
        <v>0</v>
      </c>
      <c r="J647" s="20">
        <v>4000000</v>
      </c>
      <c r="K647">
        <v>0</v>
      </c>
      <c r="P647" t="s">
        <v>1216</v>
      </c>
      <c r="Q647" s="1310" t="s">
        <v>4913</v>
      </c>
    </row>
    <row r="648" spans="1:17">
      <c r="A648" s="1305" t="s">
        <v>3724</v>
      </c>
      <c r="B648" s="29">
        <v>46047</v>
      </c>
      <c r="C648" s="29">
        <v>46047</v>
      </c>
      <c r="D648" t="s">
        <v>4619</v>
      </c>
      <c r="E648" s="1276">
        <v>45769</v>
      </c>
      <c r="G648" s="20">
        <v>4000000</v>
      </c>
      <c r="H648" s="20"/>
      <c r="I648" s="20">
        <v>0</v>
      </c>
      <c r="J648" s="20">
        <v>4000000</v>
      </c>
      <c r="K648">
        <v>0</v>
      </c>
      <c r="P648" t="s">
        <v>1216</v>
      </c>
      <c r="Q648" s="1310" t="s">
        <v>4913</v>
      </c>
    </row>
    <row r="649" spans="1:17">
      <c r="A649" s="1305" t="s">
        <v>3724</v>
      </c>
      <c r="B649" s="29">
        <v>46078</v>
      </c>
      <c r="C649" s="29">
        <v>46078</v>
      </c>
      <c r="D649" t="s">
        <v>4619</v>
      </c>
      <c r="E649" s="1276">
        <v>45769</v>
      </c>
      <c r="G649">
        <v>4000000</v>
      </c>
      <c r="I649">
        <v>0</v>
      </c>
      <c r="J649">
        <v>4000000</v>
      </c>
      <c r="K649">
        <v>0</v>
      </c>
      <c r="P649" t="s">
        <v>1216</v>
      </c>
      <c r="Q649" s="1310" t="s">
        <v>4913</v>
      </c>
    </row>
    <row r="650" spans="1:17">
      <c r="A650" s="1305" t="s">
        <v>3724</v>
      </c>
      <c r="B650" s="29">
        <v>46106</v>
      </c>
      <c r="C650" s="29">
        <v>46106</v>
      </c>
      <c r="D650" t="s">
        <v>4619</v>
      </c>
      <c r="E650" s="1276">
        <v>45769</v>
      </c>
      <c r="G650">
        <v>4000000</v>
      </c>
      <c r="I650">
        <v>0</v>
      </c>
      <c r="J650">
        <v>4000000</v>
      </c>
      <c r="K650">
        <v>0</v>
      </c>
      <c r="P650" t="s">
        <v>1216</v>
      </c>
      <c r="Q650" s="1310" t="s">
        <v>4913</v>
      </c>
    </row>
    <row r="651" spans="1:17">
      <c r="A651" s="1305" t="s">
        <v>4905</v>
      </c>
      <c r="B651" s="29">
        <v>45910</v>
      </c>
      <c r="C651" s="29">
        <v>45935</v>
      </c>
      <c r="D651" t="s">
        <v>826</v>
      </c>
      <c r="E651" s="1276">
        <v>45769</v>
      </c>
      <c r="G651">
        <v>39581</v>
      </c>
      <c r="I651">
        <v>0</v>
      </c>
      <c r="J651">
        <v>39581</v>
      </c>
      <c r="K651">
        <v>0</v>
      </c>
      <c r="P651" t="s">
        <v>1216</v>
      </c>
      <c r="Q651" s="1308" t="s">
        <v>4912</v>
      </c>
    </row>
    <row r="652" spans="1:17">
      <c r="A652" s="1305" t="s">
        <v>4905</v>
      </c>
      <c r="B652" s="29">
        <v>45940</v>
      </c>
      <c r="C652" s="29">
        <v>45940</v>
      </c>
      <c r="D652" t="s">
        <v>826</v>
      </c>
      <c r="E652" s="1276">
        <v>45769</v>
      </c>
      <c r="G652">
        <v>39581</v>
      </c>
      <c r="I652">
        <v>0</v>
      </c>
      <c r="J652">
        <v>39581</v>
      </c>
      <c r="K652">
        <v>0</v>
      </c>
      <c r="P652" t="s">
        <v>1216</v>
      </c>
      <c r="Q652" s="1308" t="s">
        <v>4912</v>
      </c>
    </row>
    <row r="653" spans="1:17">
      <c r="A653" s="1305" t="s">
        <v>4905</v>
      </c>
      <c r="B653" s="29">
        <v>45971</v>
      </c>
      <c r="C653" s="29">
        <v>45971</v>
      </c>
      <c r="D653" t="s">
        <v>826</v>
      </c>
      <c r="E653" s="1276">
        <v>45769</v>
      </c>
      <c r="G653">
        <v>39581</v>
      </c>
      <c r="I653">
        <v>0</v>
      </c>
      <c r="J653">
        <v>39581</v>
      </c>
      <c r="K653">
        <v>0</v>
      </c>
      <c r="P653" t="s">
        <v>1216</v>
      </c>
      <c r="Q653" s="1308" t="s">
        <v>4912</v>
      </c>
    </row>
    <row r="654" spans="1:17">
      <c r="A654" s="1305" t="s">
        <v>4905</v>
      </c>
      <c r="B654" s="29">
        <v>46001</v>
      </c>
      <c r="C654" s="29">
        <v>46001</v>
      </c>
      <c r="D654" t="s">
        <v>826</v>
      </c>
      <c r="E654" s="1276">
        <v>45769</v>
      </c>
      <c r="G654">
        <v>39581</v>
      </c>
      <c r="I654">
        <v>0</v>
      </c>
      <c r="J654">
        <v>39581</v>
      </c>
      <c r="K654">
        <v>0</v>
      </c>
      <c r="P654" t="s">
        <v>1216</v>
      </c>
      <c r="Q654" s="1308" t="s">
        <v>4912</v>
      </c>
    </row>
    <row r="655" spans="1:17">
      <c r="A655" s="1305" t="s">
        <v>4905</v>
      </c>
      <c r="B655" s="29">
        <v>45667</v>
      </c>
      <c r="C655" s="29">
        <v>45935</v>
      </c>
      <c r="D655" t="s">
        <v>826</v>
      </c>
      <c r="E655" s="1276">
        <v>45769</v>
      </c>
      <c r="G655">
        <v>39581</v>
      </c>
      <c r="I655">
        <v>0</v>
      </c>
      <c r="J655">
        <v>39581</v>
      </c>
      <c r="K655">
        <v>0</v>
      </c>
      <c r="P655" t="s">
        <v>1216</v>
      </c>
      <c r="Q655" s="1308" t="s">
        <v>4912</v>
      </c>
    </row>
    <row r="656" spans="1:17">
      <c r="A656" s="1305" t="s">
        <v>4905</v>
      </c>
      <c r="B656" s="29">
        <v>45698</v>
      </c>
      <c r="C656" s="29">
        <v>45935</v>
      </c>
      <c r="D656" t="s">
        <v>826</v>
      </c>
      <c r="E656" s="1276">
        <v>45769</v>
      </c>
      <c r="G656">
        <v>39581</v>
      </c>
      <c r="I656">
        <v>0</v>
      </c>
      <c r="J656">
        <v>39581</v>
      </c>
      <c r="K656">
        <v>0</v>
      </c>
      <c r="P656" t="s">
        <v>1216</v>
      </c>
      <c r="Q656" s="1308" t="s">
        <v>4912</v>
      </c>
    </row>
    <row r="657" spans="1:17">
      <c r="A657" s="1305" t="s">
        <v>4905</v>
      </c>
      <c r="B657" s="29">
        <v>45726</v>
      </c>
      <c r="C657" s="29">
        <v>45935</v>
      </c>
      <c r="D657" t="s">
        <v>826</v>
      </c>
      <c r="E657" s="1276">
        <v>45769</v>
      </c>
      <c r="G657">
        <v>39581</v>
      </c>
      <c r="I657">
        <v>0</v>
      </c>
      <c r="J657">
        <v>39581</v>
      </c>
      <c r="K657">
        <v>0</v>
      </c>
      <c r="P657" t="s">
        <v>1216</v>
      </c>
      <c r="Q657" s="1308" t="s">
        <v>4912</v>
      </c>
    </row>
    <row r="658" spans="1:17">
      <c r="A658" s="1305" t="s">
        <v>4905</v>
      </c>
      <c r="B658" s="29">
        <v>45902</v>
      </c>
      <c r="C658" s="29">
        <v>45935</v>
      </c>
      <c r="D658" t="s">
        <v>511</v>
      </c>
      <c r="E658" s="1276">
        <v>45769</v>
      </c>
      <c r="G658">
        <v>89202</v>
      </c>
      <c r="I658">
        <v>0</v>
      </c>
      <c r="J658">
        <v>89202</v>
      </c>
      <c r="K658">
        <v>0</v>
      </c>
      <c r="P658" t="s">
        <v>1216</v>
      </c>
      <c r="Q658" s="1308" t="s">
        <v>4912</v>
      </c>
    </row>
    <row r="659" spans="1:17">
      <c r="A659" s="1305" t="s">
        <v>4905</v>
      </c>
      <c r="B659" s="29">
        <v>45932</v>
      </c>
      <c r="C659" s="29">
        <v>45935</v>
      </c>
      <c r="D659" t="s">
        <v>511</v>
      </c>
      <c r="E659" s="1276">
        <v>45769</v>
      </c>
      <c r="G659">
        <v>89202</v>
      </c>
      <c r="I659">
        <v>0</v>
      </c>
      <c r="J659">
        <v>89202</v>
      </c>
      <c r="K659">
        <v>0</v>
      </c>
      <c r="P659" t="s">
        <v>1216</v>
      </c>
      <c r="Q659" s="1308" t="s">
        <v>4912</v>
      </c>
    </row>
    <row r="660" spans="1:17">
      <c r="A660" s="1305" t="s">
        <v>4905</v>
      </c>
      <c r="B660" s="29">
        <v>45963</v>
      </c>
      <c r="C660" s="29">
        <v>45963</v>
      </c>
      <c r="D660" t="s">
        <v>511</v>
      </c>
      <c r="E660" s="1276">
        <v>45769</v>
      </c>
      <c r="G660">
        <v>89202</v>
      </c>
      <c r="I660">
        <v>0</v>
      </c>
      <c r="J660">
        <v>89202</v>
      </c>
      <c r="K660">
        <v>0</v>
      </c>
      <c r="P660" t="s">
        <v>1216</v>
      </c>
      <c r="Q660" s="1308" t="s">
        <v>4912</v>
      </c>
    </row>
    <row r="661" spans="1:17">
      <c r="A661" s="1305" t="s">
        <v>4905</v>
      </c>
      <c r="B661" s="29">
        <v>45993</v>
      </c>
      <c r="C661" s="29">
        <v>45993</v>
      </c>
      <c r="D661" t="s">
        <v>511</v>
      </c>
      <c r="E661" s="1276">
        <v>45769</v>
      </c>
      <c r="G661">
        <v>89202</v>
      </c>
      <c r="I661">
        <v>0</v>
      </c>
      <c r="J661">
        <v>89202</v>
      </c>
      <c r="K661">
        <v>0</v>
      </c>
      <c r="P661" t="s">
        <v>1216</v>
      </c>
      <c r="Q661" s="1308" t="s">
        <v>4912</v>
      </c>
    </row>
    <row r="662" spans="1:17">
      <c r="A662" s="1305" t="s">
        <v>4905</v>
      </c>
      <c r="B662" s="29">
        <v>46024</v>
      </c>
      <c r="C662" s="29">
        <v>46024</v>
      </c>
      <c r="D662" t="s">
        <v>511</v>
      </c>
      <c r="E662" s="1276">
        <v>45769</v>
      </c>
      <c r="G662">
        <v>89202</v>
      </c>
      <c r="I662">
        <v>0</v>
      </c>
      <c r="J662">
        <v>89202</v>
      </c>
      <c r="K662">
        <v>0</v>
      </c>
      <c r="P662" t="s">
        <v>1216</v>
      </c>
      <c r="Q662" s="1308" t="s">
        <v>4912</v>
      </c>
    </row>
    <row r="663" spans="1:17">
      <c r="A663" s="1305" t="s">
        <v>4905</v>
      </c>
      <c r="B663" s="29">
        <v>46055</v>
      </c>
      <c r="C663" s="29">
        <v>46055</v>
      </c>
      <c r="D663" t="s">
        <v>511</v>
      </c>
      <c r="E663" s="1276">
        <v>45769</v>
      </c>
      <c r="G663">
        <v>89202</v>
      </c>
      <c r="I663">
        <v>0</v>
      </c>
      <c r="J663">
        <v>89202</v>
      </c>
      <c r="K663">
        <v>0</v>
      </c>
      <c r="P663" t="s">
        <v>1216</v>
      </c>
      <c r="Q663" s="1308" t="s">
        <v>4912</v>
      </c>
    </row>
    <row r="664" spans="1:17">
      <c r="A664" s="1305" t="s">
        <v>4905</v>
      </c>
      <c r="B664" s="29">
        <v>46083</v>
      </c>
      <c r="C664" s="29">
        <v>46083</v>
      </c>
      <c r="D664" t="s">
        <v>511</v>
      </c>
      <c r="E664" s="1276">
        <v>45769</v>
      </c>
      <c r="G664">
        <v>89202</v>
      </c>
      <c r="I664">
        <v>0</v>
      </c>
      <c r="J664">
        <v>89202</v>
      </c>
      <c r="K664">
        <v>0</v>
      </c>
      <c r="P664" t="s">
        <v>1216</v>
      </c>
      <c r="Q664" s="1308" t="s">
        <v>4912</v>
      </c>
    </row>
    <row r="665" spans="1:17">
      <c r="A665" s="1305" t="s">
        <v>4905</v>
      </c>
      <c r="B665" s="29">
        <v>45901</v>
      </c>
      <c r="C665" s="29">
        <v>45935</v>
      </c>
      <c r="D665" t="s">
        <v>475</v>
      </c>
      <c r="E665" s="1276">
        <v>45769</v>
      </c>
      <c r="G665">
        <v>259990</v>
      </c>
      <c r="I665">
        <v>0</v>
      </c>
      <c r="J665">
        <v>259990</v>
      </c>
      <c r="K665">
        <v>0</v>
      </c>
      <c r="P665" t="s">
        <v>1216</v>
      </c>
      <c r="Q665" s="1308" t="s">
        <v>4912</v>
      </c>
    </row>
    <row r="666" spans="1:17">
      <c r="A666" s="1305" t="s">
        <v>4905</v>
      </c>
      <c r="B666" s="29">
        <v>45931</v>
      </c>
      <c r="C666" s="29">
        <v>45935</v>
      </c>
      <c r="D666" t="s">
        <v>475</v>
      </c>
      <c r="E666" s="1276">
        <v>45769</v>
      </c>
      <c r="G666">
        <v>259990</v>
      </c>
      <c r="I666">
        <v>0</v>
      </c>
      <c r="J666">
        <v>259990</v>
      </c>
      <c r="K666">
        <v>0</v>
      </c>
      <c r="P666" t="s">
        <v>1216</v>
      </c>
      <c r="Q666" s="1308" t="s">
        <v>4912</v>
      </c>
    </row>
    <row r="667" spans="1:17">
      <c r="A667" s="1305" t="s">
        <v>4905</v>
      </c>
      <c r="B667" s="29">
        <v>45962</v>
      </c>
      <c r="C667" s="29">
        <v>45962</v>
      </c>
      <c r="D667" t="s">
        <v>475</v>
      </c>
      <c r="E667" s="1276">
        <v>45769</v>
      </c>
      <c r="G667">
        <v>259990</v>
      </c>
      <c r="I667">
        <v>0</v>
      </c>
      <c r="J667">
        <v>259990</v>
      </c>
      <c r="K667">
        <v>0</v>
      </c>
      <c r="P667" t="s">
        <v>1216</v>
      </c>
      <c r="Q667" s="1308" t="s">
        <v>4912</v>
      </c>
    </row>
    <row r="668" spans="1:17">
      <c r="A668" s="1305" t="s">
        <v>4905</v>
      </c>
      <c r="B668" s="29">
        <v>45992</v>
      </c>
      <c r="C668" s="29">
        <v>45992</v>
      </c>
      <c r="D668" t="s">
        <v>475</v>
      </c>
      <c r="E668" s="1276">
        <v>45769</v>
      </c>
      <c r="G668">
        <v>259990</v>
      </c>
      <c r="I668">
        <v>0</v>
      </c>
      <c r="J668">
        <v>259990</v>
      </c>
      <c r="K668">
        <v>0</v>
      </c>
      <c r="P668" t="s">
        <v>1216</v>
      </c>
      <c r="Q668" s="1308" t="s">
        <v>4912</v>
      </c>
    </row>
    <row r="669" spans="1:17">
      <c r="A669" s="1305" t="s">
        <v>4905</v>
      </c>
      <c r="B669" s="29">
        <v>45658</v>
      </c>
      <c r="C669" s="29">
        <v>45935</v>
      </c>
      <c r="D669" t="s">
        <v>475</v>
      </c>
      <c r="E669" s="1276">
        <v>45769</v>
      </c>
      <c r="G669">
        <v>259990</v>
      </c>
      <c r="I669">
        <v>0</v>
      </c>
      <c r="J669">
        <v>259990</v>
      </c>
      <c r="K669">
        <v>0</v>
      </c>
      <c r="P669" t="s">
        <v>1216</v>
      </c>
      <c r="Q669" s="1308" t="s">
        <v>4912</v>
      </c>
    </row>
    <row r="670" spans="1:17">
      <c r="A670" s="1305" t="s">
        <v>4905</v>
      </c>
      <c r="B670" s="29">
        <v>45689</v>
      </c>
      <c r="C670" s="29">
        <v>45935</v>
      </c>
      <c r="D670" t="s">
        <v>475</v>
      </c>
      <c r="E670" s="1276">
        <v>45769</v>
      </c>
      <c r="G670">
        <v>259990</v>
      </c>
      <c r="I670">
        <v>0</v>
      </c>
      <c r="J670">
        <v>259990</v>
      </c>
      <c r="K670">
        <v>0</v>
      </c>
      <c r="P670" t="s">
        <v>1216</v>
      </c>
      <c r="Q670" s="1308" t="s">
        <v>4912</v>
      </c>
    </row>
    <row r="671" spans="1:17">
      <c r="A671" s="1305" t="s">
        <v>4905</v>
      </c>
      <c r="B671" s="29">
        <v>45717</v>
      </c>
      <c r="C671" s="29">
        <v>45935</v>
      </c>
      <c r="D671" t="s">
        <v>475</v>
      </c>
      <c r="E671" s="1276">
        <v>45769</v>
      </c>
      <c r="G671">
        <v>98157</v>
      </c>
      <c r="I671">
        <v>0</v>
      </c>
      <c r="J671">
        <v>98157</v>
      </c>
      <c r="K671">
        <v>0</v>
      </c>
      <c r="P671" t="s">
        <v>1216</v>
      </c>
      <c r="Q671" s="1308" t="s">
        <v>4912</v>
      </c>
    </row>
    <row r="672" spans="1:17">
      <c r="A672" s="1305" t="s">
        <v>4905</v>
      </c>
      <c r="B672" s="29">
        <v>45901</v>
      </c>
      <c r="C672" s="29">
        <v>45935</v>
      </c>
      <c r="D672" t="s">
        <v>473</v>
      </c>
      <c r="E672" s="1276">
        <v>45769</v>
      </c>
      <c r="G672">
        <v>98157</v>
      </c>
      <c r="I672">
        <v>0</v>
      </c>
      <c r="J672">
        <v>98157</v>
      </c>
      <c r="K672">
        <v>0</v>
      </c>
      <c r="P672" t="s">
        <v>1216</v>
      </c>
      <c r="Q672" s="1308" t="s">
        <v>4912</v>
      </c>
    </row>
    <row r="673" spans="1:17">
      <c r="A673" s="1305" t="s">
        <v>4905</v>
      </c>
      <c r="B673" s="29">
        <v>45931</v>
      </c>
      <c r="C673" s="29">
        <v>45935</v>
      </c>
      <c r="D673" t="s">
        <v>473</v>
      </c>
      <c r="E673" s="1276">
        <v>45769</v>
      </c>
      <c r="G673">
        <v>98157</v>
      </c>
      <c r="I673">
        <v>0</v>
      </c>
      <c r="J673">
        <v>98157</v>
      </c>
      <c r="K673">
        <v>0</v>
      </c>
      <c r="P673" t="s">
        <v>1216</v>
      </c>
      <c r="Q673" s="1308" t="s">
        <v>4912</v>
      </c>
    </row>
    <row r="674" spans="1:17">
      <c r="A674" s="1305" t="s">
        <v>4905</v>
      </c>
      <c r="B674" s="29">
        <v>45962</v>
      </c>
      <c r="C674" s="29">
        <v>45962</v>
      </c>
      <c r="D674" t="s">
        <v>473</v>
      </c>
      <c r="E674" s="1276">
        <v>45769</v>
      </c>
      <c r="G674">
        <v>98157</v>
      </c>
      <c r="I674">
        <v>0</v>
      </c>
      <c r="J674">
        <v>98157</v>
      </c>
      <c r="K674">
        <v>0</v>
      </c>
      <c r="P674" t="s">
        <v>1216</v>
      </c>
      <c r="Q674" s="1308" t="s">
        <v>4912</v>
      </c>
    </row>
    <row r="675" spans="1:17">
      <c r="A675" s="1305" t="s">
        <v>4905</v>
      </c>
      <c r="B675" s="29">
        <v>45992</v>
      </c>
      <c r="C675" s="29">
        <v>45992</v>
      </c>
      <c r="D675" t="s">
        <v>473</v>
      </c>
      <c r="E675" s="1276">
        <v>45769</v>
      </c>
      <c r="G675">
        <v>98157</v>
      </c>
      <c r="I675">
        <v>0</v>
      </c>
      <c r="J675">
        <v>98157</v>
      </c>
      <c r="K675">
        <v>0</v>
      </c>
      <c r="P675" t="s">
        <v>1216</v>
      </c>
      <c r="Q675" s="1308" t="s">
        <v>4912</v>
      </c>
    </row>
    <row r="676" spans="1:17">
      <c r="A676" s="1305" t="s">
        <v>4905</v>
      </c>
      <c r="B676" s="29">
        <v>45658</v>
      </c>
      <c r="C676" s="29">
        <v>45935</v>
      </c>
      <c r="D676" t="s">
        <v>473</v>
      </c>
      <c r="E676" s="1276">
        <v>45769</v>
      </c>
      <c r="G676">
        <v>98157</v>
      </c>
      <c r="I676">
        <v>0</v>
      </c>
      <c r="J676">
        <v>98157</v>
      </c>
      <c r="K676">
        <v>0</v>
      </c>
      <c r="P676" t="s">
        <v>1216</v>
      </c>
      <c r="Q676" s="1308" t="s">
        <v>4912</v>
      </c>
    </row>
    <row r="677" spans="1:17">
      <c r="A677" s="1305" t="s">
        <v>4905</v>
      </c>
      <c r="B677" s="29">
        <v>45689</v>
      </c>
      <c r="C677" s="29">
        <v>45935</v>
      </c>
      <c r="D677" t="s">
        <v>473</v>
      </c>
      <c r="E677" s="1276">
        <v>45769</v>
      </c>
      <c r="G677">
        <v>98157</v>
      </c>
      <c r="I677">
        <v>0</v>
      </c>
      <c r="J677">
        <v>98157</v>
      </c>
      <c r="K677">
        <v>0</v>
      </c>
      <c r="P677" t="s">
        <v>1216</v>
      </c>
      <c r="Q677" s="1308" t="s">
        <v>4912</v>
      </c>
    </row>
    <row r="678" spans="1:17">
      <c r="A678" s="1305" t="s">
        <v>4905</v>
      </c>
      <c r="B678" s="29">
        <v>45717</v>
      </c>
      <c r="C678" s="29">
        <v>45935</v>
      </c>
      <c r="D678" t="s">
        <v>473</v>
      </c>
      <c r="E678" s="1276">
        <v>45769</v>
      </c>
      <c r="G678">
        <v>98157</v>
      </c>
      <c r="I678">
        <v>0</v>
      </c>
      <c r="J678">
        <v>98157</v>
      </c>
      <c r="K678">
        <v>0</v>
      </c>
      <c r="P678" t="s">
        <v>1216</v>
      </c>
      <c r="Q678" s="1308" t="s">
        <v>4912</v>
      </c>
    </row>
    <row r="679" spans="1:17">
      <c r="A679" s="1305" t="s">
        <v>4905</v>
      </c>
      <c r="B679" s="29">
        <v>45930</v>
      </c>
      <c r="C679" s="29">
        <v>45935</v>
      </c>
      <c r="D679" t="s">
        <v>304</v>
      </c>
      <c r="E679" s="1276">
        <v>45769</v>
      </c>
      <c r="G679">
        <v>304661</v>
      </c>
      <c r="I679">
        <v>0</v>
      </c>
      <c r="J679">
        <v>304661</v>
      </c>
      <c r="K679">
        <v>0</v>
      </c>
      <c r="P679" t="s">
        <v>1216</v>
      </c>
      <c r="Q679" s="1308" t="s">
        <v>4912</v>
      </c>
    </row>
    <row r="680" spans="1:17">
      <c r="A680" s="1305" t="s">
        <v>4905</v>
      </c>
      <c r="B680" s="29">
        <v>45961</v>
      </c>
      <c r="C680" s="29">
        <v>45961</v>
      </c>
      <c r="D680" t="s">
        <v>304</v>
      </c>
      <c r="E680" s="1276">
        <v>45769</v>
      </c>
      <c r="G680">
        <v>304661</v>
      </c>
      <c r="I680">
        <v>0</v>
      </c>
      <c r="J680">
        <v>304661</v>
      </c>
      <c r="K680">
        <v>0</v>
      </c>
      <c r="P680" t="s">
        <v>1216</v>
      </c>
      <c r="Q680" s="1308" t="s">
        <v>4912</v>
      </c>
    </row>
    <row r="681" spans="1:17">
      <c r="A681" s="1305" t="s">
        <v>4905</v>
      </c>
      <c r="B681" s="29">
        <v>45991</v>
      </c>
      <c r="C681" s="29">
        <v>45991</v>
      </c>
      <c r="D681" t="s">
        <v>304</v>
      </c>
      <c r="E681" s="1276">
        <v>45769</v>
      </c>
      <c r="G681">
        <v>304661</v>
      </c>
      <c r="I681">
        <v>0</v>
      </c>
      <c r="J681">
        <v>304661</v>
      </c>
      <c r="K681">
        <v>0</v>
      </c>
      <c r="P681" t="s">
        <v>1216</v>
      </c>
      <c r="Q681" s="1308" t="s">
        <v>4912</v>
      </c>
    </row>
    <row r="682" spans="1:17">
      <c r="A682" s="1305" t="s">
        <v>4905</v>
      </c>
      <c r="B682" s="29">
        <v>46022</v>
      </c>
      <c r="C682" s="29">
        <v>46022</v>
      </c>
      <c r="D682" t="s">
        <v>304</v>
      </c>
      <c r="E682" s="1276">
        <v>45769</v>
      </c>
      <c r="G682">
        <v>304661</v>
      </c>
      <c r="I682">
        <v>0</v>
      </c>
      <c r="J682">
        <v>304661</v>
      </c>
      <c r="K682">
        <v>0</v>
      </c>
      <c r="P682" t="s">
        <v>1216</v>
      </c>
      <c r="Q682" s="1308" t="s">
        <v>4912</v>
      </c>
    </row>
    <row r="683" spans="1:17">
      <c r="A683" s="1305" t="s">
        <v>4905</v>
      </c>
      <c r="B683" s="29">
        <v>45688</v>
      </c>
      <c r="C683" s="29">
        <v>45935</v>
      </c>
      <c r="D683" t="s">
        <v>304</v>
      </c>
      <c r="E683" s="1276">
        <v>45769</v>
      </c>
      <c r="G683">
        <v>304661</v>
      </c>
      <c r="I683">
        <v>0</v>
      </c>
      <c r="J683">
        <v>304661</v>
      </c>
      <c r="K683">
        <v>0</v>
      </c>
      <c r="P683" t="s">
        <v>1216</v>
      </c>
      <c r="Q683" s="1308" t="s">
        <v>4912</v>
      </c>
    </row>
    <row r="684" spans="1:17">
      <c r="A684" s="1305" t="s">
        <v>4905</v>
      </c>
      <c r="B684" s="29">
        <v>45716</v>
      </c>
      <c r="C684" s="29">
        <v>45935</v>
      </c>
      <c r="D684" t="s">
        <v>304</v>
      </c>
      <c r="E684" s="1276">
        <v>45769</v>
      </c>
      <c r="G684">
        <v>304661</v>
      </c>
      <c r="I684">
        <v>0</v>
      </c>
      <c r="J684">
        <v>304661</v>
      </c>
      <c r="K684">
        <v>0</v>
      </c>
      <c r="P684" t="s">
        <v>1216</v>
      </c>
      <c r="Q684" s="1308" t="s">
        <v>4912</v>
      </c>
    </row>
    <row r="685" spans="1:17">
      <c r="A685" s="1305" t="s">
        <v>4905</v>
      </c>
      <c r="B685" s="29">
        <v>45747</v>
      </c>
      <c r="C685" s="29">
        <v>45935</v>
      </c>
      <c r="D685" t="s">
        <v>304</v>
      </c>
      <c r="E685" s="1276">
        <v>45769</v>
      </c>
      <c r="G685">
        <v>304661</v>
      </c>
      <c r="I685">
        <v>0</v>
      </c>
      <c r="J685">
        <v>304661</v>
      </c>
      <c r="K685">
        <v>0</v>
      </c>
      <c r="P685" t="s">
        <v>1216</v>
      </c>
      <c r="Q685" s="1308" t="s">
        <v>4912</v>
      </c>
    </row>
    <row r="686" spans="1:17">
      <c r="A686" s="1305" t="s">
        <v>4905</v>
      </c>
      <c r="B686" s="29">
        <v>45904</v>
      </c>
      <c r="C686" s="29">
        <v>45935</v>
      </c>
      <c r="D686" t="s">
        <v>4620</v>
      </c>
      <c r="E686" s="1276">
        <v>45769</v>
      </c>
      <c r="G686">
        <v>180563</v>
      </c>
      <c r="I686">
        <v>0</v>
      </c>
      <c r="J686">
        <v>180563</v>
      </c>
      <c r="K686">
        <v>0</v>
      </c>
      <c r="P686" t="s">
        <v>1216</v>
      </c>
      <c r="Q686" s="1308" t="s">
        <v>4912</v>
      </c>
    </row>
    <row r="687" spans="1:17">
      <c r="A687" s="1305" t="s">
        <v>4905</v>
      </c>
      <c r="B687" s="29">
        <v>45934</v>
      </c>
      <c r="C687" s="29">
        <v>45935</v>
      </c>
      <c r="D687" t="s">
        <v>4620</v>
      </c>
      <c r="E687" s="1276">
        <v>45769</v>
      </c>
      <c r="G687">
        <v>180563</v>
      </c>
      <c r="I687">
        <v>0</v>
      </c>
      <c r="J687">
        <v>180563</v>
      </c>
      <c r="K687">
        <v>0</v>
      </c>
      <c r="P687" t="s">
        <v>1216</v>
      </c>
      <c r="Q687" s="1308" t="s">
        <v>4912</v>
      </c>
    </row>
    <row r="688" spans="1:17">
      <c r="A688" s="1305" t="s">
        <v>4905</v>
      </c>
      <c r="B688" s="29">
        <v>45965</v>
      </c>
      <c r="C688" s="29">
        <v>45965</v>
      </c>
      <c r="D688" t="s">
        <v>4620</v>
      </c>
      <c r="E688" s="1276">
        <v>45769</v>
      </c>
      <c r="G688">
        <v>180563</v>
      </c>
      <c r="I688">
        <v>0</v>
      </c>
      <c r="J688">
        <v>180563</v>
      </c>
      <c r="K688">
        <v>0</v>
      </c>
      <c r="P688" t="s">
        <v>1216</v>
      </c>
      <c r="Q688" s="1308" t="s">
        <v>4912</v>
      </c>
    </row>
    <row r="689" spans="1:17">
      <c r="A689" s="1305" t="s">
        <v>4905</v>
      </c>
      <c r="B689" s="29">
        <v>45995</v>
      </c>
      <c r="C689" s="29">
        <v>45995</v>
      </c>
      <c r="D689" t="s">
        <v>4620</v>
      </c>
      <c r="E689" s="1276">
        <v>45769</v>
      </c>
      <c r="G689">
        <v>180563</v>
      </c>
      <c r="I689">
        <v>0</v>
      </c>
      <c r="J689">
        <v>180563</v>
      </c>
      <c r="K689">
        <v>0</v>
      </c>
      <c r="P689" t="s">
        <v>1216</v>
      </c>
      <c r="Q689" s="1308" t="s">
        <v>4912</v>
      </c>
    </row>
    <row r="690" spans="1:17">
      <c r="A690" s="1305" t="s">
        <v>4905</v>
      </c>
      <c r="B690" s="29">
        <v>46026</v>
      </c>
      <c r="C690" s="29">
        <v>46026</v>
      </c>
      <c r="D690" t="s">
        <v>4620</v>
      </c>
      <c r="E690" s="1276">
        <v>45769</v>
      </c>
      <c r="G690">
        <v>180563</v>
      </c>
      <c r="I690">
        <v>0</v>
      </c>
      <c r="J690">
        <v>180563</v>
      </c>
      <c r="K690">
        <v>0</v>
      </c>
      <c r="P690" t="s">
        <v>1216</v>
      </c>
      <c r="Q690" s="1308" t="s">
        <v>4912</v>
      </c>
    </row>
    <row r="691" spans="1:17">
      <c r="A691" s="1305" t="s">
        <v>4905</v>
      </c>
      <c r="B691" s="29">
        <v>46057</v>
      </c>
      <c r="C691" s="29">
        <v>46057</v>
      </c>
      <c r="D691" t="s">
        <v>4620</v>
      </c>
      <c r="E691" s="1276">
        <v>45769</v>
      </c>
      <c r="G691">
        <v>180563</v>
      </c>
      <c r="I691">
        <v>0</v>
      </c>
      <c r="J691">
        <v>180563</v>
      </c>
      <c r="K691">
        <v>0</v>
      </c>
      <c r="P691" t="s">
        <v>1216</v>
      </c>
      <c r="Q691" s="1308" t="s">
        <v>4912</v>
      </c>
    </row>
    <row r="692" spans="1:17">
      <c r="A692" s="1305" t="s">
        <v>4905</v>
      </c>
      <c r="B692" s="29">
        <v>46085</v>
      </c>
      <c r="C692" s="29">
        <v>46085</v>
      </c>
      <c r="D692" t="s">
        <v>4620</v>
      </c>
      <c r="E692" s="1276">
        <v>45769</v>
      </c>
      <c r="G692">
        <v>180563</v>
      </c>
      <c r="I692">
        <v>0</v>
      </c>
      <c r="J692">
        <v>180563</v>
      </c>
      <c r="K692">
        <v>0</v>
      </c>
      <c r="P692" t="s">
        <v>1216</v>
      </c>
      <c r="Q692" s="1308" t="s">
        <v>4912</v>
      </c>
    </row>
    <row r="693" spans="1:17">
      <c r="A693" s="1305" t="s">
        <v>4905</v>
      </c>
      <c r="B693" s="29">
        <v>45910</v>
      </c>
      <c r="C693" s="29">
        <v>45935</v>
      </c>
      <c r="D693" t="s">
        <v>613</v>
      </c>
      <c r="E693" s="1276">
        <v>45769</v>
      </c>
      <c r="G693">
        <v>72974</v>
      </c>
      <c r="I693">
        <v>0</v>
      </c>
      <c r="J693">
        <v>72974</v>
      </c>
      <c r="K693">
        <v>0</v>
      </c>
      <c r="P693" t="s">
        <v>1216</v>
      </c>
      <c r="Q693" s="1308" t="s">
        <v>4912</v>
      </c>
    </row>
    <row r="694" spans="1:17">
      <c r="A694" s="1305" t="s">
        <v>4905</v>
      </c>
      <c r="B694" s="29">
        <v>45940</v>
      </c>
      <c r="C694" s="29">
        <v>45940</v>
      </c>
      <c r="D694" t="s">
        <v>613</v>
      </c>
      <c r="E694" s="1276">
        <v>45769</v>
      </c>
      <c r="G694">
        <v>72974</v>
      </c>
      <c r="I694">
        <v>0</v>
      </c>
      <c r="J694">
        <v>72974</v>
      </c>
      <c r="K694">
        <v>0</v>
      </c>
      <c r="P694" t="s">
        <v>1216</v>
      </c>
      <c r="Q694" s="1308" t="s">
        <v>4912</v>
      </c>
    </row>
    <row r="695" spans="1:17">
      <c r="A695" s="1305" t="s">
        <v>4905</v>
      </c>
      <c r="B695" s="29">
        <v>45971</v>
      </c>
      <c r="C695" s="29">
        <v>45971</v>
      </c>
      <c r="D695" t="s">
        <v>613</v>
      </c>
      <c r="E695" s="1276">
        <v>45769</v>
      </c>
      <c r="G695">
        <v>72974</v>
      </c>
      <c r="I695">
        <v>0</v>
      </c>
      <c r="J695">
        <v>72974</v>
      </c>
      <c r="K695">
        <v>0</v>
      </c>
      <c r="P695" t="s">
        <v>1216</v>
      </c>
      <c r="Q695" s="1308" t="s">
        <v>4912</v>
      </c>
    </row>
    <row r="696" spans="1:17">
      <c r="A696" s="1305" t="s">
        <v>4905</v>
      </c>
      <c r="B696" s="29">
        <v>46001</v>
      </c>
      <c r="C696" s="29">
        <v>46001</v>
      </c>
      <c r="D696" t="s">
        <v>613</v>
      </c>
      <c r="E696" s="1276">
        <v>45769</v>
      </c>
      <c r="G696">
        <v>72974</v>
      </c>
      <c r="I696">
        <v>0</v>
      </c>
      <c r="J696">
        <v>72974</v>
      </c>
      <c r="K696">
        <v>0</v>
      </c>
      <c r="P696" t="s">
        <v>1216</v>
      </c>
      <c r="Q696" s="1308" t="s">
        <v>4912</v>
      </c>
    </row>
    <row r="697" spans="1:17">
      <c r="A697" s="1305" t="s">
        <v>4905</v>
      </c>
      <c r="B697" s="29">
        <v>46032</v>
      </c>
      <c r="C697" s="29">
        <v>46032</v>
      </c>
      <c r="D697" t="s">
        <v>613</v>
      </c>
      <c r="E697" s="1276">
        <v>45769</v>
      </c>
      <c r="G697">
        <v>72974</v>
      </c>
      <c r="I697">
        <v>0</v>
      </c>
      <c r="J697">
        <v>72974</v>
      </c>
      <c r="K697">
        <v>0</v>
      </c>
      <c r="P697" t="s">
        <v>1216</v>
      </c>
      <c r="Q697" s="1308" t="s">
        <v>4912</v>
      </c>
    </row>
    <row r="698" spans="1:17">
      <c r="A698" s="1305" t="s">
        <v>4905</v>
      </c>
      <c r="B698" s="29">
        <v>46063</v>
      </c>
      <c r="C698" s="29">
        <v>46063</v>
      </c>
      <c r="D698" t="s">
        <v>613</v>
      </c>
      <c r="E698" s="1276">
        <v>45769</v>
      </c>
      <c r="G698">
        <v>72974</v>
      </c>
      <c r="I698">
        <v>0</v>
      </c>
      <c r="J698">
        <v>72974</v>
      </c>
      <c r="K698">
        <v>0</v>
      </c>
      <c r="P698" t="s">
        <v>1216</v>
      </c>
      <c r="Q698" s="1308" t="s">
        <v>4912</v>
      </c>
    </row>
    <row r="699" spans="1:17">
      <c r="A699" s="1305" t="s">
        <v>4905</v>
      </c>
      <c r="B699" s="29">
        <v>46091</v>
      </c>
      <c r="C699" s="29">
        <v>46091</v>
      </c>
      <c r="D699" t="s">
        <v>613</v>
      </c>
      <c r="E699" s="1276">
        <v>45769</v>
      </c>
      <c r="G699">
        <v>72974</v>
      </c>
      <c r="I699">
        <v>0</v>
      </c>
      <c r="J699">
        <v>72974</v>
      </c>
      <c r="K699">
        <v>0</v>
      </c>
      <c r="P699" t="s">
        <v>1216</v>
      </c>
      <c r="Q699" s="1308" t="s">
        <v>4912</v>
      </c>
    </row>
    <row r="700" spans="1:17">
      <c r="A700" s="1305" t="s">
        <v>3724</v>
      </c>
      <c r="B700" s="29">
        <v>45907</v>
      </c>
      <c r="C700" s="29">
        <v>45935</v>
      </c>
      <c r="D700">
        <v>0</v>
      </c>
      <c r="E700" s="1276">
        <v>45769</v>
      </c>
      <c r="G700">
        <v>17200000</v>
      </c>
      <c r="I700">
        <v>0</v>
      </c>
      <c r="J700">
        <v>17200000</v>
      </c>
      <c r="K700">
        <v>0</v>
      </c>
      <c r="P700" t="s">
        <v>1216</v>
      </c>
      <c r="Q700" s="1310" t="s">
        <v>4913</v>
      </c>
    </row>
    <row r="701" spans="1:17">
      <c r="A701" s="1305" t="s">
        <v>3724</v>
      </c>
      <c r="B701" s="29">
        <v>45909</v>
      </c>
      <c r="C701" s="29">
        <v>45935</v>
      </c>
      <c r="D701" t="s">
        <v>585</v>
      </c>
      <c r="E701" s="1276">
        <v>45769</v>
      </c>
      <c r="G701">
        <v>873180</v>
      </c>
      <c r="I701">
        <v>0</v>
      </c>
      <c r="J701">
        <v>873180</v>
      </c>
      <c r="K701">
        <v>0</v>
      </c>
      <c r="P701" t="s">
        <v>1216</v>
      </c>
      <c r="Q701" s="1310" t="s">
        <v>4913</v>
      </c>
    </row>
    <row r="702" spans="1:17">
      <c r="A702" s="1305" t="s">
        <v>3724</v>
      </c>
      <c r="B702" s="29">
        <v>45939</v>
      </c>
      <c r="C702" s="29">
        <v>45939</v>
      </c>
      <c r="D702" t="s">
        <v>585</v>
      </c>
      <c r="E702" s="1276">
        <v>45769</v>
      </c>
      <c r="G702">
        <v>873180</v>
      </c>
      <c r="I702">
        <v>0</v>
      </c>
      <c r="J702">
        <v>873180</v>
      </c>
      <c r="K702">
        <v>0</v>
      </c>
      <c r="P702" t="s">
        <v>1216</v>
      </c>
      <c r="Q702" s="1310" t="s">
        <v>4913</v>
      </c>
    </row>
    <row r="703" spans="1:17">
      <c r="A703" s="1305" t="s">
        <v>3724</v>
      </c>
      <c r="B703" s="29">
        <v>45970</v>
      </c>
      <c r="C703" s="29">
        <v>45970</v>
      </c>
      <c r="D703" t="s">
        <v>585</v>
      </c>
      <c r="E703" s="1276">
        <v>45769</v>
      </c>
      <c r="G703">
        <v>873180</v>
      </c>
      <c r="I703">
        <v>0</v>
      </c>
      <c r="J703">
        <v>873180</v>
      </c>
      <c r="K703">
        <v>0</v>
      </c>
      <c r="P703" t="s">
        <v>1216</v>
      </c>
      <c r="Q703" s="1310" t="s">
        <v>4913</v>
      </c>
    </row>
    <row r="704" spans="1:17">
      <c r="A704" s="1305" t="s">
        <v>3724</v>
      </c>
      <c r="B704" s="29">
        <v>46000</v>
      </c>
      <c r="C704" s="29">
        <v>46000</v>
      </c>
      <c r="D704" t="s">
        <v>585</v>
      </c>
      <c r="E704" s="1276">
        <v>45769</v>
      </c>
      <c r="G704">
        <v>873180</v>
      </c>
      <c r="I704">
        <v>0</v>
      </c>
      <c r="J704">
        <v>873180</v>
      </c>
      <c r="K704">
        <v>0</v>
      </c>
      <c r="P704" t="s">
        <v>1216</v>
      </c>
      <c r="Q704" s="1310" t="s">
        <v>4913</v>
      </c>
    </row>
    <row r="705" spans="1:17">
      <c r="A705" s="1305" t="s">
        <v>3724</v>
      </c>
      <c r="B705" s="29">
        <v>46031</v>
      </c>
      <c r="C705" s="29">
        <v>46031</v>
      </c>
      <c r="D705" t="s">
        <v>585</v>
      </c>
      <c r="E705" s="1276">
        <v>45769</v>
      </c>
      <c r="G705">
        <v>873180</v>
      </c>
      <c r="I705">
        <v>0</v>
      </c>
      <c r="J705">
        <v>873180</v>
      </c>
      <c r="K705">
        <v>0</v>
      </c>
      <c r="P705" t="s">
        <v>1216</v>
      </c>
      <c r="Q705" s="1310" t="s">
        <v>4913</v>
      </c>
    </row>
    <row r="706" spans="1:17">
      <c r="A706" s="1305" t="s">
        <v>3724</v>
      </c>
      <c r="B706" s="29">
        <v>46062</v>
      </c>
      <c r="C706" s="29">
        <v>46062</v>
      </c>
      <c r="D706" t="s">
        <v>585</v>
      </c>
      <c r="E706" s="1276">
        <v>45769</v>
      </c>
      <c r="G706">
        <v>873180</v>
      </c>
      <c r="I706">
        <v>0</v>
      </c>
      <c r="J706">
        <v>873180</v>
      </c>
      <c r="K706">
        <v>0</v>
      </c>
      <c r="P706" t="s">
        <v>1216</v>
      </c>
      <c r="Q706" s="1310" t="s">
        <v>4913</v>
      </c>
    </row>
    <row r="707" spans="1:17">
      <c r="A707" s="1305" t="s">
        <v>3724</v>
      </c>
      <c r="B707" s="29">
        <v>46090</v>
      </c>
      <c r="C707" s="29">
        <v>46090</v>
      </c>
      <c r="D707" t="s">
        <v>585</v>
      </c>
      <c r="E707" s="1276">
        <v>45769</v>
      </c>
      <c r="G707">
        <v>873180</v>
      </c>
      <c r="I707">
        <v>0</v>
      </c>
      <c r="J707">
        <v>873180</v>
      </c>
      <c r="K707">
        <v>0</v>
      </c>
      <c r="P707" t="s">
        <v>1216</v>
      </c>
      <c r="Q707" s="1310" t="s">
        <v>4913</v>
      </c>
    </row>
    <row r="708" spans="1:17">
      <c r="A708" s="1305" t="s">
        <v>3724</v>
      </c>
      <c r="B708" s="29">
        <v>45896</v>
      </c>
      <c r="C708" s="29">
        <v>45935</v>
      </c>
      <c r="D708" t="s">
        <v>3432</v>
      </c>
      <c r="E708" s="1276">
        <v>45769</v>
      </c>
      <c r="G708">
        <v>147500</v>
      </c>
      <c r="I708">
        <v>0</v>
      </c>
      <c r="J708">
        <v>147500</v>
      </c>
      <c r="K708">
        <v>0</v>
      </c>
      <c r="P708" t="s">
        <v>1216</v>
      </c>
      <c r="Q708" s="1310" t="s">
        <v>4913</v>
      </c>
    </row>
    <row r="709" spans="1:17">
      <c r="A709" s="1305" t="s">
        <v>3724</v>
      </c>
      <c r="B709" s="29">
        <v>45927</v>
      </c>
      <c r="C709" s="29">
        <v>45935</v>
      </c>
      <c r="D709" t="s">
        <v>3432</v>
      </c>
      <c r="E709" s="1276">
        <v>45769</v>
      </c>
      <c r="G709">
        <v>147500</v>
      </c>
      <c r="I709">
        <v>0</v>
      </c>
      <c r="J709">
        <v>147500</v>
      </c>
      <c r="K709">
        <v>0</v>
      </c>
      <c r="P709" t="s">
        <v>1216</v>
      </c>
      <c r="Q709" s="1310" t="s">
        <v>4913</v>
      </c>
    </row>
    <row r="710" spans="1:17">
      <c r="A710" s="1305" t="s">
        <v>3724</v>
      </c>
      <c r="B710" s="29">
        <v>45957</v>
      </c>
      <c r="C710" s="29">
        <v>45957</v>
      </c>
      <c r="D710" t="s">
        <v>3432</v>
      </c>
      <c r="E710" s="1276">
        <v>45769</v>
      </c>
      <c r="G710">
        <v>147500</v>
      </c>
      <c r="I710">
        <v>0</v>
      </c>
      <c r="J710">
        <v>147500</v>
      </c>
      <c r="K710">
        <v>0</v>
      </c>
      <c r="P710" t="s">
        <v>1216</v>
      </c>
      <c r="Q710" s="1310" t="s">
        <v>4913</v>
      </c>
    </row>
    <row r="711" spans="1:17">
      <c r="A711" s="1305" t="s">
        <v>3724</v>
      </c>
      <c r="B711" s="29">
        <v>45988</v>
      </c>
      <c r="C711" s="29">
        <v>45988</v>
      </c>
      <c r="D711" t="s">
        <v>3432</v>
      </c>
      <c r="E711" s="1276">
        <v>45769</v>
      </c>
      <c r="G711">
        <v>147500</v>
      </c>
      <c r="I711">
        <v>0</v>
      </c>
      <c r="J711">
        <v>147500</v>
      </c>
      <c r="K711">
        <v>0</v>
      </c>
      <c r="P711" t="s">
        <v>1216</v>
      </c>
      <c r="Q711" s="1310" t="s">
        <v>4913</v>
      </c>
    </row>
    <row r="712" spans="1:17">
      <c r="A712" s="1305" t="s">
        <v>3724</v>
      </c>
      <c r="B712" s="29">
        <v>46018</v>
      </c>
      <c r="C712" s="29">
        <v>46018</v>
      </c>
      <c r="D712" t="s">
        <v>3432</v>
      </c>
      <c r="E712" s="1276">
        <v>45769</v>
      </c>
      <c r="G712">
        <v>147500</v>
      </c>
      <c r="I712">
        <v>0</v>
      </c>
      <c r="J712">
        <v>147500</v>
      </c>
      <c r="K712">
        <v>0</v>
      </c>
      <c r="P712" t="s">
        <v>1216</v>
      </c>
      <c r="Q712" s="1310" t="s">
        <v>4913</v>
      </c>
    </row>
    <row r="713" spans="1:17">
      <c r="A713" s="1305" t="s">
        <v>3724</v>
      </c>
      <c r="B713" s="29">
        <v>46049</v>
      </c>
      <c r="C713" s="29">
        <v>46049</v>
      </c>
      <c r="D713" t="s">
        <v>3432</v>
      </c>
      <c r="E713" s="1276">
        <v>45769</v>
      </c>
      <c r="G713">
        <v>147500</v>
      </c>
      <c r="I713">
        <v>0</v>
      </c>
      <c r="J713">
        <v>147500</v>
      </c>
      <c r="K713">
        <v>0</v>
      </c>
      <c r="P713" t="s">
        <v>1216</v>
      </c>
      <c r="Q713" s="1310" t="s">
        <v>4913</v>
      </c>
    </row>
    <row r="714" spans="1:17">
      <c r="A714" s="1305" t="s">
        <v>3724</v>
      </c>
      <c r="B714" s="29">
        <v>46080</v>
      </c>
      <c r="C714" s="29">
        <v>46080</v>
      </c>
      <c r="D714" t="s">
        <v>3432</v>
      </c>
      <c r="E714" s="1276">
        <v>45769</v>
      </c>
      <c r="G714">
        <v>147500</v>
      </c>
      <c r="I714">
        <v>0</v>
      </c>
      <c r="J714">
        <v>147500</v>
      </c>
      <c r="K714">
        <v>0</v>
      </c>
      <c r="P714" t="s">
        <v>1216</v>
      </c>
      <c r="Q714" s="1310" t="s">
        <v>4913</v>
      </c>
    </row>
    <row r="715" spans="1:17">
      <c r="A715" s="1305" t="s">
        <v>3724</v>
      </c>
      <c r="B715" s="29">
        <v>46108</v>
      </c>
      <c r="C715" s="29">
        <v>46108</v>
      </c>
      <c r="D715" t="s">
        <v>3432</v>
      </c>
      <c r="E715" s="1276">
        <v>45769</v>
      </c>
      <c r="G715">
        <v>147500</v>
      </c>
      <c r="I715">
        <v>0</v>
      </c>
      <c r="J715">
        <v>147500</v>
      </c>
      <c r="K715">
        <v>0</v>
      </c>
      <c r="P715" t="s">
        <v>1216</v>
      </c>
      <c r="Q715" s="1310" t="s">
        <v>4913</v>
      </c>
    </row>
    <row r="716" spans="1:17">
      <c r="A716" s="1305" t="s">
        <v>702</v>
      </c>
      <c r="B716" s="29">
        <v>45910</v>
      </c>
      <c r="C716" s="29">
        <v>45935</v>
      </c>
      <c r="D716" t="s">
        <v>4602</v>
      </c>
      <c r="E716" s="1276">
        <v>45769</v>
      </c>
      <c r="G716">
        <v>235188</v>
      </c>
      <c r="I716">
        <v>0</v>
      </c>
      <c r="J716">
        <v>235188</v>
      </c>
      <c r="K716">
        <v>0</v>
      </c>
      <c r="P716" t="s">
        <v>1216</v>
      </c>
      <c r="Q716" s="1308" t="s">
        <v>4911</v>
      </c>
    </row>
    <row r="717" spans="1:17">
      <c r="A717" s="1305" t="s">
        <v>702</v>
      </c>
      <c r="B717" s="29">
        <v>45911</v>
      </c>
      <c r="C717" s="29">
        <v>45935</v>
      </c>
      <c r="D717" t="s">
        <v>926</v>
      </c>
      <c r="E717" s="1276">
        <v>45769</v>
      </c>
      <c r="G717">
        <v>983674</v>
      </c>
      <c r="I717">
        <v>0</v>
      </c>
      <c r="J717">
        <v>983674</v>
      </c>
      <c r="K717">
        <v>0</v>
      </c>
      <c r="P717" t="s">
        <v>1216</v>
      </c>
      <c r="Q717" s="1308" t="s">
        <v>4911</v>
      </c>
    </row>
    <row r="718" spans="1:17">
      <c r="A718" s="1305" t="s">
        <v>702</v>
      </c>
      <c r="B718" s="29">
        <v>45933</v>
      </c>
      <c r="C718" s="29">
        <v>45935</v>
      </c>
      <c r="D718" t="s">
        <v>4602</v>
      </c>
      <c r="E718" s="1276">
        <v>45769</v>
      </c>
      <c r="G718">
        <v>702224</v>
      </c>
      <c r="I718">
        <v>0</v>
      </c>
      <c r="J718">
        <v>702224</v>
      </c>
      <c r="K718">
        <v>0</v>
      </c>
      <c r="P718" t="s">
        <v>1216</v>
      </c>
      <c r="Q718" s="1308" t="s">
        <v>4911</v>
      </c>
    </row>
    <row r="719" spans="1:17">
      <c r="A719" s="1305" t="s">
        <v>702</v>
      </c>
      <c r="B719" s="29">
        <v>45945</v>
      </c>
      <c r="C719" s="29">
        <v>45945</v>
      </c>
      <c r="D719" t="s">
        <v>932</v>
      </c>
      <c r="E719" s="1276">
        <v>45769</v>
      </c>
      <c r="G719">
        <v>1718376</v>
      </c>
      <c r="I719">
        <v>0</v>
      </c>
      <c r="J719">
        <v>1718376</v>
      </c>
      <c r="K719">
        <v>0</v>
      </c>
      <c r="P719" t="s">
        <v>1216</v>
      </c>
      <c r="Q719" s="1308" t="s">
        <v>4911</v>
      </c>
    </row>
    <row r="720" spans="1:17">
      <c r="A720" s="1305" t="s">
        <v>702</v>
      </c>
      <c r="B720" s="29">
        <v>45945</v>
      </c>
      <c r="C720" s="29">
        <v>45945</v>
      </c>
      <c r="D720" t="s">
        <v>3964</v>
      </c>
      <c r="E720" s="1276">
        <v>45769</v>
      </c>
      <c r="G720">
        <v>94164</v>
      </c>
      <c r="I720">
        <v>0</v>
      </c>
      <c r="J720">
        <v>94164</v>
      </c>
      <c r="K720">
        <v>0</v>
      </c>
      <c r="P720" t="s">
        <v>1216</v>
      </c>
      <c r="Q720" s="1308" t="s">
        <v>4911</v>
      </c>
    </row>
    <row r="721" spans="1:17">
      <c r="A721" s="1305" t="s">
        <v>702</v>
      </c>
      <c r="B721" s="29">
        <v>45946</v>
      </c>
      <c r="C721" s="29">
        <v>45946</v>
      </c>
      <c r="D721" t="s">
        <v>4602</v>
      </c>
      <c r="E721" s="1276">
        <v>45769</v>
      </c>
      <c r="G721">
        <v>198444</v>
      </c>
      <c r="I721">
        <v>0</v>
      </c>
      <c r="J721">
        <v>198444</v>
      </c>
      <c r="K721">
        <v>0</v>
      </c>
      <c r="P721" t="s">
        <v>1216</v>
      </c>
      <c r="Q721" s="1308" t="s">
        <v>4911</v>
      </c>
    </row>
    <row r="722" spans="1:17">
      <c r="A722" s="1305" t="s">
        <v>702</v>
      </c>
      <c r="B722" s="29">
        <v>45947</v>
      </c>
      <c r="C722" s="29">
        <v>45947</v>
      </c>
      <c r="D722" t="s">
        <v>4602</v>
      </c>
      <c r="E722" s="1276">
        <v>45769</v>
      </c>
      <c r="G722">
        <v>57565</v>
      </c>
      <c r="I722">
        <v>0</v>
      </c>
      <c r="J722">
        <v>57565</v>
      </c>
      <c r="K722">
        <v>0</v>
      </c>
      <c r="P722" t="s">
        <v>1216</v>
      </c>
      <c r="Q722" s="1308" t="s">
        <v>4911</v>
      </c>
    </row>
    <row r="723" spans="1:17">
      <c r="A723" s="1305" t="s">
        <v>702</v>
      </c>
      <c r="B723" s="29">
        <v>45947</v>
      </c>
      <c r="C723" s="29">
        <v>45947</v>
      </c>
      <c r="D723" t="s">
        <v>916</v>
      </c>
      <c r="E723" s="1276">
        <v>45769</v>
      </c>
      <c r="G723">
        <v>424440</v>
      </c>
      <c r="I723">
        <v>0</v>
      </c>
      <c r="J723">
        <v>424440</v>
      </c>
      <c r="K723">
        <v>0</v>
      </c>
      <c r="P723" t="s">
        <v>1216</v>
      </c>
      <c r="Q723" s="1308" t="s">
        <v>4911</v>
      </c>
    </row>
    <row r="724" spans="1:17">
      <c r="A724" s="1305" t="s">
        <v>702</v>
      </c>
      <c r="B724" s="29">
        <v>45948</v>
      </c>
      <c r="C724" s="29">
        <v>45948</v>
      </c>
      <c r="D724" t="s">
        <v>4621</v>
      </c>
      <c r="E724" s="1276">
        <v>45769</v>
      </c>
      <c r="G724">
        <v>365490</v>
      </c>
      <c r="I724">
        <v>0</v>
      </c>
      <c r="J724">
        <v>365490</v>
      </c>
      <c r="K724">
        <v>0</v>
      </c>
      <c r="P724" t="s">
        <v>1216</v>
      </c>
      <c r="Q724" s="1308" t="s">
        <v>4911</v>
      </c>
    </row>
    <row r="725" spans="1:17">
      <c r="A725" s="1305" t="s">
        <v>702</v>
      </c>
      <c r="B725" s="29">
        <v>45948</v>
      </c>
      <c r="C725" s="29">
        <v>45948</v>
      </c>
      <c r="D725" t="s">
        <v>929</v>
      </c>
      <c r="E725" s="1276">
        <v>45769</v>
      </c>
      <c r="G725">
        <v>898877</v>
      </c>
      <c r="I725">
        <v>0</v>
      </c>
      <c r="J725">
        <v>898877</v>
      </c>
      <c r="K725">
        <v>0</v>
      </c>
      <c r="P725" t="s">
        <v>1216</v>
      </c>
      <c r="Q725" s="1308" t="s">
        <v>4911</v>
      </c>
    </row>
    <row r="726" spans="1:17">
      <c r="A726" s="1305" t="s">
        <v>702</v>
      </c>
      <c r="B726" s="29">
        <v>45948</v>
      </c>
      <c r="C726" s="29">
        <v>45948</v>
      </c>
      <c r="D726" t="s">
        <v>916</v>
      </c>
      <c r="E726" s="1276">
        <v>45769</v>
      </c>
      <c r="G726">
        <v>229850</v>
      </c>
      <c r="I726">
        <v>0</v>
      </c>
      <c r="J726">
        <v>229850</v>
      </c>
      <c r="K726">
        <v>0</v>
      </c>
      <c r="P726" t="s">
        <v>1216</v>
      </c>
      <c r="Q726" s="1308" t="s">
        <v>4911</v>
      </c>
    </row>
    <row r="727" spans="1:17">
      <c r="A727" s="1305" t="s">
        <v>702</v>
      </c>
      <c r="B727" s="29">
        <v>45948</v>
      </c>
      <c r="C727" s="29">
        <v>45948</v>
      </c>
      <c r="D727" t="s">
        <v>929</v>
      </c>
      <c r="E727" s="1276">
        <v>45769</v>
      </c>
      <c r="G727">
        <v>452648</v>
      </c>
      <c r="I727">
        <v>0</v>
      </c>
      <c r="J727">
        <v>452648</v>
      </c>
      <c r="K727">
        <v>0</v>
      </c>
      <c r="P727" t="s">
        <v>1216</v>
      </c>
      <c r="Q727" s="1308" t="s">
        <v>4911</v>
      </c>
    </row>
    <row r="728" spans="1:17">
      <c r="A728" s="1305" t="s">
        <v>702</v>
      </c>
      <c r="B728" s="29">
        <v>45950</v>
      </c>
      <c r="C728" s="29">
        <v>45950</v>
      </c>
      <c r="D728" t="s">
        <v>948</v>
      </c>
      <c r="E728" s="1276">
        <v>45769</v>
      </c>
      <c r="G728">
        <v>521400</v>
      </c>
      <c r="I728">
        <v>0</v>
      </c>
      <c r="J728">
        <v>521400</v>
      </c>
      <c r="K728">
        <v>0</v>
      </c>
      <c r="P728" t="s">
        <v>1216</v>
      </c>
      <c r="Q728" s="1308" t="s">
        <v>4911</v>
      </c>
    </row>
    <row r="729" spans="1:17">
      <c r="A729" s="1305" t="s">
        <v>702</v>
      </c>
      <c r="B729" s="29">
        <v>45950</v>
      </c>
      <c r="C729" s="29">
        <v>45950</v>
      </c>
      <c r="D729" t="s">
        <v>4621</v>
      </c>
      <c r="E729" s="1276">
        <v>45769</v>
      </c>
      <c r="G729">
        <v>244642</v>
      </c>
      <c r="I729">
        <v>0</v>
      </c>
      <c r="J729">
        <v>244642</v>
      </c>
      <c r="K729">
        <v>0</v>
      </c>
      <c r="P729" t="s">
        <v>1216</v>
      </c>
      <c r="Q729" s="1308" t="s">
        <v>4911</v>
      </c>
    </row>
    <row r="730" spans="1:17">
      <c r="A730" s="1305" t="s">
        <v>702</v>
      </c>
      <c r="B730" s="29">
        <v>45950</v>
      </c>
      <c r="C730" s="29">
        <v>45950</v>
      </c>
      <c r="D730" t="s">
        <v>4602</v>
      </c>
      <c r="E730" s="1276">
        <v>45769</v>
      </c>
      <c r="G730">
        <v>201877</v>
      </c>
      <c r="I730">
        <v>0</v>
      </c>
      <c r="J730">
        <v>201877</v>
      </c>
      <c r="K730">
        <v>0</v>
      </c>
      <c r="P730" t="s">
        <v>1216</v>
      </c>
      <c r="Q730" s="1308" t="s">
        <v>4911</v>
      </c>
    </row>
    <row r="731" spans="1:17">
      <c r="A731" s="1305" t="s">
        <v>702</v>
      </c>
      <c r="B731" s="29">
        <v>45950</v>
      </c>
      <c r="C731" s="29">
        <v>45950</v>
      </c>
      <c r="D731" t="s">
        <v>4622</v>
      </c>
      <c r="E731" s="1276">
        <v>45769</v>
      </c>
      <c r="G731">
        <v>146975</v>
      </c>
      <c r="I731">
        <v>0</v>
      </c>
      <c r="J731">
        <v>146975</v>
      </c>
      <c r="K731">
        <v>0</v>
      </c>
      <c r="P731" t="s">
        <v>1216</v>
      </c>
      <c r="Q731" s="1308" t="s">
        <v>4911</v>
      </c>
    </row>
    <row r="732" spans="1:17">
      <c r="A732" s="1305" t="s">
        <v>702</v>
      </c>
      <c r="B732" s="29">
        <v>45950</v>
      </c>
      <c r="C732" s="29">
        <v>45950</v>
      </c>
      <c r="D732" t="s">
        <v>4613</v>
      </c>
      <c r="E732" s="1276">
        <v>45769</v>
      </c>
      <c r="G732">
        <v>1000000</v>
      </c>
      <c r="I732">
        <v>0</v>
      </c>
      <c r="J732">
        <v>1000000</v>
      </c>
      <c r="K732">
        <v>0</v>
      </c>
      <c r="P732" t="s">
        <v>1216</v>
      </c>
      <c r="Q732" s="1308" t="s">
        <v>4911</v>
      </c>
    </row>
    <row r="733" spans="1:17">
      <c r="A733" s="1305" t="s">
        <v>702</v>
      </c>
      <c r="B733" s="29">
        <v>45954</v>
      </c>
      <c r="C733" s="29">
        <v>45954</v>
      </c>
      <c r="D733" t="s">
        <v>4602</v>
      </c>
      <c r="E733" s="1276">
        <v>45769</v>
      </c>
      <c r="G733">
        <v>105226</v>
      </c>
      <c r="I733">
        <v>0</v>
      </c>
      <c r="J733">
        <v>105226</v>
      </c>
      <c r="K733">
        <v>0</v>
      </c>
      <c r="P733" t="s">
        <v>1216</v>
      </c>
      <c r="Q733" s="1308" t="s">
        <v>4911</v>
      </c>
    </row>
    <row r="734" spans="1:17">
      <c r="A734" s="1305" t="s">
        <v>702</v>
      </c>
      <c r="B734" s="29">
        <v>45954</v>
      </c>
      <c r="C734" s="29">
        <v>45954</v>
      </c>
      <c r="D734" t="s">
        <v>4623</v>
      </c>
      <c r="E734" s="1276">
        <v>45769</v>
      </c>
      <c r="G734">
        <v>71616</v>
      </c>
      <c r="I734">
        <v>0</v>
      </c>
      <c r="J734">
        <v>71616</v>
      </c>
      <c r="K734">
        <v>0</v>
      </c>
      <c r="P734" t="s">
        <v>1216</v>
      </c>
      <c r="Q734" s="1308" t="s">
        <v>4911</v>
      </c>
    </row>
    <row r="735" spans="1:17">
      <c r="A735" s="1305" t="s">
        <v>702</v>
      </c>
      <c r="B735" s="29">
        <v>45954</v>
      </c>
      <c r="C735" s="29">
        <v>45954</v>
      </c>
      <c r="D735" t="s">
        <v>4624</v>
      </c>
      <c r="E735" s="1276">
        <v>45769</v>
      </c>
      <c r="G735">
        <v>331486</v>
      </c>
      <c r="I735">
        <v>0</v>
      </c>
      <c r="J735">
        <v>331486</v>
      </c>
      <c r="K735">
        <v>0</v>
      </c>
      <c r="P735" t="s">
        <v>1216</v>
      </c>
      <c r="Q735" s="1308" t="s">
        <v>4911</v>
      </c>
    </row>
    <row r="736" spans="1:17">
      <c r="A736" s="1305" t="s">
        <v>702</v>
      </c>
      <c r="B736" s="29">
        <v>45954</v>
      </c>
      <c r="C736" s="29">
        <v>45954</v>
      </c>
      <c r="D736" t="s">
        <v>948</v>
      </c>
      <c r="E736" s="1276">
        <v>45769</v>
      </c>
      <c r="G736">
        <v>717027</v>
      </c>
      <c r="I736">
        <v>0</v>
      </c>
      <c r="J736">
        <v>717027</v>
      </c>
      <c r="K736">
        <v>0</v>
      </c>
      <c r="P736" t="s">
        <v>1216</v>
      </c>
      <c r="Q736" s="1308" t="s">
        <v>4911</v>
      </c>
    </row>
    <row r="737" spans="1:17">
      <c r="A737" s="1305" t="s">
        <v>702</v>
      </c>
      <c r="B737" s="29">
        <v>45957</v>
      </c>
      <c r="C737" s="29">
        <v>45957</v>
      </c>
      <c r="D737" t="s">
        <v>4613</v>
      </c>
      <c r="E737" s="1276">
        <v>45769</v>
      </c>
      <c r="G737">
        <v>474410</v>
      </c>
      <c r="I737">
        <v>0</v>
      </c>
      <c r="J737">
        <v>474410</v>
      </c>
      <c r="K737">
        <v>0</v>
      </c>
      <c r="P737" t="s">
        <v>1216</v>
      </c>
      <c r="Q737" s="1308" t="s">
        <v>4911</v>
      </c>
    </row>
    <row r="738" spans="1:17">
      <c r="A738" s="1305" t="s">
        <v>702</v>
      </c>
      <c r="B738" s="29">
        <v>45958</v>
      </c>
      <c r="C738" s="29">
        <v>45958</v>
      </c>
      <c r="D738" t="s">
        <v>4167</v>
      </c>
      <c r="E738" s="1276">
        <v>45769</v>
      </c>
      <c r="G738">
        <v>9635968</v>
      </c>
      <c r="I738">
        <v>0</v>
      </c>
      <c r="J738">
        <v>9635968</v>
      </c>
      <c r="K738">
        <v>0</v>
      </c>
      <c r="P738" t="s">
        <v>1216</v>
      </c>
      <c r="Q738" s="1308" t="s">
        <v>4911</v>
      </c>
    </row>
    <row r="739" spans="1:17">
      <c r="A739" s="1305" t="s">
        <v>702</v>
      </c>
      <c r="B739" s="29">
        <v>45959</v>
      </c>
      <c r="C739" s="29">
        <v>45959</v>
      </c>
      <c r="D739" t="s">
        <v>4602</v>
      </c>
      <c r="E739" s="1276">
        <v>45769</v>
      </c>
      <c r="G739">
        <v>66739</v>
      </c>
      <c r="I739">
        <v>0</v>
      </c>
      <c r="J739">
        <v>66739</v>
      </c>
      <c r="K739">
        <v>0</v>
      </c>
      <c r="P739" t="s">
        <v>1216</v>
      </c>
      <c r="Q739" s="1308" t="s">
        <v>4911</v>
      </c>
    </row>
    <row r="740" spans="1:17">
      <c r="A740" s="1305" t="s">
        <v>702</v>
      </c>
      <c r="B740" s="29">
        <v>45959</v>
      </c>
      <c r="C740" s="29">
        <v>45959</v>
      </c>
      <c r="D740" t="s">
        <v>4602</v>
      </c>
      <c r="E740" s="1276">
        <v>45769</v>
      </c>
      <c r="G740">
        <v>59422</v>
      </c>
      <c r="I740">
        <v>0</v>
      </c>
      <c r="J740">
        <v>59422</v>
      </c>
      <c r="K740">
        <v>0</v>
      </c>
      <c r="P740" t="s">
        <v>1216</v>
      </c>
      <c r="Q740" s="1308" t="s">
        <v>4911</v>
      </c>
    </row>
    <row r="741" spans="1:17">
      <c r="A741" s="1305" t="s">
        <v>702</v>
      </c>
      <c r="B741" s="29">
        <v>45959</v>
      </c>
      <c r="C741" s="29">
        <v>45959</v>
      </c>
      <c r="D741" t="s">
        <v>4602</v>
      </c>
      <c r="E741" s="1276">
        <v>45769</v>
      </c>
      <c r="G741">
        <v>66071</v>
      </c>
      <c r="I741">
        <v>0</v>
      </c>
      <c r="J741">
        <v>66071</v>
      </c>
      <c r="K741">
        <v>0</v>
      </c>
      <c r="P741" t="s">
        <v>1216</v>
      </c>
      <c r="Q741" s="1308" t="s">
        <v>4911</v>
      </c>
    </row>
    <row r="742" spans="1:17">
      <c r="A742" s="1305" t="s">
        <v>702</v>
      </c>
      <c r="B742" s="29">
        <v>45959</v>
      </c>
      <c r="C742" s="29">
        <v>45959</v>
      </c>
      <c r="D742" t="s">
        <v>4175</v>
      </c>
      <c r="E742" s="1276">
        <v>45769</v>
      </c>
      <c r="G742">
        <v>1000000</v>
      </c>
      <c r="I742">
        <v>0</v>
      </c>
      <c r="J742">
        <v>1000000</v>
      </c>
      <c r="K742">
        <v>0</v>
      </c>
      <c r="P742" t="s">
        <v>1216</v>
      </c>
      <c r="Q742" s="1308" t="s">
        <v>4911</v>
      </c>
    </row>
    <row r="743" spans="1:17">
      <c r="A743" s="1305" t="s">
        <v>702</v>
      </c>
      <c r="B743" s="29">
        <v>45959</v>
      </c>
      <c r="C743" s="29">
        <v>45959</v>
      </c>
      <c r="D743" t="s">
        <v>4602</v>
      </c>
      <c r="E743" s="1276">
        <v>45769</v>
      </c>
      <c r="G743">
        <v>105660</v>
      </c>
      <c r="I743">
        <v>0</v>
      </c>
      <c r="J743">
        <v>105660</v>
      </c>
      <c r="K743">
        <v>0</v>
      </c>
      <c r="P743" t="s">
        <v>1216</v>
      </c>
      <c r="Q743" s="1308" t="s">
        <v>4911</v>
      </c>
    </row>
    <row r="744" spans="1:17">
      <c r="A744" s="1305" t="s">
        <v>702</v>
      </c>
      <c r="B744" s="29">
        <v>45960</v>
      </c>
      <c r="C744" s="29">
        <v>45960</v>
      </c>
      <c r="D744" t="s">
        <v>4602</v>
      </c>
      <c r="E744" s="1276">
        <v>45769</v>
      </c>
      <c r="G744">
        <v>1928602</v>
      </c>
      <c r="I744">
        <v>0</v>
      </c>
      <c r="J744">
        <v>1928602</v>
      </c>
      <c r="K744">
        <v>0</v>
      </c>
      <c r="P744" t="s">
        <v>1216</v>
      </c>
      <c r="Q744" s="1308" t="s">
        <v>4911</v>
      </c>
    </row>
    <row r="745" spans="1:17">
      <c r="A745" s="1305" t="s">
        <v>702</v>
      </c>
      <c r="B745" s="29">
        <v>45961</v>
      </c>
      <c r="C745" s="29">
        <v>45961</v>
      </c>
      <c r="D745" t="s">
        <v>4613</v>
      </c>
      <c r="E745" s="1276">
        <v>45769</v>
      </c>
      <c r="G745">
        <v>161876</v>
      </c>
      <c r="I745">
        <v>0</v>
      </c>
      <c r="J745">
        <v>161876</v>
      </c>
      <c r="K745">
        <v>0</v>
      </c>
      <c r="P745" t="s">
        <v>1216</v>
      </c>
      <c r="Q745" s="1308" t="s">
        <v>4911</v>
      </c>
    </row>
    <row r="746" spans="1:17">
      <c r="A746" s="1305" t="s">
        <v>702</v>
      </c>
      <c r="B746" s="29">
        <v>45965</v>
      </c>
      <c r="C746" s="29">
        <v>45965</v>
      </c>
      <c r="D746" t="s">
        <v>926</v>
      </c>
      <c r="E746" s="1276">
        <v>45769</v>
      </c>
      <c r="G746">
        <v>1384094</v>
      </c>
      <c r="I746">
        <v>0</v>
      </c>
      <c r="J746">
        <v>1384094</v>
      </c>
      <c r="K746">
        <v>0</v>
      </c>
      <c r="P746" t="s">
        <v>1216</v>
      </c>
      <c r="Q746" s="1308" t="s">
        <v>4911</v>
      </c>
    </row>
    <row r="747" spans="1:17">
      <c r="A747" s="1305" t="s">
        <v>702</v>
      </c>
      <c r="B747" s="29">
        <v>45965</v>
      </c>
      <c r="C747" s="29">
        <v>45965</v>
      </c>
      <c r="D747" t="s">
        <v>4175</v>
      </c>
      <c r="E747" s="1276">
        <v>45769</v>
      </c>
      <c r="G747">
        <v>3000000</v>
      </c>
      <c r="I747">
        <v>0</v>
      </c>
      <c r="J747">
        <v>3000000</v>
      </c>
      <c r="K747">
        <v>0</v>
      </c>
      <c r="P747" t="s">
        <v>1216</v>
      </c>
      <c r="Q747" s="1308" t="s">
        <v>4911</v>
      </c>
    </row>
    <row r="748" spans="1:17">
      <c r="A748" s="1305" t="s">
        <v>702</v>
      </c>
      <c r="B748" s="29">
        <v>45965</v>
      </c>
      <c r="C748" s="29">
        <v>45965</v>
      </c>
      <c r="D748" t="s">
        <v>4612</v>
      </c>
      <c r="E748" s="1276">
        <v>45769</v>
      </c>
      <c r="G748">
        <v>8408</v>
      </c>
      <c r="I748">
        <v>0</v>
      </c>
      <c r="J748">
        <v>8408</v>
      </c>
      <c r="K748">
        <v>0</v>
      </c>
      <c r="P748" t="s">
        <v>1216</v>
      </c>
      <c r="Q748" s="1308" t="s">
        <v>4911</v>
      </c>
    </row>
    <row r="749" spans="1:17">
      <c r="A749" s="1305" t="s">
        <v>702</v>
      </c>
      <c r="B749" s="29">
        <v>45967</v>
      </c>
      <c r="C749" s="29">
        <v>45967</v>
      </c>
      <c r="D749" t="s">
        <v>4625</v>
      </c>
      <c r="E749" s="1276">
        <v>45769</v>
      </c>
      <c r="G749">
        <v>235528</v>
      </c>
      <c r="I749">
        <v>0</v>
      </c>
      <c r="J749">
        <v>235528</v>
      </c>
      <c r="K749">
        <v>0</v>
      </c>
      <c r="P749" t="s">
        <v>1216</v>
      </c>
      <c r="Q749" s="1308" t="s">
        <v>4911</v>
      </c>
    </row>
    <row r="750" spans="1:17">
      <c r="A750" s="1305" t="s">
        <v>702</v>
      </c>
      <c r="B750" s="29">
        <v>45968</v>
      </c>
      <c r="C750" s="29">
        <v>45968</v>
      </c>
      <c r="D750" t="s">
        <v>926</v>
      </c>
      <c r="E750" s="1276">
        <v>45769</v>
      </c>
      <c r="G750">
        <v>352475</v>
      </c>
      <c r="I750">
        <v>0</v>
      </c>
      <c r="J750">
        <v>352475</v>
      </c>
      <c r="K750">
        <v>0</v>
      </c>
      <c r="P750" t="s">
        <v>1216</v>
      </c>
      <c r="Q750" s="1308" t="s">
        <v>4911</v>
      </c>
    </row>
    <row r="751" spans="1:17">
      <c r="A751" s="1305" t="s">
        <v>702</v>
      </c>
      <c r="B751" s="29">
        <v>45968</v>
      </c>
      <c r="C751" s="29">
        <v>45968</v>
      </c>
      <c r="D751" t="s">
        <v>4626</v>
      </c>
      <c r="E751" s="1276">
        <v>45769</v>
      </c>
      <c r="G751">
        <v>163182</v>
      </c>
      <c r="I751">
        <v>0</v>
      </c>
      <c r="J751">
        <v>163182</v>
      </c>
      <c r="K751">
        <v>0</v>
      </c>
      <c r="P751" t="s">
        <v>1216</v>
      </c>
      <c r="Q751" s="1308" t="s">
        <v>4911</v>
      </c>
    </row>
    <row r="752" spans="1:17">
      <c r="A752" s="1305" t="s">
        <v>702</v>
      </c>
      <c r="B752" s="29">
        <v>45968</v>
      </c>
      <c r="C752" s="29">
        <v>45968</v>
      </c>
      <c r="D752" t="s">
        <v>929</v>
      </c>
      <c r="E752" s="1276">
        <v>45769</v>
      </c>
      <c r="G752">
        <v>29176</v>
      </c>
      <c r="I752">
        <v>0</v>
      </c>
      <c r="J752">
        <v>29176</v>
      </c>
      <c r="K752">
        <v>0</v>
      </c>
      <c r="P752" t="s">
        <v>1216</v>
      </c>
      <c r="Q752" s="1308" t="s">
        <v>4911</v>
      </c>
    </row>
    <row r="753" spans="1:17">
      <c r="A753" s="1305" t="s">
        <v>702</v>
      </c>
      <c r="B753" s="29">
        <v>45971</v>
      </c>
      <c r="C753" s="29">
        <v>45971</v>
      </c>
      <c r="D753" t="s">
        <v>926</v>
      </c>
      <c r="E753" s="1276">
        <v>45769</v>
      </c>
      <c r="G753">
        <v>234525</v>
      </c>
      <c r="I753">
        <v>0</v>
      </c>
      <c r="J753">
        <v>234525</v>
      </c>
      <c r="K753">
        <v>0</v>
      </c>
      <c r="P753" t="s">
        <v>1216</v>
      </c>
      <c r="Q753" s="1308" t="s">
        <v>4911</v>
      </c>
    </row>
    <row r="754" spans="1:17">
      <c r="A754" s="1305" t="s">
        <v>702</v>
      </c>
      <c r="B754" s="29">
        <v>45971</v>
      </c>
      <c r="C754" s="29">
        <v>45971</v>
      </c>
      <c r="D754" t="s">
        <v>948</v>
      </c>
      <c r="E754" s="1276">
        <v>45769</v>
      </c>
      <c r="G754">
        <v>82600</v>
      </c>
      <c r="I754">
        <v>0</v>
      </c>
      <c r="J754">
        <v>82600</v>
      </c>
      <c r="K754">
        <v>0</v>
      </c>
      <c r="P754" t="s">
        <v>1216</v>
      </c>
      <c r="Q754" s="1308" t="s">
        <v>4911</v>
      </c>
    </row>
    <row r="755" spans="1:17">
      <c r="A755" s="1305" t="s">
        <v>702</v>
      </c>
      <c r="B755" s="29">
        <v>45971</v>
      </c>
      <c r="C755" s="29">
        <v>45971</v>
      </c>
      <c r="D755" t="s">
        <v>4602</v>
      </c>
      <c r="E755" s="1276">
        <v>45769</v>
      </c>
      <c r="G755">
        <v>599727</v>
      </c>
      <c r="I755">
        <v>0</v>
      </c>
      <c r="J755">
        <v>599727</v>
      </c>
      <c r="K755">
        <v>0</v>
      </c>
      <c r="P755" t="s">
        <v>1216</v>
      </c>
      <c r="Q755" s="1308" t="s">
        <v>4911</v>
      </c>
    </row>
    <row r="756" spans="1:17">
      <c r="A756" s="1305" t="s">
        <v>702</v>
      </c>
      <c r="B756" s="29">
        <v>45972</v>
      </c>
      <c r="C756" s="29">
        <v>45972</v>
      </c>
      <c r="D756" t="s">
        <v>4602</v>
      </c>
      <c r="E756" s="1276">
        <v>45769</v>
      </c>
      <c r="G756">
        <v>259509</v>
      </c>
      <c r="I756">
        <v>0</v>
      </c>
      <c r="J756">
        <v>259509</v>
      </c>
      <c r="K756">
        <v>0</v>
      </c>
      <c r="P756" t="s">
        <v>1216</v>
      </c>
      <c r="Q756" s="1308" t="s">
        <v>4911</v>
      </c>
    </row>
    <row r="757" spans="1:17">
      <c r="A757" s="1305" t="s">
        <v>702</v>
      </c>
      <c r="B757" s="29">
        <v>45973</v>
      </c>
      <c r="C757" s="29">
        <v>45973</v>
      </c>
      <c r="D757" t="s">
        <v>929</v>
      </c>
      <c r="E757" s="1276">
        <v>45769</v>
      </c>
      <c r="G757">
        <v>295675</v>
      </c>
      <c r="I757">
        <v>0</v>
      </c>
      <c r="J757">
        <v>295675</v>
      </c>
      <c r="K757">
        <v>0</v>
      </c>
      <c r="P757" t="s">
        <v>1216</v>
      </c>
      <c r="Q757" s="1308" t="s">
        <v>4911</v>
      </c>
    </row>
    <row r="758" spans="1:17">
      <c r="A758" s="1305" t="s">
        <v>702</v>
      </c>
      <c r="B758" s="29">
        <v>45973</v>
      </c>
      <c r="C758" s="29">
        <v>45973</v>
      </c>
      <c r="D758" t="s">
        <v>4503</v>
      </c>
      <c r="E758" s="1276">
        <v>45769</v>
      </c>
      <c r="G758">
        <v>3027884</v>
      </c>
      <c r="I758">
        <v>0</v>
      </c>
      <c r="J758">
        <v>3027884</v>
      </c>
      <c r="K758">
        <v>0</v>
      </c>
      <c r="P758" t="s">
        <v>1216</v>
      </c>
      <c r="Q758" s="1308" t="s">
        <v>4911</v>
      </c>
    </row>
    <row r="759" spans="1:17">
      <c r="A759" s="1305" t="s">
        <v>702</v>
      </c>
      <c r="B759" s="29">
        <v>45973</v>
      </c>
      <c r="C759" s="29">
        <v>45973</v>
      </c>
      <c r="D759" t="s">
        <v>4625</v>
      </c>
      <c r="E759" s="1276">
        <v>45769</v>
      </c>
      <c r="G759">
        <v>10620</v>
      </c>
      <c r="I759">
        <v>0</v>
      </c>
      <c r="J759">
        <v>10620</v>
      </c>
      <c r="K759">
        <v>0</v>
      </c>
      <c r="P759" t="s">
        <v>1216</v>
      </c>
      <c r="Q759" s="1308" t="s">
        <v>4911</v>
      </c>
    </row>
    <row r="760" spans="1:17">
      <c r="A760" s="1305" t="s">
        <v>702</v>
      </c>
      <c r="B760" s="29">
        <v>45973</v>
      </c>
      <c r="C760" s="29">
        <v>45973</v>
      </c>
      <c r="D760" t="s">
        <v>4602</v>
      </c>
      <c r="E760" s="1276">
        <v>45769</v>
      </c>
      <c r="G760">
        <v>1967704</v>
      </c>
      <c r="I760">
        <v>0</v>
      </c>
      <c r="J760">
        <v>1967704</v>
      </c>
      <c r="K760">
        <v>0</v>
      </c>
      <c r="P760" t="s">
        <v>1216</v>
      </c>
      <c r="Q760" s="1308" t="s">
        <v>4911</v>
      </c>
    </row>
    <row r="761" spans="1:17">
      <c r="A761" s="1305" t="s">
        <v>702</v>
      </c>
      <c r="B761" s="29">
        <v>45974</v>
      </c>
      <c r="C761" s="29">
        <v>45974</v>
      </c>
      <c r="D761" t="s">
        <v>4627</v>
      </c>
      <c r="E761" s="1276">
        <v>45769</v>
      </c>
      <c r="G761">
        <v>1752693</v>
      </c>
      <c r="I761">
        <v>0</v>
      </c>
      <c r="J761">
        <v>1752693</v>
      </c>
      <c r="K761">
        <v>0</v>
      </c>
      <c r="P761" t="s">
        <v>1216</v>
      </c>
      <c r="Q761" s="1308" t="s">
        <v>4911</v>
      </c>
    </row>
    <row r="762" spans="1:17">
      <c r="A762" s="1305" t="s">
        <v>702</v>
      </c>
      <c r="B762" s="29">
        <v>45974</v>
      </c>
      <c r="C762" s="29">
        <v>45974</v>
      </c>
      <c r="D762" t="s">
        <v>4623</v>
      </c>
      <c r="E762" s="1276">
        <v>45769</v>
      </c>
      <c r="G762">
        <v>290940</v>
      </c>
      <c r="I762">
        <v>0</v>
      </c>
      <c r="J762">
        <v>290940</v>
      </c>
      <c r="K762">
        <v>0</v>
      </c>
      <c r="P762" t="s">
        <v>1216</v>
      </c>
      <c r="Q762" s="1308" t="s">
        <v>4911</v>
      </c>
    </row>
    <row r="763" spans="1:17">
      <c r="A763" s="1305" t="s">
        <v>702</v>
      </c>
      <c r="B763" s="29">
        <v>45975</v>
      </c>
      <c r="C763" s="29">
        <v>45975</v>
      </c>
      <c r="D763" t="s">
        <v>4503</v>
      </c>
      <c r="E763" s="1276">
        <v>45769</v>
      </c>
      <c r="G763">
        <v>2212930</v>
      </c>
      <c r="I763">
        <v>0</v>
      </c>
      <c r="J763">
        <v>2212930</v>
      </c>
      <c r="K763">
        <v>0</v>
      </c>
      <c r="P763" t="s">
        <v>1216</v>
      </c>
      <c r="Q763" s="1308" t="s">
        <v>4911</v>
      </c>
    </row>
    <row r="764" spans="1:17">
      <c r="A764" s="1305" t="s">
        <v>702</v>
      </c>
      <c r="B764" s="29">
        <v>45975</v>
      </c>
      <c r="C764" s="29">
        <v>45975</v>
      </c>
      <c r="D764" t="s">
        <v>4613</v>
      </c>
      <c r="E764" s="1276">
        <v>45769</v>
      </c>
      <c r="G764">
        <v>527584</v>
      </c>
      <c r="I764">
        <v>0</v>
      </c>
      <c r="J764">
        <v>527584</v>
      </c>
      <c r="K764">
        <v>0</v>
      </c>
      <c r="P764" t="s">
        <v>1216</v>
      </c>
      <c r="Q764" s="1308" t="s">
        <v>4911</v>
      </c>
    </row>
    <row r="765" spans="1:17">
      <c r="A765" s="1305" t="s">
        <v>702</v>
      </c>
      <c r="B765" s="29">
        <v>45975</v>
      </c>
      <c r="C765" s="29">
        <v>45975</v>
      </c>
      <c r="D765" t="s">
        <v>4602</v>
      </c>
      <c r="E765" s="1276">
        <v>45769</v>
      </c>
      <c r="G765">
        <v>3071791</v>
      </c>
      <c r="I765">
        <v>0</v>
      </c>
      <c r="J765">
        <v>3071791</v>
      </c>
      <c r="K765">
        <v>0</v>
      </c>
      <c r="P765" t="s">
        <v>1216</v>
      </c>
      <c r="Q765" s="1308" t="s">
        <v>4911</v>
      </c>
    </row>
    <row r="766" spans="1:17">
      <c r="A766" s="1305" t="s">
        <v>702</v>
      </c>
      <c r="B766" s="29">
        <v>45975</v>
      </c>
      <c r="C766" s="29">
        <v>45975</v>
      </c>
      <c r="D766" t="s">
        <v>4623</v>
      </c>
      <c r="E766" s="1276">
        <v>45769</v>
      </c>
      <c r="G766">
        <v>290940</v>
      </c>
      <c r="I766">
        <v>0</v>
      </c>
      <c r="J766">
        <v>290940</v>
      </c>
      <c r="K766">
        <v>0</v>
      </c>
      <c r="P766" t="s">
        <v>1216</v>
      </c>
      <c r="Q766" s="1308" t="s">
        <v>4911</v>
      </c>
    </row>
    <row r="767" spans="1:17">
      <c r="A767" s="1305" t="s">
        <v>702</v>
      </c>
      <c r="B767" s="29">
        <v>45976</v>
      </c>
      <c r="C767" s="29">
        <v>45976</v>
      </c>
      <c r="D767" t="s">
        <v>929</v>
      </c>
      <c r="E767" s="1276">
        <v>45769</v>
      </c>
      <c r="G767">
        <v>951427</v>
      </c>
      <c r="I767">
        <v>0</v>
      </c>
      <c r="J767">
        <v>951427</v>
      </c>
      <c r="K767">
        <v>0</v>
      </c>
      <c r="P767" t="s">
        <v>1216</v>
      </c>
      <c r="Q767" s="1308" t="s">
        <v>4911</v>
      </c>
    </row>
    <row r="768" spans="1:17">
      <c r="A768" s="1305" t="s">
        <v>702</v>
      </c>
      <c r="B768" s="29">
        <v>45976</v>
      </c>
      <c r="C768" s="29">
        <v>45976</v>
      </c>
      <c r="D768" t="s">
        <v>4602</v>
      </c>
      <c r="E768" s="1276">
        <v>45769</v>
      </c>
      <c r="G768">
        <v>976184</v>
      </c>
      <c r="I768">
        <v>0</v>
      </c>
      <c r="J768">
        <v>976184</v>
      </c>
      <c r="K768">
        <v>0</v>
      </c>
      <c r="P768" t="s">
        <v>1216</v>
      </c>
      <c r="Q768" s="1308" t="s">
        <v>4911</v>
      </c>
    </row>
    <row r="769" spans="1:17">
      <c r="A769" s="1305" t="s">
        <v>702</v>
      </c>
      <c r="B769" s="29">
        <v>45978</v>
      </c>
      <c r="C769" s="29">
        <v>45978</v>
      </c>
      <c r="D769" t="s">
        <v>3951</v>
      </c>
      <c r="E769" s="1276">
        <v>45769</v>
      </c>
      <c r="G769">
        <v>252756</v>
      </c>
      <c r="I769">
        <v>0</v>
      </c>
      <c r="J769">
        <v>252756</v>
      </c>
      <c r="K769">
        <v>0</v>
      </c>
      <c r="P769" t="s">
        <v>1216</v>
      </c>
      <c r="Q769" s="1308" t="s">
        <v>4911</v>
      </c>
    </row>
    <row r="770" spans="1:17">
      <c r="A770" s="1305" t="s">
        <v>702</v>
      </c>
      <c r="B770" s="29">
        <v>45978</v>
      </c>
      <c r="C770" s="29">
        <v>45978</v>
      </c>
      <c r="D770" t="s">
        <v>4602</v>
      </c>
      <c r="E770" s="1276">
        <v>45769</v>
      </c>
      <c r="G770">
        <v>988978</v>
      </c>
      <c r="I770">
        <v>0</v>
      </c>
      <c r="J770">
        <v>988978</v>
      </c>
      <c r="K770">
        <v>0</v>
      </c>
      <c r="P770" t="s">
        <v>1216</v>
      </c>
      <c r="Q770" s="1308" t="s">
        <v>4911</v>
      </c>
    </row>
    <row r="771" spans="1:17">
      <c r="A771" s="1305" t="s">
        <v>702</v>
      </c>
      <c r="B771" s="29">
        <v>45980</v>
      </c>
      <c r="C771" s="29">
        <v>45980</v>
      </c>
      <c r="D771" t="s">
        <v>790</v>
      </c>
      <c r="E771" s="1276">
        <v>45769</v>
      </c>
      <c r="G771">
        <v>1585165</v>
      </c>
      <c r="I771">
        <v>0</v>
      </c>
      <c r="J771">
        <v>1585165</v>
      </c>
      <c r="K771">
        <v>0</v>
      </c>
      <c r="P771" t="s">
        <v>1216</v>
      </c>
      <c r="Q771" s="1308" t="s">
        <v>4911</v>
      </c>
    </row>
    <row r="772" spans="1:17">
      <c r="A772" s="1305" t="s">
        <v>702</v>
      </c>
      <c r="B772" s="29">
        <v>45981</v>
      </c>
      <c r="C772" s="29">
        <v>45981</v>
      </c>
      <c r="D772" t="s">
        <v>4602</v>
      </c>
      <c r="E772" s="1276">
        <v>45769</v>
      </c>
      <c r="G772">
        <v>5470417</v>
      </c>
      <c r="I772">
        <v>0</v>
      </c>
      <c r="J772">
        <v>5470417</v>
      </c>
      <c r="K772">
        <v>0</v>
      </c>
      <c r="P772" t="s">
        <v>1216</v>
      </c>
      <c r="Q772" s="1308" t="s">
        <v>4911</v>
      </c>
    </row>
    <row r="773" spans="1:17">
      <c r="A773" s="1305" t="s">
        <v>702</v>
      </c>
      <c r="B773" s="29">
        <v>45981</v>
      </c>
      <c r="C773" s="29">
        <v>45981</v>
      </c>
      <c r="D773" t="s">
        <v>863</v>
      </c>
      <c r="E773" s="1276">
        <v>45769</v>
      </c>
      <c r="G773">
        <v>124927</v>
      </c>
      <c r="I773">
        <v>0</v>
      </c>
      <c r="J773">
        <v>124927</v>
      </c>
      <c r="K773">
        <v>0</v>
      </c>
      <c r="P773" t="s">
        <v>1216</v>
      </c>
      <c r="Q773" s="1308" t="s">
        <v>4911</v>
      </c>
    </row>
    <row r="774" spans="1:17">
      <c r="A774" s="1305" t="s">
        <v>702</v>
      </c>
      <c r="B774" s="29">
        <v>45985</v>
      </c>
      <c r="C774" s="29">
        <v>45985</v>
      </c>
      <c r="D774" t="s">
        <v>4602</v>
      </c>
      <c r="E774" s="1276">
        <v>45769</v>
      </c>
      <c r="G774">
        <v>497891</v>
      </c>
      <c r="I774">
        <v>0</v>
      </c>
      <c r="J774">
        <v>497891</v>
      </c>
      <c r="K774">
        <v>0</v>
      </c>
      <c r="P774" t="s">
        <v>1216</v>
      </c>
      <c r="Q774" s="1308" t="s">
        <v>4911</v>
      </c>
    </row>
    <row r="775" spans="1:17">
      <c r="A775" s="1305" t="s">
        <v>702</v>
      </c>
      <c r="B775" s="29">
        <v>45985</v>
      </c>
      <c r="C775" s="29">
        <v>45985</v>
      </c>
      <c r="D775" t="s">
        <v>929</v>
      </c>
      <c r="E775" s="1276">
        <v>45769</v>
      </c>
      <c r="G775">
        <v>1319899</v>
      </c>
      <c r="I775">
        <v>0</v>
      </c>
      <c r="J775">
        <v>1319899</v>
      </c>
      <c r="K775">
        <v>0</v>
      </c>
      <c r="P775" t="s">
        <v>1216</v>
      </c>
      <c r="Q775" s="1308" t="s">
        <v>4911</v>
      </c>
    </row>
    <row r="776" spans="1:17">
      <c r="A776" s="1305" t="s">
        <v>702</v>
      </c>
      <c r="B776" s="29">
        <v>45985</v>
      </c>
      <c r="C776" s="29">
        <v>45985</v>
      </c>
      <c r="D776" t="s">
        <v>948</v>
      </c>
      <c r="E776" s="1276">
        <v>45769</v>
      </c>
      <c r="G776">
        <v>90340</v>
      </c>
      <c r="I776">
        <v>0</v>
      </c>
      <c r="J776">
        <v>90340</v>
      </c>
      <c r="K776">
        <v>0</v>
      </c>
      <c r="P776" t="s">
        <v>1216</v>
      </c>
      <c r="Q776" s="1308" t="s">
        <v>4911</v>
      </c>
    </row>
    <row r="777" spans="1:17">
      <c r="A777" s="1305" t="s">
        <v>702</v>
      </c>
      <c r="B777" s="29">
        <v>45986</v>
      </c>
      <c r="C777" s="29">
        <v>45986</v>
      </c>
      <c r="D777" t="s">
        <v>4490</v>
      </c>
      <c r="E777" s="1276">
        <v>45769</v>
      </c>
      <c r="G777">
        <v>276917</v>
      </c>
      <c r="I777">
        <v>0</v>
      </c>
      <c r="J777">
        <v>276917</v>
      </c>
      <c r="K777">
        <v>0</v>
      </c>
      <c r="P777" t="s">
        <v>1216</v>
      </c>
      <c r="Q777" s="1308" t="s">
        <v>4911</v>
      </c>
    </row>
    <row r="778" spans="1:17">
      <c r="A778" s="1305" t="s">
        <v>702</v>
      </c>
      <c r="B778" s="29">
        <v>45987</v>
      </c>
      <c r="C778" s="29">
        <v>45987</v>
      </c>
      <c r="D778" t="s">
        <v>4602</v>
      </c>
      <c r="E778" s="1276">
        <v>45769</v>
      </c>
      <c r="G778">
        <v>1089305</v>
      </c>
      <c r="I778">
        <v>0</v>
      </c>
      <c r="J778">
        <v>1089305</v>
      </c>
      <c r="K778">
        <v>0</v>
      </c>
      <c r="P778" t="s">
        <v>1216</v>
      </c>
      <c r="Q778" s="1308" t="s">
        <v>4911</v>
      </c>
    </row>
    <row r="779" spans="1:17">
      <c r="A779" s="1305" t="s">
        <v>702</v>
      </c>
      <c r="B779" s="29">
        <v>45987</v>
      </c>
      <c r="C779" s="29">
        <v>45987</v>
      </c>
      <c r="D779" t="s">
        <v>4602</v>
      </c>
      <c r="E779" s="1276">
        <v>45769</v>
      </c>
      <c r="G779">
        <v>10830</v>
      </c>
      <c r="I779">
        <v>0</v>
      </c>
      <c r="J779">
        <v>10830</v>
      </c>
      <c r="K779">
        <v>0</v>
      </c>
      <c r="P779" t="s">
        <v>1216</v>
      </c>
      <c r="Q779" s="1308" t="s">
        <v>4911</v>
      </c>
    </row>
    <row r="780" spans="1:17">
      <c r="A780" s="1305" t="s">
        <v>702</v>
      </c>
      <c r="B780" s="29">
        <v>45989</v>
      </c>
      <c r="C780" s="29">
        <v>45989</v>
      </c>
      <c r="D780" t="s">
        <v>948</v>
      </c>
      <c r="E780" s="1276">
        <v>45769</v>
      </c>
      <c r="G780">
        <v>407100</v>
      </c>
      <c r="I780">
        <v>0</v>
      </c>
      <c r="J780">
        <v>407100</v>
      </c>
      <c r="K780">
        <v>0</v>
      </c>
      <c r="P780" t="s">
        <v>1216</v>
      </c>
      <c r="Q780" s="1308" t="s">
        <v>4911</v>
      </c>
    </row>
    <row r="781" spans="1:17">
      <c r="A781" s="1305" t="s">
        <v>702</v>
      </c>
      <c r="B781" s="29">
        <v>45996</v>
      </c>
      <c r="C781" s="29">
        <v>45996</v>
      </c>
      <c r="D781" t="s">
        <v>4602</v>
      </c>
      <c r="E781" s="1276">
        <v>45769</v>
      </c>
      <c r="G781">
        <v>39929</v>
      </c>
      <c r="I781">
        <v>0</v>
      </c>
      <c r="J781">
        <v>39929</v>
      </c>
      <c r="K781">
        <v>0</v>
      </c>
      <c r="P781" t="s">
        <v>1216</v>
      </c>
      <c r="Q781" s="1308" t="s">
        <v>4911</v>
      </c>
    </row>
    <row r="782" spans="1:17">
      <c r="A782" s="1305" t="s">
        <v>702</v>
      </c>
      <c r="B782" s="29">
        <v>45997</v>
      </c>
      <c r="C782" s="29">
        <v>45997</v>
      </c>
      <c r="D782" t="s">
        <v>959</v>
      </c>
      <c r="E782" s="1276">
        <v>45769</v>
      </c>
      <c r="G782">
        <v>1085410</v>
      </c>
      <c r="I782">
        <v>0</v>
      </c>
      <c r="J782">
        <v>1085410</v>
      </c>
      <c r="K782">
        <v>0</v>
      </c>
      <c r="P782" t="s">
        <v>1216</v>
      </c>
      <c r="Q782" s="1308" t="s">
        <v>4911</v>
      </c>
    </row>
    <row r="783" spans="1:17">
      <c r="A783" s="1305" t="s">
        <v>702</v>
      </c>
      <c r="B783" s="29">
        <v>46000</v>
      </c>
      <c r="C783" s="29">
        <v>46000</v>
      </c>
      <c r="D783" t="s">
        <v>4602</v>
      </c>
      <c r="E783" s="1276">
        <v>45769</v>
      </c>
      <c r="G783">
        <v>5071093</v>
      </c>
      <c r="I783">
        <v>0</v>
      </c>
      <c r="J783">
        <v>5071093</v>
      </c>
      <c r="K783">
        <v>0</v>
      </c>
      <c r="P783" t="s">
        <v>1216</v>
      </c>
      <c r="Q783" s="1308" t="s">
        <v>4911</v>
      </c>
    </row>
    <row r="784" spans="1:17">
      <c r="A784" s="1305" t="s">
        <v>702</v>
      </c>
      <c r="B784" s="29">
        <v>46001</v>
      </c>
      <c r="C784" s="29">
        <v>46001</v>
      </c>
      <c r="D784" t="s">
        <v>4613</v>
      </c>
      <c r="E784" s="1276">
        <v>45769</v>
      </c>
      <c r="G784">
        <v>527918</v>
      </c>
      <c r="I784">
        <v>0</v>
      </c>
      <c r="J784">
        <v>527918</v>
      </c>
      <c r="K784">
        <v>0</v>
      </c>
      <c r="P784" t="s">
        <v>1216</v>
      </c>
      <c r="Q784" s="1308" t="s">
        <v>4911</v>
      </c>
    </row>
    <row r="785" spans="1:17">
      <c r="A785" s="1305" t="s">
        <v>702</v>
      </c>
      <c r="B785" s="29">
        <v>46001</v>
      </c>
      <c r="C785" s="29">
        <v>46001</v>
      </c>
      <c r="D785" t="s">
        <v>4602</v>
      </c>
      <c r="E785" s="1276">
        <v>45769</v>
      </c>
      <c r="G785">
        <v>9733824</v>
      </c>
      <c r="I785">
        <v>0</v>
      </c>
      <c r="J785">
        <v>9733824</v>
      </c>
      <c r="K785">
        <v>0</v>
      </c>
      <c r="P785" t="s">
        <v>1216</v>
      </c>
      <c r="Q785" s="1308" t="s">
        <v>4911</v>
      </c>
    </row>
    <row r="786" spans="1:17">
      <c r="A786" s="1305" t="s">
        <v>702</v>
      </c>
      <c r="B786" s="29">
        <v>46002</v>
      </c>
      <c r="C786" s="29">
        <v>46002</v>
      </c>
      <c r="D786" t="s">
        <v>4612</v>
      </c>
      <c r="E786" s="1276">
        <v>45769</v>
      </c>
      <c r="G786">
        <v>2785007</v>
      </c>
      <c r="I786">
        <v>0</v>
      </c>
      <c r="J786">
        <v>2785007</v>
      </c>
      <c r="K786">
        <v>0</v>
      </c>
      <c r="P786" t="s">
        <v>1216</v>
      </c>
      <c r="Q786" s="1308" t="s">
        <v>4911</v>
      </c>
    </row>
    <row r="787" spans="1:17">
      <c r="A787" s="1305" t="s">
        <v>702</v>
      </c>
      <c r="B787" s="29">
        <v>46006</v>
      </c>
      <c r="C787" s="29">
        <v>46006</v>
      </c>
      <c r="D787" t="s">
        <v>956</v>
      </c>
      <c r="E787" s="1276">
        <v>45769</v>
      </c>
      <c r="G787">
        <v>135122</v>
      </c>
      <c r="I787">
        <v>0</v>
      </c>
      <c r="J787">
        <v>135122</v>
      </c>
      <c r="K787">
        <v>0</v>
      </c>
      <c r="P787" t="s">
        <v>1216</v>
      </c>
      <c r="Q787" s="1308" t="s">
        <v>4911</v>
      </c>
    </row>
    <row r="788" spans="1:17">
      <c r="A788" s="1305" t="s">
        <v>702</v>
      </c>
      <c r="B788" s="29">
        <v>46010</v>
      </c>
      <c r="C788" s="29">
        <v>46010</v>
      </c>
      <c r="D788" t="s">
        <v>1371</v>
      </c>
      <c r="E788" s="1276">
        <v>45769</v>
      </c>
      <c r="G788">
        <v>48990010</v>
      </c>
      <c r="I788">
        <v>0</v>
      </c>
      <c r="J788">
        <v>48990010</v>
      </c>
      <c r="K788">
        <v>0</v>
      </c>
      <c r="P788" t="s">
        <v>1216</v>
      </c>
      <c r="Q788" s="1308" t="s">
        <v>4911</v>
      </c>
    </row>
    <row r="789" spans="1:17">
      <c r="A789" s="1305" t="s">
        <v>702</v>
      </c>
      <c r="B789" s="29">
        <v>46010</v>
      </c>
      <c r="C789" s="29">
        <v>46010</v>
      </c>
      <c r="D789" t="s">
        <v>926</v>
      </c>
      <c r="E789" s="1276">
        <v>45769</v>
      </c>
      <c r="G789">
        <v>696495</v>
      </c>
      <c r="I789">
        <v>0</v>
      </c>
      <c r="J789">
        <v>696495</v>
      </c>
      <c r="K789">
        <v>0</v>
      </c>
      <c r="P789" t="s">
        <v>1216</v>
      </c>
      <c r="Q789" s="1308" t="s">
        <v>4911</v>
      </c>
    </row>
    <row r="790" spans="1:17">
      <c r="A790" s="1305" t="s">
        <v>702</v>
      </c>
      <c r="B790" s="29">
        <v>46011</v>
      </c>
      <c r="C790" s="29">
        <v>46011</v>
      </c>
      <c r="D790" t="s">
        <v>4628</v>
      </c>
      <c r="E790" s="1276">
        <v>45769</v>
      </c>
      <c r="G790">
        <v>574200</v>
      </c>
      <c r="I790">
        <v>0</v>
      </c>
      <c r="J790">
        <v>574200</v>
      </c>
      <c r="K790">
        <v>0</v>
      </c>
      <c r="P790" t="s">
        <v>1216</v>
      </c>
      <c r="Q790" s="1308" t="s">
        <v>4911</v>
      </c>
    </row>
    <row r="791" spans="1:17">
      <c r="A791" s="1305" t="s">
        <v>702</v>
      </c>
      <c r="B791" s="29">
        <v>46014</v>
      </c>
      <c r="C791" s="29">
        <v>46014</v>
      </c>
      <c r="D791" t="s">
        <v>916</v>
      </c>
      <c r="E791" s="1276">
        <v>45769</v>
      </c>
      <c r="G791">
        <v>90720</v>
      </c>
      <c r="I791">
        <v>0</v>
      </c>
      <c r="J791">
        <v>90720</v>
      </c>
      <c r="K791">
        <v>0</v>
      </c>
      <c r="P791" t="s">
        <v>1216</v>
      </c>
      <c r="Q791" s="1308" t="s">
        <v>4911</v>
      </c>
    </row>
    <row r="792" spans="1:17">
      <c r="A792" s="1305" t="s">
        <v>702</v>
      </c>
      <c r="B792" s="29">
        <v>46014</v>
      </c>
      <c r="C792" s="29">
        <v>46014</v>
      </c>
      <c r="D792" t="s">
        <v>4624</v>
      </c>
      <c r="E792" s="1276">
        <v>45769</v>
      </c>
      <c r="G792">
        <v>1018352</v>
      </c>
      <c r="I792">
        <v>0</v>
      </c>
      <c r="J792">
        <v>1018352</v>
      </c>
      <c r="K792">
        <v>0</v>
      </c>
      <c r="P792" t="s">
        <v>1216</v>
      </c>
      <c r="Q792" s="1308" t="s">
        <v>4911</v>
      </c>
    </row>
    <row r="793" spans="1:17">
      <c r="A793" s="1305" t="s">
        <v>702</v>
      </c>
      <c r="B793" s="29">
        <v>46014</v>
      </c>
      <c r="C793" s="29">
        <v>46014</v>
      </c>
      <c r="D793" t="s">
        <v>4167</v>
      </c>
      <c r="E793" s="1276">
        <v>45769</v>
      </c>
      <c r="G793">
        <v>4349214</v>
      </c>
      <c r="I793">
        <v>0</v>
      </c>
      <c r="J793">
        <v>4349214</v>
      </c>
      <c r="K793">
        <v>0</v>
      </c>
      <c r="P793" t="s">
        <v>1216</v>
      </c>
      <c r="Q793" s="1308" t="s">
        <v>4911</v>
      </c>
    </row>
    <row r="794" spans="1:17">
      <c r="A794" s="1305" t="s">
        <v>702</v>
      </c>
      <c r="B794" s="29">
        <v>46015</v>
      </c>
      <c r="C794" s="29">
        <v>46015</v>
      </c>
      <c r="D794" t="s">
        <v>4602</v>
      </c>
      <c r="E794" s="1276">
        <v>45769</v>
      </c>
      <c r="G794">
        <v>788274</v>
      </c>
      <c r="I794">
        <v>0</v>
      </c>
      <c r="J794">
        <v>788274</v>
      </c>
      <c r="K794">
        <v>0</v>
      </c>
      <c r="P794" t="s">
        <v>1216</v>
      </c>
      <c r="Q794" s="1308" t="s">
        <v>4911</v>
      </c>
    </row>
    <row r="795" spans="1:17">
      <c r="A795" s="1305" t="s">
        <v>702</v>
      </c>
      <c r="B795" s="29">
        <v>46015</v>
      </c>
      <c r="C795" s="29">
        <v>46015</v>
      </c>
      <c r="D795" t="s">
        <v>4602</v>
      </c>
      <c r="E795" s="1276">
        <v>45769</v>
      </c>
      <c r="G795">
        <v>2841774</v>
      </c>
      <c r="I795">
        <v>0</v>
      </c>
      <c r="J795">
        <v>2841774</v>
      </c>
      <c r="K795">
        <v>0</v>
      </c>
      <c r="P795" t="s">
        <v>1216</v>
      </c>
      <c r="Q795" s="1308" t="s">
        <v>4911</v>
      </c>
    </row>
    <row r="796" spans="1:17">
      <c r="A796" s="1305" t="s">
        <v>702</v>
      </c>
      <c r="B796" s="29">
        <v>46017</v>
      </c>
      <c r="C796" s="29">
        <v>46017</v>
      </c>
      <c r="D796" t="s">
        <v>4612</v>
      </c>
      <c r="E796" s="1276">
        <v>45769</v>
      </c>
      <c r="G796">
        <v>2370387</v>
      </c>
      <c r="I796">
        <v>0</v>
      </c>
      <c r="J796">
        <v>2370387</v>
      </c>
      <c r="K796">
        <v>0</v>
      </c>
      <c r="P796" t="s">
        <v>1216</v>
      </c>
      <c r="Q796" s="1308" t="s">
        <v>4911</v>
      </c>
    </row>
    <row r="797" spans="1:17">
      <c r="A797" s="1305" t="s">
        <v>702</v>
      </c>
      <c r="B797" s="29">
        <v>46017</v>
      </c>
      <c r="C797" s="29">
        <v>46017</v>
      </c>
      <c r="D797" t="s">
        <v>926</v>
      </c>
      <c r="E797" s="1276">
        <v>45769</v>
      </c>
      <c r="G797">
        <v>280904</v>
      </c>
      <c r="I797">
        <v>0</v>
      </c>
      <c r="J797">
        <v>280904</v>
      </c>
      <c r="K797">
        <v>0</v>
      </c>
      <c r="P797" t="s">
        <v>1216</v>
      </c>
      <c r="Q797" s="1308" t="s">
        <v>4911</v>
      </c>
    </row>
    <row r="798" spans="1:17">
      <c r="A798" s="1305" t="s">
        <v>702</v>
      </c>
      <c r="B798" s="29">
        <v>46022</v>
      </c>
      <c r="C798" s="29">
        <v>46022</v>
      </c>
      <c r="D798" t="s">
        <v>4065</v>
      </c>
      <c r="E798" s="1276">
        <v>45769</v>
      </c>
      <c r="G798">
        <v>10000000</v>
      </c>
      <c r="I798">
        <v>0</v>
      </c>
      <c r="J798">
        <v>10000000</v>
      </c>
      <c r="K798">
        <v>0</v>
      </c>
      <c r="P798" t="s">
        <v>1216</v>
      </c>
      <c r="Q798" s="1308" t="s">
        <v>4911</v>
      </c>
    </row>
    <row r="799" spans="1:17">
      <c r="A799" s="1305" t="s">
        <v>702</v>
      </c>
      <c r="B799" s="29">
        <v>46022</v>
      </c>
      <c r="C799" s="29">
        <v>46022</v>
      </c>
      <c r="D799" t="s">
        <v>4065</v>
      </c>
      <c r="E799" s="1276">
        <v>45769</v>
      </c>
      <c r="G799">
        <v>2500000</v>
      </c>
      <c r="I799">
        <v>0</v>
      </c>
      <c r="J799">
        <v>2500000</v>
      </c>
      <c r="K799">
        <v>0</v>
      </c>
      <c r="P799" t="s">
        <v>1216</v>
      </c>
      <c r="Q799" s="1308" t="s">
        <v>4911</v>
      </c>
    </row>
    <row r="800" spans="1:17">
      <c r="A800" s="1305" t="s">
        <v>702</v>
      </c>
      <c r="B800" s="29">
        <v>46049</v>
      </c>
      <c r="C800" s="29">
        <v>46049</v>
      </c>
      <c r="D800" t="s">
        <v>4602</v>
      </c>
      <c r="E800" s="1276">
        <v>45769</v>
      </c>
      <c r="G800">
        <v>80156</v>
      </c>
      <c r="I800">
        <v>0</v>
      </c>
      <c r="J800">
        <v>80156</v>
      </c>
      <c r="K800">
        <v>0</v>
      </c>
      <c r="P800" t="s">
        <v>1216</v>
      </c>
      <c r="Q800" s="1308" t="s">
        <v>4911</v>
      </c>
    </row>
    <row r="801" spans="1:17">
      <c r="A801" s="1305" t="s">
        <v>702</v>
      </c>
      <c r="B801" s="29">
        <v>46070</v>
      </c>
      <c r="C801" s="29">
        <v>46070</v>
      </c>
      <c r="D801" t="s">
        <v>1371</v>
      </c>
      <c r="E801" s="1276">
        <v>45769</v>
      </c>
      <c r="G801">
        <v>30000000</v>
      </c>
      <c r="I801">
        <v>0</v>
      </c>
      <c r="J801">
        <v>30000000</v>
      </c>
      <c r="K801">
        <v>0</v>
      </c>
      <c r="P801" t="s">
        <v>1216</v>
      </c>
      <c r="Q801" s="1308" t="s">
        <v>4911</v>
      </c>
    </row>
    <row r="802" spans="1:17">
      <c r="A802" s="1305" t="s">
        <v>984</v>
      </c>
      <c r="B802" s="29">
        <v>45915</v>
      </c>
      <c r="C802" s="29">
        <v>45935</v>
      </c>
      <c r="D802">
        <v>0</v>
      </c>
      <c r="E802" s="1276">
        <v>45769</v>
      </c>
      <c r="G802">
        <v>9149920</v>
      </c>
      <c r="I802">
        <v>0</v>
      </c>
      <c r="J802">
        <v>9149920</v>
      </c>
      <c r="K802">
        <v>0</v>
      </c>
      <c r="P802" t="s">
        <v>1216</v>
      </c>
      <c r="Q802" s="1308" t="s">
        <v>4912</v>
      </c>
    </row>
    <row r="803" spans="1:17">
      <c r="A803" s="1305" t="s">
        <v>984</v>
      </c>
      <c r="B803" s="29">
        <v>45915</v>
      </c>
      <c r="C803" s="29">
        <v>45935</v>
      </c>
      <c r="D803">
        <v>0</v>
      </c>
      <c r="E803" s="1276">
        <v>45769</v>
      </c>
      <c r="G803">
        <v>11342130</v>
      </c>
      <c r="I803">
        <v>0</v>
      </c>
      <c r="J803">
        <v>11342130</v>
      </c>
      <c r="K803">
        <v>0</v>
      </c>
      <c r="P803" t="s">
        <v>1216</v>
      </c>
      <c r="Q803" s="1308" t="s">
        <v>4912</v>
      </c>
    </row>
    <row r="804" spans="1:17">
      <c r="A804" s="1305" t="s">
        <v>984</v>
      </c>
      <c r="B804" s="29">
        <v>45912</v>
      </c>
      <c r="C804" s="29">
        <v>45935</v>
      </c>
      <c r="D804" t="s">
        <v>1413</v>
      </c>
      <c r="E804" s="1276">
        <v>45769</v>
      </c>
      <c r="G804">
        <v>8369232</v>
      </c>
      <c r="I804">
        <v>0</v>
      </c>
      <c r="J804">
        <v>8369232</v>
      </c>
      <c r="K804">
        <v>0</v>
      </c>
      <c r="P804" t="s">
        <v>1216</v>
      </c>
      <c r="Q804" s="1308" t="s">
        <v>4912</v>
      </c>
    </row>
    <row r="805" spans="1:17">
      <c r="A805" s="1305" t="s">
        <v>984</v>
      </c>
      <c r="B805" s="29">
        <v>45912</v>
      </c>
      <c r="C805" s="29">
        <v>45935</v>
      </c>
      <c r="D805" t="s">
        <v>879</v>
      </c>
      <c r="E805" s="1276">
        <v>45769</v>
      </c>
      <c r="G805">
        <v>1758706</v>
      </c>
      <c r="I805">
        <v>0</v>
      </c>
      <c r="J805">
        <v>1758706</v>
      </c>
      <c r="K805">
        <v>0</v>
      </c>
      <c r="P805" t="s">
        <v>1216</v>
      </c>
      <c r="Q805" s="1308" t="s">
        <v>4912</v>
      </c>
    </row>
    <row r="806" spans="1:17">
      <c r="A806" s="1305" t="s">
        <v>984</v>
      </c>
      <c r="B806" s="29">
        <v>45915</v>
      </c>
      <c r="C806" s="29">
        <v>45935</v>
      </c>
      <c r="D806" t="s">
        <v>4629</v>
      </c>
      <c r="E806" s="1276">
        <v>45769</v>
      </c>
      <c r="G806">
        <v>9149920</v>
      </c>
      <c r="I806">
        <v>0</v>
      </c>
      <c r="J806">
        <v>9149920</v>
      </c>
      <c r="K806">
        <v>0</v>
      </c>
      <c r="P806" t="s">
        <v>1216</v>
      </c>
      <c r="Q806" s="1308" t="s">
        <v>4912</v>
      </c>
    </row>
    <row r="807" spans="1:17">
      <c r="A807" s="1305" t="s">
        <v>984</v>
      </c>
      <c r="B807" s="29">
        <v>45919</v>
      </c>
      <c r="C807" s="29">
        <v>45935</v>
      </c>
      <c r="D807" t="s">
        <v>1413</v>
      </c>
      <c r="E807" s="1276">
        <v>45769</v>
      </c>
      <c r="G807">
        <v>11093926</v>
      </c>
      <c r="I807">
        <v>0</v>
      </c>
      <c r="J807">
        <v>11093926</v>
      </c>
      <c r="K807">
        <v>0</v>
      </c>
      <c r="P807" t="s">
        <v>1216</v>
      </c>
      <c r="Q807" s="1308" t="s">
        <v>4912</v>
      </c>
    </row>
    <row r="808" spans="1:17">
      <c r="A808" s="1305" t="s">
        <v>984</v>
      </c>
      <c r="B808" s="29">
        <v>45926</v>
      </c>
      <c r="C808" s="29">
        <v>45935</v>
      </c>
      <c r="D808" t="s">
        <v>1413</v>
      </c>
      <c r="E808" s="1276">
        <v>45769</v>
      </c>
      <c r="G808">
        <v>380900</v>
      </c>
      <c r="I808">
        <v>0</v>
      </c>
      <c r="J808">
        <v>380900</v>
      </c>
      <c r="K808">
        <v>0</v>
      </c>
      <c r="P808" t="s">
        <v>1216</v>
      </c>
      <c r="Q808" s="1308" t="s">
        <v>4912</v>
      </c>
    </row>
    <row r="809" spans="1:17">
      <c r="A809" s="1305" t="s">
        <v>984</v>
      </c>
      <c r="B809" s="29">
        <v>45930</v>
      </c>
      <c r="C809" s="29">
        <v>45935</v>
      </c>
      <c r="D809" t="s">
        <v>3947</v>
      </c>
      <c r="E809" s="1276">
        <v>45769</v>
      </c>
      <c r="G809">
        <v>11342130</v>
      </c>
      <c r="I809">
        <v>0</v>
      </c>
      <c r="J809">
        <v>11342130</v>
      </c>
      <c r="K809">
        <v>0</v>
      </c>
      <c r="P809" t="s">
        <v>1216</v>
      </c>
      <c r="Q809" s="1308" t="s">
        <v>4912</v>
      </c>
    </row>
    <row r="810" spans="1:17">
      <c r="A810" s="1305" t="s">
        <v>984</v>
      </c>
      <c r="B810" s="29">
        <v>45926</v>
      </c>
      <c r="C810" s="29">
        <v>45935</v>
      </c>
      <c r="D810" t="s">
        <v>4630</v>
      </c>
      <c r="E810" s="1276">
        <v>45769</v>
      </c>
      <c r="G810">
        <v>8490793</v>
      </c>
      <c r="I810">
        <v>0</v>
      </c>
      <c r="J810">
        <v>8490793</v>
      </c>
      <c r="K810">
        <v>0</v>
      </c>
      <c r="P810" t="s">
        <v>1216</v>
      </c>
      <c r="Q810" s="1308" t="s">
        <v>4912</v>
      </c>
    </row>
    <row r="811" spans="1:17">
      <c r="A811" s="1305" t="s">
        <v>3719</v>
      </c>
      <c r="B811" s="29">
        <v>45648</v>
      </c>
      <c r="C811" s="29">
        <v>45648</v>
      </c>
      <c r="D811" t="s">
        <v>908</v>
      </c>
      <c r="E811" s="1276">
        <v>45769</v>
      </c>
      <c r="G811">
        <v>4577126</v>
      </c>
      <c r="I811">
        <v>4573039</v>
      </c>
      <c r="J811">
        <v>4087</v>
      </c>
      <c r="K811">
        <v>0</v>
      </c>
      <c r="P811" t="s">
        <v>1215</v>
      </c>
      <c r="Q811" s="1308" t="s">
        <v>4911</v>
      </c>
    </row>
    <row r="812" spans="1:17">
      <c r="A812" s="1305" t="s">
        <v>3719</v>
      </c>
      <c r="B812" s="29">
        <f>E812</f>
        <v>45769</v>
      </c>
      <c r="C812" s="29">
        <v>45935</v>
      </c>
      <c r="D812" t="s">
        <v>908</v>
      </c>
      <c r="E812" s="1276">
        <v>45769</v>
      </c>
      <c r="G812">
        <v>0</v>
      </c>
      <c r="I812">
        <v>0</v>
      </c>
      <c r="J812">
        <v>0</v>
      </c>
      <c r="K812">
        <v>0</v>
      </c>
      <c r="P812" t="s">
        <v>1215</v>
      </c>
      <c r="Q812" s="1308" t="s">
        <v>4911</v>
      </c>
    </row>
    <row r="813" spans="1:17">
      <c r="A813" s="1305" t="s">
        <v>3719</v>
      </c>
      <c r="B813" s="29">
        <v>45648</v>
      </c>
      <c r="C813" s="29">
        <v>45935</v>
      </c>
      <c r="D813" t="s">
        <v>908</v>
      </c>
      <c r="E813" s="1276">
        <v>45769</v>
      </c>
      <c r="G813">
        <v>4577126</v>
      </c>
      <c r="I813">
        <v>0</v>
      </c>
      <c r="J813">
        <v>4577126</v>
      </c>
      <c r="K813">
        <v>0</v>
      </c>
      <c r="P813" t="s">
        <v>1215</v>
      </c>
      <c r="Q813" s="1308" t="s">
        <v>4911</v>
      </c>
    </row>
    <row r="814" spans="1:17">
      <c r="A814" s="1305" t="s">
        <v>3719</v>
      </c>
      <c r="B814" s="29">
        <v>45648</v>
      </c>
      <c r="C814" s="29">
        <v>45935</v>
      </c>
      <c r="D814" t="s">
        <v>908</v>
      </c>
      <c r="E814" s="1276">
        <v>45769</v>
      </c>
      <c r="G814">
        <v>4577126</v>
      </c>
      <c r="I814">
        <v>0</v>
      </c>
      <c r="J814">
        <v>4577126</v>
      </c>
      <c r="K814">
        <v>0</v>
      </c>
      <c r="P814" t="s">
        <v>1215</v>
      </c>
      <c r="Q814" s="1308" t="s">
        <v>4911</v>
      </c>
    </row>
    <row r="815" spans="1:17">
      <c r="A815" s="1305" t="s">
        <v>3719</v>
      </c>
      <c r="B815" s="29">
        <v>45648</v>
      </c>
      <c r="C815" s="29">
        <v>45935</v>
      </c>
      <c r="D815" t="s">
        <v>908</v>
      </c>
      <c r="E815" s="1276">
        <v>45769</v>
      </c>
      <c r="G815">
        <v>4577126</v>
      </c>
      <c r="I815">
        <v>0</v>
      </c>
      <c r="J815">
        <v>4577126</v>
      </c>
      <c r="K815">
        <v>0</v>
      </c>
      <c r="P815" t="s">
        <v>1215</v>
      </c>
      <c r="Q815" s="1308" t="s">
        <v>4911</v>
      </c>
    </row>
    <row r="816" spans="1:17">
      <c r="A816" s="1305" t="s">
        <v>3719</v>
      </c>
      <c r="B816" s="29">
        <v>45648</v>
      </c>
      <c r="C816" s="29">
        <v>45935</v>
      </c>
      <c r="D816" t="s">
        <v>908</v>
      </c>
      <c r="E816" s="1276">
        <v>45769</v>
      </c>
      <c r="G816">
        <v>4577126</v>
      </c>
      <c r="I816">
        <v>0</v>
      </c>
      <c r="J816">
        <v>4577126</v>
      </c>
      <c r="K816">
        <v>0</v>
      </c>
      <c r="P816" t="s">
        <v>1215</v>
      </c>
      <c r="Q816" s="1308" t="s">
        <v>4911</v>
      </c>
    </row>
    <row r="817" spans="1:17">
      <c r="A817" s="1305" t="s">
        <v>3719</v>
      </c>
      <c r="B817" s="29">
        <v>45648</v>
      </c>
      <c r="C817" s="29">
        <v>45935</v>
      </c>
      <c r="D817" t="s">
        <v>908</v>
      </c>
      <c r="E817" s="1276">
        <v>45769</v>
      </c>
      <c r="G817">
        <v>4577126</v>
      </c>
      <c r="I817">
        <v>0</v>
      </c>
      <c r="J817">
        <v>4577126</v>
      </c>
      <c r="K817">
        <v>0</v>
      </c>
      <c r="P817" t="s">
        <v>1215</v>
      </c>
      <c r="Q817" s="1308" t="s">
        <v>4911</v>
      </c>
    </row>
    <row r="818" spans="1:17">
      <c r="A818" s="1305" t="s">
        <v>3719</v>
      </c>
      <c r="B818" s="29">
        <v>45648</v>
      </c>
      <c r="C818" s="29">
        <v>45935</v>
      </c>
      <c r="D818" t="s">
        <v>908</v>
      </c>
      <c r="E818" s="1276">
        <v>45769</v>
      </c>
      <c r="G818">
        <v>4577126</v>
      </c>
      <c r="I818">
        <v>0</v>
      </c>
      <c r="J818">
        <v>4577126</v>
      </c>
      <c r="K818">
        <v>0</v>
      </c>
      <c r="P818" t="s">
        <v>1215</v>
      </c>
      <c r="Q818" s="1308" t="s">
        <v>4911</v>
      </c>
    </row>
    <row r="819" spans="1:17">
      <c r="A819" s="1305" t="s">
        <v>3719</v>
      </c>
      <c r="B819" s="29">
        <v>45648</v>
      </c>
      <c r="C819" s="29">
        <v>45935</v>
      </c>
      <c r="D819" t="s">
        <v>908</v>
      </c>
      <c r="E819" s="1276">
        <v>45769</v>
      </c>
      <c r="G819">
        <v>4577126</v>
      </c>
      <c r="I819">
        <v>0</v>
      </c>
      <c r="J819">
        <v>4577126</v>
      </c>
      <c r="K819">
        <v>0</v>
      </c>
      <c r="P819" t="s">
        <v>1215</v>
      </c>
      <c r="Q819" s="1308" t="s">
        <v>4911</v>
      </c>
    </row>
    <row r="820" spans="1:17">
      <c r="A820" s="1305" t="s">
        <v>3719</v>
      </c>
      <c r="B820" s="29">
        <v>45648</v>
      </c>
      <c r="C820" s="29">
        <v>45935</v>
      </c>
      <c r="D820" t="s">
        <v>908</v>
      </c>
      <c r="E820" s="1276">
        <v>45769</v>
      </c>
      <c r="G820">
        <v>4577126</v>
      </c>
      <c r="I820">
        <v>0</v>
      </c>
      <c r="J820">
        <v>4577126</v>
      </c>
      <c r="K820">
        <v>0</v>
      </c>
      <c r="P820" t="s">
        <v>1215</v>
      </c>
      <c r="Q820" s="1308" t="s">
        <v>4911</v>
      </c>
    </row>
    <row r="821" spans="1:17">
      <c r="A821" s="1305" t="s">
        <v>3719</v>
      </c>
      <c r="B821" s="29">
        <v>45648</v>
      </c>
      <c r="C821" s="29">
        <v>45935</v>
      </c>
      <c r="D821" t="s">
        <v>908</v>
      </c>
      <c r="E821" s="1276">
        <v>45769</v>
      </c>
      <c r="G821">
        <v>4577126</v>
      </c>
      <c r="I821">
        <v>0</v>
      </c>
      <c r="J821">
        <v>4577126</v>
      </c>
      <c r="K821">
        <v>0</v>
      </c>
      <c r="P821" t="s">
        <v>1215</v>
      </c>
      <c r="Q821" s="1308" t="s">
        <v>4911</v>
      </c>
    </row>
    <row r="822" spans="1:17">
      <c r="A822" s="1305" t="s">
        <v>3719</v>
      </c>
      <c r="B822" s="29">
        <v>45648</v>
      </c>
      <c r="C822" s="29">
        <v>45648</v>
      </c>
      <c r="D822" t="s">
        <v>908</v>
      </c>
      <c r="E822" s="1276">
        <v>45769</v>
      </c>
      <c r="G822">
        <v>4577126</v>
      </c>
      <c r="I822">
        <v>45730397</v>
      </c>
      <c r="J822">
        <v>-41153271</v>
      </c>
      <c r="K822">
        <v>0</v>
      </c>
      <c r="P822" t="s">
        <v>1215</v>
      </c>
      <c r="Q822" s="1308" t="s">
        <v>4911</v>
      </c>
    </row>
    <row r="823" spans="1:17">
      <c r="A823" s="1305" t="s">
        <v>3719</v>
      </c>
      <c r="B823" s="29">
        <f>E823</f>
        <v>45769</v>
      </c>
      <c r="C823" s="29">
        <v>45935</v>
      </c>
      <c r="D823" t="s">
        <v>908</v>
      </c>
      <c r="E823" s="1276">
        <v>45769</v>
      </c>
      <c r="G823">
        <v>0</v>
      </c>
      <c r="I823">
        <v>0</v>
      </c>
      <c r="J823">
        <v>0</v>
      </c>
      <c r="K823">
        <v>0</v>
      </c>
      <c r="P823" t="s">
        <v>1215</v>
      </c>
      <c r="Q823" s="1308" t="s">
        <v>4911</v>
      </c>
    </row>
    <row r="824" spans="1:17">
      <c r="A824" s="1305" t="s">
        <v>3719</v>
      </c>
      <c r="B824" s="29">
        <v>45648</v>
      </c>
      <c r="C824" s="29">
        <v>45648</v>
      </c>
      <c r="D824" t="s">
        <v>908</v>
      </c>
      <c r="E824" s="1276">
        <v>45769</v>
      </c>
      <c r="G824">
        <v>4577126</v>
      </c>
      <c r="I824">
        <v>4573040</v>
      </c>
      <c r="J824">
        <v>4086</v>
      </c>
      <c r="K824">
        <v>0</v>
      </c>
      <c r="P824" t="s">
        <v>1215</v>
      </c>
      <c r="Q824" s="1308" t="s">
        <v>4911</v>
      </c>
    </row>
    <row r="825" spans="1:17">
      <c r="A825" s="1305" t="s">
        <v>3719</v>
      </c>
      <c r="B825" s="29">
        <f>E825</f>
        <v>45769</v>
      </c>
      <c r="C825" s="29">
        <v>45935</v>
      </c>
      <c r="D825" t="s">
        <v>908</v>
      </c>
      <c r="E825" s="1276">
        <v>45769</v>
      </c>
      <c r="G825">
        <v>0</v>
      </c>
      <c r="I825">
        <v>0</v>
      </c>
      <c r="J825">
        <v>0</v>
      </c>
      <c r="K825">
        <v>0</v>
      </c>
      <c r="P825" t="s">
        <v>1215</v>
      </c>
      <c r="Q825" s="1308" t="s">
        <v>4911</v>
      </c>
    </row>
    <row r="826" spans="1:17">
      <c r="A826" s="1305" t="s">
        <v>3719</v>
      </c>
      <c r="B826" s="29">
        <v>45648</v>
      </c>
      <c r="C826" s="29">
        <v>45935</v>
      </c>
      <c r="D826" t="s">
        <v>908</v>
      </c>
      <c r="E826" s="1276">
        <v>45769</v>
      </c>
      <c r="G826">
        <v>4577126</v>
      </c>
      <c r="I826">
        <v>0</v>
      </c>
      <c r="J826">
        <v>4577126</v>
      </c>
      <c r="K826">
        <v>0</v>
      </c>
      <c r="P826" t="s">
        <v>1215</v>
      </c>
      <c r="Q826" s="1308" t="s">
        <v>4911</v>
      </c>
    </row>
    <row r="827" spans="1:17">
      <c r="A827" s="1305" t="s">
        <v>3719</v>
      </c>
      <c r="B827" s="29">
        <v>45648</v>
      </c>
      <c r="C827" s="29">
        <v>45935</v>
      </c>
      <c r="D827" t="s">
        <v>908</v>
      </c>
      <c r="E827" s="1276">
        <v>45769</v>
      </c>
      <c r="G827">
        <v>4577126</v>
      </c>
      <c r="I827">
        <v>0</v>
      </c>
      <c r="J827">
        <v>4577126</v>
      </c>
      <c r="K827">
        <v>0</v>
      </c>
      <c r="P827" t="s">
        <v>1215</v>
      </c>
      <c r="Q827" s="1308" t="s">
        <v>4911</v>
      </c>
    </row>
    <row r="828" spans="1:17">
      <c r="A828" s="1305" t="s">
        <v>3719</v>
      </c>
      <c r="B828" s="29">
        <v>45648</v>
      </c>
      <c r="C828" s="29">
        <v>45935</v>
      </c>
      <c r="D828" t="s">
        <v>908</v>
      </c>
      <c r="E828" s="1276">
        <v>45769</v>
      </c>
      <c r="G828">
        <v>4577126</v>
      </c>
      <c r="I828">
        <v>0</v>
      </c>
      <c r="J828">
        <v>4577126</v>
      </c>
      <c r="K828">
        <v>0</v>
      </c>
      <c r="P828" t="s">
        <v>1215</v>
      </c>
      <c r="Q828" s="1308" t="s">
        <v>4911</v>
      </c>
    </row>
    <row r="829" spans="1:17">
      <c r="A829" s="1305" t="s">
        <v>3719</v>
      </c>
      <c r="B829" s="29">
        <v>45648</v>
      </c>
      <c r="C829" s="29">
        <v>45935</v>
      </c>
      <c r="D829" t="s">
        <v>908</v>
      </c>
      <c r="E829" s="1276">
        <v>45769</v>
      </c>
      <c r="G829">
        <v>4577126</v>
      </c>
      <c r="I829">
        <v>0</v>
      </c>
      <c r="J829">
        <v>4577126</v>
      </c>
      <c r="K829">
        <v>0</v>
      </c>
      <c r="P829" t="s">
        <v>1215</v>
      </c>
      <c r="Q829" s="1308" t="s">
        <v>4911</v>
      </c>
    </row>
    <row r="830" spans="1:17">
      <c r="A830" s="1305" t="s">
        <v>3719</v>
      </c>
      <c r="B830" s="29">
        <v>45648</v>
      </c>
      <c r="C830" s="29">
        <v>45935</v>
      </c>
      <c r="D830" t="s">
        <v>908</v>
      </c>
      <c r="E830" s="1276">
        <v>45769</v>
      </c>
      <c r="G830">
        <v>3661701</v>
      </c>
      <c r="I830">
        <v>0</v>
      </c>
      <c r="J830">
        <v>3661701</v>
      </c>
      <c r="K830">
        <v>0</v>
      </c>
      <c r="P830" t="s">
        <v>1215</v>
      </c>
      <c r="Q830" s="1308" t="s">
        <v>4911</v>
      </c>
    </row>
    <row r="831" spans="1:17">
      <c r="A831" s="1305" t="s">
        <v>3719</v>
      </c>
      <c r="B831" s="29">
        <v>45648</v>
      </c>
      <c r="C831" s="29">
        <v>45935</v>
      </c>
      <c r="D831" t="s">
        <v>908</v>
      </c>
      <c r="E831" s="1276">
        <v>45769</v>
      </c>
      <c r="G831">
        <v>4577126</v>
      </c>
      <c r="I831">
        <v>0</v>
      </c>
      <c r="J831">
        <v>4577126</v>
      </c>
      <c r="K831">
        <v>0</v>
      </c>
      <c r="P831" t="s">
        <v>1215</v>
      </c>
      <c r="Q831" s="1308" t="s">
        <v>4911</v>
      </c>
    </row>
    <row r="832" spans="1:17">
      <c r="A832" s="1305" t="s">
        <v>3719</v>
      </c>
      <c r="B832" s="29">
        <v>45648</v>
      </c>
      <c r="C832" s="29">
        <v>45935</v>
      </c>
      <c r="D832" t="s">
        <v>908</v>
      </c>
      <c r="E832" s="1276">
        <v>45769</v>
      </c>
      <c r="G832">
        <v>4577126</v>
      </c>
      <c r="I832">
        <v>0</v>
      </c>
      <c r="J832">
        <v>4577126</v>
      </c>
      <c r="K832">
        <v>0</v>
      </c>
      <c r="P832" t="s">
        <v>1215</v>
      </c>
      <c r="Q832" s="1308" t="s">
        <v>4911</v>
      </c>
    </row>
    <row r="833" spans="1:17">
      <c r="A833" s="1305" t="s">
        <v>3719</v>
      </c>
      <c r="B833" s="29">
        <v>45648</v>
      </c>
      <c r="C833" s="29">
        <v>45935</v>
      </c>
      <c r="D833" t="s">
        <v>908</v>
      </c>
      <c r="E833" s="1276">
        <v>45769</v>
      </c>
      <c r="G833">
        <v>4577126</v>
      </c>
      <c r="I833">
        <v>0</v>
      </c>
      <c r="J833">
        <v>4577126</v>
      </c>
      <c r="K833">
        <v>0</v>
      </c>
      <c r="P833" t="s">
        <v>1215</v>
      </c>
      <c r="Q833" s="1308" t="s">
        <v>4911</v>
      </c>
    </row>
    <row r="834" spans="1:17">
      <c r="A834" s="1305" t="s">
        <v>3719</v>
      </c>
      <c r="B834" s="29">
        <v>45648</v>
      </c>
      <c r="C834" s="29">
        <v>45935</v>
      </c>
      <c r="D834" t="s">
        <v>908</v>
      </c>
      <c r="E834" s="1276">
        <v>45769</v>
      </c>
      <c r="G834">
        <v>4577126</v>
      </c>
      <c r="I834">
        <v>0</v>
      </c>
      <c r="J834">
        <v>4577126</v>
      </c>
      <c r="K834">
        <v>0</v>
      </c>
      <c r="P834" t="s">
        <v>1215</v>
      </c>
      <c r="Q834" s="1308" t="s">
        <v>4911</v>
      </c>
    </row>
    <row r="835" spans="1:17">
      <c r="A835" s="1305" t="s">
        <v>3719</v>
      </c>
      <c r="B835" s="29">
        <v>45648</v>
      </c>
      <c r="C835" s="29">
        <v>45935</v>
      </c>
      <c r="D835" t="s">
        <v>908</v>
      </c>
      <c r="E835" s="1276">
        <v>45769</v>
      </c>
      <c r="G835">
        <v>4577126</v>
      </c>
      <c r="I835">
        <v>0</v>
      </c>
      <c r="J835">
        <v>4577126</v>
      </c>
      <c r="K835">
        <v>0</v>
      </c>
      <c r="P835" t="s">
        <v>1215</v>
      </c>
      <c r="Q835" s="1308" t="s">
        <v>4911</v>
      </c>
    </row>
    <row r="836" spans="1:17">
      <c r="A836" s="1305" t="s">
        <v>3719</v>
      </c>
      <c r="B836" s="29">
        <v>45648</v>
      </c>
      <c r="C836" s="29">
        <v>45935</v>
      </c>
      <c r="D836" t="s">
        <v>908</v>
      </c>
      <c r="E836" s="1276">
        <v>45769</v>
      </c>
      <c r="G836">
        <v>4577126</v>
      </c>
      <c r="I836">
        <v>0</v>
      </c>
      <c r="J836">
        <v>4577126</v>
      </c>
      <c r="K836">
        <v>0</v>
      </c>
      <c r="P836" t="s">
        <v>1215</v>
      </c>
      <c r="Q836" s="1308" t="s">
        <v>4911</v>
      </c>
    </row>
    <row r="837" spans="1:17">
      <c r="A837" s="1305" t="s">
        <v>3719</v>
      </c>
      <c r="B837" s="29">
        <v>45648</v>
      </c>
      <c r="C837" s="29">
        <v>45935</v>
      </c>
      <c r="D837" t="s">
        <v>908</v>
      </c>
      <c r="E837" s="1276">
        <v>45769</v>
      </c>
      <c r="G837">
        <v>4119414</v>
      </c>
      <c r="I837">
        <v>0</v>
      </c>
      <c r="J837">
        <v>4119414</v>
      </c>
      <c r="K837">
        <v>0</v>
      </c>
      <c r="P837" t="s">
        <v>1215</v>
      </c>
      <c r="Q837" s="1308" t="s">
        <v>4911</v>
      </c>
    </row>
    <row r="838" spans="1:17">
      <c r="A838" s="1305" t="s">
        <v>3719</v>
      </c>
      <c r="B838" s="29">
        <v>45648</v>
      </c>
      <c r="C838" s="29">
        <v>45935</v>
      </c>
      <c r="D838" t="s">
        <v>908</v>
      </c>
      <c r="E838" s="1276">
        <v>45769</v>
      </c>
      <c r="G838">
        <v>4577126</v>
      </c>
      <c r="I838">
        <v>0</v>
      </c>
      <c r="J838">
        <v>4577126</v>
      </c>
      <c r="K838">
        <v>0</v>
      </c>
      <c r="P838" t="s">
        <v>1215</v>
      </c>
      <c r="Q838" s="1308" t="s">
        <v>4911</v>
      </c>
    </row>
    <row r="839" spans="1:17">
      <c r="A839" s="1305" t="s">
        <v>3719</v>
      </c>
      <c r="B839" s="29">
        <v>45648</v>
      </c>
      <c r="C839" s="29">
        <v>45935</v>
      </c>
      <c r="D839" t="s">
        <v>908</v>
      </c>
      <c r="E839" s="1276">
        <v>45769</v>
      </c>
      <c r="G839">
        <v>4577126</v>
      </c>
      <c r="I839">
        <v>0</v>
      </c>
      <c r="J839">
        <v>4577126</v>
      </c>
      <c r="K839">
        <v>0</v>
      </c>
      <c r="P839" t="s">
        <v>1215</v>
      </c>
      <c r="Q839" s="1308" t="s">
        <v>4911</v>
      </c>
    </row>
    <row r="840" spans="1:17">
      <c r="A840" s="1305" t="s">
        <v>3719</v>
      </c>
      <c r="B840" s="29">
        <v>45648</v>
      </c>
      <c r="C840" s="29">
        <v>45935</v>
      </c>
      <c r="D840" t="s">
        <v>908</v>
      </c>
      <c r="E840" s="1276">
        <v>45769</v>
      </c>
      <c r="G840">
        <v>4119414</v>
      </c>
      <c r="I840">
        <v>0</v>
      </c>
      <c r="J840">
        <v>4119414</v>
      </c>
      <c r="K840">
        <v>0</v>
      </c>
      <c r="P840" t="s">
        <v>1215</v>
      </c>
      <c r="Q840" s="1308" t="s">
        <v>4911</v>
      </c>
    </row>
    <row r="841" spans="1:17">
      <c r="A841" s="1305" t="s">
        <v>3719</v>
      </c>
      <c r="B841" s="29">
        <v>45648</v>
      </c>
      <c r="C841" s="29">
        <v>45935</v>
      </c>
      <c r="D841" t="s">
        <v>908</v>
      </c>
      <c r="E841" s="1276">
        <v>45769</v>
      </c>
      <c r="G841">
        <v>4577126</v>
      </c>
      <c r="I841">
        <v>0</v>
      </c>
      <c r="J841">
        <v>4577126</v>
      </c>
      <c r="K841">
        <v>0</v>
      </c>
      <c r="P841" t="s">
        <v>1215</v>
      </c>
      <c r="Q841" s="1308" t="s">
        <v>4911</v>
      </c>
    </row>
    <row r="842" spans="1:17">
      <c r="A842" s="1305" t="s">
        <v>3719</v>
      </c>
      <c r="B842" s="29">
        <v>45648</v>
      </c>
      <c r="C842" s="29">
        <v>45935</v>
      </c>
      <c r="D842" t="s">
        <v>908</v>
      </c>
      <c r="E842" s="1276">
        <v>45769</v>
      </c>
      <c r="G842">
        <v>4577126</v>
      </c>
      <c r="I842">
        <v>0</v>
      </c>
      <c r="J842">
        <v>4577126</v>
      </c>
      <c r="K842">
        <v>0</v>
      </c>
      <c r="P842" t="s">
        <v>1215</v>
      </c>
      <c r="Q842" s="1308" t="s">
        <v>4911</v>
      </c>
    </row>
    <row r="843" spans="1:17">
      <c r="A843" s="1305" t="s">
        <v>3719</v>
      </c>
      <c r="B843" s="29">
        <v>45648</v>
      </c>
      <c r="C843" s="29">
        <v>45935</v>
      </c>
      <c r="D843" t="s">
        <v>908</v>
      </c>
      <c r="E843" s="1276">
        <v>45769</v>
      </c>
      <c r="G843">
        <v>4577126</v>
      </c>
      <c r="I843">
        <v>0</v>
      </c>
      <c r="J843">
        <v>4577126</v>
      </c>
      <c r="K843">
        <v>0</v>
      </c>
      <c r="P843" t="s">
        <v>1215</v>
      </c>
      <c r="Q843" s="1308" t="s">
        <v>4911</v>
      </c>
    </row>
    <row r="844" spans="1:17">
      <c r="A844" s="1305" t="s">
        <v>3719</v>
      </c>
      <c r="B844" s="29">
        <v>45648</v>
      </c>
      <c r="C844" s="29">
        <v>45935</v>
      </c>
      <c r="D844" t="s">
        <v>908</v>
      </c>
      <c r="E844" s="1276">
        <v>45769</v>
      </c>
      <c r="G844">
        <v>4577126</v>
      </c>
      <c r="I844">
        <v>0</v>
      </c>
      <c r="J844">
        <v>4577126</v>
      </c>
      <c r="K844">
        <v>0</v>
      </c>
      <c r="P844" t="s">
        <v>1215</v>
      </c>
      <c r="Q844" s="1308" t="s">
        <v>4911</v>
      </c>
    </row>
    <row r="845" spans="1:17">
      <c r="A845" s="1305" t="s">
        <v>3719</v>
      </c>
      <c r="B845" s="29">
        <v>45648</v>
      </c>
      <c r="C845" s="29">
        <v>45935</v>
      </c>
      <c r="D845" t="s">
        <v>908</v>
      </c>
      <c r="E845" s="1276">
        <v>45769</v>
      </c>
      <c r="G845">
        <v>4577126</v>
      </c>
      <c r="I845">
        <v>0</v>
      </c>
      <c r="J845">
        <v>4577126</v>
      </c>
      <c r="K845">
        <v>0</v>
      </c>
      <c r="P845" t="s">
        <v>1215</v>
      </c>
      <c r="Q845" s="1308" t="s">
        <v>4911</v>
      </c>
    </row>
    <row r="846" spans="1:17">
      <c r="A846" s="1305" t="s">
        <v>3719</v>
      </c>
      <c r="B846" s="29">
        <v>45648</v>
      </c>
      <c r="C846" s="29">
        <v>45935</v>
      </c>
      <c r="D846" t="s">
        <v>908</v>
      </c>
      <c r="E846" s="1276">
        <v>45769</v>
      </c>
      <c r="G846">
        <v>4577126</v>
      </c>
      <c r="I846">
        <v>0</v>
      </c>
      <c r="J846">
        <v>4577126</v>
      </c>
      <c r="K846">
        <v>0</v>
      </c>
      <c r="P846" t="s">
        <v>1215</v>
      </c>
      <c r="Q846" s="1308" t="s">
        <v>4911</v>
      </c>
    </row>
    <row r="847" spans="1:17">
      <c r="A847" s="1305" t="s">
        <v>3719</v>
      </c>
      <c r="B847" s="29">
        <v>45648</v>
      </c>
      <c r="C847" s="29">
        <v>45935</v>
      </c>
      <c r="D847" t="s">
        <v>908</v>
      </c>
      <c r="E847" s="1276">
        <v>45769</v>
      </c>
      <c r="G847">
        <v>4577126</v>
      </c>
      <c r="I847">
        <v>0</v>
      </c>
      <c r="J847">
        <v>4577126</v>
      </c>
      <c r="K847">
        <v>0</v>
      </c>
      <c r="P847" t="s">
        <v>1215</v>
      </c>
      <c r="Q847" s="1308" t="s">
        <v>4911</v>
      </c>
    </row>
    <row r="848" spans="1:17">
      <c r="A848" s="1305" t="s">
        <v>3719</v>
      </c>
      <c r="B848" s="29">
        <v>45650</v>
      </c>
      <c r="C848" s="29">
        <v>45935</v>
      </c>
      <c r="D848" t="s">
        <v>908</v>
      </c>
      <c r="E848" s="1276">
        <v>45769</v>
      </c>
      <c r="G848">
        <v>4577126</v>
      </c>
      <c r="I848">
        <v>0</v>
      </c>
      <c r="J848">
        <v>4577126</v>
      </c>
      <c r="K848">
        <v>0</v>
      </c>
      <c r="P848" t="s">
        <v>1215</v>
      </c>
      <c r="Q848" s="1308" t="s">
        <v>4911</v>
      </c>
    </row>
    <row r="849" spans="1:17">
      <c r="A849" s="1305" t="s">
        <v>3719</v>
      </c>
      <c r="B849" s="29">
        <v>45651</v>
      </c>
      <c r="C849" s="29">
        <v>45935</v>
      </c>
      <c r="D849" t="s">
        <v>908</v>
      </c>
      <c r="E849" s="1276">
        <v>45769</v>
      </c>
      <c r="G849">
        <v>4577126</v>
      </c>
      <c r="I849">
        <v>0</v>
      </c>
      <c r="J849">
        <v>4577126</v>
      </c>
      <c r="K849">
        <v>0</v>
      </c>
      <c r="P849" t="s">
        <v>1215</v>
      </c>
      <c r="Q849" s="1308" t="s">
        <v>4911</v>
      </c>
    </row>
    <row r="850" spans="1:17">
      <c r="A850" s="1305" t="s">
        <v>3719</v>
      </c>
      <c r="B850" s="29">
        <v>45651</v>
      </c>
      <c r="C850" s="29">
        <v>45935</v>
      </c>
      <c r="D850" t="s">
        <v>908</v>
      </c>
      <c r="E850" s="1276">
        <v>45769</v>
      </c>
      <c r="G850">
        <v>4577126</v>
      </c>
      <c r="I850">
        <v>0</v>
      </c>
      <c r="J850">
        <v>4577126</v>
      </c>
      <c r="K850">
        <v>0</v>
      </c>
      <c r="P850" t="s">
        <v>1215</v>
      </c>
      <c r="Q850" s="1308" t="s">
        <v>4911</v>
      </c>
    </row>
    <row r="851" spans="1:17">
      <c r="A851" s="1305" t="s">
        <v>3719</v>
      </c>
      <c r="B851" s="29">
        <v>45651</v>
      </c>
      <c r="C851" s="29">
        <v>45935</v>
      </c>
      <c r="D851" t="s">
        <v>908</v>
      </c>
      <c r="E851" s="1276">
        <v>45769</v>
      </c>
      <c r="G851">
        <v>4577126</v>
      </c>
      <c r="I851">
        <v>0</v>
      </c>
      <c r="J851">
        <v>4577126</v>
      </c>
      <c r="K851">
        <v>0</v>
      </c>
      <c r="P851" t="s">
        <v>1215</v>
      </c>
      <c r="Q851" s="1308" t="s">
        <v>4911</v>
      </c>
    </row>
    <row r="852" spans="1:17">
      <c r="A852" s="1305" t="s">
        <v>3719</v>
      </c>
      <c r="B852" s="29">
        <v>45651</v>
      </c>
      <c r="C852" s="29">
        <v>45651</v>
      </c>
      <c r="D852" t="s">
        <v>908</v>
      </c>
      <c r="E852" s="1276">
        <v>45769</v>
      </c>
      <c r="G852">
        <v>4577126</v>
      </c>
      <c r="I852">
        <v>121642832</v>
      </c>
      <c r="J852">
        <v>-117065706</v>
      </c>
      <c r="K852">
        <v>0</v>
      </c>
      <c r="P852" t="s">
        <v>1215</v>
      </c>
      <c r="Q852" s="1308" t="s">
        <v>4911</v>
      </c>
    </row>
    <row r="853" spans="1:17">
      <c r="A853" s="1305" t="s">
        <v>3719</v>
      </c>
      <c r="B853" s="29">
        <f>E853</f>
        <v>45769</v>
      </c>
      <c r="C853" s="29">
        <v>45935</v>
      </c>
      <c r="D853" t="s">
        <v>908</v>
      </c>
      <c r="E853" s="1276">
        <v>45769</v>
      </c>
      <c r="G853">
        <v>0</v>
      </c>
      <c r="I853">
        <v>0</v>
      </c>
      <c r="J853">
        <v>0</v>
      </c>
      <c r="K853">
        <v>0</v>
      </c>
      <c r="P853" t="s">
        <v>1215</v>
      </c>
      <c r="Q853" s="1308" t="s">
        <v>4911</v>
      </c>
    </row>
    <row r="854" spans="1:17">
      <c r="A854" s="1305" t="s">
        <v>3719</v>
      </c>
      <c r="B854" s="29">
        <v>45651</v>
      </c>
      <c r="C854" s="29">
        <v>45935</v>
      </c>
      <c r="D854" t="s">
        <v>908</v>
      </c>
      <c r="E854" s="1276">
        <v>45769</v>
      </c>
      <c r="G854">
        <v>4577126</v>
      </c>
      <c r="I854">
        <v>0</v>
      </c>
      <c r="J854">
        <v>4577126</v>
      </c>
      <c r="K854">
        <v>0</v>
      </c>
      <c r="P854" t="s">
        <v>1215</v>
      </c>
      <c r="Q854" s="1308" t="s">
        <v>4911</v>
      </c>
    </row>
    <row r="855" spans="1:17">
      <c r="A855" s="1305" t="s">
        <v>3719</v>
      </c>
      <c r="B855" s="29">
        <v>45652</v>
      </c>
      <c r="C855" s="29">
        <v>45935</v>
      </c>
      <c r="D855" t="s">
        <v>908</v>
      </c>
      <c r="E855" s="1276">
        <v>45769</v>
      </c>
      <c r="G855">
        <v>4119414</v>
      </c>
      <c r="I855">
        <v>0</v>
      </c>
      <c r="J855">
        <v>4119414</v>
      </c>
      <c r="K855">
        <v>0</v>
      </c>
      <c r="P855" t="s">
        <v>1215</v>
      </c>
      <c r="Q855" s="1308" t="s">
        <v>4911</v>
      </c>
    </row>
    <row r="856" spans="1:17">
      <c r="A856" s="1305" t="s">
        <v>3719</v>
      </c>
      <c r="B856" s="29">
        <v>45652</v>
      </c>
      <c r="C856" s="29">
        <v>45935</v>
      </c>
      <c r="D856" t="s">
        <v>908</v>
      </c>
      <c r="E856" s="1276">
        <v>45769</v>
      </c>
      <c r="G856">
        <v>4577126</v>
      </c>
      <c r="I856">
        <v>0</v>
      </c>
      <c r="J856">
        <v>4577126</v>
      </c>
      <c r="K856">
        <v>0</v>
      </c>
      <c r="P856" t="s">
        <v>1215</v>
      </c>
      <c r="Q856" s="1308" t="s">
        <v>4911</v>
      </c>
    </row>
    <row r="857" spans="1:17">
      <c r="A857" s="1305" t="s">
        <v>3719</v>
      </c>
      <c r="B857" s="29">
        <v>45652</v>
      </c>
      <c r="C857" s="29">
        <v>45935</v>
      </c>
      <c r="D857" t="s">
        <v>908</v>
      </c>
      <c r="E857" s="1276">
        <v>45769</v>
      </c>
      <c r="G857">
        <v>4577126</v>
      </c>
      <c r="I857">
        <v>0</v>
      </c>
      <c r="J857">
        <v>4577126</v>
      </c>
      <c r="K857">
        <v>0</v>
      </c>
      <c r="P857" t="s">
        <v>1215</v>
      </c>
      <c r="Q857" s="1308" t="s">
        <v>4911</v>
      </c>
    </row>
    <row r="858" spans="1:17">
      <c r="A858" s="1305" t="s">
        <v>3719</v>
      </c>
      <c r="B858" s="29">
        <v>45652</v>
      </c>
      <c r="C858" s="29">
        <v>45652</v>
      </c>
      <c r="D858" t="s">
        <v>908</v>
      </c>
      <c r="E858" s="1276">
        <v>45769</v>
      </c>
      <c r="G858">
        <v>4119414</v>
      </c>
      <c r="I858">
        <v>21950589</v>
      </c>
      <c r="J858">
        <v>-17831175</v>
      </c>
      <c r="K858">
        <v>0</v>
      </c>
      <c r="P858" t="s">
        <v>1215</v>
      </c>
      <c r="Q858" s="1308" t="s">
        <v>4911</v>
      </c>
    </row>
    <row r="859" spans="1:17">
      <c r="A859" s="1305" t="s">
        <v>3719</v>
      </c>
      <c r="B859" s="29">
        <f>E859</f>
        <v>45769</v>
      </c>
      <c r="C859" s="29">
        <v>45935</v>
      </c>
      <c r="D859" t="s">
        <v>908</v>
      </c>
      <c r="E859" s="1276">
        <v>45769</v>
      </c>
      <c r="G859">
        <v>0</v>
      </c>
      <c r="I859">
        <v>0</v>
      </c>
      <c r="J859">
        <v>0</v>
      </c>
      <c r="K859">
        <v>0</v>
      </c>
      <c r="P859" t="s">
        <v>1215</v>
      </c>
      <c r="Q859" s="1308" t="s">
        <v>4911</v>
      </c>
    </row>
    <row r="860" spans="1:17">
      <c r="A860" s="1305" t="s">
        <v>3719</v>
      </c>
      <c r="B860" s="29">
        <v>45652</v>
      </c>
      <c r="C860" s="29">
        <v>45935</v>
      </c>
      <c r="D860" t="s">
        <v>908</v>
      </c>
      <c r="E860" s="1276">
        <v>45769</v>
      </c>
      <c r="G860">
        <v>4119414</v>
      </c>
      <c r="I860">
        <v>0</v>
      </c>
      <c r="J860">
        <v>4119414</v>
      </c>
      <c r="K860">
        <v>0</v>
      </c>
      <c r="P860" t="s">
        <v>1215</v>
      </c>
      <c r="Q860" s="1308" t="s">
        <v>4911</v>
      </c>
    </row>
    <row r="861" spans="1:17">
      <c r="A861" s="1305" t="s">
        <v>3719</v>
      </c>
      <c r="B861" s="29">
        <v>45652</v>
      </c>
      <c r="C861" s="29">
        <v>45935</v>
      </c>
      <c r="D861" t="s">
        <v>908</v>
      </c>
      <c r="E861" s="1276">
        <v>45769</v>
      </c>
      <c r="G861">
        <v>3631187</v>
      </c>
      <c r="I861">
        <v>0</v>
      </c>
      <c r="J861">
        <v>3631187</v>
      </c>
      <c r="K861">
        <v>0</v>
      </c>
      <c r="P861" t="s">
        <v>1215</v>
      </c>
      <c r="Q861" s="1308" t="s">
        <v>4911</v>
      </c>
    </row>
    <row r="862" spans="1:17">
      <c r="A862" s="1305" t="s">
        <v>3719</v>
      </c>
      <c r="B862" s="29">
        <v>45652</v>
      </c>
      <c r="C862" s="29">
        <v>45935</v>
      </c>
      <c r="D862" t="s">
        <v>908</v>
      </c>
      <c r="E862" s="1276">
        <v>45769</v>
      </c>
      <c r="G862">
        <v>945939</v>
      </c>
      <c r="I862">
        <v>0</v>
      </c>
      <c r="J862">
        <v>945939</v>
      </c>
      <c r="K862">
        <v>0</v>
      </c>
      <c r="P862" t="s">
        <v>1215</v>
      </c>
      <c r="Q862" s="1308" t="s">
        <v>4911</v>
      </c>
    </row>
    <row r="863" spans="1:17">
      <c r="A863" s="1305" t="s">
        <v>3719</v>
      </c>
      <c r="B863" s="29">
        <v>45652</v>
      </c>
      <c r="C863" s="29">
        <v>45935</v>
      </c>
      <c r="D863" t="s">
        <v>908</v>
      </c>
      <c r="E863" s="1276">
        <v>45769</v>
      </c>
      <c r="G863">
        <v>4119414</v>
      </c>
      <c r="I863">
        <v>0</v>
      </c>
      <c r="J863">
        <v>4119414</v>
      </c>
      <c r="K863">
        <v>0</v>
      </c>
      <c r="P863" t="s">
        <v>1215</v>
      </c>
      <c r="Q863" s="1308" t="s">
        <v>4911</v>
      </c>
    </row>
    <row r="864" spans="1:17">
      <c r="A864" s="1305" t="s">
        <v>3719</v>
      </c>
      <c r="B864" s="29">
        <v>45652</v>
      </c>
      <c r="C864" s="29">
        <v>45935</v>
      </c>
      <c r="D864" t="s">
        <v>908</v>
      </c>
      <c r="E864" s="1276">
        <v>45769</v>
      </c>
      <c r="G864">
        <v>4577126</v>
      </c>
      <c r="I864">
        <v>0</v>
      </c>
      <c r="J864">
        <v>4577126</v>
      </c>
      <c r="K864">
        <v>0</v>
      </c>
      <c r="P864" t="s">
        <v>1215</v>
      </c>
      <c r="Q864" s="1308" t="s">
        <v>4911</v>
      </c>
    </row>
    <row r="865" spans="1:17">
      <c r="A865" s="1305" t="s">
        <v>3719</v>
      </c>
      <c r="B865" s="29">
        <v>45652</v>
      </c>
      <c r="C865" s="29">
        <v>45935</v>
      </c>
      <c r="D865" t="s">
        <v>908</v>
      </c>
      <c r="E865" s="1276">
        <v>45769</v>
      </c>
      <c r="G865">
        <v>3661701</v>
      </c>
      <c r="I865">
        <v>0</v>
      </c>
      <c r="J865">
        <v>3661701</v>
      </c>
      <c r="K865">
        <v>0</v>
      </c>
      <c r="P865" t="s">
        <v>1215</v>
      </c>
      <c r="Q865" s="1308" t="s">
        <v>4911</v>
      </c>
    </row>
    <row r="866" spans="1:17">
      <c r="A866" s="1305" t="s">
        <v>3719</v>
      </c>
      <c r="B866" s="29">
        <v>45652</v>
      </c>
      <c r="C866" s="29">
        <v>45935</v>
      </c>
      <c r="D866" t="s">
        <v>908</v>
      </c>
      <c r="E866" s="1276">
        <v>45769</v>
      </c>
      <c r="G866">
        <v>427198</v>
      </c>
      <c r="I866">
        <v>0</v>
      </c>
      <c r="J866">
        <v>427198</v>
      </c>
      <c r="K866">
        <v>0</v>
      </c>
      <c r="P866" t="s">
        <v>1215</v>
      </c>
      <c r="Q866" s="1308" t="s">
        <v>4911</v>
      </c>
    </row>
    <row r="867" spans="1:17">
      <c r="A867" s="1305" t="s">
        <v>3719</v>
      </c>
      <c r="B867" s="29">
        <v>45652</v>
      </c>
      <c r="C867" s="29">
        <v>45935</v>
      </c>
      <c r="D867" t="s">
        <v>908</v>
      </c>
      <c r="E867" s="1276">
        <v>45769</v>
      </c>
      <c r="G867">
        <v>4577126</v>
      </c>
      <c r="I867">
        <v>0</v>
      </c>
      <c r="J867">
        <v>4577126</v>
      </c>
      <c r="K867">
        <v>0</v>
      </c>
      <c r="P867" t="s">
        <v>1215</v>
      </c>
      <c r="Q867" s="1308" t="s">
        <v>4911</v>
      </c>
    </row>
    <row r="868" spans="1:17">
      <c r="A868" s="1305" t="s">
        <v>3719</v>
      </c>
      <c r="B868" s="29">
        <v>45652</v>
      </c>
      <c r="C868" s="29">
        <v>45935</v>
      </c>
      <c r="D868" t="s">
        <v>908</v>
      </c>
      <c r="E868" s="1276">
        <v>45769</v>
      </c>
      <c r="G868">
        <v>30514</v>
      </c>
      <c r="I868">
        <v>0</v>
      </c>
      <c r="J868">
        <v>30514</v>
      </c>
      <c r="K868">
        <v>0</v>
      </c>
      <c r="P868" t="s">
        <v>1215</v>
      </c>
      <c r="Q868" s="1308" t="s">
        <v>4911</v>
      </c>
    </row>
    <row r="869" spans="1:17">
      <c r="A869" s="1305" t="s">
        <v>3719</v>
      </c>
      <c r="B869" s="29">
        <v>45653</v>
      </c>
      <c r="C869" s="29">
        <v>45935</v>
      </c>
      <c r="D869" t="s">
        <v>908</v>
      </c>
      <c r="E869" s="1276">
        <v>45769</v>
      </c>
      <c r="G869">
        <v>4577126</v>
      </c>
      <c r="I869">
        <v>0</v>
      </c>
      <c r="J869">
        <v>4577126</v>
      </c>
      <c r="K869">
        <v>0</v>
      </c>
      <c r="P869" t="s">
        <v>1215</v>
      </c>
      <c r="Q869" s="1308" t="s">
        <v>4911</v>
      </c>
    </row>
    <row r="870" spans="1:17">
      <c r="A870" s="1305" t="s">
        <v>3719</v>
      </c>
      <c r="B870" s="29">
        <v>45653</v>
      </c>
      <c r="C870" s="29">
        <v>45935</v>
      </c>
      <c r="D870" t="s">
        <v>908</v>
      </c>
      <c r="E870" s="1276">
        <v>45769</v>
      </c>
      <c r="G870">
        <v>4577126</v>
      </c>
      <c r="I870">
        <v>0</v>
      </c>
      <c r="J870">
        <v>4577126</v>
      </c>
      <c r="K870">
        <v>0</v>
      </c>
      <c r="P870" t="s">
        <v>1215</v>
      </c>
      <c r="Q870" s="1308" t="s">
        <v>4911</v>
      </c>
    </row>
    <row r="871" spans="1:17">
      <c r="A871" s="1305" t="s">
        <v>3719</v>
      </c>
      <c r="B871" s="29">
        <v>45653</v>
      </c>
      <c r="C871" s="29">
        <v>45935</v>
      </c>
      <c r="D871" t="s">
        <v>908</v>
      </c>
      <c r="E871" s="1276">
        <v>45769</v>
      </c>
      <c r="G871">
        <v>4577126</v>
      </c>
      <c r="I871">
        <v>0</v>
      </c>
      <c r="J871">
        <v>4577126</v>
      </c>
      <c r="K871">
        <v>0</v>
      </c>
      <c r="P871" t="s">
        <v>1215</v>
      </c>
      <c r="Q871" s="1308" t="s">
        <v>4911</v>
      </c>
    </row>
    <row r="872" spans="1:17">
      <c r="A872" s="1305" t="s">
        <v>3719</v>
      </c>
      <c r="B872" s="29">
        <v>45653</v>
      </c>
      <c r="C872" s="29">
        <v>45935</v>
      </c>
      <c r="D872" t="s">
        <v>908</v>
      </c>
      <c r="E872" s="1276">
        <v>45769</v>
      </c>
      <c r="G872">
        <v>4577126</v>
      </c>
      <c r="I872">
        <v>0</v>
      </c>
      <c r="J872">
        <v>4577126</v>
      </c>
      <c r="K872">
        <v>0</v>
      </c>
      <c r="P872" t="s">
        <v>1215</v>
      </c>
      <c r="Q872" s="1308" t="s">
        <v>4911</v>
      </c>
    </row>
    <row r="873" spans="1:17">
      <c r="A873" s="1305" t="s">
        <v>3719</v>
      </c>
      <c r="B873" s="29">
        <v>45653</v>
      </c>
      <c r="C873" s="29">
        <v>45935</v>
      </c>
      <c r="D873" t="s">
        <v>908</v>
      </c>
      <c r="E873" s="1276">
        <v>45769</v>
      </c>
      <c r="G873">
        <v>4119414</v>
      </c>
      <c r="I873">
        <v>0</v>
      </c>
      <c r="J873">
        <v>4119414</v>
      </c>
      <c r="K873">
        <v>0</v>
      </c>
      <c r="P873" t="s">
        <v>1215</v>
      </c>
      <c r="Q873" s="1308" t="s">
        <v>4911</v>
      </c>
    </row>
    <row r="874" spans="1:17">
      <c r="A874" s="1305" t="s">
        <v>3719</v>
      </c>
      <c r="B874" s="29">
        <v>45655</v>
      </c>
      <c r="C874" s="29">
        <v>45935</v>
      </c>
      <c r="D874" t="s">
        <v>908</v>
      </c>
      <c r="E874" s="1276">
        <v>45769</v>
      </c>
      <c r="G874">
        <v>4577126</v>
      </c>
      <c r="I874">
        <v>0</v>
      </c>
      <c r="J874">
        <v>4577126</v>
      </c>
      <c r="K874">
        <v>0</v>
      </c>
      <c r="P874" t="s">
        <v>1215</v>
      </c>
      <c r="Q874" s="1308" t="s">
        <v>4911</v>
      </c>
    </row>
    <row r="875" spans="1:17">
      <c r="A875" s="1305" t="s">
        <v>3719</v>
      </c>
      <c r="B875" s="29">
        <v>45655</v>
      </c>
      <c r="C875" s="29">
        <v>45935</v>
      </c>
      <c r="D875" t="s">
        <v>908</v>
      </c>
      <c r="E875" s="1276">
        <v>45769</v>
      </c>
      <c r="G875">
        <v>4577126</v>
      </c>
      <c r="I875">
        <v>0</v>
      </c>
      <c r="J875">
        <v>4577126</v>
      </c>
      <c r="K875">
        <v>0</v>
      </c>
      <c r="P875" t="s">
        <v>1215</v>
      </c>
      <c r="Q875" s="1308" t="s">
        <v>4911</v>
      </c>
    </row>
    <row r="876" spans="1:17">
      <c r="A876" s="1305" t="s">
        <v>3719</v>
      </c>
      <c r="B876" s="29">
        <v>45655</v>
      </c>
      <c r="C876" s="29">
        <v>45935</v>
      </c>
      <c r="D876" t="s">
        <v>908</v>
      </c>
      <c r="E876" s="1276">
        <v>45769</v>
      </c>
      <c r="G876">
        <v>4119414</v>
      </c>
      <c r="I876">
        <v>0</v>
      </c>
      <c r="J876">
        <v>4119414</v>
      </c>
      <c r="K876">
        <v>0</v>
      </c>
      <c r="P876" t="s">
        <v>1215</v>
      </c>
      <c r="Q876" s="1308" t="s">
        <v>4911</v>
      </c>
    </row>
    <row r="877" spans="1:17">
      <c r="A877" s="1305" t="s">
        <v>3719</v>
      </c>
      <c r="B877" s="29">
        <v>45655</v>
      </c>
      <c r="C877" s="29">
        <v>45935</v>
      </c>
      <c r="D877" t="s">
        <v>908</v>
      </c>
      <c r="E877" s="1276">
        <v>45769</v>
      </c>
      <c r="G877">
        <v>4577126</v>
      </c>
      <c r="I877">
        <v>0</v>
      </c>
      <c r="J877">
        <v>4577126</v>
      </c>
      <c r="K877">
        <v>0</v>
      </c>
      <c r="P877" t="s">
        <v>1215</v>
      </c>
      <c r="Q877" s="1308" t="s">
        <v>4911</v>
      </c>
    </row>
    <row r="878" spans="1:17">
      <c r="A878" s="1305" t="s">
        <v>3719</v>
      </c>
      <c r="B878" s="29">
        <v>45655</v>
      </c>
      <c r="C878" s="29">
        <v>45935</v>
      </c>
      <c r="D878" t="s">
        <v>908</v>
      </c>
      <c r="E878" s="1276">
        <v>45769</v>
      </c>
      <c r="G878">
        <v>3661701</v>
      </c>
      <c r="I878">
        <v>0</v>
      </c>
      <c r="J878">
        <v>3661701</v>
      </c>
      <c r="K878">
        <v>0</v>
      </c>
      <c r="P878" t="s">
        <v>1215</v>
      </c>
      <c r="Q878" s="1308" t="s">
        <v>4911</v>
      </c>
    </row>
    <row r="879" spans="1:17">
      <c r="A879" s="1305" t="s">
        <v>3719</v>
      </c>
      <c r="B879" s="29">
        <v>45655</v>
      </c>
      <c r="C879" s="29">
        <v>45935</v>
      </c>
      <c r="D879" t="s">
        <v>908</v>
      </c>
      <c r="E879" s="1276">
        <v>45769</v>
      </c>
      <c r="G879">
        <v>4577126</v>
      </c>
      <c r="I879">
        <v>0</v>
      </c>
      <c r="J879">
        <v>4577126</v>
      </c>
      <c r="K879">
        <v>0</v>
      </c>
      <c r="P879" t="s">
        <v>1215</v>
      </c>
      <c r="Q879" s="1308" t="s">
        <v>4911</v>
      </c>
    </row>
    <row r="880" spans="1:17">
      <c r="A880" s="1305" t="s">
        <v>3719</v>
      </c>
      <c r="B880" s="29">
        <v>45655</v>
      </c>
      <c r="C880" s="29">
        <v>45935</v>
      </c>
      <c r="D880" t="s">
        <v>908</v>
      </c>
      <c r="E880" s="1276">
        <v>45769</v>
      </c>
      <c r="G880">
        <v>4577126</v>
      </c>
      <c r="I880">
        <v>0</v>
      </c>
      <c r="J880">
        <v>4577126</v>
      </c>
      <c r="K880">
        <v>0</v>
      </c>
      <c r="P880" t="s">
        <v>1215</v>
      </c>
      <c r="Q880" s="1308" t="s">
        <v>4911</v>
      </c>
    </row>
    <row r="881" spans="1:17">
      <c r="A881" s="1305" t="s">
        <v>3719</v>
      </c>
      <c r="B881" s="29">
        <v>45655</v>
      </c>
      <c r="C881" s="29">
        <v>45935</v>
      </c>
      <c r="D881" t="s">
        <v>908</v>
      </c>
      <c r="E881" s="1276">
        <v>45769</v>
      </c>
      <c r="G881">
        <v>4577126</v>
      </c>
      <c r="I881">
        <v>0</v>
      </c>
      <c r="J881">
        <v>4577126</v>
      </c>
      <c r="K881">
        <v>0</v>
      </c>
      <c r="P881" t="s">
        <v>1215</v>
      </c>
      <c r="Q881" s="1308" t="s">
        <v>4911</v>
      </c>
    </row>
    <row r="882" spans="1:17">
      <c r="A882" s="1305" t="s">
        <v>3719</v>
      </c>
      <c r="B882" s="29">
        <v>45655</v>
      </c>
      <c r="C882" s="29">
        <v>45655</v>
      </c>
      <c r="D882" t="s">
        <v>908</v>
      </c>
      <c r="E882" s="1276">
        <v>45769</v>
      </c>
      <c r="G882">
        <v>4577126</v>
      </c>
      <c r="I882">
        <v>88259658</v>
      </c>
      <c r="J882">
        <v>-83682532</v>
      </c>
      <c r="K882">
        <v>0</v>
      </c>
      <c r="P882" t="s">
        <v>1215</v>
      </c>
      <c r="Q882" s="1308" t="s">
        <v>4911</v>
      </c>
    </row>
    <row r="883" spans="1:17">
      <c r="A883" s="1305" t="s">
        <v>3719</v>
      </c>
      <c r="B883" s="29">
        <f>E883</f>
        <v>45769</v>
      </c>
      <c r="C883" s="29">
        <v>45935</v>
      </c>
      <c r="D883" t="s">
        <v>908</v>
      </c>
      <c r="E883" s="1276">
        <v>45769</v>
      </c>
      <c r="G883">
        <v>0</v>
      </c>
      <c r="I883">
        <v>0</v>
      </c>
      <c r="J883">
        <v>0</v>
      </c>
      <c r="K883">
        <v>0</v>
      </c>
      <c r="P883" t="s">
        <v>1215</v>
      </c>
      <c r="Q883" s="1308" t="s">
        <v>4911</v>
      </c>
    </row>
    <row r="884" spans="1:17">
      <c r="A884" s="1305" t="s">
        <v>3719</v>
      </c>
      <c r="B884" s="29">
        <v>45655</v>
      </c>
      <c r="C884" s="29">
        <v>45935</v>
      </c>
      <c r="D884" t="s">
        <v>908</v>
      </c>
      <c r="E884" s="1276">
        <v>45769</v>
      </c>
      <c r="G884">
        <v>4577126</v>
      </c>
      <c r="I884">
        <v>0</v>
      </c>
      <c r="J884">
        <v>4577126</v>
      </c>
      <c r="K884">
        <v>0</v>
      </c>
      <c r="P884" t="s">
        <v>1215</v>
      </c>
      <c r="Q884" s="1308" t="s">
        <v>4911</v>
      </c>
    </row>
    <row r="885" spans="1:17">
      <c r="A885" s="1305" t="s">
        <v>3719</v>
      </c>
      <c r="B885" s="29">
        <v>45655</v>
      </c>
      <c r="C885" s="29">
        <v>45935</v>
      </c>
      <c r="D885" t="s">
        <v>908</v>
      </c>
      <c r="E885" s="1276">
        <v>45769</v>
      </c>
      <c r="G885">
        <v>4577126</v>
      </c>
      <c r="I885">
        <v>0</v>
      </c>
      <c r="J885">
        <v>4577126</v>
      </c>
      <c r="K885">
        <v>0</v>
      </c>
      <c r="P885" t="s">
        <v>1215</v>
      </c>
      <c r="Q885" s="1308" t="s">
        <v>4911</v>
      </c>
    </row>
    <row r="886" spans="1:17">
      <c r="A886" s="1305" t="s">
        <v>3719</v>
      </c>
      <c r="B886" s="29">
        <v>45655</v>
      </c>
      <c r="C886" s="29">
        <v>45935</v>
      </c>
      <c r="D886" t="s">
        <v>908</v>
      </c>
      <c r="E886" s="1276">
        <v>45769</v>
      </c>
      <c r="G886">
        <v>4577126</v>
      </c>
      <c r="I886">
        <v>0</v>
      </c>
      <c r="J886">
        <v>4577126</v>
      </c>
      <c r="K886">
        <v>0</v>
      </c>
      <c r="P886" t="s">
        <v>1215</v>
      </c>
      <c r="Q886" s="1308" t="s">
        <v>4911</v>
      </c>
    </row>
    <row r="887" spans="1:17">
      <c r="A887" s="1305" t="s">
        <v>3719</v>
      </c>
      <c r="B887" s="29">
        <v>45655</v>
      </c>
      <c r="C887" s="29">
        <v>45935</v>
      </c>
      <c r="D887" t="s">
        <v>908</v>
      </c>
      <c r="E887" s="1276">
        <v>45769</v>
      </c>
      <c r="G887">
        <v>4577126</v>
      </c>
      <c r="I887">
        <v>0</v>
      </c>
      <c r="J887">
        <v>4577126</v>
      </c>
      <c r="K887">
        <v>0</v>
      </c>
      <c r="P887" t="s">
        <v>1215</v>
      </c>
      <c r="Q887" s="1308" t="s">
        <v>4911</v>
      </c>
    </row>
    <row r="888" spans="1:17">
      <c r="A888" s="1305" t="s">
        <v>3719</v>
      </c>
      <c r="B888" s="29">
        <v>45655</v>
      </c>
      <c r="C888" s="29">
        <v>45935</v>
      </c>
      <c r="D888" t="s">
        <v>908</v>
      </c>
      <c r="E888" s="1276">
        <v>45769</v>
      </c>
      <c r="G888">
        <v>4577126</v>
      </c>
      <c r="I888">
        <v>0</v>
      </c>
      <c r="J888">
        <v>4577126</v>
      </c>
      <c r="K888">
        <v>0</v>
      </c>
      <c r="P888" t="s">
        <v>1215</v>
      </c>
      <c r="Q888" s="1308" t="s">
        <v>4911</v>
      </c>
    </row>
    <row r="889" spans="1:17">
      <c r="A889" s="1305" t="s">
        <v>3719</v>
      </c>
      <c r="B889" s="29">
        <v>45655</v>
      </c>
      <c r="C889" s="29">
        <v>45935</v>
      </c>
      <c r="D889" t="s">
        <v>908</v>
      </c>
      <c r="E889" s="1276">
        <v>45769</v>
      </c>
      <c r="G889">
        <v>4577126</v>
      </c>
      <c r="I889">
        <v>0</v>
      </c>
      <c r="J889">
        <v>4577126</v>
      </c>
      <c r="K889">
        <v>0</v>
      </c>
      <c r="P889" t="s">
        <v>1215</v>
      </c>
      <c r="Q889" s="1308" t="s">
        <v>4911</v>
      </c>
    </row>
    <row r="890" spans="1:17">
      <c r="A890" s="1305" t="s">
        <v>3719</v>
      </c>
      <c r="B890" s="29">
        <v>45655</v>
      </c>
      <c r="C890" s="29">
        <v>45935</v>
      </c>
      <c r="D890" t="s">
        <v>908</v>
      </c>
      <c r="E890" s="1276">
        <v>45769</v>
      </c>
      <c r="G890">
        <v>4577126</v>
      </c>
      <c r="I890">
        <v>0</v>
      </c>
      <c r="J890">
        <v>4577126</v>
      </c>
      <c r="K890">
        <v>0</v>
      </c>
      <c r="P890" t="s">
        <v>1215</v>
      </c>
      <c r="Q890" s="1308" t="s">
        <v>4911</v>
      </c>
    </row>
    <row r="891" spans="1:17">
      <c r="A891" s="1305" t="s">
        <v>3719</v>
      </c>
      <c r="B891" s="29">
        <v>45655</v>
      </c>
      <c r="C891" s="29">
        <v>45935</v>
      </c>
      <c r="D891" t="s">
        <v>908</v>
      </c>
      <c r="E891" s="1276">
        <v>45769</v>
      </c>
      <c r="G891">
        <v>4577126</v>
      </c>
      <c r="I891">
        <v>0</v>
      </c>
      <c r="J891">
        <v>4577126</v>
      </c>
      <c r="K891">
        <v>0</v>
      </c>
      <c r="P891" t="s">
        <v>1215</v>
      </c>
      <c r="Q891" s="1308" t="s">
        <v>4911</v>
      </c>
    </row>
    <row r="892" spans="1:17">
      <c r="A892" s="1305" t="s">
        <v>3719</v>
      </c>
      <c r="B892" s="29">
        <v>45655</v>
      </c>
      <c r="C892" s="29">
        <v>45935</v>
      </c>
      <c r="D892" t="s">
        <v>908</v>
      </c>
      <c r="E892" s="1276">
        <v>45769</v>
      </c>
      <c r="G892">
        <v>4577126</v>
      </c>
      <c r="I892">
        <v>0</v>
      </c>
      <c r="J892">
        <v>4577126</v>
      </c>
      <c r="K892">
        <v>0</v>
      </c>
      <c r="P892" t="s">
        <v>1215</v>
      </c>
      <c r="Q892" s="1308" t="s">
        <v>4911</v>
      </c>
    </row>
    <row r="893" spans="1:17">
      <c r="A893" s="1305" t="s">
        <v>3719</v>
      </c>
      <c r="B893" s="29">
        <v>45655</v>
      </c>
      <c r="C893" s="29">
        <v>45655</v>
      </c>
      <c r="D893" t="s">
        <v>908</v>
      </c>
      <c r="E893" s="1276">
        <v>45769</v>
      </c>
      <c r="G893">
        <v>4577126</v>
      </c>
      <c r="I893">
        <v>45730390</v>
      </c>
      <c r="J893">
        <v>-41153264</v>
      </c>
      <c r="K893">
        <v>0</v>
      </c>
      <c r="P893" t="s">
        <v>1215</v>
      </c>
      <c r="Q893" s="1308" t="s">
        <v>4911</v>
      </c>
    </row>
    <row r="894" spans="1:17">
      <c r="A894" s="1305" t="s">
        <v>3719</v>
      </c>
      <c r="B894" s="29">
        <f>E894</f>
        <v>45769</v>
      </c>
      <c r="C894" s="29">
        <v>45935</v>
      </c>
      <c r="D894" t="s">
        <v>908</v>
      </c>
      <c r="E894" s="1276">
        <v>45769</v>
      </c>
      <c r="G894">
        <v>0</v>
      </c>
      <c r="I894">
        <v>0</v>
      </c>
      <c r="J894">
        <v>0</v>
      </c>
      <c r="K894">
        <v>0</v>
      </c>
      <c r="P894" t="s">
        <v>1215</v>
      </c>
      <c r="Q894" s="1308" t="s">
        <v>4911</v>
      </c>
    </row>
    <row r="895" spans="1:17">
      <c r="A895" s="1305" t="s">
        <v>3719</v>
      </c>
      <c r="B895" s="29">
        <v>45655</v>
      </c>
      <c r="C895" s="29">
        <v>45655</v>
      </c>
      <c r="D895" t="s">
        <v>908</v>
      </c>
      <c r="E895" s="1276">
        <v>45769</v>
      </c>
      <c r="G895">
        <v>4577126</v>
      </c>
      <c r="I895">
        <v>4573040</v>
      </c>
      <c r="J895">
        <v>4086</v>
      </c>
      <c r="K895">
        <v>0</v>
      </c>
      <c r="P895" t="s">
        <v>1215</v>
      </c>
      <c r="Q895" s="1308" t="s">
        <v>4911</v>
      </c>
    </row>
    <row r="896" spans="1:17">
      <c r="A896" s="1305" t="s">
        <v>3719</v>
      </c>
      <c r="B896" s="29">
        <f>E896</f>
        <v>45769</v>
      </c>
      <c r="C896" s="29">
        <v>45935</v>
      </c>
      <c r="D896" t="s">
        <v>908</v>
      </c>
      <c r="E896" s="1276">
        <v>45769</v>
      </c>
      <c r="G896">
        <v>0</v>
      </c>
      <c r="I896">
        <v>0</v>
      </c>
      <c r="J896">
        <v>0</v>
      </c>
      <c r="K896">
        <v>0</v>
      </c>
      <c r="P896" t="s">
        <v>1215</v>
      </c>
      <c r="Q896" s="1308" t="s">
        <v>4911</v>
      </c>
    </row>
    <row r="897" spans="1:17">
      <c r="A897" s="1305" t="s">
        <v>3719</v>
      </c>
      <c r="B897" s="29">
        <v>45655</v>
      </c>
      <c r="C897" s="29">
        <v>45935</v>
      </c>
      <c r="D897" t="s">
        <v>908</v>
      </c>
      <c r="E897" s="1276">
        <v>45769</v>
      </c>
      <c r="G897">
        <v>4577126</v>
      </c>
      <c r="I897">
        <v>0</v>
      </c>
      <c r="J897">
        <v>4577126</v>
      </c>
      <c r="K897">
        <v>0</v>
      </c>
      <c r="P897" t="s">
        <v>1215</v>
      </c>
      <c r="Q897" s="1308" t="s">
        <v>4911</v>
      </c>
    </row>
    <row r="898" spans="1:17">
      <c r="A898" s="1305" t="s">
        <v>3719</v>
      </c>
      <c r="B898" s="29">
        <v>45655</v>
      </c>
      <c r="C898" s="29">
        <v>45935</v>
      </c>
      <c r="D898" t="s">
        <v>908</v>
      </c>
      <c r="E898" s="1276">
        <v>45769</v>
      </c>
      <c r="G898">
        <v>4577126</v>
      </c>
      <c r="I898">
        <v>0</v>
      </c>
      <c r="J898">
        <v>4577126</v>
      </c>
      <c r="K898">
        <v>0</v>
      </c>
      <c r="P898" t="s">
        <v>1215</v>
      </c>
      <c r="Q898" s="1308" t="s">
        <v>4911</v>
      </c>
    </row>
    <row r="899" spans="1:17">
      <c r="A899" s="1305" t="s">
        <v>3719</v>
      </c>
      <c r="B899" s="29">
        <v>45655</v>
      </c>
      <c r="C899" s="29">
        <v>45935</v>
      </c>
      <c r="D899" t="s">
        <v>908</v>
      </c>
      <c r="E899" s="1276">
        <v>45769</v>
      </c>
      <c r="G899">
        <v>4119414</v>
      </c>
      <c r="I899">
        <v>0</v>
      </c>
      <c r="J899">
        <v>4119414</v>
      </c>
      <c r="K899">
        <v>0</v>
      </c>
      <c r="P899" t="s">
        <v>1215</v>
      </c>
      <c r="Q899" s="1308" t="s">
        <v>4911</v>
      </c>
    </row>
    <row r="900" spans="1:17">
      <c r="A900" s="1305" t="s">
        <v>3719</v>
      </c>
      <c r="B900" s="29">
        <v>45655</v>
      </c>
      <c r="C900" s="29">
        <v>45935</v>
      </c>
      <c r="D900" t="s">
        <v>908</v>
      </c>
      <c r="E900" s="1276">
        <v>45769</v>
      </c>
      <c r="G900">
        <v>4577126</v>
      </c>
      <c r="I900">
        <v>0</v>
      </c>
      <c r="J900">
        <v>4577126</v>
      </c>
      <c r="K900">
        <v>0</v>
      </c>
      <c r="P900" t="s">
        <v>1215</v>
      </c>
      <c r="Q900" s="1308" t="s">
        <v>4911</v>
      </c>
    </row>
    <row r="901" spans="1:17">
      <c r="A901" s="1305" t="s">
        <v>3719</v>
      </c>
      <c r="B901" s="29">
        <v>45655</v>
      </c>
      <c r="C901" s="29">
        <v>45935</v>
      </c>
      <c r="D901" t="s">
        <v>908</v>
      </c>
      <c r="E901" s="1276">
        <v>45769</v>
      </c>
      <c r="G901">
        <v>4577126</v>
      </c>
      <c r="I901">
        <v>0</v>
      </c>
      <c r="J901">
        <v>4577126</v>
      </c>
      <c r="K901">
        <v>0</v>
      </c>
      <c r="P901" t="s">
        <v>1215</v>
      </c>
      <c r="Q901" s="1308" t="s">
        <v>4911</v>
      </c>
    </row>
    <row r="902" spans="1:17">
      <c r="A902" s="1305" t="s">
        <v>3719</v>
      </c>
      <c r="B902" s="29">
        <v>45655</v>
      </c>
      <c r="C902" s="29">
        <v>45935</v>
      </c>
      <c r="D902" t="s">
        <v>908</v>
      </c>
      <c r="E902" s="1276">
        <v>45769</v>
      </c>
      <c r="G902">
        <v>4577126</v>
      </c>
      <c r="I902">
        <v>0</v>
      </c>
      <c r="J902">
        <v>4577126</v>
      </c>
      <c r="K902">
        <v>0</v>
      </c>
      <c r="P902" t="s">
        <v>1215</v>
      </c>
      <c r="Q902" s="1308" t="s">
        <v>4911</v>
      </c>
    </row>
    <row r="903" spans="1:17">
      <c r="A903" s="1305" t="s">
        <v>3719</v>
      </c>
      <c r="B903" s="29">
        <v>45655</v>
      </c>
      <c r="C903" s="29">
        <v>45935</v>
      </c>
      <c r="D903" t="s">
        <v>908</v>
      </c>
      <c r="E903" s="1276">
        <v>45769</v>
      </c>
      <c r="G903">
        <v>4577126</v>
      </c>
      <c r="I903">
        <v>0</v>
      </c>
      <c r="J903">
        <v>4577126</v>
      </c>
      <c r="K903">
        <v>0</v>
      </c>
      <c r="P903" t="s">
        <v>1215</v>
      </c>
      <c r="Q903" s="1308" t="s">
        <v>4911</v>
      </c>
    </row>
    <row r="904" spans="1:17">
      <c r="A904" s="1305" t="s">
        <v>3719</v>
      </c>
      <c r="B904" s="29">
        <v>45655</v>
      </c>
      <c r="C904" s="29">
        <v>45935</v>
      </c>
      <c r="D904" t="s">
        <v>908</v>
      </c>
      <c r="E904" s="1276">
        <v>45769</v>
      </c>
      <c r="G904">
        <v>4577126</v>
      </c>
      <c r="I904">
        <v>0</v>
      </c>
      <c r="J904">
        <v>4577126</v>
      </c>
      <c r="K904">
        <v>0</v>
      </c>
      <c r="P904" t="s">
        <v>1215</v>
      </c>
      <c r="Q904" s="1308" t="s">
        <v>4911</v>
      </c>
    </row>
    <row r="905" spans="1:17">
      <c r="A905" s="1305" t="s">
        <v>3719</v>
      </c>
      <c r="B905" s="29">
        <v>45655</v>
      </c>
      <c r="C905" s="29">
        <v>45935</v>
      </c>
      <c r="D905" t="s">
        <v>908</v>
      </c>
      <c r="E905" s="1276">
        <v>45769</v>
      </c>
      <c r="G905">
        <v>4577126</v>
      </c>
      <c r="I905">
        <v>0</v>
      </c>
      <c r="J905">
        <v>4577126</v>
      </c>
      <c r="K905">
        <v>0</v>
      </c>
      <c r="P905" t="s">
        <v>1215</v>
      </c>
      <c r="Q905" s="1308" t="s">
        <v>4911</v>
      </c>
    </row>
    <row r="906" spans="1:17">
      <c r="A906" s="1305" t="s">
        <v>3719</v>
      </c>
      <c r="B906" s="29">
        <v>45655</v>
      </c>
      <c r="C906" s="29">
        <v>45935</v>
      </c>
      <c r="D906" t="s">
        <v>908</v>
      </c>
      <c r="E906" s="1276">
        <v>45769</v>
      </c>
      <c r="G906">
        <v>4577126</v>
      </c>
      <c r="I906">
        <v>0</v>
      </c>
      <c r="J906">
        <v>4577126</v>
      </c>
      <c r="K906">
        <v>0</v>
      </c>
      <c r="P906" t="s">
        <v>1215</v>
      </c>
      <c r="Q906" s="1308" t="s">
        <v>4911</v>
      </c>
    </row>
    <row r="907" spans="1:17">
      <c r="A907" s="1305" t="s">
        <v>3719</v>
      </c>
      <c r="B907" s="29">
        <v>45655</v>
      </c>
      <c r="C907" s="29">
        <v>45935</v>
      </c>
      <c r="D907" t="s">
        <v>908</v>
      </c>
      <c r="E907" s="1276">
        <v>45769</v>
      </c>
      <c r="G907">
        <v>4577126</v>
      </c>
      <c r="I907">
        <v>0</v>
      </c>
      <c r="J907">
        <v>4577126</v>
      </c>
      <c r="K907">
        <v>0</v>
      </c>
      <c r="P907" t="s">
        <v>1215</v>
      </c>
      <c r="Q907" s="1308" t="s">
        <v>4911</v>
      </c>
    </row>
    <row r="908" spans="1:17">
      <c r="A908" s="1305" t="s">
        <v>3719</v>
      </c>
      <c r="B908" s="29">
        <v>45655</v>
      </c>
      <c r="C908" s="29">
        <v>45935</v>
      </c>
      <c r="D908" t="s">
        <v>908</v>
      </c>
      <c r="E908" s="1276">
        <v>45769</v>
      </c>
      <c r="G908">
        <v>4577126</v>
      </c>
      <c r="I908">
        <v>0</v>
      </c>
      <c r="J908">
        <v>4577126</v>
      </c>
      <c r="K908">
        <v>0</v>
      </c>
      <c r="P908" t="s">
        <v>1215</v>
      </c>
      <c r="Q908" s="1308" t="s">
        <v>4911</v>
      </c>
    </row>
    <row r="909" spans="1:17">
      <c r="A909" s="1305" t="s">
        <v>3719</v>
      </c>
      <c r="B909" s="29">
        <v>45655</v>
      </c>
      <c r="C909" s="29">
        <v>45935</v>
      </c>
      <c r="D909" t="s">
        <v>908</v>
      </c>
      <c r="E909" s="1276">
        <v>45769</v>
      </c>
      <c r="G909">
        <v>4577126</v>
      </c>
      <c r="I909">
        <v>0</v>
      </c>
      <c r="J909">
        <v>4577126</v>
      </c>
      <c r="K909">
        <v>0</v>
      </c>
      <c r="P909" t="s">
        <v>1215</v>
      </c>
      <c r="Q909" s="1308" t="s">
        <v>4911</v>
      </c>
    </row>
    <row r="910" spans="1:17">
      <c r="A910" s="1305" t="s">
        <v>3719</v>
      </c>
      <c r="B910" s="29">
        <v>45655</v>
      </c>
      <c r="C910" s="29">
        <v>45935</v>
      </c>
      <c r="D910" t="s">
        <v>908</v>
      </c>
      <c r="E910" s="1276">
        <v>45769</v>
      </c>
      <c r="G910">
        <v>4577126</v>
      </c>
      <c r="I910">
        <v>0</v>
      </c>
      <c r="J910">
        <v>4577126</v>
      </c>
      <c r="K910">
        <v>0</v>
      </c>
      <c r="P910" t="s">
        <v>1215</v>
      </c>
      <c r="Q910" s="1308" t="s">
        <v>4911</v>
      </c>
    </row>
    <row r="911" spans="1:17">
      <c r="A911" s="1305" t="s">
        <v>3719</v>
      </c>
      <c r="B911" s="29">
        <v>45655</v>
      </c>
      <c r="C911" s="29">
        <v>45935</v>
      </c>
      <c r="D911" t="s">
        <v>908</v>
      </c>
      <c r="E911" s="1276">
        <v>45769</v>
      </c>
      <c r="G911">
        <v>4577126</v>
      </c>
      <c r="I911">
        <v>0</v>
      </c>
      <c r="J911">
        <v>4577126</v>
      </c>
      <c r="K911">
        <v>0</v>
      </c>
      <c r="P911" t="s">
        <v>1215</v>
      </c>
      <c r="Q911" s="1308" t="s">
        <v>4911</v>
      </c>
    </row>
    <row r="912" spans="1:17">
      <c r="A912" s="1305" t="s">
        <v>3719</v>
      </c>
      <c r="B912" s="29">
        <v>45655</v>
      </c>
      <c r="C912" s="29">
        <v>45935</v>
      </c>
      <c r="D912" t="s">
        <v>908</v>
      </c>
      <c r="E912" s="1276">
        <v>45769</v>
      </c>
      <c r="G912">
        <v>4577126</v>
      </c>
      <c r="I912">
        <v>0</v>
      </c>
      <c r="J912">
        <v>4577126</v>
      </c>
      <c r="K912">
        <v>0</v>
      </c>
      <c r="P912" t="s">
        <v>1215</v>
      </c>
      <c r="Q912" s="1308" t="s">
        <v>4911</v>
      </c>
    </row>
    <row r="913" spans="1:17">
      <c r="A913" s="1305" t="s">
        <v>3719</v>
      </c>
      <c r="B913" s="29">
        <v>45655</v>
      </c>
      <c r="C913" s="29">
        <v>45935</v>
      </c>
      <c r="D913" t="s">
        <v>908</v>
      </c>
      <c r="E913" s="1276">
        <v>45769</v>
      </c>
      <c r="G913">
        <v>4577126</v>
      </c>
      <c r="I913">
        <v>0</v>
      </c>
      <c r="J913">
        <v>4577126</v>
      </c>
      <c r="K913">
        <v>0</v>
      </c>
      <c r="P913" t="s">
        <v>1215</v>
      </c>
      <c r="Q913" s="1308" t="s">
        <v>4911</v>
      </c>
    </row>
    <row r="914" spans="1:17">
      <c r="A914" s="1305" t="s">
        <v>3719</v>
      </c>
      <c r="B914" s="29">
        <v>45655</v>
      </c>
      <c r="C914" s="29">
        <v>45935</v>
      </c>
      <c r="D914" t="s">
        <v>908</v>
      </c>
      <c r="E914" s="1276">
        <v>45769</v>
      </c>
      <c r="G914">
        <v>4577126</v>
      </c>
      <c r="I914">
        <v>0</v>
      </c>
      <c r="J914">
        <v>4577126</v>
      </c>
      <c r="K914">
        <v>0</v>
      </c>
      <c r="P914" t="s">
        <v>1215</v>
      </c>
      <c r="Q914" s="1308" t="s">
        <v>4911</v>
      </c>
    </row>
    <row r="915" spans="1:17">
      <c r="A915" s="1305" t="s">
        <v>3719</v>
      </c>
      <c r="B915" s="29">
        <v>45655</v>
      </c>
      <c r="C915" s="29">
        <v>45935</v>
      </c>
      <c r="D915" t="s">
        <v>908</v>
      </c>
      <c r="E915" s="1276">
        <v>45769</v>
      </c>
      <c r="G915">
        <v>4577126</v>
      </c>
      <c r="I915">
        <v>0</v>
      </c>
      <c r="J915">
        <v>4577126</v>
      </c>
      <c r="K915">
        <v>0</v>
      </c>
      <c r="P915" t="s">
        <v>1215</v>
      </c>
      <c r="Q915" s="1308" t="s">
        <v>4911</v>
      </c>
    </row>
    <row r="916" spans="1:17">
      <c r="A916" s="1305" t="s">
        <v>3719</v>
      </c>
      <c r="B916" s="29">
        <v>45655</v>
      </c>
      <c r="C916" s="29">
        <v>45935</v>
      </c>
      <c r="D916" t="s">
        <v>908</v>
      </c>
      <c r="E916" s="1276">
        <v>45769</v>
      </c>
      <c r="G916">
        <v>4577126</v>
      </c>
      <c r="I916">
        <v>0</v>
      </c>
      <c r="J916">
        <v>4577126</v>
      </c>
      <c r="K916">
        <v>0</v>
      </c>
      <c r="P916" t="s">
        <v>1215</v>
      </c>
      <c r="Q916" s="1308" t="s">
        <v>4911</v>
      </c>
    </row>
    <row r="917" spans="1:17">
      <c r="A917" s="1305" t="s">
        <v>3719</v>
      </c>
      <c r="B917" s="29">
        <v>45655</v>
      </c>
      <c r="C917" s="29">
        <v>45935</v>
      </c>
      <c r="D917" t="s">
        <v>908</v>
      </c>
      <c r="E917" s="1276">
        <v>45769</v>
      </c>
      <c r="G917">
        <v>4577126</v>
      </c>
      <c r="I917">
        <v>0</v>
      </c>
      <c r="J917">
        <v>4577126</v>
      </c>
      <c r="K917">
        <v>0</v>
      </c>
      <c r="P917" t="s">
        <v>1215</v>
      </c>
      <c r="Q917" s="1308" t="s">
        <v>4911</v>
      </c>
    </row>
    <row r="918" spans="1:17">
      <c r="A918" s="1305" t="s">
        <v>3719</v>
      </c>
      <c r="B918" s="29">
        <v>45655</v>
      </c>
      <c r="C918" s="29">
        <v>45935</v>
      </c>
      <c r="D918" t="s">
        <v>908</v>
      </c>
      <c r="E918" s="1276">
        <v>45769</v>
      </c>
      <c r="G918">
        <v>4577126</v>
      </c>
      <c r="I918">
        <v>0</v>
      </c>
      <c r="J918">
        <v>4577126</v>
      </c>
      <c r="K918">
        <v>0</v>
      </c>
      <c r="P918" t="s">
        <v>1215</v>
      </c>
      <c r="Q918" s="1308" t="s">
        <v>4911</v>
      </c>
    </row>
    <row r="919" spans="1:17">
      <c r="A919" s="1305" t="s">
        <v>3719</v>
      </c>
      <c r="B919" s="29">
        <v>45655</v>
      </c>
      <c r="C919" s="29">
        <v>45935</v>
      </c>
      <c r="D919" t="s">
        <v>908</v>
      </c>
      <c r="E919" s="1276">
        <v>45769</v>
      </c>
      <c r="G919">
        <v>3661701</v>
      </c>
      <c r="I919">
        <v>0</v>
      </c>
      <c r="J919">
        <v>3661701</v>
      </c>
      <c r="K919">
        <v>0</v>
      </c>
      <c r="P919" t="s">
        <v>1215</v>
      </c>
      <c r="Q919" s="1308" t="s">
        <v>4911</v>
      </c>
    </row>
    <row r="920" spans="1:17">
      <c r="A920" s="1305" t="s">
        <v>3719</v>
      </c>
      <c r="B920" s="29">
        <v>45655</v>
      </c>
      <c r="C920" s="29">
        <v>45935</v>
      </c>
      <c r="D920" t="s">
        <v>908</v>
      </c>
      <c r="E920" s="1276">
        <v>45769</v>
      </c>
      <c r="G920">
        <v>3661701</v>
      </c>
      <c r="I920">
        <v>0</v>
      </c>
      <c r="J920">
        <v>3661701</v>
      </c>
      <c r="K920">
        <v>0</v>
      </c>
      <c r="P920" t="s">
        <v>1215</v>
      </c>
      <c r="Q920" s="1308" t="s">
        <v>4911</v>
      </c>
    </row>
    <row r="921" spans="1:17">
      <c r="A921" s="1305" t="s">
        <v>3719</v>
      </c>
      <c r="B921" s="29">
        <v>45655</v>
      </c>
      <c r="C921" s="29">
        <v>45935</v>
      </c>
      <c r="D921" t="s">
        <v>908</v>
      </c>
      <c r="E921" s="1276">
        <v>45769</v>
      </c>
      <c r="G921">
        <v>4577126</v>
      </c>
      <c r="I921">
        <v>0</v>
      </c>
      <c r="J921">
        <v>4577126</v>
      </c>
      <c r="K921">
        <v>0</v>
      </c>
      <c r="P921" t="s">
        <v>1215</v>
      </c>
      <c r="Q921" s="1308" t="s">
        <v>4911</v>
      </c>
    </row>
    <row r="922" spans="1:17">
      <c r="A922" s="1305" t="s">
        <v>3719</v>
      </c>
      <c r="B922" s="29">
        <v>45655</v>
      </c>
      <c r="C922" s="29">
        <v>45935</v>
      </c>
      <c r="D922" t="s">
        <v>908</v>
      </c>
      <c r="E922" s="1276">
        <v>45769</v>
      </c>
      <c r="G922">
        <v>4577126</v>
      </c>
      <c r="I922">
        <v>0</v>
      </c>
      <c r="J922">
        <v>4577126</v>
      </c>
      <c r="K922">
        <v>0</v>
      </c>
      <c r="P922" t="s">
        <v>1215</v>
      </c>
      <c r="Q922" s="1308" t="s">
        <v>4911</v>
      </c>
    </row>
    <row r="923" spans="1:17">
      <c r="A923" s="1305" t="s">
        <v>3719</v>
      </c>
      <c r="B923" s="29">
        <v>45655</v>
      </c>
      <c r="C923" s="29">
        <v>45935</v>
      </c>
      <c r="D923" t="s">
        <v>908</v>
      </c>
      <c r="E923" s="1276">
        <v>45769</v>
      </c>
      <c r="G923">
        <v>4577126</v>
      </c>
      <c r="I923">
        <v>0</v>
      </c>
      <c r="J923">
        <v>4577126</v>
      </c>
      <c r="K923">
        <v>0</v>
      </c>
      <c r="P923" t="s">
        <v>1215</v>
      </c>
      <c r="Q923" s="1308" t="s">
        <v>4911</v>
      </c>
    </row>
    <row r="924" spans="1:17">
      <c r="A924" s="1305" t="s">
        <v>3719</v>
      </c>
      <c r="B924" s="29">
        <v>45655</v>
      </c>
      <c r="C924" s="29">
        <v>45935</v>
      </c>
      <c r="D924" t="s">
        <v>908</v>
      </c>
      <c r="E924" s="1276">
        <v>45769</v>
      </c>
      <c r="G924">
        <v>4577126</v>
      </c>
      <c r="I924">
        <v>0</v>
      </c>
      <c r="J924">
        <v>4577126</v>
      </c>
      <c r="K924">
        <v>0</v>
      </c>
      <c r="P924" t="s">
        <v>1215</v>
      </c>
      <c r="Q924" s="1308" t="s">
        <v>4911</v>
      </c>
    </row>
    <row r="925" spans="1:17">
      <c r="A925" s="1305" t="s">
        <v>3719</v>
      </c>
      <c r="B925" s="29">
        <v>45655</v>
      </c>
      <c r="C925" s="29">
        <v>45935</v>
      </c>
      <c r="D925" t="s">
        <v>908</v>
      </c>
      <c r="E925" s="1276">
        <v>45769</v>
      </c>
      <c r="G925">
        <v>4577126</v>
      </c>
      <c r="I925">
        <v>0</v>
      </c>
      <c r="J925">
        <v>4577126</v>
      </c>
      <c r="K925">
        <v>0</v>
      </c>
      <c r="P925" t="s">
        <v>1215</v>
      </c>
      <c r="Q925" s="1308" t="s">
        <v>4911</v>
      </c>
    </row>
    <row r="926" spans="1:17">
      <c r="A926" s="1305" t="s">
        <v>3719</v>
      </c>
      <c r="B926" s="29">
        <v>45655</v>
      </c>
      <c r="C926" s="29">
        <v>45935</v>
      </c>
      <c r="D926" t="s">
        <v>908</v>
      </c>
      <c r="E926" s="1276">
        <v>45769</v>
      </c>
      <c r="G926">
        <v>4622898</v>
      </c>
      <c r="I926">
        <v>0</v>
      </c>
      <c r="J926">
        <v>4622898</v>
      </c>
      <c r="K926">
        <v>0</v>
      </c>
      <c r="P926" t="s">
        <v>1215</v>
      </c>
      <c r="Q926" s="1308" t="s">
        <v>4911</v>
      </c>
    </row>
    <row r="927" spans="1:17">
      <c r="A927" s="1305" t="s">
        <v>3719</v>
      </c>
      <c r="B927" s="29">
        <v>45655</v>
      </c>
      <c r="C927" s="29">
        <v>45935</v>
      </c>
      <c r="D927" t="s">
        <v>908</v>
      </c>
      <c r="E927" s="1276">
        <v>45769</v>
      </c>
      <c r="G927">
        <v>4577126</v>
      </c>
      <c r="I927">
        <v>0</v>
      </c>
      <c r="J927">
        <v>4577126</v>
      </c>
      <c r="K927">
        <v>0</v>
      </c>
      <c r="P927" t="s">
        <v>1215</v>
      </c>
      <c r="Q927" s="1308" t="s">
        <v>4911</v>
      </c>
    </row>
    <row r="928" spans="1:17">
      <c r="A928" s="1305" t="s">
        <v>3719</v>
      </c>
      <c r="B928" s="29">
        <v>45655</v>
      </c>
      <c r="C928" s="29">
        <v>45935</v>
      </c>
      <c r="D928" t="s">
        <v>908</v>
      </c>
      <c r="E928" s="1276">
        <v>45769</v>
      </c>
      <c r="G928">
        <v>4622898</v>
      </c>
      <c r="I928">
        <v>0</v>
      </c>
      <c r="J928">
        <v>4622898</v>
      </c>
      <c r="K928">
        <v>0</v>
      </c>
      <c r="P928" t="s">
        <v>1215</v>
      </c>
      <c r="Q928" s="1308" t="s">
        <v>4911</v>
      </c>
    </row>
    <row r="929" spans="1:17">
      <c r="A929" s="1305" t="s">
        <v>3719</v>
      </c>
      <c r="B929" s="29">
        <v>45655</v>
      </c>
      <c r="C929" s="29">
        <v>45655</v>
      </c>
      <c r="D929" t="s">
        <v>908</v>
      </c>
      <c r="E929" s="1276">
        <v>45769</v>
      </c>
      <c r="G929">
        <v>4119414</v>
      </c>
      <c r="I929">
        <v>148257928</v>
      </c>
      <c r="J929">
        <v>-144138514</v>
      </c>
      <c r="K929">
        <v>0</v>
      </c>
      <c r="P929" t="s">
        <v>1215</v>
      </c>
      <c r="Q929" s="1308" t="s">
        <v>4911</v>
      </c>
    </row>
    <row r="930" spans="1:17">
      <c r="A930" s="1305" t="s">
        <v>3719</v>
      </c>
      <c r="B930" s="29">
        <f t="shared" ref="B930:B932" si="22">E930</f>
        <v>45769</v>
      </c>
      <c r="C930" s="29">
        <v>45935</v>
      </c>
      <c r="D930" t="s">
        <v>908</v>
      </c>
      <c r="E930" s="1276">
        <v>45769</v>
      </c>
      <c r="G930">
        <v>485724619</v>
      </c>
      <c r="I930">
        <v>0</v>
      </c>
      <c r="J930">
        <v>485724619</v>
      </c>
      <c r="K930">
        <v>0</v>
      </c>
      <c r="P930" t="s">
        <v>1215</v>
      </c>
      <c r="Q930" s="1308" t="s">
        <v>4911</v>
      </c>
    </row>
    <row r="931" spans="1:17">
      <c r="A931" s="1305" t="s">
        <v>3719</v>
      </c>
      <c r="B931" s="29">
        <f t="shared" si="22"/>
        <v>45769</v>
      </c>
      <c r="C931" s="29">
        <v>45935</v>
      </c>
      <c r="D931" t="s">
        <v>908</v>
      </c>
      <c r="E931" s="1276">
        <v>45769</v>
      </c>
      <c r="G931">
        <v>0</v>
      </c>
      <c r="I931">
        <v>0</v>
      </c>
      <c r="J931">
        <v>0</v>
      </c>
      <c r="K931">
        <v>0</v>
      </c>
      <c r="P931" t="s">
        <v>1215</v>
      </c>
      <c r="Q931" s="1308" t="s">
        <v>4911</v>
      </c>
    </row>
    <row r="932" spans="1:17">
      <c r="A932" s="1305" t="s">
        <v>3719</v>
      </c>
      <c r="B932" s="29">
        <f t="shared" si="22"/>
        <v>45769</v>
      </c>
      <c r="C932" s="29">
        <v>45935</v>
      </c>
      <c r="D932" t="s">
        <v>908</v>
      </c>
      <c r="E932" s="1276">
        <v>45769</v>
      </c>
      <c r="G932">
        <v>0</v>
      </c>
      <c r="I932">
        <v>0</v>
      </c>
      <c r="J932">
        <v>0</v>
      </c>
      <c r="K932">
        <v>0</v>
      </c>
      <c r="P932" t="s">
        <v>1215</v>
      </c>
      <c r="Q932" s="1308" t="s">
        <v>4911</v>
      </c>
    </row>
    <row r="933" spans="1:17">
      <c r="A933" s="1305" t="s">
        <v>3719</v>
      </c>
      <c r="B933" s="29">
        <v>45561</v>
      </c>
      <c r="C933" s="29">
        <v>45561</v>
      </c>
      <c r="D933" t="s">
        <v>908</v>
      </c>
      <c r="E933" s="1276">
        <v>45769</v>
      </c>
      <c r="G933">
        <v>2723448</v>
      </c>
      <c r="I933">
        <v>14787316</v>
      </c>
      <c r="J933">
        <v>-12063868</v>
      </c>
      <c r="K933">
        <v>0</v>
      </c>
      <c r="P933" t="s">
        <v>1215</v>
      </c>
      <c r="Q933" s="1308" t="s">
        <v>4911</v>
      </c>
    </row>
    <row r="934" spans="1:17">
      <c r="A934" s="1305" t="s">
        <v>3719</v>
      </c>
      <c r="B934" s="29">
        <v>45561</v>
      </c>
      <c r="C934" s="29">
        <v>45935</v>
      </c>
      <c r="D934" t="s">
        <v>908</v>
      </c>
      <c r="E934" s="1276">
        <v>45769</v>
      </c>
      <c r="G934">
        <v>5822544</v>
      </c>
      <c r="I934">
        <v>0</v>
      </c>
      <c r="J934">
        <v>5822544</v>
      </c>
      <c r="K934">
        <v>0</v>
      </c>
      <c r="P934" t="s">
        <v>1215</v>
      </c>
      <c r="Q934" s="1308" t="s">
        <v>4911</v>
      </c>
    </row>
    <row r="935" spans="1:17">
      <c r="A935" s="1305" t="s">
        <v>3719</v>
      </c>
      <c r="B935" s="29">
        <v>45561</v>
      </c>
      <c r="C935" s="29">
        <v>45935</v>
      </c>
      <c r="D935" t="s">
        <v>908</v>
      </c>
      <c r="E935" s="1276">
        <v>45769</v>
      </c>
      <c r="G935">
        <v>2329018</v>
      </c>
      <c r="I935">
        <v>0</v>
      </c>
      <c r="J935">
        <v>2329018</v>
      </c>
      <c r="K935">
        <v>0</v>
      </c>
      <c r="P935" t="s">
        <v>1215</v>
      </c>
      <c r="Q935" s="1308" t="s">
        <v>4911</v>
      </c>
    </row>
    <row r="936" spans="1:17">
      <c r="A936" s="1305" t="s">
        <v>3719</v>
      </c>
      <c r="B936" s="29">
        <v>45561</v>
      </c>
      <c r="C936" s="29">
        <v>45935</v>
      </c>
      <c r="D936" t="s">
        <v>908</v>
      </c>
      <c r="E936" s="1276">
        <v>45769</v>
      </c>
      <c r="G936">
        <v>3925522</v>
      </c>
      <c r="I936">
        <v>0</v>
      </c>
      <c r="J936">
        <v>3925522</v>
      </c>
      <c r="K936">
        <v>0</v>
      </c>
      <c r="P936" t="s">
        <v>1215</v>
      </c>
      <c r="Q936" s="1308" t="s">
        <v>4911</v>
      </c>
    </row>
    <row r="937" spans="1:17">
      <c r="A937" s="1305" t="s">
        <v>3719</v>
      </c>
      <c r="B937" s="29">
        <v>45562</v>
      </c>
      <c r="C937" s="29">
        <v>45562</v>
      </c>
      <c r="D937" t="s">
        <v>908</v>
      </c>
      <c r="E937" s="1276">
        <v>45769</v>
      </c>
      <c r="G937">
        <v>5822544</v>
      </c>
      <c r="I937">
        <v>27238312</v>
      </c>
      <c r="J937">
        <v>-21415768</v>
      </c>
      <c r="K937">
        <v>0</v>
      </c>
      <c r="P937" t="s">
        <v>1215</v>
      </c>
      <c r="Q937" s="1308" t="s">
        <v>4911</v>
      </c>
    </row>
    <row r="938" spans="1:17">
      <c r="A938" s="1305" t="s">
        <v>3719</v>
      </c>
      <c r="B938" s="29">
        <v>45562</v>
      </c>
      <c r="C938" s="29">
        <v>45935</v>
      </c>
      <c r="D938" t="s">
        <v>908</v>
      </c>
      <c r="E938" s="1276">
        <v>45769</v>
      </c>
      <c r="G938">
        <v>5822544</v>
      </c>
      <c r="I938">
        <v>0</v>
      </c>
      <c r="J938">
        <v>5822544</v>
      </c>
      <c r="K938">
        <v>0</v>
      </c>
      <c r="P938" t="s">
        <v>1215</v>
      </c>
      <c r="Q938" s="1308" t="s">
        <v>4911</v>
      </c>
    </row>
    <row r="939" spans="1:17">
      <c r="A939" s="1305" t="s">
        <v>3719</v>
      </c>
      <c r="B939" s="29">
        <v>45562</v>
      </c>
      <c r="C939" s="29">
        <v>45935</v>
      </c>
      <c r="D939" t="s">
        <v>908</v>
      </c>
      <c r="E939" s="1276">
        <v>45769</v>
      </c>
      <c r="G939">
        <v>5982194</v>
      </c>
      <c r="I939">
        <v>0</v>
      </c>
      <c r="J939">
        <v>5982194</v>
      </c>
      <c r="K939">
        <v>0</v>
      </c>
      <c r="P939" t="s">
        <v>1215</v>
      </c>
      <c r="Q939" s="1308" t="s">
        <v>4911</v>
      </c>
    </row>
    <row r="940" spans="1:17">
      <c r="A940" s="1305" t="s">
        <v>3719</v>
      </c>
      <c r="B940" s="29">
        <v>45562</v>
      </c>
      <c r="C940" s="29">
        <v>45935</v>
      </c>
      <c r="D940" t="s">
        <v>908</v>
      </c>
      <c r="E940" s="1276">
        <v>45769</v>
      </c>
      <c r="G940">
        <v>5127595</v>
      </c>
      <c r="I940">
        <v>0</v>
      </c>
      <c r="J940">
        <v>5127595</v>
      </c>
      <c r="K940">
        <v>0</v>
      </c>
      <c r="P940" t="s">
        <v>1215</v>
      </c>
      <c r="Q940" s="1308" t="s">
        <v>4911</v>
      </c>
    </row>
    <row r="941" spans="1:17">
      <c r="A941" s="1305" t="s">
        <v>3719</v>
      </c>
      <c r="B941" s="29">
        <v>45562</v>
      </c>
      <c r="C941" s="29">
        <v>45935</v>
      </c>
      <c r="D941" t="s">
        <v>908</v>
      </c>
      <c r="E941" s="1276">
        <v>45769</v>
      </c>
      <c r="G941">
        <v>4507776</v>
      </c>
      <c r="I941">
        <v>0</v>
      </c>
      <c r="J941">
        <v>4507776</v>
      </c>
      <c r="K941">
        <v>0</v>
      </c>
      <c r="P941" t="s">
        <v>1215</v>
      </c>
      <c r="Q941" s="1308" t="s">
        <v>4911</v>
      </c>
    </row>
    <row r="942" spans="1:17">
      <c r="A942" s="1305" t="s">
        <v>3719</v>
      </c>
      <c r="B942" s="29">
        <v>45562</v>
      </c>
      <c r="C942" s="29">
        <v>45562</v>
      </c>
      <c r="D942" t="s">
        <v>908</v>
      </c>
      <c r="E942" s="1276">
        <v>45769</v>
      </c>
      <c r="G942">
        <v>5972803</v>
      </c>
      <c r="I942">
        <v>11245613</v>
      </c>
      <c r="J942">
        <v>-5272810</v>
      </c>
      <c r="K942">
        <v>0</v>
      </c>
      <c r="P942" t="s">
        <v>1215</v>
      </c>
      <c r="Q942" s="1308" t="s">
        <v>4911</v>
      </c>
    </row>
    <row r="943" spans="1:17">
      <c r="A943" s="1305" t="s">
        <v>3719</v>
      </c>
      <c r="B943" s="29">
        <v>45565</v>
      </c>
      <c r="C943" s="29">
        <v>45935</v>
      </c>
      <c r="D943" t="s">
        <v>908</v>
      </c>
      <c r="E943" s="1276">
        <v>45769</v>
      </c>
      <c r="G943">
        <v>5277854</v>
      </c>
      <c r="I943">
        <v>0</v>
      </c>
      <c r="J943">
        <v>5277854</v>
      </c>
      <c r="K943">
        <v>0</v>
      </c>
      <c r="P943" t="s">
        <v>1215</v>
      </c>
      <c r="Q943" s="1308" t="s">
        <v>4911</v>
      </c>
    </row>
    <row r="944" spans="1:17">
      <c r="A944" s="1305" t="s">
        <v>3719</v>
      </c>
      <c r="B944" s="29">
        <f t="shared" ref="B944:B945" si="23">E944</f>
        <v>45769</v>
      </c>
      <c r="C944" s="29">
        <v>45935</v>
      </c>
      <c r="D944" t="s">
        <v>908</v>
      </c>
      <c r="E944" s="1276">
        <v>45769</v>
      </c>
      <c r="G944">
        <v>0</v>
      </c>
      <c r="I944">
        <v>0</v>
      </c>
      <c r="J944">
        <v>0</v>
      </c>
      <c r="K944">
        <v>0</v>
      </c>
      <c r="P944" t="s">
        <v>1215</v>
      </c>
      <c r="Q944" s="1308" t="s">
        <v>4911</v>
      </c>
    </row>
    <row r="945" spans="1:17">
      <c r="A945" s="1305" t="s">
        <v>3719</v>
      </c>
      <c r="B945" s="29">
        <f t="shared" si="23"/>
        <v>45769</v>
      </c>
      <c r="C945" s="29">
        <v>45935</v>
      </c>
      <c r="D945" t="s">
        <v>908</v>
      </c>
      <c r="E945" s="1276">
        <v>45769</v>
      </c>
      <c r="G945">
        <v>0</v>
      </c>
      <c r="I945">
        <v>0</v>
      </c>
      <c r="J945">
        <v>0</v>
      </c>
      <c r="K945">
        <v>0</v>
      </c>
      <c r="P945" t="s">
        <v>1215</v>
      </c>
      <c r="Q945" s="1308" t="s">
        <v>4911</v>
      </c>
    </row>
    <row r="946" spans="1:17">
      <c r="A946" s="1305" t="s">
        <v>3719</v>
      </c>
      <c r="B946" s="29">
        <v>45740</v>
      </c>
      <c r="C946" s="29">
        <v>45935</v>
      </c>
      <c r="D946" t="s">
        <v>908</v>
      </c>
      <c r="E946" s="1276">
        <v>45769</v>
      </c>
      <c r="G946">
        <v>4977625</v>
      </c>
      <c r="I946">
        <v>0</v>
      </c>
      <c r="J946">
        <v>4977625</v>
      </c>
      <c r="K946">
        <v>0</v>
      </c>
      <c r="P946" t="s">
        <v>1215</v>
      </c>
      <c r="Q946" s="1308" t="s">
        <v>4911</v>
      </c>
    </row>
    <row r="947" spans="1:17">
      <c r="A947" s="1305" t="s">
        <v>3719</v>
      </c>
      <c r="B947" s="29">
        <v>45740</v>
      </c>
      <c r="C947" s="29">
        <v>45935</v>
      </c>
      <c r="D947" t="s">
        <v>908</v>
      </c>
      <c r="E947" s="1276">
        <v>45769</v>
      </c>
      <c r="G947">
        <v>4977625</v>
      </c>
      <c r="I947">
        <v>0</v>
      </c>
      <c r="J947">
        <v>4977625</v>
      </c>
      <c r="K947">
        <v>0</v>
      </c>
      <c r="P947" t="s">
        <v>1215</v>
      </c>
      <c r="Q947" s="1308" t="s">
        <v>4911</v>
      </c>
    </row>
    <row r="948" spans="1:17">
      <c r="A948" s="1305" t="s">
        <v>3719</v>
      </c>
      <c r="B948" s="29">
        <v>45740</v>
      </c>
      <c r="C948" s="29">
        <v>45935</v>
      </c>
      <c r="D948" t="s">
        <v>908</v>
      </c>
      <c r="E948" s="1276">
        <v>45769</v>
      </c>
      <c r="G948">
        <v>4977625</v>
      </c>
      <c r="I948">
        <v>0</v>
      </c>
      <c r="J948">
        <v>4977625</v>
      </c>
      <c r="K948">
        <v>0</v>
      </c>
      <c r="P948" t="s">
        <v>1215</v>
      </c>
      <c r="Q948" s="1308" t="s">
        <v>4911</v>
      </c>
    </row>
    <row r="949" spans="1:17">
      <c r="A949" s="1305" t="s">
        <v>3719</v>
      </c>
      <c r="B949" s="29">
        <v>45740</v>
      </c>
      <c r="C949" s="29">
        <v>45935</v>
      </c>
      <c r="D949" t="s">
        <v>908</v>
      </c>
      <c r="E949" s="1276">
        <v>45769</v>
      </c>
      <c r="G949">
        <v>4977625</v>
      </c>
      <c r="I949">
        <v>0</v>
      </c>
      <c r="J949">
        <v>4977625</v>
      </c>
      <c r="K949">
        <v>0</v>
      </c>
      <c r="P949" t="s">
        <v>1215</v>
      </c>
      <c r="Q949" s="1308" t="s">
        <v>4911</v>
      </c>
    </row>
    <row r="950" spans="1:17">
      <c r="A950" s="1305" t="s">
        <v>3719</v>
      </c>
      <c r="B950" s="29">
        <v>45740</v>
      </c>
      <c r="C950" s="29">
        <v>45935</v>
      </c>
      <c r="D950" t="s">
        <v>908</v>
      </c>
      <c r="E950" s="1276">
        <v>45769</v>
      </c>
      <c r="G950">
        <v>4977625</v>
      </c>
      <c r="I950">
        <v>0</v>
      </c>
      <c r="J950">
        <v>4977625</v>
      </c>
      <c r="K950">
        <v>0</v>
      </c>
      <c r="P950" t="s">
        <v>1215</v>
      </c>
      <c r="Q950" s="1308" t="s">
        <v>4911</v>
      </c>
    </row>
    <row r="951" spans="1:17">
      <c r="A951" s="1305" t="s">
        <v>3719</v>
      </c>
      <c r="B951" s="29">
        <v>45740</v>
      </c>
      <c r="C951" s="29">
        <v>45935</v>
      </c>
      <c r="D951" t="s">
        <v>908</v>
      </c>
      <c r="E951" s="1276">
        <v>45769</v>
      </c>
      <c r="G951">
        <v>4977625</v>
      </c>
      <c r="I951">
        <v>0</v>
      </c>
      <c r="J951">
        <v>4977625</v>
      </c>
      <c r="K951">
        <v>0</v>
      </c>
      <c r="P951" t="s">
        <v>1215</v>
      </c>
      <c r="Q951" s="1308" t="s">
        <v>4911</v>
      </c>
    </row>
    <row r="952" spans="1:17">
      <c r="A952" s="1305" t="s">
        <v>3719</v>
      </c>
      <c r="B952" s="29">
        <v>45740</v>
      </c>
      <c r="C952" s="29">
        <v>45935</v>
      </c>
      <c r="D952" t="s">
        <v>908</v>
      </c>
      <c r="E952" s="1276">
        <v>45769</v>
      </c>
      <c r="G952">
        <v>4977625</v>
      </c>
      <c r="I952">
        <v>0</v>
      </c>
      <c r="J952">
        <v>4977625</v>
      </c>
      <c r="K952">
        <v>0</v>
      </c>
      <c r="P952" t="s">
        <v>1215</v>
      </c>
      <c r="Q952" s="1308" t="s">
        <v>4911</v>
      </c>
    </row>
    <row r="953" spans="1:17">
      <c r="A953" s="1305" t="s">
        <v>3719</v>
      </c>
      <c r="B953" s="29">
        <v>45740</v>
      </c>
      <c r="C953" s="29">
        <v>45935</v>
      </c>
      <c r="D953" t="s">
        <v>908</v>
      </c>
      <c r="E953" s="1276">
        <v>45769</v>
      </c>
      <c r="G953">
        <v>4977625</v>
      </c>
      <c r="I953">
        <v>0</v>
      </c>
      <c r="J953">
        <v>4977625</v>
      </c>
      <c r="K953">
        <v>0</v>
      </c>
      <c r="P953" t="s">
        <v>1215</v>
      </c>
      <c r="Q953" s="1308" t="s">
        <v>4911</v>
      </c>
    </row>
    <row r="954" spans="1:17">
      <c r="A954" s="1305" t="s">
        <v>3719</v>
      </c>
      <c r="B954" s="29">
        <v>45740</v>
      </c>
      <c r="C954" s="29">
        <v>45935</v>
      </c>
      <c r="D954" t="s">
        <v>908</v>
      </c>
      <c r="E954" s="1276">
        <v>45769</v>
      </c>
      <c r="G954">
        <v>9955250</v>
      </c>
      <c r="I954">
        <v>0</v>
      </c>
      <c r="J954">
        <v>9955250</v>
      </c>
      <c r="K954">
        <v>0</v>
      </c>
      <c r="P954" t="s">
        <v>1215</v>
      </c>
      <c r="Q954" s="1308" t="s">
        <v>4911</v>
      </c>
    </row>
    <row r="955" spans="1:17">
      <c r="A955" s="1305" t="s">
        <v>3719</v>
      </c>
      <c r="B955" s="29">
        <v>45740</v>
      </c>
      <c r="C955" s="29">
        <v>45935</v>
      </c>
      <c r="D955" t="s">
        <v>908</v>
      </c>
      <c r="E955" s="1276">
        <v>45769</v>
      </c>
      <c r="G955">
        <v>4977625</v>
      </c>
      <c r="I955">
        <v>0</v>
      </c>
      <c r="J955">
        <v>4977625</v>
      </c>
      <c r="K955">
        <v>0</v>
      </c>
      <c r="P955" t="s">
        <v>1215</v>
      </c>
      <c r="Q955" s="1308" t="s">
        <v>4911</v>
      </c>
    </row>
    <row r="956" spans="1:17">
      <c r="A956" s="1305" t="s">
        <v>3719</v>
      </c>
      <c r="B956" s="29">
        <v>45740</v>
      </c>
      <c r="C956" s="29">
        <v>45935</v>
      </c>
      <c r="D956" t="s">
        <v>908</v>
      </c>
      <c r="E956" s="1276">
        <v>45769</v>
      </c>
      <c r="G956">
        <v>4977625</v>
      </c>
      <c r="I956">
        <v>0</v>
      </c>
      <c r="J956">
        <v>4977625</v>
      </c>
      <c r="K956">
        <v>0</v>
      </c>
      <c r="P956" t="s">
        <v>1215</v>
      </c>
      <c r="Q956" s="1308" t="s">
        <v>4911</v>
      </c>
    </row>
    <row r="957" spans="1:17">
      <c r="A957" s="1305" t="s">
        <v>3719</v>
      </c>
      <c r="B957" s="29">
        <v>45740</v>
      </c>
      <c r="C957" s="29">
        <v>45935</v>
      </c>
      <c r="D957" t="s">
        <v>908</v>
      </c>
      <c r="E957" s="1276">
        <v>45769</v>
      </c>
      <c r="G957">
        <v>4977625</v>
      </c>
      <c r="I957">
        <v>0</v>
      </c>
      <c r="J957">
        <v>4977625</v>
      </c>
      <c r="K957">
        <v>0</v>
      </c>
      <c r="P957" t="s">
        <v>1215</v>
      </c>
      <c r="Q957" s="1308" t="s">
        <v>4911</v>
      </c>
    </row>
    <row r="958" spans="1:17">
      <c r="A958" s="1305" t="s">
        <v>3719</v>
      </c>
      <c r="B958" s="29">
        <v>45740</v>
      </c>
      <c r="C958" s="29">
        <v>45935</v>
      </c>
      <c r="D958" t="s">
        <v>908</v>
      </c>
      <c r="E958" s="1276">
        <v>45769</v>
      </c>
      <c r="G958">
        <v>4977625</v>
      </c>
      <c r="I958">
        <v>0</v>
      </c>
      <c r="J958">
        <v>4977625</v>
      </c>
      <c r="K958">
        <v>0</v>
      </c>
      <c r="P958" t="s">
        <v>1215</v>
      </c>
      <c r="Q958" s="1308" t="s">
        <v>4911</v>
      </c>
    </row>
    <row r="959" spans="1:17">
      <c r="A959" s="1305" t="s">
        <v>3719</v>
      </c>
      <c r="B959" s="29">
        <v>45742</v>
      </c>
      <c r="C959" s="29">
        <v>45935</v>
      </c>
      <c r="D959" t="s">
        <v>908</v>
      </c>
      <c r="E959" s="1276">
        <v>45769</v>
      </c>
      <c r="G959">
        <v>4977625</v>
      </c>
      <c r="I959">
        <v>0</v>
      </c>
      <c r="J959">
        <v>4977625</v>
      </c>
      <c r="K959">
        <v>0</v>
      </c>
      <c r="P959" t="s">
        <v>1215</v>
      </c>
      <c r="Q959" s="1308" t="s">
        <v>4911</v>
      </c>
    </row>
    <row r="960" spans="1:17">
      <c r="A960" s="1305" t="s">
        <v>3719</v>
      </c>
      <c r="B960" s="29">
        <v>45742</v>
      </c>
      <c r="C960" s="29">
        <v>45935</v>
      </c>
      <c r="D960" t="s">
        <v>908</v>
      </c>
      <c r="E960" s="1276">
        <v>45769</v>
      </c>
      <c r="G960">
        <v>4977625</v>
      </c>
      <c r="I960">
        <v>0</v>
      </c>
      <c r="J960">
        <v>4977625</v>
      </c>
      <c r="K960">
        <v>0</v>
      </c>
      <c r="P960" t="s">
        <v>1215</v>
      </c>
      <c r="Q960" s="1308" t="s">
        <v>4911</v>
      </c>
    </row>
    <row r="961" spans="1:17">
      <c r="A961" s="1305" t="s">
        <v>3719</v>
      </c>
      <c r="B961" s="29">
        <v>45742</v>
      </c>
      <c r="C961" s="29">
        <v>45935</v>
      </c>
      <c r="D961" t="s">
        <v>908</v>
      </c>
      <c r="E961" s="1276">
        <v>45769</v>
      </c>
      <c r="G961">
        <v>4977625</v>
      </c>
      <c r="I961">
        <v>0</v>
      </c>
      <c r="J961">
        <v>4977625</v>
      </c>
      <c r="K961">
        <v>0</v>
      </c>
      <c r="P961" t="s">
        <v>1215</v>
      </c>
      <c r="Q961" s="1308" t="s">
        <v>4911</v>
      </c>
    </row>
    <row r="962" spans="1:17">
      <c r="A962" s="1305" t="s">
        <v>3719</v>
      </c>
      <c r="B962" s="29">
        <v>45742</v>
      </c>
      <c r="C962" s="29">
        <v>45935</v>
      </c>
      <c r="D962" t="s">
        <v>908</v>
      </c>
      <c r="E962" s="1276">
        <v>45769</v>
      </c>
      <c r="G962">
        <v>4977625</v>
      </c>
      <c r="I962">
        <v>0</v>
      </c>
      <c r="J962">
        <v>4977625</v>
      </c>
      <c r="K962">
        <v>0</v>
      </c>
      <c r="P962" t="s">
        <v>1215</v>
      </c>
      <c r="Q962" s="1308" t="s">
        <v>4911</v>
      </c>
    </row>
    <row r="963" spans="1:17">
      <c r="A963" s="1305" t="s">
        <v>3719</v>
      </c>
      <c r="B963" s="29">
        <v>45742</v>
      </c>
      <c r="C963" s="29">
        <v>45935</v>
      </c>
      <c r="D963" t="s">
        <v>908</v>
      </c>
      <c r="E963" s="1276">
        <v>45769</v>
      </c>
      <c r="G963">
        <v>4977625</v>
      </c>
      <c r="I963">
        <v>0</v>
      </c>
      <c r="J963">
        <v>4977625</v>
      </c>
      <c r="K963">
        <v>0</v>
      </c>
      <c r="P963" t="s">
        <v>1215</v>
      </c>
      <c r="Q963" s="1308" t="s">
        <v>4911</v>
      </c>
    </row>
    <row r="964" spans="1:17">
      <c r="A964" s="1305" t="s">
        <v>3719</v>
      </c>
      <c r="B964" s="29">
        <v>45742</v>
      </c>
      <c r="C964" s="29">
        <v>45935</v>
      </c>
      <c r="D964" t="s">
        <v>908</v>
      </c>
      <c r="E964" s="1276">
        <v>45769</v>
      </c>
      <c r="G964">
        <v>4977625</v>
      </c>
      <c r="I964">
        <v>0</v>
      </c>
      <c r="J964">
        <v>4977625</v>
      </c>
      <c r="K964">
        <v>0</v>
      </c>
      <c r="P964" t="s">
        <v>1215</v>
      </c>
      <c r="Q964" s="1308" t="s">
        <v>4911</v>
      </c>
    </row>
    <row r="965" spans="1:17">
      <c r="A965" s="1305" t="s">
        <v>3719</v>
      </c>
      <c r="B965" s="29">
        <v>45742</v>
      </c>
      <c r="C965" s="29">
        <v>45935</v>
      </c>
      <c r="D965" t="s">
        <v>908</v>
      </c>
      <c r="E965" s="1276">
        <v>45769</v>
      </c>
      <c r="G965">
        <v>4977625</v>
      </c>
      <c r="I965">
        <v>0</v>
      </c>
      <c r="J965">
        <v>4977625</v>
      </c>
      <c r="K965">
        <v>0</v>
      </c>
      <c r="P965" t="s">
        <v>1215</v>
      </c>
      <c r="Q965" s="1308" t="s">
        <v>4911</v>
      </c>
    </row>
    <row r="966" spans="1:17">
      <c r="A966" s="1305" t="s">
        <v>3719</v>
      </c>
      <c r="B966" s="29">
        <v>45742</v>
      </c>
      <c r="C966" s="29">
        <v>45935</v>
      </c>
      <c r="D966" t="s">
        <v>908</v>
      </c>
      <c r="E966" s="1276">
        <v>45769</v>
      </c>
      <c r="G966">
        <v>4977625</v>
      </c>
      <c r="I966">
        <v>0</v>
      </c>
      <c r="J966">
        <v>4977625</v>
      </c>
      <c r="K966">
        <v>0</v>
      </c>
      <c r="P966" t="s">
        <v>1215</v>
      </c>
      <c r="Q966" s="1308" t="s">
        <v>4911</v>
      </c>
    </row>
    <row r="967" spans="1:17">
      <c r="A967" s="1305" t="s">
        <v>3719</v>
      </c>
      <c r="B967" s="29">
        <v>45742</v>
      </c>
      <c r="C967" s="29">
        <v>45935</v>
      </c>
      <c r="D967" t="s">
        <v>908</v>
      </c>
      <c r="E967" s="1276">
        <v>45769</v>
      </c>
      <c r="G967">
        <v>4977625</v>
      </c>
      <c r="I967">
        <v>0</v>
      </c>
      <c r="J967">
        <v>4977625</v>
      </c>
      <c r="K967">
        <v>0</v>
      </c>
      <c r="P967" t="s">
        <v>1215</v>
      </c>
      <c r="Q967" s="1308" t="s">
        <v>4911</v>
      </c>
    </row>
    <row r="968" spans="1:17">
      <c r="A968" s="1305" t="s">
        <v>3719</v>
      </c>
      <c r="B968" s="29">
        <v>45743</v>
      </c>
      <c r="C968" s="29">
        <v>45935</v>
      </c>
      <c r="D968" t="s">
        <v>908</v>
      </c>
      <c r="E968" s="1276">
        <v>45769</v>
      </c>
      <c r="G968">
        <v>4977625</v>
      </c>
      <c r="I968">
        <v>0</v>
      </c>
      <c r="J968">
        <v>4977625</v>
      </c>
      <c r="K968">
        <v>0</v>
      </c>
      <c r="P968" t="s">
        <v>1215</v>
      </c>
      <c r="Q968" s="1308" t="s">
        <v>4911</v>
      </c>
    </row>
    <row r="969" spans="1:17">
      <c r="A969" s="1305" t="s">
        <v>3719</v>
      </c>
      <c r="B969" s="29">
        <v>45743</v>
      </c>
      <c r="C969" s="29">
        <v>45935</v>
      </c>
      <c r="D969" t="s">
        <v>908</v>
      </c>
      <c r="E969" s="1276">
        <v>45769</v>
      </c>
      <c r="G969">
        <v>4977625</v>
      </c>
      <c r="I969">
        <v>0</v>
      </c>
      <c r="J969">
        <v>4977625</v>
      </c>
      <c r="K969">
        <v>0</v>
      </c>
      <c r="P969" t="s">
        <v>1215</v>
      </c>
      <c r="Q969" s="1308" t="s">
        <v>4911</v>
      </c>
    </row>
    <row r="970" spans="1:17">
      <c r="A970" s="1305" t="s">
        <v>3719</v>
      </c>
      <c r="B970" s="29">
        <v>45743</v>
      </c>
      <c r="C970" s="29">
        <v>45935</v>
      </c>
      <c r="D970" t="s">
        <v>908</v>
      </c>
      <c r="E970" s="1276">
        <v>45769</v>
      </c>
      <c r="G970">
        <v>4977625</v>
      </c>
      <c r="I970">
        <v>0</v>
      </c>
      <c r="J970">
        <v>4977625</v>
      </c>
      <c r="K970">
        <v>0</v>
      </c>
      <c r="P970" t="s">
        <v>1215</v>
      </c>
      <c r="Q970" s="1308" t="s">
        <v>4911</v>
      </c>
    </row>
    <row r="971" spans="1:17">
      <c r="A971" s="1305" t="s">
        <v>3719</v>
      </c>
      <c r="B971" s="29">
        <v>45743</v>
      </c>
      <c r="C971" s="29">
        <v>45935</v>
      </c>
      <c r="D971" t="s">
        <v>908</v>
      </c>
      <c r="E971" s="1276">
        <v>45769</v>
      </c>
      <c r="G971">
        <v>4977625</v>
      </c>
      <c r="I971">
        <v>0</v>
      </c>
      <c r="J971">
        <v>4977625</v>
      </c>
      <c r="K971">
        <v>0</v>
      </c>
      <c r="P971" t="s">
        <v>1215</v>
      </c>
      <c r="Q971" s="1308" t="s">
        <v>4911</v>
      </c>
    </row>
    <row r="972" spans="1:17">
      <c r="A972" s="1305" t="s">
        <v>3719</v>
      </c>
      <c r="B972" s="29">
        <v>45743</v>
      </c>
      <c r="C972" s="29">
        <v>45935</v>
      </c>
      <c r="D972" t="s">
        <v>908</v>
      </c>
      <c r="E972" s="1276">
        <v>45769</v>
      </c>
      <c r="G972">
        <v>4977625</v>
      </c>
      <c r="I972">
        <v>0</v>
      </c>
      <c r="J972">
        <v>4977625</v>
      </c>
      <c r="K972">
        <v>0</v>
      </c>
      <c r="P972" t="s">
        <v>1215</v>
      </c>
      <c r="Q972" s="1308" t="s">
        <v>4911</v>
      </c>
    </row>
    <row r="973" spans="1:17">
      <c r="A973" s="1305" t="s">
        <v>3719</v>
      </c>
      <c r="B973" s="29">
        <v>45743</v>
      </c>
      <c r="C973" s="29">
        <v>45935</v>
      </c>
      <c r="D973" t="s">
        <v>908</v>
      </c>
      <c r="E973" s="1276">
        <v>45769</v>
      </c>
      <c r="G973">
        <v>4977625</v>
      </c>
      <c r="I973">
        <v>0</v>
      </c>
      <c r="J973">
        <v>4977625</v>
      </c>
      <c r="K973">
        <v>0</v>
      </c>
      <c r="P973" t="s">
        <v>1215</v>
      </c>
      <c r="Q973" s="1308" t="s">
        <v>4911</v>
      </c>
    </row>
    <row r="974" spans="1:17">
      <c r="A974" s="1305" t="s">
        <v>3719</v>
      </c>
      <c r="B974" s="29">
        <v>45743</v>
      </c>
      <c r="C974" s="29">
        <v>45743</v>
      </c>
      <c r="D974" t="s">
        <v>908</v>
      </c>
      <c r="E974" s="1276">
        <v>45769</v>
      </c>
      <c r="G974">
        <v>4977625</v>
      </c>
      <c r="I974">
        <v>149195429</v>
      </c>
      <c r="J974">
        <v>-144217804</v>
      </c>
      <c r="K974">
        <v>0</v>
      </c>
      <c r="P974" t="s">
        <v>1215</v>
      </c>
      <c r="Q974" s="1308" t="s">
        <v>4911</v>
      </c>
    </row>
    <row r="975" spans="1:17">
      <c r="A975" s="1305" t="s">
        <v>3719</v>
      </c>
      <c r="B975" s="29">
        <f t="shared" ref="B975:B977" si="24">E975</f>
        <v>45769</v>
      </c>
      <c r="C975" s="29">
        <v>45935</v>
      </c>
      <c r="D975" t="s">
        <v>908</v>
      </c>
      <c r="E975" s="1276">
        <v>45769</v>
      </c>
      <c r="G975">
        <v>149328750</v>
      </c>
      <c r="I975">
        <v>0</v>
      </c>
      <c r="J975">
        <v>149328750</v>
      </c>
      <c r="K975">
        <v>0</v>
      </c>
      <c r="P975" t="s">
        <v>1215</v>
      </c>
      <c r="Q975" s="1308" t="s">
        <v>4911</v>
      </c>
    </row>
    <row r="976" spans="1:17">
      <c r="A976" s="1305" t="s">
        <v>3719</v>
      </c>
      <c r="B976" s="29">
        <f t="shared" si="24"/>
        <v>45769</v>
      </c>
      <c r="C976" s="29">
        <v>45935</v>
      </c>
      <c r="D976" t="s">
        <v>908</v>
      </c>
      <c r="E976" s="1276">
        <v>45769</v>
      </c>
      <c r="G976">
        <v>0</v>
      </c>
      <c r="I976">
        <v>0</v>
      </c>
      <c r="J976">
        <v>0</v>
      </c>
      <c r="K976">
        <v>0</v>
      </c>
      <c r="P976" t="s">
        <v>1215</v>
      </c>
      <c r="Q976" s="1308" t="s">
        <v>4911</v>
      </c>
    </row>
    <row r="977" spans="1:17">
      <c r="A977" s="1305" t="s">
        <v>3719</v>
      </c>
      <c r="B977" s="29">
        <f t="shared" si="24"/>
        <v>45769</v>
      </c>
      <c r="C977" s="29">
        <v>45935</v>
      </c>
      <c r="D977" t="s">
        <v>908</v>
      </c>
      <c r="E977" s="1276">
        <v>45769</v>
      </c>
      <c r="G977">
        <v>0</v>
      </c>
      <c r="I977">
        <v>0</v>
      </c>
      <c r="J977">
        <v>0</v>
      </c>
      <c r="K977">
        <v>0</v>
      </c>
      <c r="P977" t="s">
        <v>1215</v>
      </c>
      <c r="Q977" s="1308" t="s">
        <v>4911</v>
      </c>
    </row>
    <row r="978" spans="1:17">
      <c r="A978" s="1305" t="s">
        <v>3719</v>
      </c>
      <c r="B978" s="29">
        <v>45753</v>
      </c>
      <c r="C978" s="29">
        <v>45935</v>
      </c>
      <c r="D978" t="s">
        <v>908</v>
      </c>
      <c r="E978" s="1276">
        <v>45769</v>
      </c>
      <c r="G978">
        <v>4977625</v>
      </c>
      <c r="I978">
        <v>0</v>
      </c>
      <c r="J978">
        <v>4977625</v>
      </c>
      <c r="K978">
        <v>0</v>
      </c>
      <c r="P978" t="s">
        <v>1215</v>
      </c>
      <c r="Q978" s="1308" t="s">
        <v>4911</v>
      </c>
    </row>
    <row r="979" spans="1:17">
      <c r="A979" s="1305" t="s">
        <v>3719</v>
      </c>
      <c r="B979" s="29">
        <v>45753</v>
      </c>
      <c r="C979" s="29">
        <v>45935</v>
      </c>
      <c r="D979" t="s">
        <v>908</v>
      </c>
      <c r="E979" s="1276">
        <v>45769</v>
      </c>
      <c r="G979">
        <v>4977625</v>
      </c>
      <c r="I979">
        <v>0</v>
      </c>
      <c r="J979">
        <v>4977625</v>
      </c>
      <c r="K979">
        <v>0</v>
      </c>
      <c r="P979" t="s">
        <v>1215</v>
      </c>
      <c r="Q979" s="1308" t="s">
        <v>4911</v>
      </c>
    </row>
    <row r="980" spans="1:17">
      <c r="A980" s="1305" t="s">
        <v>3719</v>
      </c>
      <c r="B980" s="29">
        <v>45753</v>
      </c>
      <c r="C980" s="29">
        <v>45935</v>
      </c>
      <c r="D980" t="s">
        <v>908</v>
      </c>
      <c r="E980" s="1276">
        <v>45769</v>
      </c>
      <c r="G980">
        <v>4977625</v>
      </c>
      <c r="I980">
        <v>0</v>
      </c>
      <c r="J980">
        <v>4977625</v>
      </c>
      <c r="K980">
        <v>0</v>
      </c>
      <c r="P980" t="s">
        <v>1215</v>
      </c>
      <c r="Q980" s="1308" t="s">
        <v>4911</v>
      </c>
    </row>
    <row r="981" spans="1:17">
      <c r="A981" s="1305" t="s">
        <v>3719</v>
      </c>
      <c r="B981" s="29">
        <v>45753</v>
      </c>
      <c r="C981" s="29">
        <v>45935</v>
      </c>
      <c r="D981" t="s">
        <v>908</v>
      </c>
      <c r="E981" s="1276">
        <v>45769</v>
      </c>
      <c r="G981">
        <v>4977625</v>
      </c>
      <c r="I981">
        <v>0</v>
      </c>
      <c r="J981">
        <v>4977625</v>
      </c>
      <c r="K981">
        <v>0</v>
      </c>
      <c r="P981" t="s">
        <v>1215</v>
      </c>
      <c r="Q981" s="1308" t="s">
        <v>4911</v>
      </c>
    </row>
    <row r="982" spans="1:17">
      <c r="A982" s="1305" t="s">
        <v>3719</v>
      </c>
      <c r="B982" s="29">
        <v>45753</v>
      </c>
      <c r="C982" s="29">
        <v>45935</v>
      </c>
      <c r="D982" t="s">
        <v>908</v>
      </c>
      <c r="E982" s="1276">
        <v>45769</v>
      </c>
      <c r="G982">
        <v>4977625</v>
      </c>
      <c r="I982">
        <v>0</v>
      </c>
      <c r="J982">
        <v>4977625</v>
      </c>
      <c r="K982">
        <v>0</v>
      </c>
      <c r="P982" t="s">
        <v>1215</v>
      </c>
      <c r="Q982" s="1308" t="s">
        <v>4911</v>
      </c>
    </row>
    <row r="983" spans="1:17">
      <c r="A983" s="1305" t="s">
        <v>3719</v>
      </c>
      <c r="B983" s="29">
        <v>45753</v>
      </c>
      <c r="C983" s="29">
        <v>45935</v>
      </c>
      <c r="D983" t="s">
        <v>908</v>
      </c>
      <c r="E983" s="1276">
        <v>45769</v>
      </c>
      <c r="G983">
        <v>4977625</v>
      </c>
      <c r="I983">
        <v>0</v>
      </c>
      <c r="J983">
        <v>4977625</v>
      </c>
      <c r="K983">
        <v>0</v>
      </c>
      <c r="P983" t="s">
        <v>1215</v>
      </c>
      <c r="Q983" s="1308" t="s">
        <v>4911</v>
      </c>
    </row>
    <row r="984" spans="1:17">
      <c r="A984" s="1305" t="s">
        <v>3719</v>
      </c>
      <c r="B984" s="29">
        <v>45753</v>
      </c>
      <c r="C984" s="29">
        <v>45935</v>
      </c>
      <c r="D984" t="s">
        <v>908</v>
      </c>
      <c r="E984" s="1276">
        <v>45769</v>
      </c>
      <c r="G984">
        <v>4977625</v>
      </c>
      <c r="I984">
        <v>0</v>
      </c>
      <c r="J984">
        <v>4977625</v>
      </c>
      <c r="K984">
        <v>0</v>
      </c>
      <c r="P984" t="s">
        <v>1215</v>
      </c>
      <c r="Q984" s="1308" t="s">
        <v>4911</v>
      </c>
    </row>
    <row r="985" spans="1:17">
      <c r="A985" s="1305" t="s">
        <v>3719</v>
      </c>
      <c r="B985" s="29">
        <v>45753</v>
      </c>
      <c r="C985" s="29">
        <v>45935</v>
      </c>
      <c r="D985" t="s">
        <v>908</v>
      </c>
      <c r="E985" s="1276">
        <v>45769</v>
      </c>
      <c r="G985">
        <v>4977625</v>
      </c>
      <c r="I985">
        <v>0</v>
      </c>
      <c r="J985">
        <v>4977625</v>
      </c>
      <c r="K985">
        <v>0</v>
      </c>
      <c r="P985" t="s">
        <v>1215</v>
      </c>
      <c r="Q985" s="1308" t="s">
        <v>4911</v>
      </c>
    </row>
    <row r="986" spans="1:17">
      <c r="A986" s="1305" t="s">
        <v>3719</v>
      </c>
      <c r="B986" s="29">
        <v>45753</v>
      </c>
      <c r="C986" s="29">
        <v>45935</v>
      </c>
      <c r="D986" t="s">
        <v>908</v>
      </c>
      <c r="E986" s="1276">
        <v>45769</v>
      </c>
      <c r="G986">
        <v>4977625</v>
      </c>
      <c r="I986">
        <v>0</v>
      </c>
      <c r="J986">
        <v>4977625</v>
      </c>
      <c r="K986">
        <v>0</v>
      </c>
      <c r="P986" t="s">
        <v>1215</v>
      </c>
      <c r="Q986" s="1308" t="s">
        <v>4911</v>
      </c>
    </row>
    <row r="987" spans="1:17">
      <c r="A987" s="1305" t="s">
        <v>3719</v>
      </c>
      <c r="B987" s="29">
        <v>45753</v>
      </c>
      <c r="C987" s="29">
        <v>45753</v>
      </c>
      <c r="D987" t="s">
        <v>908</v>
      </c>
      <c r="E987" s="1276">
        <v>45769</v>
      </c>
      <c r="G987">
        <v>4977625</v>
      </c>
      <c r="I987">
        <v>49731810</v>
      </c>
      <c r="J987">
        <v>-44754185</v>
      </c>
      <c r="K987">
        <v>0</v>
      </c>
      <c r="P987" t="s">
        <v>1215</v>
      </c>
      <c r="Q987" s="1308" t="s">
        <v>4911</v>
      </c>
    </row>
    <row r="988" spans="1:17">
      <c r="A988" s="1305" t="s">
        <v>3719</v>
      </c>
      <c r="B988" s="29">
        <v>45753</v>
      </c>
      <c r="C988" s="29">
        <v>45935</v>
      </c>
      <c r="D988" t="s">
        <v>908</v>
      </c>
      <c r="E988" s="1276">
        <v>45769</v>
      </c>
      <c r="G988">
        <v>4977625</v>
      </c>
      <c r="I988">
        <v>0</v>
      </c>
      <c r="J988">
        <v>4977625</v>
      </c>
      <c r="K988">
        <v>0</v>
      </c>
      <c r="P988" t="s">
        <v>1215</v>
      </c>
      <c r="Q988" s="1308" t="s">
        <v>4911</v>
      </c>
    </row>
    <row r="989" spans="1:17">
      <c r="A989" s="1305" t="s">
        <v>3719</v>
      </c>
      <c r="B989" s="29">
        <v>45753</v>
      </c>
      <c r="C989" s="29">
        <v>45935</v>
      </c>
      <c r="D989" t="s">
        <v>908</v>
      </c>
      <c r="E989" s="1276">
        <v>45769</v>
      </c>
      <c r="G989">
        <v>4977625</v>
      </c>
      <c r="I989">
        <v>0</v>
      </c>
      <c r="J989">
        <v>4977625</v>
      </c>
      <c r="K989">
        <v>0</v>
      </c>
      <c r="P989" t="s">
        <v>1215</v>
      </c>
      <c r="Q989" s="1308" t="s">
        <v>4911</v>
      </c>
    </row>
    <row r="990" spans="1:17">
      <c r="A990" s="1305" t="s">
        <v>3719</v>
      </c>
      <c r="B990" s="29">
        <v>45753</v>
      </c>
      <c r="C990" s="29">
        <v>45753</v>
      </c>
      <c r="D990" t="s">
        <v>908</v>
      </c>
      <c r="E990" s="1276">
        <v>45769</v>
      </c>
      <c r="G990">
        <v>4977625</v>
      </c>
      <c r="I990">
        <v>14919543</v>
      </c>
      <c r="J990">
        <v>-9941918</v>
      </c>
      <c r="K990">
        <v>0</v>
      </c>
      <c r="P990" t="s">
        <v>1215</v>
      </c>
      <c r="Q990" s="1308" t="s">
        <v>4911</v>
      </c>
    </row>
    <row r="991" spans="1:17">
      <c r="A991" s="1305" t="s">
        <v>3719</v>
      </c>
      <c r="B991" s="29">
        <v>45754</v>
      </c>
      <c r="C991" s="29">
        <v>45935</v>
      </c>
      <c r="D991" t="s">
        <v>908</v>
      </c>
      <c r="E991" s="1276">
        <v>45769</v>
      </c>
      <c r="G991">
        <v>4977625</v>
      </c>
      <c r="I991">
        <v>0</v>
      </c>
      <c r="J991">
        <v>4977625</v>
      </c>
      <c r="K991">
        <v>0</v>
      </c>
      <c r="P991" t="s">
        <v>1215</v>
      </c>
      <c r="Q991" s="1308" t="s">
        <v>4911</v>
      </c>
    </row>
    <row r="992" spans="1:17">
      <c r="A992" s="1305" t="s">
        <v>3719</v>
      </c>
      <c r="B992" s="29">
        <v>45754</v>
      </c>
      <c r="C992" s="29">
        <v>45754</v>
      </c>
      <c r="D992" t="s">
        <v>908</v>
      </c>
      <c r="E992" s="1276">
        <v>45769</v>
      </c>
      <c r="G992">
        <v>4977625</v>
      </c>
      <c r="I992">
        <v>9946362</v>
      </c>
      <c r="J992">
        <v>-4968737</v>
      </c>
      <c r="K992">
        <v>0</v>
      </c>
      <c r="P992" t="s">
        <v>1215</v>
      </c>
      <c r="Q992" s="1308" t="s">
        <v>4911</v>
      </c>
    </row>
    <row r="993" spans="1:17">
      <c r="A993" s="1305" t="s">
        <v>3719</v>
      </c>
      <c r="B993" s="29">
        <v>45760</v>
      </c>
      <c r="C993" s="29">
        <v>45760</v>
      </c>
      <c r="D993" t="s">
        <v>908</v>
      </c>
      <c r="E993" s="1276">
        <v>45769</v>
      </c>
      <c r="G993">
        <v>2737694</v>
      </c>
      <c r="I993">
        <v>2735250</v>
      </c>
      <c r="J993">
        <v>2444</v>
      </c>
      <c r="K993">
        <v>0</v>
      </c>
      <c r="P993" t="s">
        <v>1215</v>
      </c>
      <c r="Q993" s="1308" t="s">
        <v>4911</v>
      </c>
    </row>
    <row r="994" spans="1:17">
      <c r="A994" s="1305" t="s">
        <v>3719</v>
      </c>
      <c r="B994" s="29">
        <v>45764</v>
      </c>
      <c r="C994" s="29">
        <v>45935</v>
      </c>
      <c r="D994" t="s">
        <v>908</v>
      </c>
      <c r="E994" s="1276">
        <v>45769</v>
      </c>
      <c r="G994">
        <v>2969983</v>
      </c>
      <c r="I994">
        <v>0</v>
      </c>
      <c r="J994">
        <v>2969983</v>
      </c>
      <c r="K994">
        <v>0</v>
      </c>
      <c r="P994" t="s">
        <v>1215</v>
      </c>
      <c r="Q994" s="1308" t="s">
        <v>4911</v>
      </c>
    </row>
    <row r="995" spans="1:17">
      <c r="A995" s="1305" t="s">
        <v>3719</v>
      </c>
      <c r="B995" s="29">
        <v>45764</v>
      </c>
      <c r="C995" s="29">
        <v>45935</v>
      </c>
      <c r="D995" t="s">
        <v>908</v>
      </c>
      <c r="E995" s="1276">
        <v>45769</v>
      </c>
      <c r="G995">
        <v>4977625</v>
      </c>
      <c r="I995">
        <v>0</v>
      </c>
      <c r="J995">
        <v>4977625</v>
      </c>
      <c r="K995">
        <v>0</v>
      </c>
      <c r="P995" t="s">
        <v>1215</v>
      </c>
      <c r="Q995" s="1308" t="s">
        <v>4911</v>
      </c>
    </row>
    <row r="996" spans="1:17">
      <c r="A996" s="1305" t="s">
        <v>3719</v>
      </c>
      <c r="B996" s="29">
        <v>45764</v>
      </c>
      <c r="C996" s="29">
        <v>45935</v>
      </c>
      <c r="D996" t="s">
        <v>908</v>
      </c>
      <c r="E996" s="1276">
        <v>45769</v>
      </c>
      <c r="G996">
        <v>4977625</v>
      </c>
      <c r="I996">
        <v>0</v>
      </c>
      <c r="J996">
        <v>4977625</v>
      </c>
      <c r="K996">
        <v>0</v>
      </c>
      <c r="P996" t="s">
        <v>1215</v>
      </c>
      <c r="Q996" s="1308" t="s">
        <v>4911</v>
      </c>
    </row>
    <row r="997" spans="1:17">
      <c r="A997" s="1305" t="s">
        <v>3719</v>
      </c>
      <c r="B997" s="29">
        <v>45764</v>
      </c>
      <c r="C997" s="29">
        <v>45935</v>
      </c>
      <c r="D997" t="s">
        <v>908</v>
      </c>
      <c r="E997" s="1276">
        <v>45769</v>
      </c>
      <c r="G997">
        <v>4977625</v>
      </c>
      <c r="I997">
        <v>0</v>
      </c>
      <c r="J997">
        <v>4977625</v>
      </c>
      <c r="K997">
        <v>0</v>
      </c>
      <c r="P997" t="s">
        <v>1215</v>
      </c>
      <c r="Q997" s="1308" t="s">
        <v>4911</v>
      </c>
    </row>
    <row r="998" spans="1:17">
      <c r="A998" s="1305" t="s">
        <v>3719</v>
      </c>
      <c r="B998" s="29">
        <v>45764</v>
      </c>
      <c r="C998" s="29">
        <v>45935</v>
      </c>
      <c r="D998" t="s">
        <v>908</v>
      </c>
      <c r="E998" s="1276">
        <v>45769</v>
      </c>
      <c r="G998">
        <v>4479862</v>
      </c>
      <c r="I998">
        <v>0</v>
      </c>
      <c r="J998">
        <v>4479862</v>
      </c>
      <c r="K998">
        <v>0</v>
      </c>
      <c r="P998" t="s">
        <v>1215</v>
      </c>
      <c r="Q998" s="1308" t="s">
        <v>4911</v>
      </c>
    </row>
    <row r="999" spans="1:17">
      <c r="A999" s="1305" t="s">
        <v>3719</v>
      </c>
      <c r="B999" s="29">
        <v>45764</v>
      </c>
      <c r="C999" s="29">
        <v>45935</v>
      </c>
      <c r="D999" t="s">
        <v>908</v>
      </c>
      <c r="E999" s="1276">
        <v>45769</v>
      </c>
      <c r="G999">
        <v>4977625</v>
      </c>
      <c r="I999">
        <v>0</v>
      </c>
      <c r="J999">
        <v>4977625</v>
      </c>
      <c r="K999">
        <v>0</v>
      </c>
      <c r="P999" t="s">
        <v>1215</v>
      </c>
      <c r="Q999" s="1308" t="s">
        <v>4911</v>
      </c>
    </row>
    <row r="1000" spans="1:17">
      <c r="A1000" s="1305" t="s">
        <v>3719</v>
      </c>
      <c r="B1000" s="29">
        <v>45764</v>
      </c>
      <c r="C1000" s="29">
        <v>45935</v>
      </c>
      <c r="D1000" t="s">
        <v>908</v>
      </c>
      <c r="E1000" s="1276">
        <v>45769</v>
      </c>
      <c r="G1000">
        <v>4977625</v>
      </c>
      <c r="I1000">
        <v>0</v>
      </c>
      <c r="J1000">
        <v>4977625</v>
      </c>
      <c r="K1000">
        <v>0</v>
      </c>
      <c r="P1000" t="s">
        <v>1215</v>
      </c>
      <c r="Q1000" s="1308" t="s">
        <v>4911</v>
      </c>
    </row>
    <row r="1001" spans="1:17">
      <c r="A1001" s="1305" t="s">
        <v>3719</v>
      </c>
      <c r="B1001" s="29">
        <v>45764</v>
      </c>
      <c r="C1001" s="29">
        <v>45935</v>
      </c>
      <c r="D1001" t="s">
        <v>908</v>
      </c>
      <c r="E1001" s="1276">
        <v>45769</v>
      </c>
      <c r="G1001">
        <v>1244406</v>
      </c>
      <c r="I1001">
        <v>0</v>
      </c>
      <c r="J1001">
        <v>1244406</v>
      </c>
      <c r="K1001">
        <v>0</v>
      </c>
      <c r="P1001" t="s">
        <v>1215</v>
      </c>
      <c r="Q1001" s="1308" t="s">
        <v>4911</v>
      </c>
    </row>
    <row r="1002" spans="1:17">
      <c r="A1002" s="1305" t="s">
        <v>3719</v>
      </c>
      <c r="B1002" s="29">
        <v>45764</v>
      </c>
      <c r="C1002" s="29">
        <v>45935</v>
      </c>
      <c r="D1002" t="s">
        <v>908</v>
      </c>
      <c r="E1002" s="1276">
        <v>45769</v>
      </c>
      <c r="G1002">
        <v>4977625</v>
      </c>
      <c r="I1002">
        <v>0</v>
      </c>
      <c r="J1002">
        <v>4977625</v>
      </c>
      <c r="K1002">
        <v>0</v>
      </c>
      <c r="P1002" t="s">
        <v>1215</v>
      </c>
      <c r="Q1002" s="1308" t="s">
        <v>4911</v>
      </c>
    </row>
    <row r="1003" spans="1:17">
      <c r="A1003" s="1305" t="s">
        <v>3719</v>
      </c>
      <c r="B1003" s="29">
        <v>45764</v>
      </c>
      <c r="C1003" s="29">
        <v>45935</v>
      </c>
      <c r="D1003" t="s">
        <v>908</v>
      </c>
      <c r="E1003" s="1276">
        <v>45769</v>
      </c>
      <c r="G1003">
        <v>4977625</v>
      </c>
      <c r="I1003">
        <v>0</v>
      </c>
      <c r="J1003">
        <v>4977625</v>
      </c>
      <c r="K1003">
        <v>0</v>
      </c>
      <c r="P1003" t="s">
        <v>1215</v>
      </c>
      <c r="Q1003" s="1308" t="s">
        <v>4911</v>
      </c>
    </row>
    <row r="1004" spans="1:17">
      <c r="A1004" s="1305" t="s">
        <v>3719</v>
      </c>
      <c r="B1004" s="29">
        <v>45764</v>
      </c>
      <c r="C1004" s="29">
        <v>45935</v>
      </c>
      <c r="D1004" t="s">
        <v>908</v>
      </c>
      <c r="E1004" s="1276">
        <v>45769</v>
      </c>
      <c r="G1004">
        <v>4977625</v>
      </c>
      <c r="I1004">
        <v>0</v>
      </c>
      <c r="J1004">
        <v>4977625</v>
      </c>
      <c r="K1004">
        <v>0</v>
      </c>
      <c r="P1004" t="s">
        <v>1215</v>
      </c>
      <c r="Q1004" s="1308" t="s">
        <v>4911</v>
      </c>
    </row>
    <row r="1005" spans="1:17">
      <c r="A1005" s="1305" t="s">
        <v>3719</v>
      </c>
      <c r="B1005" s="29">
        <v>45764</v>
      </c>
      <c r="C1005" s="29">
        <v>45935</v>
      </c>
      <c r="D1005" t="s">
        <v>908</v>
      </c>
      <c r="E1005" s="1276">
        <v>45769</v>
      </c>
      <c r="G1005">
        <v>4977625</v>
      </c>
      <c r="I1005">
        <v>0</v>
      </c>
      <c r="J1005">
        <v>4977625</v>
      </c>
      <c r="K1005">
        <v>0</v>
      </c>
      <c r="P1005" t="s">
        <v>1215</v>
      </c>
      <c r="Q1005" s="1308" t="s">
        <v>4911</v>
      </c>
    </row>
    <row r="1006" spans="1:17">
      <c r="A1006" s="1305" t="s">
        <v>3719</v>
      </c>
      <c r="B1006" s="29">
        <v>45764</v>
      </c>
      <c r="C1006" s="29">
        <v>45935</v>
      </c>
      <c r="D1006" t="s">
        <v>908</v>
      </c>
      <c r="E1006" s="1276">
        <v>45769</v>
      </c>
      <c r="G1006">
        <v>4977625</v>
      </c>
      <c r="I1006">
        <v>0</v>
      </c>
      <c r="J1006">
        <v>4977625</v>
      </c>
      <c r="K1006">
        <v>0</v>
      </c>
      <c r="P1006" t="s">
        <v>1215</v>
      </c>
      <c r="Q1006" s="1308" t="s">
        <v>4911</v>
      </c>
    </row>
    <row r="1007" spans="1:17">
      <c r="A1007" s="1305" t="s">
        <v>3719</v>
      </c>
      <c r="B1007" s="29">
        <v>45764</v>
      </c>
      <c r="C1007" s="29">
        <v>45935</v>
      </c>
      <c r="D1007" t="s">
        <v>908</v>
      </c>
      <c r="E1007" s="1276">
        <v>45769</v>
      </c>
      <c r="G1007">
        <v>2007642</v>
      </c>
      <c r="I1007">
        <v>0</v>
      </c>
      <c r="J1007">
        <v>2007642</v>
      </c>
      <c r="K1007">
        <v>0</v>
      </c>
      <c r="P1007" t="s">
        <v>1215</v>
      </c>
      <c r="Q1007" s="1308" t="s">
        <v>4911</v>
      </c>
    </row>
    <row r="1008" spans="1:17">
      <c r="A1008" s="1305" t="s">
        <v>3719</v>
      </c>
      <c r="B1008" s="29">
        <v>45767</v>
      </c>
      <c r="C1008" s="29">
        <v>45767</v>
      </c>
      <c r="D1008" t="s">
        <v>908</v>
      </c>
      <c r="E1008" s="1276">
        <v>45769</v>
      </c>
      <c r="G1008">
        <v>-4977625</v>
      </c>
      <c r="I1008">
        <v>55450966</v>
      </c>
      <c r="J1008">
        <v>-60428591</v>
      </c>
      <c r="K1008">
        <v>0</v>
      </c>
      <c r="P1008" t="s">
        <v>1215</v>
      </c>
      <c r="Q1008" s="1308" t="s">
        <v>4911</v>
      </c>
    </row>
    <row r="1009" spans="1:17">
      <c r="A1009" s="1305" t="s">
        <v>3719</v>
      </c>
      <c r="B1009" s="29">
        <f t="shared" ref="B1009:B1010" si="25">E1009</f>
        <v>45769</v>
      </c>
      <c r="C1009" s="29">
        <v>45935</v>
      </c>
      <c r="D1009" t="s">
        <v>908</v>
      </c>
      <c r="E1009" s="1276">
        <v>45769</v>
      </c>
      <c r="G1009">
        <v>68193462</v>
      </c>
      <c r="I1009">
        <v>0</v>
      </c>
      <c r="J1009">
        <v>68193462</v>
      </c>
      <c r="K1009">
        <v>0</v>
      </c>
      <c r="P1009" t="s">
        <v>1215</v>
      </c>
      <c r="Q1009" s="1308" t="s">
        <v>4911</v>
      </c>
    </row>
    <row r="1010" spans="1:17">
      <c r="A1010" s="1305" t="s">
        <v>3719</v>
      </c>
      <c r="B1010" s="29">
        <f t="shared" si="25"/>
        <v>45769</v>
      </c>
      <c r="C1010" s="29">
        <v>45935</v>
      </c>
      <c r="D1010" t="s">
        <v>908</v>
      </c>
      <c r="E1010" s="1276">
        <v>45769</v>
      </c>
      <c r="G1010">
        <v>0</v>
      </c>
      <c r="I1010">
        <v>0</v>
      </c>
      <c r="J1010">
        <v>0</v>
      </c>
      <c r="K1010">
        <v>0</v>
      </c>
      <c r="P1010" t="s">
        <v>1215</v>
      </c>
      <c r="Q1010" s="1308" t="s">
        <v>4911</v>
      </c>
    </row>
    <row r="1011" spans="1:17">
      <c r="A1011" s="1305" t="s">
        <v>3719</v>
      </c>
      <c r="B1011" s="29">
        <v>45769</v>
      </c>
      <c r="C1011" s="29">
        <v>45935</v>
      </c>
      <c r="D1011" t="s">
        <v>908</v>
      </c>
      <c r="E1011" s="1276">
        <v>45769</v>
      </c>
      <c r="G1011">
        <v>4977625</v>
      </c>
      <c r="I1011">
        <v>0</v>
      </c>
      <c r="J1011">
        <v>4977625</v>
      </c>
      <c r="K1011">
        <v>0</v>
      </c>
      <c r="P1011" t="s">
        <v>1215</v>
      </c>
      <c r="Q1011" s="1308" t="s">
        <v>4911</v>
      </c>
    </row>
    <row r="1012" spans="1:17">
      <c r="A1012" s="1305" t="s">
        <v>3719</v>
      </c>
      <c r="B1012" s="29">
        <v>45769</v>
      </c>
      <c r="C1012" s="29">
        <v>45935</v>
      </c>
      <c r="D1012" t="s">
        <v>908</v>
      </c>
      <c r="E1012" s="1276">
        <v>45769</v>
      </c>
      <c r="G1012">
        <v>4977625</v>
      </c>
      <c r="I1012">
        <v>0</v>
      </c>
      <c r="J1012">
        <v>4977625</v>
      </c>
      <c r="K1012">
        <v>0</v>
      </c>
      <c r="P1012" t="s">
        <v>1215</v>
      </c>
      <c r="Q1012" s="1308" t="s">
        <v>4911</v>
      </c>
    </row>
    <row r="1013" spans="1:17">
      <c r="A1013" s="1305" t="s">
        <v>3719</v>
      </c>
      <c r="B1013" s="29">
        <v>45769</v>
      </c>
      <c r="C1013" s="29">
        <v>45935</v>
      </c>
      <c r="D1013" t="s">
        <v>908</v>
      </c>
      <c r="E1013" s="1276">
        <v>45769</v>
      </c>
      <c r="G1013">
        <v>4977625</v>
      </c>
      <c r="I1013">
        <v>0</v>
      </c>
      <c r="J1013">
        <v>4977625</v>
      </c>
      <c r="K1013">
        <v>0</v>
      </c>
      <c r="P1013" t="s">
        <v>1215</v>
      </c>
      <c r="Q1013" s="1308" t="s">
        <v>4911</v>
      </c>
    </row>
    <row r="1014" spans="1:17">
      <c r="A1014" s="1305" t="s">
        <v>3719</v>
      </c>
      <c r="B1014" s="29">
        <v>45770</v>
      </c>
      <c r="C1014" s="29">
        <v>45770</v>
      </c>
      <c r="D1014" t="s">
        <v>908</v>
      </c>
      <c r="E1014" s="1276">
        <v>45769</v>
      </c>
      <c r="G1014">
        <v>4479862</v>
      </c>
      <c r="I1014">
        <v>19395405</v>
      </c>
      <c r="J1014">
        <v>-14915543</v>
      </c>
      <c r="K1014">
        <v>0</v>
      </c>
      <c r="P1014" t="s">
        <v>1215</v>
      </c>
      <c r="Q1014" s="1308" t="s">
        <v>4911</v>
      </c>
    </row>
    <row r="1015" spans="1:17">
      <c r="A1015" s="1305" t="s">
        <v>3719</v>
      </c>
      <c r="B1015" s="29">
        <v>45777</v>
      </c>
      <c r="C1015" s="29">
        <v>45777</v>
      </c>
      <c r="D1015" t="s">
        <v>908</v>
      </c>
      <c r="E1015" s="1276">
        <v>45769</v>
      </c>
      <c r="G1015">
        <v>1991050</v>
      </c>
      <c r="I1015">
        <v>1989272</v>
      </c>
      <c r="J1015">
        <v>1778</v>
      </c>
      <c r="K1015">
        <v>0</v>
      </c>
      <c r="P1015" t="s">
        <v>1215</v>
      </c>
      <c r="Q1015" s="1308" t="s">
        <v>4911</v>
      </c>
    </row>
    <row r="1016" spans="1:17">
      <c r="A1016" s="1305" t="s">
        <v>3719</v>
      </c>
      <c r="B1016" s="29">
        <v>45784</v>
      </c>
      <c r="C1016" s="29">
        <v>45935</v>
      </c>
      <c r="D1016" t="s">
        <v>908</v>
      </c>
      <c r="E1016" s="1276">
        <v>45769</v>
      </c>
      <c r="G1016">
        <v>4977625</v>
      </c>
      <c r="I1016">
        <v>0</v>
      </c>
      <c r="J1016">
        <v>4977625</v>
      </c>
      <c r="K1016">
        <v>0</v>
      </c>
      <c r="P1016" t="s">
        <v>1215</v>
      </c>
      <c r="Q1016" s="1308" t="s">
        <v>4911</v>
      </c>
    </row>
    <row r="1017" spans="1:17">
      <c r="A1017" s="1305" t="s">
        <v>3719</v>
      </c>
      <c r="B1017" s="29">
        <v>45784</v>
      </c>
      <c r="C1017" s="29">
        <v>45935</v>
      </c>
      <c r="D1017" t="s">
        <v>908</v>
      </c>
      <c r="E1017" s="1276">
        <v>45769</v>
      </c>
      <c r="G1017">
        <v>4977625</v>
      </c>
      <c r="I1017">
        <v>0</v>
      </c>
      <c r="J1017">
        <v>4977625</v>
      </c>
      <c r="K1017">
        <v>0</v>
      </c>
      <c r="P1017" t="s">
        <v>1215</v>
      </c>
      <c r="Q1017" s="1308" t="s">
        <v>4911</v>
      </c>
    </row>
    <row r="1018" spans="1:17">
      <c r="A1018" s="1305" t="s">
        <v>3719</v>
      </c>
      <c r="B1018" s="29">
        <v>45784</v>
      </c>
      <c r="C1018" s="29">
        <v>45935</v>
      </c>
      <c r="D1018" t="s">
        <v>908</v>
      </c>
      <c r="E1018" s="1276">
        <v>45769</v>
      </c>
      <c r="G1018">
        <v>4977625</v>
      </c>
      <c r="I1018">
        <v>0</v>
      </c>
      <c r="J1018">
        <v>4977625</v>
      </c>
      <c r="K1018">
        <v>0</v>
      </c>
      <c r="P1018" t="s">
        <v>1215</v>
      </c>
      <c r="Q1018" s="1308" t="s">
        <v>4911</v>
      </c>
    </row>
    <row r="1019" spans="1:17">
      <c r="A1019" s="1305" t="s">
        <v>3719</v>
      </c>
      <c r="B1019" s="29">
        <v>45784</v>
      </c>
      <c r="C1019" s="29">
        <v>45935</v>
      </c>
      <c r="D1019" t="s">
        <v>908</v>
      </c>
      <c r="E1019" s="1276">
        <v>45769</v>
      </c>
      <c r="G1019">
        <v>4977625</v>
      </c>
      <c r="I1019">
        <v>0</v>
      </c>
      <c r="J1019">
        <v>4977625</v>
      </c>
      <c r="K1019">
        <v>0</v>
      </c>
      <c r="P1019" t="s">
        <v>1215</v>
      </c>
      <c r="Q1019" s="1308" t="s">
        <v>4911</v>
      </c>
    </row>
    <row r="1020" spans="1:17">
      <c r="A1020" s="1305" t="s">
        <v>3719</v>
      </c>
      <c r="B1020" s="29">
        <v>45784</v>
      </c>
      <c r="C1020" s="29">
        <v>45935</v>
      </c>
      <c r="D1020" t="s">
        <v>908</v>
      </c>
      <c r="E1020" s="1276">
        <v>45769</v>
      </c>
      <c r="G1020">
        <v>4977625</v>
      </c>
      <c r="I1020">
        <v>0</v>
      </c>
      <c r="J1020">
        <v>4977625</v>
      </c>
      <c r="K1020">
        <v>0</v>
      </c>
      <c r="P1020" t="s">
        <v>1215</v>
      </c>
      <c r="Q1020" s="1308" t="s">
        <v>4911</v>
      </c>
    </row>
    <row r="1021" spans="1:17">
      <c r="A1021" s="1305" t="s">
        <v>3719</v>
      </c>
      <c r="B1021" s="29">
        <v>45784</v>
      </c>
      <c r="C1021" s="29">
        <v>45935</v>
      </c>
      <c r="D1021" t="s">
        <v>908</v>
      </c>
      <c r="E1021" s="1276">
        <v>45769</v>
      </c>
      <c r="G1021">
        <v>4977625</v>
      </c>
      <c r="I1021">
        <v>0</v>
      </c>
      <c r="J1021">
        <v>4977625</v>
      </c>
      <c r="K1021">
        <v>0</v>
      </c>
      <c r="P1021" t="s">
        <v>1215</v>
      </c>
      <c r="Q1021" s="1308" t="s">
        <v>4911</v>
      </c>
    </row>
    <row r="1022" spans="1:17">
      <c r="A1022" s="1305" t="s">
        <v>3719</v>
      </c>
      <c r="B1022" s="29">
        <v>45784</v>
      </c>
      <c r="C1022" s="29">
        <v>45935</v>
      </c>
      <c r="D1022" t="s">
        <v>908</v>
      </c>
      <c r="E1022" s="1276">
        <v>45769</v>
      </c>
      <c r="G1022">
        <v>4977625</v>
      </c>
      <c r="I1022">
        <v>0</v>
      </c>
      <c r="J1022">
        <v>4977625</v>
      </c>
      <c r="K1022">
        <v>0</v>
      </c>
      <c r="P1022" t="s">
        <v>1215</v>
      </c>
      <c r="Q1022" s="1308" t="s">
        <v>4911</v>
      </c>
    </row>
    <row r="1023" spans="1:17">
      <c r="A1023" s="1305" t="s">
        <v>3719</v>
      </c>
      <c r="B1023" s="29">
        <v>45784</v>
      </c>
      <c r="C1023" s="29">
        <v>45935</v>
      </c>
      <c r="D1023" t="s">
        <v>908</v>
      </c>
      <c r="E1023" s="1276">
        <v>45769</v>
      </c>
      <c r="G1023">
        <v>4977625</v>
      </c>
      <c r="I1023">
        <v>0</v>
      </c>
      <c r="J1023">
        <v>4977625</v>
      </c>
      <c r="K1023">
        <v>0</v>
      </c>
      <c r="P1023" t="s">
        <v>1215</v>
      </c>
      <c r="Q1023" s="1308" t="s">
        <v>4911</v>
      </c>
    </row>
    <row r="1024" spans="1:17">
      <c r="A1024" s="1305" t="s">
        <v>3719</v>
      </c>
      <c r="B1024" s="29">
        <v>45784</v>
      </c>
      <c r="C1024" s="29">
        <v>45784</v>
      </c>
      <c r="D1024" t="s">
        <v>908</v>
      </c>
      <c r="E1024" s="1276">
        <v>45769</v>
      </c>
      <c r="G1024">
        <v>4977625</v>
      </c>
      <c r="I1024">
        <v>44758629</v>
      </c>
      <c r="J1024">
        <v>-39781004</v>
      </c>
      <c r="K1024">
        <v>0</v>
      </c>
      <c r="P1024" t="s">
        <v>1215</v>
      </c>
      <c r="Q1024" s="1308" t="s">
        <v>4911</v>
      </c>
    </row>
    <row r="1025" spans="1:17">
      <c r="A1025" s="1305" t="s">
        <v>3719</v>
      </c>
      <c r="B1025" s="29">
        <v>45789</v>
      </c>
      <c r="C1025" s="29">
        <v>45935</v>
      </c>
      <c r="D1025" t="s">
        <v>908</v>
      </c>
      <c r="E1025" s="1276">
        <v>45769</v>
      </c>
      <c r="G1025">
        <v>4977625</v>
      </c>
      <c r="I1025">
        <v>0</v>
      </c>
      <c r="J1025">
        <v>4977625</v>
      </c>
      <c r="K1025">
        <v>0</v>
      </c>
      <c r="P1025" t="s">
        <v>1215</v>
      </c>
      <c r="Q1025" s="1308" t="s">
        <v>4911</v>
      </c>
    </row>
    <row r="1026" spans="1:17">
      <c r="A1026" s="1305" t="s">
        <v>3719</v>
      </c>
      <c r="B1026" s="29">
        <v>45789</v>
      </c>
      <c r="C1026" s="29">
        <v>45935</v>
      </c>
      <c r="D1026" t="s">
        <v>908</v>
      </c>
      <c r="E1026" s="1276">
        <v>45769</v>
      </c>
      <c r="G1026">
        <v>4977625</v>
      </c>
      <c r="I1026">
        <v>0</v>
      </c>
      <c r="J1026">
        <v>4977625</v>
      </c>
      <c r="K1026">
        <v>0</v>
      </c>
      <c r="P1026" t="s">
        <v>1215</v>
      </c>
      <c r="Q1026" s="1308" t="s">
        <v>4911</v>
      </c>
    </row>
    <row r="1027" spans="1:17">
      <c r="A1027" s="1305" t="s">
        <v>3719</v>
      </c>
      <c r="B1027" s="29">
        <v>45789</v>
      </c>
      <c r="C1027" s="29">
        <v>45789</v>
      </c>
      <c r="D1027" t="s">
        <v>908</v>
      </c>
      <c r="E1027" s="1276">
        <v>45769</v>
      </c>
      <c r="G1027">
        <v>4977625</v>
      </c>
      <c r="I1027">
        <v>14919543</v>
      </c>
      <c r="J1027">
        <v>-9941918</v>
      </c>
      <c r="K1027">
        <v>0</v>
      </c>
      <c r="P1027" t="s">
        <v>1215</v>
      </c>
      <c r="Q1027" s="1308" t="s">
        <v>4911</v>
      </c>
    </row>
    <row r="1028" spans="1:17">
      <c r="A1028" s="1305" t="s">
        <v>3719</v>
      </c>
      <c r="B1028" s="29">
        <v>45791</v>
      </c>
      <c r="C1028" s="29">
        <v>45935</v>
      </c>
      <c r="D1028" t="s">
        <v>908</v>
      </c>
      <c r="E1028" s="1276">
        <v>45769</v>
      </c>
      <c r="G1028">
        <v>4977625</v>
      </c>
      <c r="I1028">
        <v>0</v>
      </c>
      <c r="J1028">
        <v>4977625</v>
      </c>
      <c r="K1028">
        <v>0</v>
      </c>
      <c r="P1028" t="s">
        <v>1215</v>
      </c>
      <c r="Q1028" s="1308" t="s">
        <v>4911</v>
      </c>
    </row>
    <row r="1029" spans="1:17">
      <c r="A1029" s="1305" t="s">
        <v>3719</v>
      </c>
      <c r="B1029" s="29">
        <v>45791</v>
      </c>
      <c r="C1029" s="29">
        <v>45935</v>
      </c>
      <c r="D1029" t="s">
        <v>908</v>
      </c>
      <c r="E1029" s="1276">
        <v>45769</v>
      </c>
      <c r="G1029">
        <v>4977625</v>
      </c>
      <c r="I1029">
        <v>0</v>
      </c>
      <c r="J1029">
        <v>4977625</v>
      </c>
      <c r="K1029">
        <v>0</v>
      </c>
      <c r="P1029" t="s">
        <v>1215</v>
      </c>
      <c r="Q1029" s="1308" t="s">
        <v>4911</v>
      </c>
    </row>
    <row r="1030" spans="1:17">
      <c r="A1030" s="1305" t="s">
        <v>3719</v>
      </c>
      <c r="B1030" s="29">
        <v>45791</v>
      </c>
      <c r="C1030" s="29">
        <v>45935</v>
      </c>
      <c r="D1030" t="s">
        <v>908</v>
      </c>
      <c r="E1030" s="1276">
        <v>45769</v>
      </c>
      <c r="G1030">
        <v>4977625</v>
      </c>
      <c r="I1030">
        <v>0</v>
      </c>
      <c r="J1030">
        <v>4977625</v>
      </c>
      <c r="K1030">
        <v>0</v>
      </c>
      <c r="P1030" t="s">
        <v>1215</v>
      </c>
      <c r="Q1030" s="1308" t="s">
        <v>4911</v>
      </c>
    </row>
    <row r="1031" spans="1:17">
      <c r="A1031" s="1305" t="s">
        <v>3719</v>
      </c>
      <c r="B1031" s="29">
        <v>45791</v>
      </c>
      <c r="C1031" s="29">
        <v>45935</v>
      </c>
      <c r="D1031" t="s">
        <v>908</v>
      </c>
      <c r="E1031" s="1276">
        <v>45769</v>
      </c>
      <c r="G1031">
        <v>4977625</v>
      </c>
      <c r="I1031">
        <v>0</v>
      </c>
      <c r="J1031">
        <v>4977625</v>
      </c>
      <c r="K1031">
        <v>0</v>
      </c>
      <c r="P1031" t="s">
        <v>1215</v>
      </c>
      <c r="Q1031" s="1308" t="s">
        <v>4911</v>
      </c>
    </row>
    <row r="1032" spans="1:17">
      <c r="A1032" s="1305" t="s">
        <v>3719</v>
      </c>
      <c r="B1032" s="29">
        <v>45791</v>
      </c>
      <c r="C1032" s="29">
        <v>45935</v>
      </c>
      <c r="D1032" t="s">
        <v>908</v>
      </c>
      <c r="E1032" s="1276">
        <v>45769</v>
      </c>
      <c r="G1032">
        <v>4977625</v>
      </c>
      <c r="I1032">
        <v>0</v>
      </c>
      <c r="J1032">
        <v>4977625</v>
      </c>
      <c r="K1032">
        <v>0</v>
      </c>
      <c r="P1032" t="s">
        <v>1215</v>
      </c>
      <c r="Q1032" s="1308" t="s">
        <v>4911</v>
      </c>
    </row>
    <row r="1033" spans="1:17">
      <c r="A1033" s="1305" t="s">
        <v>3719</v>
      </c>
      <c r="B1033" s="29">
        <v>45791</v>
      </c>
      <c r="C1033" s="29">
        <v>45935</v>
      </c>
      <c r="D1033" t="s">
        <v>908</v>
      </c>
      <c r="E1033" s="1276">
        <v>45769</v>
      </c>
      <c r="G1033">
        <v>4977625</v>
      </c>
      <c r="I1033">
        <v>0</v>
      </c>
      <c r="J1033">
        <v>4977625</v>
      </c>
      <c r="K1033">
        <v>0</v>
      </c>
      <c r="P1033" t="s">
        <v>1215</v>
      </c>
      <c r="Q1033" s="1308" t="s">
        <v>4911</v>
      </c>
    </row>
    <row r="1034" spans="1:17">
      <c r="A1034" s="1305" t="s">
        <v>3719</v>
      </c>
      <c r="B1034" s="29">
        <v>45791</v>
      </c>
      <c r="C1034" s="29">
        <v>45935</v>
      </c>
      <c r="D1034" t="s">
        <v>908</v>
      </c>
      <c r="E1034" s="1276">
        <v>45769</v>
      </c>
      <c r="G1034">
        <v>4977625</v>
      </c>
      <c r="I1034">
        <v>0</v>
      </c>
      <c r="J1034">
        <v>4977625</v>
      </c>
      <c r="K1034">
        <v>0</v>
      </c>
      <c r="P1034" t="s">
        <v>1215</v>
      </c>
      <c r="Q1034" s="1308" t="s">
        <v>4911</v>
      </c>
    </row>
    <row r="1035" spans="1:17">
      <c r="A1035" s="1305" t="s">
        <v>3719</v>
      </c>
      <c r="B1035" s="29">
        <v>45791</v>
      </c>
      <c r="C1035" s="29">
        <v>45791</v>
      </c>
      <c r="D1035" t="s">
        <v>908</v>
      </c>
      <c r="E1035" s="1276">
        <v>45769</v>
      </c>
      <c r="G1035">
        <v>4977625</v>
      </c>
      <c r="I1035">
        <v>39785448</v>
      </c>
      <c r="J1035">
        <v>-34807823</v>
      </c>
      <c r="K1035">
        <v>0</v>
      </c>
      <c r="P1035" t="s">
        <v>1215</v>
      </c>
      <c r="Q1035" s="1308" t="s">
        <v>4911</v>
      </c>
    </row>
    <row r="1036" spans="1:17">
      <c r="A1036" s="1305" t="s">
        <v>3719</v>
      </c>
      <c r="B1036" s="29">
        <v>45792</v>
      </c>
      <c r="C1036" s="29">
        <v>45935</v>
      </c>
      <c r="D1036" t="s">
        <v>908</v>
      </c>
      <c r="E1036" s="1276">
        <v>45769</v>
      </c>
      <c r="G1036">
        <v>4977625</v>
      </c>
      <c r="I1036">
        <v>0</v>
      </c>
      <c r="J1036">
        <v>4977625</v>
      </c>
      <c r="K1036">
        <v>0</v>
      </c>
      <c r="P1036" t="s">
        <v>1215</v>
      </c>
      <c r="Q1036" s="1308" t="s">
        <v>4911</v>
      </c>
    </row>
    <row r="1037" spans="1:17">
      <c r="A1037" s="1305" t="s">
        <v>3719</v>
      </c>
      <c r="B1037" s="29">
        <v>45792</v>
      </c>
      <c r="C1037" s="29">
        <v>45935</v>
      </c>
      <c r="D1037" t="s">
        <v>908</v>
      </c>
      <c r="E1037" s="1276">
        <v>45769</v>
      </c>
      <c r="G1037">
        <v>4977625</v>
      </c>
      <c r="I1037">
        <v>0</v>
      </c>
      <c r="J1037">
        <v>4977625</v>
      </c>
      <c r="K1037">
        <v>0</v>
      </c>
      <c r="P1037" t="s">
        <v>1215</v>
      </c>
      <c r="Q1037" s="1308" t="s">
        <v>4911</v>
      </c>
    </row>
    <row r="1038" spans="1:17">
      <c r="A1038" s="1305" t="s">
        <v>3719</v>
      </c>
      <c r="B1038" s="29">
        <v>45792</v>
      </c>
      <c r="C1038" s="29">
        <v>45935</v>
      </c>
      <c r="D1038" t="s">
        <v>908</v>
      </c>
      <c r="E1038" s="1276">
        <v>45769</v>
      </c>
      <c r="G1038">
        <v>4977625</v>
      </c>
      <c r="I1038">
        <v>0</v>
      </c>
      <c r="J1038">
        <v>4977625</v>
      </c>
      <c r="K1038">
        <v>0</v>
      </c>
      <c r="P1038" t="s">
        <v>1215</v>
      </c>
      <c r="Q1038" s="1308" t="s">
        <v>4911</v>
      </c>
    </row>
    <row r="1039" spans="1:17">
      <c r="A1039" s="1305" t="s">
        <v>3719</v>
      </c>
      <c r="B1039" s="29">
        <v>45792</v>
      </c>
      <c r="C1039" s="29">
        <v>45935</v>
      </c>
      <c r="D1039" t="s">
        <v>908</v>
      </c>
      <c r="E1039" s="1276">
        <v>45769</v>
      </c>
      <c r="G1039">
        <v>4977625</v>
      </c>
      <c r="I1039">
        <v>0</v>
      </c>
      <c r="J1039">
        <v>4977625</v>
      </c>
      <c r="K1039">
        <v>0</v>
      </c>
      <c r="P1039" t="s">
        <v>1215</v>
      </c>
      <c r="Q1039" s="1308" t="s">
        <v>4911</v>
      </c>
    </row>
    <row r="1040" spans="1:17">
      <c r="A1040" s="1305" t="s">
        <v>3719</v>
      </c>
      <c r="B1040" s="29">
        <v>45792</v>
      </c>
      <c r="C1040" s="29">
        <v>45935</v>
      </c>
      <c r="D1040" t="s">
        <v>908</v>
      </c>
      <c r="E1040" s="1276">
        <v>45769</v>
      </c>
      <c r="G1040">
        <v>4977625</v>
      </c>
      <c r="I1040">
        <v>0</v>
      </c>
      <c r="J1040">
        <v>4977625</v>
      </c>
      <c r="K1040">
        <v>0</v>
      </c>
      <c r="P1040" t="s">
        <v>1215</v>
      </c>
      <c r="Q1040" s="1308" t="s">
        <v>4911</v>
      </c>
    </row>
    <row r="1041" spans="1:17">
      <c r="A1041" s="1305" t="s">
        <v>3719</v>
      </c>
      <c r="B1041" s="29">
        <v>45792</v>
      </c>
      <c r="C1041" s="29">
        <v>45935</v>
      </c>
      <c r="D1041" t="s">
        <v>908</v>
      </c>
      <c r="E1041" s="1276">
        <v>45769</v>
      </c>
      <c r="G1041">
        <v>4977625</v>
      </c>
      <c r="I1041">
        <v>0</v>
      </c>
      <c r="J1041">
        <v>4977625</v>
      </c>
      <c r="K1041">
        <v>0</v>
      </c>
      <c r="P1041" t="s">
        <v>1215</v>
      </c>
      <c r="Q1041" s="1308" t="s">
        <v>4911</v>
      </c>
    </row>
    <row r="1042" spans="1:17">
      <c r="A1042" s="1305" t="s">
        <v>3719</v>
      </c>
      <c r="B1042" s="29">
        <v>45792</v>
      </c>
      <c r="C1042" s="29">
        <v>45935</v>
      </c>
      <c r="D1042" t="s">
        <v>908</v>
      </c>
      <c r="E1042" s="1276">
        <v>45769</v>
      </c>
      <c r="G1042">
        <v>4977625</v>
      </c>
      <c r="I1042">
        <v>0</v>
      </c>
      <c r="J1042">
        <v>4977625</v>
      </c>
      <c r="K1042">
        <v>0</v>
      </c>
      <c r="P1042" t="s">
        <v>1215</v>
      </c>
      <c r="Q1042" s="1308" t="s">
        <v>4911</v>
      </c>
    </row>
    <row r="1043" spans="1:17">
      <c r="A1043" s="1305" t="s">
        <v>3719</v>
      </c>
      <c r="B1043" s="29">
        <v>45792</v>
      </c>
      <c r="C1043" s="29">
        <v>45935</v>
      </c>
      <c r="D1043" t="s">
        <v>908</v>
      </c>
      <c r="E1043" s="1276">
        <v>45769</v>
      </c>
      <c r="G1043">
        <v>4977625</v>
      </c>
      <c r="I1043">
        <v>0</v>
      </c>
      <c r="J1043">
        <v>4977625</v>
      </c>
      <c r="K1043">
        <v>0</v>
      </c>
      <c r="P1043" t="s">
        <v>1215</v>
      </c>
      <c r="Q1043" s="1308" t="s">
        <v>4911</v>
      </c>
    </row>
    <row r="1044" spans="1:17">
      <c r="A1044" s="1305" t="s">
        <v>3719</v>
      </c>
      <c r="B1044" s="29">
        <v>45792</v>
      </c>
      <c r="C1044" s="29">
        <v>45792</v>
      </c>
      <c r="D1044" t="s">
        <v>908</v>
      </c>
      <c r="E1044" s="1276">
        <v>45769</v>
      </c>
      <c r="G1044">
        <v>4977625</v>
      </c>
      <c r="I1044">
        <v>44758629</v>
      </c>
      <c r="J1044">
        <v>-39781004</v>
      </c>
      <c r="K1044">
        <v>0</v>
      </c>
      <c r="P1044" t="s">
        <v>1215</v>
      </c>
      <c r="Q1044" s="1308" t="s">
        <v>4911</v>
      </c>
    </row>
    <row r="1045" spans="1:17">
      <c r="A1045" s="1305" t="s">
        <v>3719</v>
      </c>
      <c r="B1045" s="29">
        <v>45809</v>
      </c>
      <c r="C1045" s="29">
        <v>45935</v>
      </c>
      <c r="D1045" t="s">
        <v>908</v>
      </c>
      <c r="E1045" s="1276">
        <v>45769</v>
      </c>
      <c r="G1045">
        <v>4977625</v>
      </c>
      <c r="I1045">
        <v>0</v>
      </c>
      <c r="J1045">
        <v>4977625</v>
      </c>
      <c r="K1045">
        <v>0</v>
      </c>
      <c r="P1045" t="s">
        <v>1215</v>
      </c>
      <c r="Q1045" s="1308" t="s">
        <v>4911</v>
      </c>
    </row>
    <row r="1046" spans="1:17">
      <c r="A1046" s="1305" t="s">
        <v>3719</v>
      </c>
      <c r="B1046" s="29">
        <v>45809</v>
      </c>
      <c r="C1046" s="29">
        <v>45935</v>
      </c>
      <c r="D1046" t="s">
        <v>908</v>
      </c>
      <c r="E1046" s="1276">
        <v>45769</v>
      </c>
      <c r="G1046">
        <v>4977625</v>
      </c>
      <c r="I1046">
        <v>0</v>
      </c>
      <c r="J1046">
        <v>4977625</v>
      </c>
      <c r="K1046">
        <v>0</v>
      </c>
      <c r="P1046" t="s">
        <v>1215</v>
      </c>
      <c r="Q1046" s="1308" t="s">
        <v>4911</v>
      </c>
    </row>
    <row r="1047" spans="1:17">
      <c r="A1047" s="1305" t="s">
        <v>3719</v>
      </c>
      <c r="B1047" s="29">
        <v>45809</v>
      </c>
      <c r="C1047" s="29">
        <v>45935</v>
      </c>
      <c r="D1047" t="s">
        <v>908</v>
      </c>
      <c r="E1047" s="1276">
        <v>45769</v>
      </c>
      <c r="G1047">
        <v>4977625</v>
      </c>
      <c r="I1047">
        <v>0</v>
      </c>
      <c r="J1047">
        <v>4977625</v>
      </c>
      <c r="K1047">
        <v>0</v>
      </c>
      <c r="P1047" t="s">
        <v>1215</v>
      </c>
      <c r="Q1047" s="1308" t="s">
        <v>4911</v>
      </c>
    </row>
    <row r="1048" spans="1:17">
      <c r="A1048" s="1305" t="s">
        <v>3719</v>
      </c>
      <c r="B1048" s="29">
        <v>45809</v>
      </c>
      <c r="C1048" s="29">
        <v>45935</v>
      </c>
      <c r="D1048" t="s">
        <v>908</v>
      </c>
      <c r="E1048" s="1276">
        <v>45769</v>
      </c>
      <c r="G1048">
        <v>4977625</v>
      </c>
      <c r="I1048">
        <v>0</v>
      </c>
      <c r="J1048">
        <v>4977625</v>
      </c>
      <c r="K1048">
        <v>0</v>
      </c>
      <c r="P1048" t="s">
        <v>1215</v>
      </c>
      <c r="Q1048" s="1308" t="s">
        <v>4911</v>
      </c>
    </row>
    <row r="1049" spans="1:17">
      <c r="A1049" s="1305" t="s">
        <v>3719</v>
      </c>
      <c r="B1049" s="29">
        <v>45809</v>
      </c>
      <c r="C1049" s="29">
        <v>45935</v>
      </c>
      <c r="D1049" t="s">
        <v>908</v>
      </c>
      <c r="E1049" s="1276">
        <v>45769</v>
      </c>
      <c r="G1049">
        <v>4977625</v>
      </c>
      <c r="I1049">
        <v>0</v>
      </c>
      <c r="J1049">
        <v>4977625</v>
      </c>
      <c r="K1049">
        <v>0</v>
      </c>
      <c r="P1049" t="s">
        <v>1215</v>
      </c>
      <c r="Q1049" s="1308" t="s">
        <v>4911</v>
      </c>
    </row>
    <row r="1050" spans="1:17">
      <c r="A1050" s="1305" t="s">
        <v>3719</v>
      </c>
      <c r="B1050" s="29">
        <v>45809</v>
      </c>
      <c r="C1050" s="29">
        <v>45935</v>
      </c>
      <c r="D1050" t="s">
        <v>908</v>
      </c>
      <c r="E1050" s="1276">
        <v>45769</v>
      </c>
      <c r="G1050">
        <v>4977625</v>
      </c>
      <c r="I1050">
        <v>0</v>
      </c>
      <c r="J1050">
        <v>4977625</v>
      </c>
      <c r="K1050">
        <v>0</v>
      </c>
      <c r="P1050" t="s">
        <v>1215</v>
      </c>
      <c r="Q1050" s="1308" t="s">
        <v>4911</v>
      </c>
    </row>
    <row r="1051" spans="1:17">
      <c r="A1051" s="1305" t="s">
        <v>3719</v>
      </c>
      <c r="B1051" s="29">
        <v>45809</v>
      </c>
      <c r="C1051" s="29">
        <v>45935</v>
      </c>
      <c r="D1051" t="s">
        <v>908</v>
      </c>
      <c r="E1051" s="1276">
        <v>45769</v>
      </c>
      <c r="G1051">
        <v>4977625</v>
      </c>
      <c r="I1051">
        <v>0</v>
      </c>
      <c r="J1051">
        <v>4977625</v>
      </c>
      <c r="K1051">
        <v>0</v>
      </c>
      <c r="P1051" t="s">
        <v>1215</v>
      </c>
      <c r="Q1051" s="1308" t="s">
        <v>4911</v>
      </c>
    </row>
    <row r="1052" spans="1:17">
      <c r="A1052" s="1305" t="s">
        <v>3719</v>
      </c>
      <c r="B1052" s="29">
        <v>45809</v>
      </c>
      <c r="C1052" s="29">
        <v>45935</v>
      </c>
      <c r="D1052" t="s">
        <v>908</v>
      </c>
      <c r="E1052" s="1276">
        <v>45769</v>
      </c>
      <c r="G1052">
        <v>4977625</v>
      </c>
      <c r="I1052">
        <v>0</v>
      </c>
      <c r="J1052">
        <v>4977625</v>
      </c>
      <c r="K1052">
        <v>0</v>
      </c>
      <c r="P1052" t="s">
        <v>1215</v>
      </c>
      <c r="Q1052" s="1308" t="s">
        <v>4911</v>
      </c>
    </row>
    <row r="1053" spans="1:17">
      <c r="A1053" s="1305" t="s">
        <v>3719</v>
      </c>
      <c r="B1053" s="29">
        <v>45809</v>
      </c>
      <c r="C1053" s="29">
        <v>45809</v>
      </c>
      <c r="D1053" t="s">
        <v>908</v>
      </c>
      <c r="E1053" s="1276">
        <v>45769</v>
      </c>
      <c r="G1053">
        <v>4977625</v>
      </c>
      <c r="I1053">
        <v>44758629</v>
      </c>
      <c r="J1053">
        <v>-39781004</v>
      </c>
      <c r="K1053">
        <v>0</v>
      </c>
      <c r="P1053" t="s">
        <v>1215</v>
      </c>
      <c r="Q1053" s="1308" t="s">
        <v>4911</v>
      </c>
    </row>
    <row r="1054" spans="1:17">
      <c r="A1054" s="1305" t="s">
        <v>3719</v>
      </c>
      <c r="B1054" s="29">
        <v>45811</v>
      </c>
      <c r="C1054" s="29">
        <v>45935</v>
      </c>
      <c r="D1054" t="s">
        <v>908</v>
      </c>
      <c r="E1054" s="1276">
        <v>45769</v>
      </c>
      <c r="G1054">
        <v>1460103</v>
      </c>
      <c r="I1054">
        <v>0</v>
      </c>
      <c r="J1054">
        <v>1460103</v>
      </c>
      <c r="K1054">
        <v>0</v>
      </c>
      <c r="P1054" t="s">
        <v>1215</v>
      </c>
      <c r="Q1054" s="1308" t="s">
        <v>4911</v>
      </c>
    </row>
    <row r="1055" spans="1:17">
      <c r="A1055" s="1305" t="s">
        <v>3719</v>
      </c>
      <c r="B1055" s="29">
        <v>45811</v>
      </c>
      <c r="C1055" s="29">
        <v>45935</v>
      </c>
      <c r="D1055" t="s">
        <v>908</v>
      </c>
      <c r="E1055" s="1276">
        <v>45769</v>
      </c>
      <c r="G1055">
        <v>4977625</v>
      </c>
      <c r="I1055">
        <v>0</v>
      </c>
      <c r="J1055">
        <v>4977625</v>
      </c>
      <c r="K1055">
        <v>0</v>
      </c>
      <c r="P1055" t="s">
        <v>1215</v>
      </c>
      <c r="Q1055" s="1308" t="s">
        <v>4911</v>
      </c>
    </row>
    <row r="1056" spans="1:17">
      <c r="A1056" s="1305" t="s">
        <v>3719</v>
      </c>
      <c r="B1056" s="29">
        <v>45811</v>
      </c>
      <c r="C1056" s="29">
        <v>45935</v>
      </c>
      <c r="D1056" t="s">
        <v>908</v>
      </c>
      <c r="E1056" s="1276">
        <v>45769</v>
      </c>
      <c r="G1056">
        <v>4977625</v>
      </c>
      <c r="I1056">
        <v>0</v>
      </c>
      <c r="J1056">
        <v>4977625</v>
      </c>
      <c r="K1056">
        <v>0</v>
      </c>
      <c r="P1056" t="s">
        <v>1215</v>
      </c>
      <c r="Q1056" s="1308" t="s">
        <v>4911</v>
      </c>
    </row>
    <row r="1057" spans="1:17">
      <c r="A1057" s="1305" t="s">
        <v>3719</v>
      </c>
      <c r="B1057" s="29">
        <v>45811</v>
      </c>
      <c r="C1057" s="29">
        <v>45935</v>
      </c>
      <c r="D1057" t="s">
        <v>908</v>
      </c>
      <c r="E1057" s="1276">
        <v>45769</v>
      </c>
      <c r="G1057">
        <v>4977625</v>
      </c>
      <c r="I1057">
        <v>0</v>
      </c>
      <c r="J1057">
        <v>4977625</v>
      </c>
      <c r="K1057">
        <v>0</v>
      </c>
      <c r="P1057" t="s">
        <v>1215</v>
      </c>
      <c r="Q1057" s="1308" t="s">
        <v>4911</v>
      </c>
    </row>
    <row r="1058" spans="1:17">
      <c r="A1058" s="1305" t="s">
        <v>3719</v>
      </c>
      <c r="B1058" s="29">
        <v>45811</v>
      </c>
      <c r="C1058" s="29">
        <v>45935</v>
      </c>
      <c r="D1058" t="s">
        <v>908</v>
      </c>
      <c r="E1058" s="1276">
        <v>45769</v>
      </c>
      <c r="G1058">
        <v>4977625</v>
      </c>
      <c r="I1058">
        <v>0</v>
      </c>
      <c r="J1058">
        <v>4977625</v>
      </c>
      <c r="K1058">
        <v>0</v>
      </c>
      <c r="P1058" t="s">
        <v>1215</v>
      </c>
      <c r="Q1058" s="1308" t="s">
        <v>4911</v>
      </c>
    </row>
    <row r="1059" spans="1:17">
      <c r="A1059" s="1305" t="s">
        <v>3719</v>
      </c>
      <c r="B1059" s="29">
        <v>45811</v>
      </c>
      <c r="C1059" s="29">
        <v>45935</v>
      </c>
      <c r="D1059" t="s">
        <v>908</v>
      </c>
      <c r="E1059" s="1276">
        <v>45769</v>
      </c>
      <c r="G1059">
        <v>4977625</v>
      </c>
      <c r="I1059">
        <v>0</v>
      </c>
      <c r="J1059">
        <v>4977625</v>
      </c>
      <c r="K1059">
        <v>0</v>
      </c>
      <c r="P1059" t="s">
        <v>1215</v>
      </c>
      <c r="Q1059" s="1308" t="s">
        <v>4911</v>
      </c>
    </row>
    <row r="1060" spans="1:17">
      <c r="A1060" s="1305" t="s">
        <v>3719</v>
      </c>
      <c r="B1060" s="29">
        <v>45811</v>
      </c>
      <c r="C1060" s="29">
        <v>45811</v>
      </c>
      <c r="D1060" t="s">
        <v>908</v>
      </c>
      <c r="E1060" s="1276">
        <v>45769</v>
      </c>
      <c r="G1060">
        <v>4977625</v>
      </c>
      <c r="I1060">
        <v>31297885</v>
      </c>
      <c r="J1060">
        <v>-26320260</v>
      </c>
      <c r="K1060">
        <v>0</v>
      </c>
      <c r="P1060" t="s">
        <v>1215</v>
      </c>
      <c r="Q1060" s="1308" t="s">
        <v>4911</v>
      </c>
    </row>
    <row r="1061" spans="1:17">
      <c r="A1061" s="1305" t="s">
        <v>3719</v>
      </c>
      <c r="B1061" s="29">
        <v>45811</v>
      </c>
      <c r="C1061" s="29">
        <v>45935</v>
      </c>
      <c r="D1061" t="s">
        <v>908</v>
      </c>
      <c r="E1061" s="1276">
        <v>45769</v>
      </c>
      <c r="G1061">
        <v>4977625</v>
      </c>
      <c r="I1061">
        <v>0</v>
      </c>
      <c r="J1061">
        <v>4977625</v>
      </c>
      <c r="K1061">
        <v>0</v>
      </c>
      <c r="P1061" t="s">
        <v>1215</v>
      </c>
      <c r="Q1061" s="1308" t="s">
        <v>4911</v>
      </c>
    </row>
    <row r="1062" spans="1:17">
      <c r="A1062" s="1305" t="s">
        <v>3719</v>
      </c>
      <c r="B1062" s="29">
        <v>45811</v>
      </c>
      <c r="C1062" s="29">
        <v>45935</v>
      </c>
      <c r="D1062" t="s">
        <v>908</v>
      </c>
      <c r="E1062" s="1276">
        <v>45769</v>
      </c>
      <c r="G1062">
        <v>4977625</v>
      </c>
      <c r="I1062">
        <v>0</v>
      </c>
      <c r="J1062">
        <v>4977625</v>
      </c>
      <c r="K1062">
        <v>0</v>
      </c>
      <c r="P1062" t="s">
        <v>1215</v>
      </c>
      <c r="Q1062" s="1308" t="s">
        <v>4911</v>
      </c>
    </row>
    <row r="1063" spans="1:17">
      <c r="A1063" s="1305" t="s">
        <v>3719</v>
      </c>
      <c r="B1063" s="29">
        <v>45811</v>
      </c>
      <c r="C1063" s="29">
        <v>45935</v>
      </c>
      <c r="D1063" t="s">
        <v>908</v>
      </c>
      <c r="E1063" s="1276">
        <v>45769</v>
      </c>
      <c r="G1063">
        <v>4977625</v>
      </c>
      <c r="I1063">
        <v>0</v>
      </c>
      <c r="J1063">
        <v>4977625</v>
      </c>
      <c r="K1063">
        <v>0</v>
      </c>
      <c r="P1063" t="s">
        <v>1215</v>
      </c>
      <c r="Q1063" s="1308" t="s">
        <v>4911</v>
      </c>
    </row>
    <row r="1064" spans="1:17">
      <c r="A1064" s="1305" t="s">
        <v>3719</v>
      </c>
      <c r="B1064" s="29">
        <v>45811</v>
      </c>
      <c r="C1064" s="29">
        <v>45935</v>
      </c>
      <c r="D1064" t="s">
        <v>908</v>
      </c>
      <c r="E1064" s="1276">
        <v>45769</v>
      </c>
      <c r="G1064">
        <v>4977625</v>
      </c>
      <c r="I1064">
        <v>0</v>
      </c>
      <c r="J1064">
        <v>4977625</v>
      </c>
      <c r="K1064">
        <v>0</v>
      </c>
      <c r="P1064" t="s">
        <v>1215</v>
      </c>
      <c r="Q1064" s="1308" t="s">
        <v>4911</v>
      </c>
    </row>
    <row r="1065" spans="1:17">
      <c r="A1065" s="1305" t="s">
        <v>3719</v>
      </c>
      <c r="B1065" s="29">
        <v>45811</v>
      </c>
      <c r="C1065" s="29">
        <v>45935</v>
      </c>
      <c r="D1065" t="s">
        <v>908</v>
      </c>
      <c r="E1065" s="1276">
        <v>45769</v>
      </c>
      <c r="G1065">
        <v>4977625</v>
      </c>
      <c r="I1065">
        <v>0</v>
      </c>
      <c r="J1065">
        <v>4977625</v>
      </c>
      <c r="K1065">
        <v>0</v>
      </c>
      <c r="P1065" t="s">
        <v>1215</v>
      </c>
      <c r="Q1065" s="1308" t="s">
        <v>4911</v>
      </c>
    </row>
    <row r="1066" spans="1:17">
      <c r="A1066" s="1305" t="s">
        <v>3719</v>
      </c>
      <c r="B1066" s="29">
        <v>45811</v>
      </c>
      <c r="C1066" s="29">
        <v>45935</v>
      </c>
      <c r="D1066" t="s">
        <v>908</v>
      </c>
      <c r="E1066" s="1276">
        <v>45769</v>
      </c>
      <c r="G1066">
        <v>4977625</v>
      </c>
      <c r="I1066">
        <v>0</v>
      </c>
      <c r="J1066">
        <v>4977625</v>
      </c>
      <c r="K1066">
        <v>0</v>
      </c>
      <c r="P1066" t="s">
        <v>1215</v>
      </c>
      <c r="Q1066" s="1308" t="s">
        <v>4911</v>
      </c>
    </row>
    <row r="1067" spans="1:17">
      <c r="A1067" s="1305" t="s">
        <v>3719</v>
      </c>
      <c r="B1067" s="29">
        <v>45811</v>
      </c>
      <c r="C1067" s="29">
        <v>45935</v>
      </c>
      <c r="D1067" t="s">
        <v>908</v>
      </c>
      <c r="E1067" s="1276">
        <v>45769</v>
      </c>
      <c r="G1067">
        <v>4977625</v>
      </c>
      <c r="I1067">
        <v>0</v>
      </c>
      <c r="J1067">
        <v>4977625</v>
      </c>
      <c r="K1067">
        <v>0</v>
      </c>
      <c r="P1067" t="s">
        <v>1215</v>
      </c>
      <c r="Q1067" s="1308" t="s">
        <v>4911</v>
      </c>
    </row>
    <row r="1068" spans="1:17">
      <c r="A1068" s="1305" t="s">
        <v>3719</v>
      </c>
      <c r="B1068" s="29">
        <v>45813</v>
      </c>
      <c r="C1068" s="29">
        <v>45813</v>
      </c>
      <c r="D1068" t="s">
        <v>908</v>
      </c>
      <c r="E1068" s="1276">
        <v>45769</v>
      </c>
      <c r="G1068">
        <v>4977625</v>
      </c>
      <c r="I1068">
        <v>39785448</v>
      </c>
      <c r="J1068">
        <v>-34807823</v>
      </c>
      <c r="K1068">
        <v>0</v>
      </c>
      <c r="P1068" t="s">
        <v>1215</v>
      </c>
      <c r="Q1068" s="1308" t="s">
        <v>4911</v>
      </c>
    </row>
    <row r="1069" spans="1:17">
      <c r="A1069" s="1305" t="s">
        <v>3719</v>
      </c>
      <c r="B1069" s="29">
        <v>45813</v>
      </c>
      <c r="C1069" s="29">
        <v>45935</v>
      </c>
      <c r="D1069" t="s">
        <v>908</v>
      </c>
      <c r="E1069" s="1276">
        <v>45769</v>
      </c>
      <c r="G1069">
        <v>4977625</v>
      </c>
      <c r="I1069">
        <v>0</v>
      </c>
      <c r="J1069">
        <v>4977625</v>
      </c>
      <c r="K1069">
        <v>0</v>
      </c>
      <c r="P1069" t="s">
        <v>1215</v>
      </c>
      <c r="Q1069" s="1308" t="s">
        <v>4911</v>
      </c>
    </row>
    <row r="1070" spans="1:17">
      <c r="A1070" s="1305" t="s">
        <v>3719</v>
      </c>
      <c r="B1070" s="29">
        <v>45813</v>
      </c>
      <c r="C1070" s="29">
        <v>45813</v>
      </c>
      <c r="D1070" t="s">
        <v>908</v>
      </c>
      <c r="E1070" s="1276">
        <v>45769</v>
      </c>
      <c r="G1070">
        <v>4977625</v>
      </c>
      <c r="I1070">
        <v>9946362</v>
      </c>
      <c r="J1070">
        <v>-4968737</v>
      </c>
      <c r="K1070">
        <v>0</v>
      </c>
      <c r="P1070" t="s">
        <v>1215</v>
      </c>
      <c r="Q1070" s="1308" t="s">
        <v>4911</v>
      </c>
    </row>
    <row r="1071" spans="1:17">
      <c r="A1071" s="1305" t="s">
        <v>3719</v>
      </c>
      <c r="B1071" s="29">
        <v>45813</v>
      </c>
      <c r="C1071" s="29">
        <v>45935</v>
      </c>
      <c r="D1071" t="s">
        <v>908</v>
      </c>
      <c r="E1071" s="1276">
        <v>45769</v>
      </c>
      <c r="G1071">
        <v>4977625</v>
      </c>
      <c r="I1071">
        <v>0</v>
      </c>
      <c r="J1071">
        <v>4977625</v>
      </c>
      <c r="K1071">
        <v>0</v>
      </c>
      <c r="P1071" t="s">
        <v>1215</v>
      </c>
      <c r="Q1071" s="1308" t="s">
        <v>4911</v>
      </c>
    </row>
    <row r="1072" spans="1:17">
      <c r="A1072" s="1305" t="s">
        <v>3719</v>
      </c>
      <c r="B1072" s="29">
        <v>45813</v>
      </c>
      <c r="C1072" s="29">
        <v>45935</v>
      </c>
      <c r="D1072" t="s">
        <v>908</v>
      </c>
      <c r="E1072" s="1276">
        <v>45769</v>
      </c>
      <c r="G1072">
        <v>4977625</v>
      </c>
      <c r="I1072">
        <v>0</v>
      </c>
      <c r="J1072">
        <v>4977625</v>
      </c>
      <c r="K1072">
        <v>0</v>
      </c>
      <c r="P1072" t="s">
        <v>1215</v>
      </c>
      <c r="Q1072" s="1308" t="s">
        <v>4911</v>
      </c>
    </row>
    <row r="1073" spans="1:17">
      <c r="A1073" s="1305" t="s">
        <v>3719</v>
      </c>
      <c r="B1073" s="29">
        <v>45813</v>
      </c>
      <c r="C1073" s="29">
        <v>45935</v>
      </c>
      <c r="D1073" t="s">
        <v>908</v>
      </c>
      <c r="E1073" s="1276">
        <v>45769</v>
      </c>
      <c r="G1073">
        <v>4977625</v>
      </c>
      <c r="I1073">
        <v>0</v>
      </c>
      <c r="J1073">
        <v>4977625</v>
      </c>
      <c r="K1073">
        <v>0</v>
      </c>
      <c r="P1073" t="s">
        <v>1215</v>
      </c>
      <c r="Q1073" s="1308" t="s">
        <v>4911</v>
      </c>
    </row>
    <row r="1074" spans="1:17">
      <c r="A1074" s="1305" t="s">
        <v>3719</v>
      </c>
      <c r="B1074" s="29">
        <v>45813</v>
      </c>
      <c r="C1074" s="29">
        <v>45813</v>
      </c>
      <c r="D1074" t="s">
        <v>908</v>
      </c>
      <c r="E1074" s="1276">
        <v>45769</v>
      </c>
      <c r="G1074">
        <v>4977625</v>
      </c>
      <c r="I1074">
        <v>19892724</v>
      </c>
      <c r="J1074">
        <v>-14915099</v>
      </c>
      <c r="K1074">
        <v>0</v>
      </c>
      <c r="P1074" t="s">
        <v>1215</v>
      </c>
      <c r="Q1074" s="1308" t="s">
        <v>4911</v>
      </c>
    </row>
    <row r="1075" spans="1:17">
      <c r="A1075" s="1305" t="s">
        <v>3719</v>
      </c>
      <c r="B1075" s="29">
        <v>45813</v>
      </c>
      <c r="C1075" s="29">
        <v>45813</v>
      </c>
      <c r="D1075" t="s">
        <v>908</v>
      </c>
      <c r="E1075" s="1276">
        <v>45769</v>
      </c>
      <c r="G1075">
        <v>4977625</v>
      </c>
      <c r="I1075">
        <v>107276</v>
      </c>
      <c r="J1075">
        <v>4870349</v>
      </c>
      <c r="K1075">
        <v>0</v>
      </c>
      <c r="P1075" t="s">
        <v>1215</v>
      </c>
      <c r="Q1075" s="1308" t="s">
        <v>4911</v>
      </c>
    </row>
    <row r="1076" spans="1:17">
      <c r="A1076" s="1305" t="s">
        <v>3719</v>
      </c>
      <c r="B1076" s="29">
        <v>45813</v>
      </c>
      <c r="C1076" s="29">
        <v>45935</v>
      </c>
      <c r="D1076" t="s">
        <v>908</v>
      </c>
      <c r="E1076" s="1276">
        <v>45769</v>
      </c>
      <c r="G1076">
        <v>3517522</v>
      </c>
      <c r="I1076">
        <v>0</v>
      </c>
      <c r="J1076">
        <v>3517522</v>
      </c>
      <c r="K1076">
        <v>0</v>
      </c>
      <c r="P1076" t="s">
        <v>1215</v>
      </c>
      <c r="Q1076" s="1308" t="s">
        <v>4911</v>
      </c>
    </row>
    <row r="1077" spans="1:17">
      <c r="A1077" s="1305" t="s">
        <v>3719</v>
      </c>
      <c r="B1077" s="29">
        <v>45816</v>
      </c>
      <c r="C1077" s="29">
        <v>45935</v>
      </c>
      <c r="D1077" t="s">
        <v>908</v>
      </c>
      <c r="E1077" s="1276">
        <v>45769</v>
      </c>
      <c r="G1077">
        <v>4977625</v>
      </c>
      <c r="I1077">
        <v>0</v>
      </c>
      <c r="J1077">
        <v>4977625</v>
      </c>
      <c r="K1077">
        <v>0</v>
      </c>
      <c r="P1077" t="s">
        <v>1215</v>
      </c>
      <c r="Q1077" s="1308" t="s">
        <v>4911</v>
      </c>
    </row>
    <row r="1078" spans="1:17">
      <c r="A1078" s="1305" t="s">
        <v>3719</v>
      </c>
      <c r="B1078" s="29">
        <v>45816</v>
      </c>
      <c r="C1078" s="29">
        <v>45935</v>
      </c>
      <c r="D1078" t="s">
        <v>908</v>
      </c>
      <c r="E1078" s="1276">
        <v>45769</v>
      </c>
      <c r="G1078">
        <v>4977625</v>
      </c>
      <c r="I1078">
        <v>0</v>
      </c>
      <c r="J1078">
        <v>4977625</v>
      </c>
      <c r="K1078">
        <v>0</v>
      </c>
      <c r="P1078" t="s">
        <v>1215</v>
      </c>
      <c r="Q1078" s="1308" t="s">
        <v>4911</v>
      </c>
    </row>
    <row r="1079" spans="1:17">
      <c r="A1079" s="1305" t="s">
        <v>3719</v>
      </c>
      <c r="B1079" s="29">
        <v>45816</v>
      </c>
      <c r="C1079" s="29">
        <v>45935</v>
      </c>
      <c r="D1079" t="s">
        <v>908</v>
      </c>
      <c r="E1079" s="1276">
        <v>45769</v>
      </c>
      <c r="G1079">
        <v>4977625</v>
      </c>
      <c r="I1079">
        <v>0</v>
      </c>
      <c r="J1079">
        <v>4977625</v>
      </c>
      <c r="K1079">
        <v>0</v>
      </c>
      <c r="P1079" t="s">
        <v>1215</v>
      </c>
      <c r="Q1079" s="1308" t="s">
        <v>4911</v>
      </c>
    </row>
    <row r="1080" spans="1:17">
      <c r="A1080" s="1305" t="s">
        <v>3719</v>
      </c>
      <c r="B1080" s="29">
        <v>45816</v>
      </c>
      <c r="C1080" s="29">
        <v>45935</v>
      </c>
      <c r="D1080" t="s">
        <v>908</v>
      </c>
      <c r="E1080" s="1276">
        <v>45769</v>
      </c>
      <c r="G1080">
        <v>4977625</v>
      </c>
      <c r="I1080">
        <v>0</v>
      </c>
      <c r="J1080">
        <v>4977625</v>
      </c>
      <c r="K1080">
        <v>0</v>
      </c>
      <c r="P1080" t="s">
        <v>1215</v>
      </c>
      <c r="Q1080" s="1308" t="s">
        <v>4911</v>
      </c>
    </row>
    <row r="1081" spans="1:17">
      <c r="A1081" s="1305" t="s">
        <v>3719</v>
      </c>
      <c r="B1081" s="29">
        <v>45816</v>
      </c>
      <c r="C1081" s="29">
        <v>45935</v>
      </c>
      <c r="D1081" t="s">
        <v>908</v>
      </c>
      <c r="E1081" s="1276">
        <v>45769</v>
      </c>
      <c r="G1081">
        <v>4977625</v>
      </c>
      <c r="I1081">
        <v>0</v>
      </c>
      <c r="J1081">
        <v>4977625</v>
      </c>
      <c r="K1081">
        <v>0</v>
      </c>
      <c r="P1081" t="s">
        <v>1215</v>
      </c>
      <c r="Q1081" s="1308" t="s">
        <v>4911</v>
      </c>
    </row>
    <row r="1082" spans="1:17">
      <c r="A1082" s="1305" t="s">
        <v>3719</v>
      </c>
      <c r="B1082" s="29">
        <v>45816</v>
      </c>
      <c r="C1082" s="29">
        <v>45935</v>
      </c>
      <c r="D1082" t="s">
        <v>908</v>
      </c>
      <c r="E1082" s="1276">
        <v>45769</v>
      </c>
      <c r="G1082">
        <v>4977625</v>
      </c>
      <c r="I1082">
        <v>0</v>
      </c>
      <c r="J1082">
        <v>4977625</v>
      </c>
      <c r="K1082">
        <v>0</v>
      </c>
      <c r="P1082" t="s">
        <v>1215</v>
      </c>
      <c r="Q1082" s="1308" t="s">
        <v>4911</v>
      </c>
    </row>
    <row r="1083" spans="1:17">
      <c r="A1083" s="1305" t="s">
        <v>3719</v>
      </c>
      <c r="B1083" s="29">
        <v>45816</v>
      </c>
      <c r="C1083" s="29">
        <v>45935</v>
      </c>
      <c r="D1083" t="s">
        <v>908</v>
      </c>
      <c r="E1083" s="1276">
        <v>45769</v>
      </c>
      <c r="G1083">
        <v>4977625</v>
      </c>
      <c r="I1083">
        <v>0</v>
      </c>
      <c r="J1083">
        <v>4977625</v>
      </c>
      <c r="K1083">
        <v>0</v>
      </c>
      <c r="P1083" t="s">
        <v>1215</v>
      </c>
      <c r="Q1083" s="1308" t="s">
        <v>4911</v>
      </c>
    </row>
    <row r="1084" spans="1:17">
      <c r="A1084" s="1305" t="s">
        <v>3719</v>
      </c>
      <c r="B1084" s="29">
        <v>45816</v>
      </c>
      <c r="C1084" s="29">
        <v>45935</v>
      </c>
      <c r="D1084" t="s">
        <v>908</v>
      </c>
      <c r="E1084" s="1276">
        <v>45769</v>
      </c>
      <c r="G1084">
        <v>4977625</v>
      </c>
      <c r="I1084">
        <v>0</v>
      </c>
      <c r="J1084">
        <v>4977625</v>
      </c>
      <c r="K1084">
        <v>0</v>
      </c>
      <c r="P1084" t="s">
        <v>1215</v>
      </c>
      <c r="Q1084" s="1308" t="s">
        <v>4911</v>
      </c>
    </row>
    <row r="1085" spans="1:17">
      <c r="A1085" s="1305" t="s">
        <v>3719</v>
      </c>
      <c r="B1085" s="29">
        <v>45816</v>
      </c>
      <c r="C1085" s="29">
        <v>45935</v>
      </c>
      <c r="D1085" t="s">
        <v>908</v>
      </c>
      <c r="E1085" s="1276">
        <v>45769</v>
      </c>
      <c r="G1085">
        <v>4977625</v>
      </c>
      <c r="I1085">
        <v>0</v>
      </c>
      <c r="J1085">
        <v>4977625</v>
      </c>
      <c r="K1085">
        <v>0</v>
      </c>
      <c r="P1085" t="s">
        <v>1215</v>
      </c>
      <c r="Q1085" s="1308" t="s">
        <v>4911</v>
      </c>
    </row>
    <row r="1086" spans="1:17">
      <c r="A1086" s="1305" t="s">
        <v>3719</v>
      </c>
      <c r="B1086" s="29">
        <v>45816</v>
      </c>
      <c r="C1086" s="29">
        <v>45935</v>
      </c>
      <c r="D1086" t="s">
        <v>908</v>
      </c>
      <c r="E1086" s="1276">
        <v>45769</v>
      </c>
      <c r="G1086">
        <v>4977625</v>
      </c>
      <c r="I1086">
        <v>0</v>
      </c>
      <c r="J1086">
        <v>4977625</v>
      </c>
      <c r="K1086">
        <v>0</v>
      </c>
      <c r="P1086" t="s">
        <v>1215</v>
      </c>
      <c r="Q1086" s="1308" t="s">
        <v>4911</v>
      </c>
    </row>
    <row r="1087" spans="1:17">
      <c r="A1087" s="1305" t="s">
        <v>3719</v>
      </c>
      <c r="B1087" s="29">
        <v>45816</v>
      </c>
      <c r="C1087" s="29">
        <v>45935</v>
      </c>
      <c r="D1087" t="s">
        <v>908</v>
      </c>
      <c r="E1087" s="1276">
        <v>45769</v>
      </c>
      <c r="G1087">
        <v>4977625</v>
      </c>
      <c r="I1087">
        <v>0</v>
      </c>
      <c r="J1087">
        <v>4977625</v>
      </c>
      <c r="K1087">
        <v>0</v>
      </c>
      <c r="P1087" t="s">
        <v>1215</v>
      </c>
      <c r="Q1087" s="1308" t="s">
        <v>4911</v>
      </c>
    </row>
    <row r="1088" spans="1:17">
      <c r="A1088" s="1305" t="s">
        <v>3719</v>
      </c>
      <c r="B1088" s="29">
        <v>45816</v>
      </c>
      <c r="C1088" s="29">
        <v>45935</v>
      </c>
      <c r="D1088" t="s">
        <v>908</v>
      </c>
      <c r="E1088" s="1276">
        <v>45769</v>
      </c>
      <c r="G1088">
        <v>4977625</v>
      </c>
      <c r="I1088">
        <v>0</v>
      </c>
      <c r="J1088">
        <v>4977625</v>
      </c>
      <c r="K1088">
        <v>0</v>
      </c>
      <c r="P1088" t="s">
        <v>1215</v>
      </c>
      <c r="Q1088" s="1308" t="s">
        <v>4911</v>
      </c>
    </row>
    <row r="1089" spans="1:17">
      <c r="A1089" s="1305" t="s">
        <v>3719</v>
      </c>
      <c r="B1089" s="29">
        <v>45816</v>
      </c>
      <c r="C1089" s="29">
        <v>45935</v>
      </c>
      <c r="D1089" t="s">
        <v>908</v>
      </c>
      <c r="E1089" s="1276">
        <v>45769</v>
      </c>
      <c r="G1089">
        <v>4977625</v>
      </c>
      <c r="I1089">
        <v>0</v>
      </c>
      <c r="J1089">
        <v>4977625</v>
      </c>
      <c r="K1089">
        <v>0</v>
      </c>
      <c r="P1089" t="s">
        <v>1215</v>
      </c>
      <c r="Q1089" s="1308" t="s">
        <v>4911</v>
      </c>
    </row>
    <row r="1090" spans="1:17">
      <c r="A1090" s="1305" t="s">
        <v>3719</v>
      </c>
      <c r="B1090" s="29">
        <v>45817</v>
      </c>
      <c r="C1090" s="29">
        <v>45935</v>
      </c>
      <c r="D1090" t="s">
        <v>908</v>
      </c>
      <c r="E1090" s="1276">
        <v>45769</v>
      </c>
      <c r="G1090">
        <v>4977625</v>
      </c>
      <c r="I1090">
        <v>0</v>
      </c>
      <c r="J1090">
        <v>4977625</v>
      </c>
      <c r="K1090">
        <v>0</v>
      </c>
      <c r="P1090" t="s">
        <v>1215</v>
      </c>
      <c r="Q1090" s="1308" t="s">
        <v>4911</v>
      </c>
    </row>
    <row r="1091" spans="1:17">
      <c r="A1091" s="1305" t="s">
        <v>3719</v>
      </c>
      <c r="B1091" s="29">
        <v>45817</v>
      </c>
      <c r="C1091" s="29">
        <v>45935</v>
      </c>
      <c r="D1091" t="s">
        <v>908</v>
      </c>
      <c r="E1091" s="1276">
        <v>45769</v>
      </c>
      <c r="G1091">
        <v>4977625</v>
      </c>
      <c r="I1091">
        <v>0</v>
      </c>
      <c r="J1091">
        <v>4977625</v>
      </c>
      <c r="K1091">
        <v>0</v>
      </c>
      <c r="P1091" t="s">
        <v>1215</v>
      </c>
      <c r="Q1091" s="1308" t="s">
        <v>4911</v>
      </c>
    </row>
    <row r="1092" spans="1:17">
      <c r="A1092" s="1305" t="s">
        <v>3719</v>
      </c>
      <c r="B1092" s="29">
        <v>45817</v>
      </c>
      <c r="C1092" s="29">
        <v>45935</v>
      </c>
      <c r="D1092" t="s">
        <v>908</v>
      </c>
      <c r="E1092" s="1276">
        <v>45769</v>
      </c>
      <c r="G1092">
        <v>4977625</v>
      </c>
      <c r="I1092">
        <v>0</v>
      </c>
      <c r="J1092">
        <v>4977625</v>
      </c>
      <c r="K1092">
        <v>0</v>
      </c>
      <c r="P1092" t="s">
        <v>1215</v>
      </c>
      <c r="Q1092" s="1308" t="s">
        <v>4911</v>
      </c>
    </row>
    <row r="1093" spans="1:17">
      <c r="A1093" s="1305" t="s">
        <v>3719</v>
      </c>
      <c r="B1093" s="29">
        <v>45817</v>
      </c>
      <c r="C1093" s="29">
        <v>45935</v>
      </c>
      <c r="D1093" t="s">
        <v>908</v>
      </c>
      <c r="E1093" s="1276">
        <v>45769</v>
      </c>
      <c r="G1093">
        <v>4977625</v>
      </c>
      <c r="I1093">
        <v>0</v>
      </c>
      <c r="J1093">
        <v>4977625</v>
      </c>
      <c r="K1093">
        <v>0</v>
      </c>
      <c r="P1093" t="s">
        <v>1215</v>
      </c>
      <c r="Q1093" s="1308" t="s">
        <v>4911</v>
      </c>
    </row>
    <row r="1094" spans="1:17">
      <c r="A1094" s="1305" t="s">
        <v>3719</v>
      </c>
      <c r="B1094" s="29">
        <v>45817</v>
      </c>
      <c r="C1094" s="29">
        <v>45935</v>
      </c>
      <c r="D1094" t="s">
        <v>908</v>
      </c>
      <c r="E1094" s="1276">
        <v>45769</v>
      </c>
      <c r="G1094">
        <v>4977625</v>
      </c>
      <c r="I1094">
        <v>0</v>
      </c>
      <c r="J1094">
        <v>4977625</v>
      </c>
      <c r="K1094">
        <v>0</v>
      </c>
      <c r="P1094" t="s">
        <v>1215</v>
      </c>
      <c r="Q1094" s="1308" t="s">
        <v>4911</v>
      </c>
    </row>
    <row r="1095" spans="1:17">
      <c r="A1095" s="1305" t="s">
        <v>3719</v>
      </c>
      <c r="B1095" s="29">
        <v>45817</v>
      </c>
      <c r="C1095" s="29">
        <v>45935</v>
      </c>
      <c r="D1095" t="s">
        <v>908</v>
      </c>
      <c r="E1095" s="1276">
        <v>45769</v>
      </c>
      <c r="G1095">
        <v>4977625</v>
      </c>
      <c r="I1095">
        <v>0</v>
      </c>
      <c r="J1095">
        <v>4977625</v>
      </c>
      <c r="K1095">
        <v>0</v>
      </c>
      <c r="P1095" t="s">
        <v>1215</v>
      </c>
      <c r="Q1095" s="1308" t="s">
        <v>4911</v>
      </c>
    </row>
    <row r="1096" spans="1:17">
      <c r="A1096" s="1305" t="s">
        <v>3719</v>
      </c>
      <c r="B1096" s="29">
        <v>45817</v>
      </c>
      <c r="C1096" s="29">
        <v>45935</v>
      </c>
      <c r="D1096" t="s">
        <v>908</v>
      </c>
      <c r="E1096" s="1276">
        <v>45769</v>
      </c>
      <c r="G1096">
        <v>4977625</v>
      </c>
      <c r="I1096">
        <v>0</v>
      </c>
      <c r="J1096">
        <v>4977625</v>
      </c>
      <c r="K1096">
        <v>0</v>
      </c>
      <c r="P1096" t="s">
        <v>1215</v>
      </c>
      <c r="Q1096" s="1308" t="s">
        <v>4911</v>
      </c>
    </row>
    <row r="1097" spans="1:17">
      <c r="A1097" s="1305" t="s">
        <v>3719</v>
      </c>
      <c r="B1097" s="29">
        <v>45817</v>
      </c>
      <c r="C1097" s="29">
        <v>45935</v>
      </c>
      <c r="D1097" t="s">
        <v>908</v>
      </c>
      <c r="E1097" s="1276">
        <v>45769</v>
      </c>
      <c r="G1097">
        <v>4977625</v>
      </c>
      <c r="I1097">
        <v>0</v>
      </c>
      <c r="J1097">
        <v>4977625</v>
      </c>
      <c r="K1097">
        <v>0</v>
      </c>
      <c r="P1097" t="s">
        <v>1215</v>
      </c>
      <c r="Q1097" s="1308" t="s">
        <v>4911</v>
      </c>
    </row>
    <row r="1098" spans="1:17">
      <c r="A1098" s="1305" t="s">
        <v>3719</v>
      </c>
      <c r="B1098" s="29">
        <v>45817</v>
      </c>
      <c r="C1098" s="29">
        <v>45935</v>
      </c>
      <c r="D1098" t="s">
        <v>908</v>
      </c>
      <c r="E1098" s="1276">
        <v>45769</v>
      </c>
      <c r="G1098">
        <v>4977625</v>
      </c>
      <c r="I1098">
        <v>0</v>
      </c>
      <c r="J1098">
        <v>4977625</v>
      </c>
      <c r="K1098">
        <v>0</v>
      </c>
      <c r="P1098" t="s">
        <v>1215</v>
      </c>
      <c r="Q1098" s="1308" t="s">
        <v>4911</v>
      </c>
    </row>
    <row r="1099" spans="1:17">
      <c r="A1099" s="1305" t="s">
        <v>3719</v>
      </c>
      <c r="B1099" s="29">
        <v>45817</v>
      </c>
      <c r="C1099" s="29">
        <v>45935</v>
      </c>
      <c r="D1099" t="s">
        <v>908</v>
      </c>
      <c r="E1099" s="1276">
        <v>45769</v>
      </c>
      <c r="G1099">
        <v>4977625</v>
      </c>
      <c r="I1099">
        <v>0</v>
      </c>
      <c r="J1099">
        <v>4977625</v>
      </c>
      <c r="K1099">
        <v>0</v>
      </c>
      <c r="P1099" t="s">
        <v>1215</v>
      </c>
      <c r="Q1099" s="1308" t="s">
        <v>4911</v>
      </c>
    </row>
    <row r="1100" spans="1:17">
      <c r="A1100" s="1305" t="s">
        <v>3719</v>
      </c>
      <c r="B1100" s="29">
        <v>45817</v>
      </c>
      <c r="C1100" s="29">
        <v>45935</v>
      </c>
      <c r="D1100" t="s">
        <v>908</v>
      </c>
      <c r="E1100" s="1276">
        <v>45769</v>
      </c>
      <c r="G1100">
        <v>4977625</v>
      </c>
      <c r="I1100">
        <v>0</v>
      </c>
      <c r="J1100">
        <v>4977625</v>
      </c>
      <c r="K1100">
        <v>0</v>
      </c>
      <c r="P1100" t="s">
        <v>1215</v>
      </c>
      <c r="Q1100" s="1308" t="s">
        <v>4911</v>
      </c>
    </row>
    <row r="1101" spans="1:17">
      <c r="A1101" s="1305" t="s">
        <v>3719</v>
      </c>
      <c r="B1101" s="29">
        <v>45817</v>
      </c>
      <c r="C1101" s="29">
        <v>45935</v>
      </c>
      <c r="D1101" t="s">
        <v>908</v>
      </c>
      <c r="E1101" s="1276">
        <v>45769</v>
      </c>
      <c r="G1101">
        <v>4977625</v>
      </c>
      <c r="I1101">
        <v>0</v>
      </c>
      <c r="J1101">
        <v>4977625</v>
      </c>
      <c r="K1101">
        <v>0</v>
      </c>
      <c r="P1101" t="s">
        <v>1215</v>
      </c>
      <c r="Q1101" s="1308" t="s">
        <v>4911</v>
      </c>
    </row>
    <row r="1102" spans="1:17">
      <c r="A1102" s="1305" t="s">
        <v>3719</v>
      </c>
      <c r="B1102" s="29">
        <v>45819</v>
      </c>
      <c r="C1102" s="29">
        <v>45935</v>
      </c>
      <c r="D1102" t="s">
        <v>908</v>
      </c>
      <c r="E1102" s="1276">
        <v>45769</v>
      </c>
      <c r="G1102">
        <v>4977625</v>
      </c>
      <c r="I1102">
        <v>0</v>
      </c>
      <c r="J1102">
        <v>4977625</v>
      </c>
      <c r="K1102">
        <v>0</v>
      </c>
      <c r="P1102" t="s">
        <v>1215</v>
      </c>
      <c r="Q1102" s="1308" t="s">
        <v>4911</v>
      </c>
    </row>
    <row r="1103" spans="1:17">
      <c r="A1103" s="1305" t="s">
        <v>3719</v>
      </c>
      <c r="B1103" s="29">
        <v>45819</v>
      </c>
      <c r="C1103" s="29">
        <v>45935</v>
      </c>
      <c r="D1103" t="s">
        <v>908</v>
      </c>
      <c r="E1103" s="1276">
        <v>45769</v>
      </c>
      <c r="G1103">
        <v>4977625</v>
      </c>
      <c r="I1103">
        <v>0</v>
      </c>
      <c r="J1103">
        <v>4977625</v>
      </c>
      <c r="K1103">
        <v>0</v>
      </c>
      <c r="P1103" t="s">
        <v>1215</v>
      </c>
      <c r="Q1103" s="1308" t="s">
        <v>4911</v>
      </c>
    </row>
    <row r="1104" spans="1:17">
      <c r="A1104" s="1305" t="s">
        <v>3719</v>
      </c>
      <c r="B1104" s="29">
        <v>45819</v>
      </c>
      <c r="C1104" s="29">
        <v>45935</v>
      </c>
      <c r="D1104" t="s">
        <v>908</v>
      </c>
      <c r="E1104" s="1276">
        <v>45769</v>
      </c>
      <c r="G1104">
        <v>4977625</v>
      </c>
      <c r="I1104">
        <v>0</v>
      </c>
      <c r="J1104">
        <v>4977625</v>
      </c>
      <c r="K1104">
        <v>0</v>
      </c>
      <c r="P1104" t="s">
        <v>1215</v>
      </c>
      <c r="Q1104" s="1308" t="s">
        <v>4911</v>
      </c>
    </row>
    <row r="1105" spans="1:17">
      <c r="A1105" s="1305" t="s">
        <v>3719</v>
      </c>
      <c r="B1105" s="29">
        <v>45819</v>
      </c>
      <c r="C1105" s="29">
        <v>45935</v>
      </c>
      <c r="D1105" t="s">
        <v>908</v>
      </c>
      <c r="E1105" s="1276">
        <v>45769</v>
      </c>
      <c r="G1105">
        <v>4977625</v>
      </c>
      <c r="I1105">
        <v>0</v>
      </c>
      <c r="J1105">
        <v>4977625</v>
      </c>
      <c r="K1105">
        <v>0</v>
      </c>
      <c r="P1105" t="s">
        <v>1215</v>
      </c>
      <c r="Q1105" s="1308" t="s">
        <v>4911</v>
      </c>
    </row>
    <row r="1106" spans="1:17">
      <c r="A1106" s="1305" t="s">
        <v>3719</v>
      </c>
      <c r="B1106" s="29">
        <v>45819</v>
      </c>
      <c r="C1106" s="29">
        <v>45935</v>
      </c>
      <c r="D1106" t="s">
        <v>908</v>
      </c>
      <c r="E1106" s="1276">
        <v>45769</v>
      </c>
      <c r="G1106">
        <v>4977625</v>
      </c>
      <c r="I1106">
        <v>0</v>
      </c>
      <c r="J1106">
        <v>4977625</v>
      </c>
      <c r="K1106">
        <v>0</v>
      </c>
      <c r="P1106" t="s">
        <v>1215</v>
      </c>
      <c r="Q1106" s="1308" t="s">
        <v>4911</v>
      </c>
    </row>
    <row r="1107" spans="1:17">
      <c r="A1107" s="1305" t="s">
        <v>3719</v>
      </c>
      <c r="B1107" s="29">
        <v>45819</v>
      </c>
      <c r="C1107" s="29">
        <v>45935</v>
      </c>
      <c r="D1107" t="s">
        <v>908</v>
      </c>
      <c r="E1107" s="1276">
        <v>45769</v>
      </c>
      <c r="G1107">
        <v>4977625</v>
      </c>
      <c r="I1107">
        <v>0</v>
      </c>
      <c r="J1107">
        <v>4977625</v>
      </c>
      <c r="K1107">
        <v>0</v>
      </c>
      <c r="P1107" t="s">
        <v>1215</v>
      </c>
      <c r="Q1107" s="1308" t="s">
        <v>4911</v>
      </c>
    </row>
    <row r="1108" spans="1:17">
      <c r="A1108" s="1305" t="s">
        <v>3719</v>
      </c>
      <c r="B1108" s="29">
        <v>45819</v>
      </c>
      <c r="C1108" s="29">
        <v>45935</v>
      </c>
      <c r="D1108" t="s">
        <v>908</v>
      </c>
      <c r="E1108" s="1276">
        <v>45769</v>
      </c>
      <c r="G1108">
        <v>4977625</v>
      </c>
      <c r="I1108">
        <v>0</v>
      </c>
      <c r="J1108">
        <v>4977625</v>
      </c>
      <c r="K1108">
        <v>0</v>
      </c>
      <c r="P1108" t="s">
        <v>1215</v>
      </c>
      <c r="Q1108" s="1308" t="s">
        <v>4911</v>
      </c>
    </row>
    <row r="1109" spans="1:17">
      <c r="A1109" s="1305" t="s">
        <v>3719</v>
      </c>
      <c r="B1109" s="29">
        <v>45819</v>
      </c>
      <c r="C1109" s="29">
        <v>45935</v>
      </c>
      <c r="D1109" t="s">
        <v>908</v>
      </c>
      <c r="E1109" s="1276">
        <v>45769</v>
      </c>
      <c r="G1109">
        <v>4977625</v>
      </c>
      <c r="I1109">
        <v>0</v>
      </c>
      <c r="J1109">
        <v>4977625</v>
      </c>
      <c r="K1109">
        <v>0</v>
      </c>
      <c r="P1109" t="s">
        <v>1215</v>
      </c>
      <c r="Q1109" s="1308" t="s">
        <v>4911</v>
      </c>
    </row>
    <row r="1110" spans="1:17">
      <c r="A1110" s="1305" t="s">
        <v>3719</v>
      </c>
      <c r="B1110" s="29">
        <v>45819</v>
      </c>
      <c r="C1110" s="29">
        <v>45935</v>
      </c>
      <c r="D1110" t="s">
        <v>908</v>
      </c>
      <c r="E1110" s="1276">
        <v>45769</v>
      </c>
      <c r="G1110">
        <v>4977625</v>
      </c>
      <c r="I1110">
        <v>0</v>
      </c>
      <c r="J1110">
        <v>4977625</v>
      </c>
      <c r="K1110">
        <v>0</v>
      </c>
      <c r="P1110" t="s">
        <v>1215</v>
      </c>
      <c r="Q1110" s="1308" t="s">
        <v>4911</v>
      </c>
    </row>
    <row r="1111" spans="1:17">
      <c r="A1111" s="1305" t="s">
        <v>3719</v>
      </c>
      <c r="B1111" s="29">
        <v>45819</v>
      </c>
      <c r="C1111" s="29">
        <v>45935</v>
      </c>
      <c r="D1111" t="s">
        <v>908</v>
      </c>
      <c r="E1111" s="1276">
        <v>45769</v>
      </c>
      <c r="G1111">
        <v>4977625</v>
      </c>
      <c r="I1111">
        <v>0</v>
      </c>
      <c r="J1111">
        <v>4977625</v>
      </c>
      <c r="K1111">
        <v>0</v>
      </c>
      <c r="P1111" t="s">
        <v>1215</v>
      </c>
      <c r="Q1111" s="1308" t="s">
        <v>4911</v>
      </c>
    </row>
    <row r="1112" spans="1:17">
      <c r="A1112" s="1305" t="s">
        <v>3719</v>
      </c>
      <c r="B1112" s="29">
        <v>45823</v>
      </c>
      <c r="C1112" s="29">
        <v>45935</v>
      </c>
      <c r="D1112" t="s">
        <v>908</v>
      </c>
      <c r="E1112" s="1276">
        <v>45769</v>
      </c>
      <c r="G1112">
        <v>2787470</v>
      </c>
      <c r="I1112">
        <v>0</v>
      </c>
      <c r="J1112">
        <v>2787470</v>
      </c>
      <c r="K1112">
        <v>0</v>
      </c>
      <c r="P1112" t="s">
        <v>1215</v>
      </c>
      <c r="Q1112" s="1308" t="s">
        <v>4911</v>
      </c>
    </row>
    <row r="1113" spans="1:17">
      <c r="A1113" s="1305" t="s">
        <v>3719</v>
      </c>
      <c r="B1113" s="29">
        <v>45823</v>
      </c>
      <c r="C1113" s="29">
        <v>45935</v>
      </c>
      <c r="D1113" t="s">
        <v>908</v>
      </c>
      <c r="E1113" s="1276">
        <v>45769</v>
      </c>
      <c r="G1113">
        <v>4977625</v>
      </c>
      <c r="I1113">
        <v>0</v>
      </c>
      <c r="J1113">
        <v>4977625</v>
      </c>
      <c r="K1113">
        <v>0</v>
      </c>
      <c r="P1113" t="s">
        <v>1215</v>
      </c>
      <c r="Q1113" s="1308" t="s">
        <v>4911</v>
      </c>
    </row>
    <row r="1114" spans="1:17">
      <c r="A1114" s="1305" t="s">
        <v>3719</v>
      </c>
      <c r="B1114" s="29">
        <v>45823</v>
      </c>
      <c r="C1114" s="29">
        <v>45935</v>
      </c>
      <c r="D1114" t="s">
        <v>908</v>
      </c>
      <c r="E1114" s="1276">
        <v>45769</v>
      </c>
      <c r="G1114">
        <v>4977625</v>
      </c>
      <c r="I1114">
        <v>0</v>
      </c>
      <c r="J1114">
        <v>4977625</v>
      </c>
      <c r="K1114">
        <v>0</v>
      </c>
      <c r="P1114" t="s">
        <v>1215</v>
      </c>
      <c r="Q1114" s="1308" t="s">
        <v>4911</v>
      </c>
    </row>
    <row r="1115" spans="1:17">
      <c r="A1115" s="1305" t="s">
        <v>3719</v>
      </c>
      <c r="B1115" s="29">
        <v>45823</v>
      </c>
      <c r="C1115" s="29">
        <v>45935</v>
      </c>
      <c r="D1115" t="s">
        <v>908</v>
      </c>
      <c r="E1115" s="1276">
        <v>45769</v>
      </c>
      <c r="G1115">
        <v>4977625</v>
      </c>
      <c r="I1115">
        <v>0</v>
      </c>
      <c r="J1115">
        <v>4977625</v>
      </c>
      <c r="K1115">
        <v>0</v>
      </c>
      <c r="P1115" t="s">
        <v>1215</v>
      </c>
      <c r="Q1115" s="1308" t="s">
        <v>4911</v>
      </c>
    </row>
    <row r="1116" spans="1:17">
      <c r="A1116" s="1305" t="s">
        <v>3719</v>
      </c>
      <c r="B1116" s="29">
        <v>45823</v>
      </c>
      <c r="C1116" s="29">
        <v>45935</v>
      </c>
      <c r="D1116" t="s">
        <v>908</v>
      </c>
      <c r="E1116" s="1276">
        <v>45769</v>
      </c>
      <c r="G1116">
        <v>4977625</v>
      </c>
      <c r="I1116">
        <v>0</v>
      </c>
      <c r="J1116">
        <v>4977625</v>
      </c>
      <c r="K1116">
        <v>0</v>
      </c>
      <c r="P1116" t="s">
        <v>1215</v>
      </c>
      <c r="Q1116" s="1308" t="s">
        <v>4911</v>
      </c>
    </row>
    <row r="1117" spans="1:17">
      <c r="A1117" s="1305" t="s">
        <v>3719</v>
      </c>
      <c r="B1117" s="29">
        <v>45823</v>
      </c>
      <c r="C1117" s="29">
        <v>45935</v>
      </c>
      <c r="D1117" t="s">
        <v>908</v>
      </c>
      <c r="E1117" s="1276">
        <v>45769</v>
      </c>
      <c r="G1117">
        <v>4977625</v>
      </c>
      <c r="I1117">
        <v>0</v>
      </c>
      <c r="J1117">
        <v>4977625</v>
      </c>
      <c r="K1117">
        <v>0</v>
      </c>
      <c r="P1117" t="s">
        <v>1215</v>
      </c>
      <c r="Q1117" s="1308" t="s">
        <v>4911</v>
      </c>
    </row>
    <row r="1118" spans="1:17">
      <c r="A1118" s="1305" t="s">
        <v>3719</v>
      </c>
      <c r="B1118" s="29">
        <v>45824</v>
      </c>
      <c r="C1118" s="29">
        <v>45935</v>
      </c>
      <c r="D1118" t="s">
        <v>908</v>
      </c>
      <c r="E1118" s="1276">
        <v>45769</v>
      </c>
      <c r="G1118">
        <v>2190155</v>
      </c>
      <c r="I1118">
        <v>0</v>
      </c>
      <c r="J1118">
        <v>2190155</v>
      </c>
      <c r="K1118">
        <v>0</v>
      </c>
      <c r="P1118" t="s">
        <v>1215</v>
      </c>
      <c r="Q1118" s="1308" t="s">
        <v>4911</v>
      </c>
    </row>
    <row r="1119" spans="1:17">
      <c r="A1119" s="1305" t="s">
        <v>3719</v>
      </c>
      <c r="B1119" s="29">
        <v>45824</v>
      </c>
      <c r="C1119" s="29">
        <v>45935</v>
      </c>
      <c r="D1119" t="s">
        <v>908</v>
      </c>
      <c r="E1119" s="1276">
        <v>45769</v>
      </c>
      <c r="G1119">
        <v>4977625</v>
      </c>
      <c r="I1119">
        <v>0</v>
      </c>
      <c r="J1119">
        <v>4977625</v>
      </c>
      <c r="K1119">
        <v>0</v>
      </c>
      <c r="P1119" t="s">
        <v>1215</v>
      </c>
      <c r="Q1119" s="1308" t="s">
        <v>4911</v>
      </c>
    </row>
    <row r="1120" spans="1:17">
      <c r="A1120" s="1305" t="s">
        <v>3719</v>
      </c>
      <c r="B1120" s="29">
        <v>45824</v>
      </c>
      <c r="C1120" s="29">
        <v>45935</v>
      </c>
      <c r="D1120" t="s">
        <v>908</v>
      </c>
      <c r="E1120" s="1276">
        <v>45769</v>
      </c>
      <c r="G1120">
        <v>4977625</v>
      </c>
      <c r="I1120">
        <v>0</v>
      </c>
      <c r="J1120">
        <v>4977625</v>
      </c>
      <c r="K1120">
        <v>0</v>
      </c>
      <c r="P1120" t="s">
        <v>1215</v>
      </c>
      <c r="Q1120" s="1308" t="s">
        <v>4911</v>
      </c>
    </row>
    <row r="1121" spans="1:17">
      <c r="A1121" s="1305" t="s">
        <v>3719</v>
      </c>
      <c r="B1121" s="29">
        <v>45824</v>
      </c>
      <c r="C1121" s="29">
        <v>45935</v>
      </c>
      <c r="D1121" t="s">
        <v>908</v>
      </c>
      <c r="E1121" s="1276">
        <v>45769</v>
      </c>
      <c r="G1121">
        <v>4977625</v>
      </c>
      <c r="I1121">
        <v>0</v>
      </c>
      <c r="J1121">
        <v>4977625</v>
      </c>
      <c r="K1121">
        <v>0</v>
      </c>
      <c r="P1121" t="s">
        <v>1215</v>
      </c>
      <c r="Q1121" s="1308" t="s">
        <v>4911</v>
      </c>
    </row>
    <row r="1122" spans="1:17">
      <c r="A1122" s="1305" t="s">
        <v>3719</v>
      </c>
      <c r="B1122" s="29">
        <v>45824</v>
      </c>
      <c r="C1122" s="29">
        <v>45935</v>
      </c>
      <c r="D1122" t="s">
        <v>908</v>
      </c>
      <c r="E1122" s="1276">
        <v>45769</v>
      </c>
      <c r="G1122">
        <v>4977625</v>
      </c>
      <c r="I1122">
        <v>0</v>
      </c>
      <c r="J1122">
        <v>4977625</v>
      </c>
      <c r="K1122">
        <v>0</v>
      </c>
      <c r="P1122" t="s">
        <v>1215</v>
      </c>
      <c r="Q1122" s="1308" t="s">
        <v>4911</v>
      </c>
    </row>
    <row r="1123" spans="1:17">
      <c r="A1123" s="1305" t="s">
        <v>3719</v>
      </c>
      <c r="B1123" s="29">
        <v>45824</v>
      </c>
      <c r="C1123" s="29">
        <v>45935</v>
      </c>
      <c r="D1123" t="s">
        <v>908</v>
      </c>
      <c r="E1123" s="1276">
        <v>45769</v>
      </c>
      <c r="G1123">
        <v>4977625</v>
      </c>
      <c r="I1123">
        <v>0</v>
      </c>
      <c r="J1123">
        <v>4977625</v>
      </c>
      <c r="K1123">
        <v>0</v>
      </c>
      <c r="P1123" t="s">
        <v>1215</v>
      </c>
      <c r="Q1123" s="1308" t="s">
        <v>4911</v>
      </c>
    </row>
    <row r="1124" spans="1:17">
      <c r="A1124" s="1305" t="s">
        <v>3719</v>
      </c>
      <c r="B1124" s="29">
        <v>45824</v>
      </c>
      <c r="C1124" s="29">
        <v>45935</v>
      </c>
      <c r="D1124" t="s">
        <v>908</v>
      </c>
      <c r="E1124" s="1276">
        <v>45769</v>
      </c>
      <c r="G1124">
        <v>4977625</v>
      </c>
      <c r="I1124">
        <v>0</v>
      </c>
      <c r="J1124">
        <v>4977625</v>
      </c>
      <c r="K1124">
        <v>0</v>
      </c>
      <c r="P1124" t="s">
        <v>1215</v>
      </c>
      <c r="Q1124" s="1308" t="s">
        <v>4911</v>
      </c>
    </row>
    <row r="1125" spans="1:17">
      <c r="A1125" s="1305" t="s">
        <v>3719</v>
      </c>
      <c r="B1125" s="29">
        <v>45824</v>
      </c>
      <c r="C1125" s="29">
        <v>45935</v>
      </c>
      <c r="D1125" t="s">
        <v>908</v>
      </c>
      <c r="E1125" s="1276">
        <v>45769</v>
      </c>
      <c r="G1125">
        <v>4977625</v>
      </c>
      <c r="I1125">
        <v>0</v>
      </c>
      <c r="J1125">
        <v>4977625</v>
      </c>
      <c r="K1125">
        <v>0</v>
      </c>
      <c r="P1125" t="s">
        <v>1215</v>
      </c>
      <c r="Q1125" s="1308" t="s">
        <v>4911</v>
      </c>
    </row>
    <row r="1126" spans="1:17">
      <c r="A1126" s="1305" t="s">
        <v>3719</v>
      </c>
      <c r="B1126" s="29">
        <v>45824</v>
      </c>
      <c r="C1126" s="29">
        <v>45935</v>
      </c>
      <c r="D1126" t="s">
        <v>908</v>
      </c>
      <c r="E1126" s="1276">
        <v>45769</v>
      </c>
      <c r="G1126">
        <v>4977625</v>
      </c>
      <c r="I1126">
        <v>0</v>
      </c>
      <c r="J1126">
        <v>4977625</v>
      </c>
      <c r="K1126">
        <v>0</v>
      </c>
      <c r="P1126" t="s">
        <v>1215</v>
      </c>
      <c r="Q1126" s="1308" t="s">
        <v>4911</v>
      </c>
    </row>
    <row r="1127" spans="1:17">
      <c r="A1127" s="1305" t="s">
        <v>3719</v>
      </c>
      <c r="B1127" s="29">
        <v>45824</v>
      </c>
      <c r="C1127" s="29">
        <v>45935</v>
      </c>
      <c r="D1127" t="s">
        <v>908</v>
      </c>
      <c r="E1127" s="1276">
        <v>45769</v>
      </c>
      <c r="G1127">
        <v>4977625</v>
      </c>
      <c r="I1127">
        <v>0</v>
      </c>
      <c r="J1127">
        <v>4977625</v>
      </c>
      <c r="K1127">
        <v>0</v>
      </c>
      <c r="P1127" t="s">
        <v>1215</v>
      </c>
      <c r="Q1127" s="1308" t="s">
        <v>4911</v>
      </c>
    </row>
    <row r="1128" spans="1:17">
      <c r="A1128" s="1305" t="s">
        <v>3719</v>
      </c>
      <c r="B1128" s="29">
        <v>45824</v>
      </c>
      <c r="C1128" s="29">
        <v>45935</v>
      </c>
      <c r="D1128" t="s">
        <v>908</v>
      </c>
      <c r="E1128" s="1276">
        <v>45769</v>
      </c>
      <c r="G1128">
        <v>4977625</v>
      </c>
      <c r="I1128">
        <v>0</v>
      </c>
      <c r="J1128">
        <v>4977625</v>
      </c>
      <c r="K1128">
        <v>0</v>
      </c>
      <c r="P1128" t="s">
        <v>1215</v>
      </c>
      <c r="Q1128" s="1308" t="s">
        <v>4911</v>
      </c>
    </row>
    <row r="1129" spans="1:17">
      <c r="A1129" s="1305" t="s">
        <v>3719</v>
      </c>
      <c r="B1129" s="29">
        <v>45824</v>
      </c>
      <c r="C1129" s="29">
        <v>45935</v>
      </c>
      <c r="D1129" t="s">
        <v>908</v>
      </c>
      <c r="E1129" s="1276">
        <v>45769</v>
      </c>
      <c r="G1129">
        <v>4977625</v>
      </c>
      <c r="I1129">
        <v>0</v>
      </c>
      <c r="J1129">
        <v>4977625</v>
      </c>
      <c r="K1129">
        <v>0</v>
      </c>
      <c r="P1129" t="s">
        <v>1215</v>
      </c>
      <c r="Q1129" s="1308" t="s">
        <v>4911</v>
      </c>
    </row>
    <row r="1130" spans="1:17">
      <c r="A1130" s="1305" t="s">
        <v>3719</v>
      </c>
      <c r="B1130" s="29">
        <v>45824</v>
      </c>
      <c r="C1130" s="29">
        <v>45935</v>
      </c>
      <c r="D1130" t="s">
        <v>908</v>
      </c>
      <c r="E1130" s="1276">
        <v>45769</v>
      </c>
      <c r="G1130">
        <v>4977625</v>
      </c>
      <c r="I1130">
        <v>0</v>
      </c>
      <c r="J1130">
        <v>4977625</v>
      </c>
      <c r="K1130">
        <v>0</v>
      </c>
      <c r="P1130" t="s">
        <v>1215</v>
      </c>
      <c r="Q1130" s="1308" t="s">
        <v>4911</v>
      </c>
    </row>
    <row r="1131" spans="1:17">
      <c r="A1131" s="1305" t="s">
        <v>3719</v>
      </c>
      <c r="B1131" s="29">
        <v>45824</v>
      </c>
      <c r="C1131" s="29">
        <v>45935</v>
      </c>
      <c r="D1131" t="s">
        <v>908</v>
      </c>
      <c r="E1131" s="1276">
        <v>45769</v>
      </c>
      <c r="G1131">
        <v>4977625</v>
      </c>
      <c r="I1131">
        <v>0</v>
      </c>
      <c r="J1131">
        <v>4977625</v>
      </c>
      <c r="K1131">
        <v>0</v>
      </c>
      <c r="P1131" t="s">
        <v>1215</v>
      </c>
      <c r="Q1131" s="1308" t="s">
        <v>4911</v>
      </c>
    </row>
    <row r="1132" spans="1:17">
      <c r="A1132" s="1305" t="s">
        <v>3719</v>
      </c>
      <c r="B1132" s="29">
        <v>45824</v>
      </c>
      <c r="C1132" s="29">
        <v>45935</v>
      </c>
      <c r="D1132" t="s">
        <v>908</v>
      </c>
      <c r="E1132" s="1276">
        <v>45769</v>
      </c>
      <c r="G1132">
        <v>4977625</v>
      </c>
      <c r="I1132">
        <v>0</v>
      </c>
      <c r="J1132">
        <v>4977625</v>
      </c>
      <c r="K1132">
        <v>0</v>
      </c>
      <c r="P1132" t="s">
        <v>1215</v>
      </c>
      <c r="Q1132" s="1308" t="s">
        <v>4911</v>
      </c>
    </row>
    <row r="1133" spans="1:17">
      <c r="A1133" s="1305" t="s">
        <v>3719</v>
      </c>
      <c r="B1133" s="29">
        <v>45824</v>
      </c>
      <c r="C1133" s="29">
        <v>45935</v>
      </c>
      <c r="D1133" t="s">
        <v>908</v>
      </c>
      <c r="E1133" s="1276">
        <v>45769</v>
      </c>
      <c r="G1133">
        <v>4977625</v>
      </c>
      <c r="I1133">
        <v>0</v>
      </c>
      <c r="J1133">
        <v>4977625</v>
      </c>
      <c r="K1133">
        <v>0</v>
      </c>
      <c r="P1133" t="s">
        <v>1215</v>
      </c>
      <c r="Q1133" s="1308" t="s">
        <v>4911</v>
      </c>
    </row>
    <row r="1134" spans="1:17">
      <c r="A1134" s="1305" t="s">
        <v>3719</v>
      </c>
      <c r="B1134" s="29">
        <v>45824</v>
      </c>
      <c r="C1134" s="29">
        <v>45935</v>
      </c>
      <c r="D1134" t="s">
        <v>908</v>
      </c>
      <c r="E1134" s="1276">
        <v>45769</v>
      </c>
      <c r="G1134">
        <v>4977625</v>
      </c>
      <c r="I1134">
        <v>0</v>
      </c>
      <c r="J1134">
        <v>4977625</v>
      </c>
      <c r="K1134">
        <v>0</v>
      </c>
      <c r="P1134" t="s">
        <v>1215</v>
      </c>
      <c r="Q1134" s="1308" t="s">
        <v>4911</v>
      </c>
    </row>
    <row r="1135" spans="1:17">
      <c r="A1135" s="1305" t="s">
        <v>3719</v>
      </c>
      <c r="B1135" s="29">
        <v>45824</v>
      </c>
      <c r="C1135" s="29">
        <v>45935</v>
      </c>
      <c r="D1135" t="s">
        <v>908</v>
      </c>
      <c r="E1135" s="1276">
        <v>45769</v>
      </c>
      <c r="G1135">
        <v>4977625</v>
      </c>
      <c r="I1135">
        <v>0</v>
      </c>
      <c r="J1135">
        <v>4977625</v>
      </c>
      <c r="K1135">
        <v>0</v>
      </c>
      <c r="P1135" t="s">
        <v>1215</v>
      </c>
      <c r="Q1135" s="1308" t="s">
        <v>4911</v>
      </c>
    </row>
    <row r="1136" spans="1:17">
      <c r="A1136" s="1305" t="s">
        <v>3719</v>
      </c>
      <c r="B1136" s="29">
        <v>45824</v>
      </c>
      <c r="C1136" s="29">
        <v>45935</v>
      </c>
      <c r="D1136" t="s">
        <v>908</v>
      </c>
      <c r="E1136" s="1276">
        <v>45769</v>
      </c>
      <c r="G1136">
        <v>4977625</v>
      </c>
      <c r="I1136">
        <v>0</v>
      </c>
      <c r="J1136">
        <v>4977625</v>
      </c>
      <c r="K1136">
        <v>0</v>
      </c>
      <c r="P1136" t="s">
        <v>1215</v>
      </c>
      <c r="Q1136" s="1308" t="s">
        <v>4911</v>
      </c>
    </row>
    <row r="1137" spans="1:17">
      <c r="A1137" s="1305" t="s">
        <v>3719</v>
      </c>
      <c r="B1137" s="29">
        <v>45824</v>
      </c>
      <c r="C1137" s="29">
        <v>45935</v>
      </c>
      <c r="D1137" t="s">
        <v>908</v>
      </c>
      <c r="E1137" s="1276">
        <v>45769</v>
      </c>
      <c r="G1137">
        <v>4977625</v>
      </c>
      <c r="I1137">
        <v>0</v>
      </c>
      <c r="J1137">
        <v>4977625</v>
      </c>
      <c r="K1137">
        <v>0</v>
      </c>
      <c r="P1137" t="s">
        <v>1215</v>
      </c>
      <c r="Q1137" s="1308" t="s">
        <v>4911</v>
      </c>
    </row>
    <row r="1138" spans="1:17">
      <c r="A1138" s="1305" t="s">
        <v>3719</v>
      </c>
      <c r="B1138" s="29">
        <v>45824</v>
      </c>
      <c r="C1138" s="29">
        <v>45935</v>
      </c>
      <c r="D1138" t="s">
        <v>908</v>
      </c>
      <c r="E1138" s="1276">
        <v>45769</v>
      </c>
      <c r="G1138">
        <v>4977625</v>
      </c>
      <c r="I1138">
        <v>0</v>
      </c>
      <c r="J1138">
        <v>4977625</v>
      </c>
      <c r="K1138">
        <v>0</v>
      </c>
      <c r="P1138" t="s">
        <v>1215</v>
      </c>
      <c r="Q1138" s="1308" t="s">
        <v>4911</v>
      </c>
    </row>
    <row r="1139" spans="1:17">
      <c r="A1139" s="1305" t="s">
        <v>3719</v>
      </c>
      <c r="B1139" s="29">
        <v>45824</v>
      </c>
      <c r="C1139" s="29">
        <v>45935</v>
      </c>
      <c r="D1139" t="s">
        <v>908</v>
      </c>
      <c r="E1139" s="1276">
        <v>45769</v>
      </c>
      <c r="G1139">
        <v>4977625</v>
      </c>
      <c r="I1139">
        <v>0</v>
      </c>
      <c r="J1139">
        <v>4977625</v>
      </c>
      <c r="K1139">
        <v>0</v>
      </c>
      <c r="P1139" t="s">
        <v>1215</v>
      </c>
      <c r="Q1139" s="1308" t="s">
        <v>4911</v>
      </c>
    </row>
    <row r="1140" spans="1:17">
      <c r="A1140" s="1305" t="s">
        <v>3719</v>
      </c>
      <c r="B1140" s="29">
        <v>45826</v>
      </c>
      <c r="C1140" s="29">
        <v>45935</v>
      </c>
      <c r="D1140" t="s">
        <v>908</v>
      </c>
      <c r="E1140" s="1276">
        <v>45769</v>
      </c>
      <c r="G1140">
        <v>4977625</v>
      </c>
      <c r="I1140">
        <v>0</v>
      </c>
      <c r="J1140">
        <v>4977625</v>
      </c>
      <c r="K1140">
        <v>0</v>
      </c>
      <c r="P1140" t="s">
        <v>1215</v>
      </c>
      <c r="Q1140" s="1308" t="s">
        <v>4911</v>
      </c>
    </row>
    <row r="1141" spans="1:17">
      <c r="A1141" s="1305" t="s">
        <v>3719</v>
      </c>
      <c r="B1141" s="29">
        <v>45826</v>
      </c>
      <c r="C1141" s="29">
        <v>45935</v>
      </c>
      <c r="D1141" t="s">
        <v>908</v>
      </c>
      <c r="E1141" s="1276">
        <v>45769</v>
      </c>
      <c r="G1141">
        <v>4977625</v>
      </c>
      <c r="I1141">
        <v>0</v>
      </c>
      <c r="J1141">
        <v>4977625</v>
      </c>
      <c r="K1141">
        <v>0</v>
      </c>
      <c r="P1141" t="s">
        <v>1215</v>
      </c>
      <c r="Q1141" s="1308" t="s">
        <v>4911</v>
      </c>
    </row>
    <row r="1142" spans="1:17">
      <c r="A1142" s="1305" t="s">
        <v>3719</v>
      </c>
      <c r="B1142" s="29">
        <v>45826</v>
      </c>
      <c r="C1142" s="29">
        <v>45935</v>
      </c>
      <c r="D1142" t="s">
        <v>908</v>
      </c>
      <c r="E1142" s="1276">
        <v>45769</v>
      </c>
      <c r="G1142">
        <v>4977625</v>
      </c>
      <c r="I1142">
        <v>0</v>
      </c>
      <c r="J1142">
        <v>4977625</v>
      </c>
      <c r="K1142">
        <v>0</v>
      </c>
      <c r="P1142" t="s">
        <v>1215</v>
      </c>
      <c r="Q1142" s="1308" t="s">
        <v>4911</v>
      </c>
    </row>
    <row r="1143" spans="1:17">
      <c r="A1143" s="1305" t="s">
        <v>3719</v>
      </c>
      <c r="B1143" s="29">
        <v>45826</v>
      </c>
      <c r="C1143" s="29">
        <v>45935</v>
      </c>
      <c r="D1143" t="s">
        <v>908</v>
      </c>
      <c r="E1143" s="1276">
        <v>45769</v>
      </c>
      <c r="G1143">
        <v>4977625</v>
      </c>
      <c r="I1143">
        <v>0</v>
      </c>
      <c r="J1143">
        <v>4977625</v>
      </c>
      <c r="K1143">
        <v>0</v>
      </c>
      <c r="P1143" t="s">
        <v>1215</v>
      </c>
      <c r="Q1143" s="1308" t="s">
        <v>4911</v>
      </c>
    </row>
    <row r="1144" spans="1:17">
      <c r="A1144" s="1305" t="s">
        <v>3719</v>
      </c>
      <c r="B1144" s="29">
        <v>45826</v>
      </c>
      <c r="C1144" s="29">
        <v>45935</v>
      </c>
      <c r="D1144" t="s">
        <v>908</v>
      </c>
      <c r="E1144" s="1276">
        <v>45769</v>
      </c>
      <c r="G1144">
        <v>4977625</v>
      </c>
      <c r="I1144">
        <v>0</v>
      </c>
      <c r="J1144">
        <v>4977625</v>
      </c>
      <c r="K1144">
        <v>0</v>
      </c>
      <c r="P1144" t="s">
        <v>1215</v>
      </c>
      <c r="Q1144" s="1308" t="s">
        <v>4911</v>
      </c>
    </row>
    <row r="1145" spans="1:17">
      <c r="A1145" s="1305" t="s">
        <v>3719</v>
      </c>
      <c r="B1145" s="29">
        <v>45826</v>
      </c>
      <c r="C1145" s="29">
        <v>45935</v>
      </c>
      <c r="D1145" t="s">
        <v>908</v>
      </c>
      <c r="E1145" s="1276">
        <v>45769</v>
      </c>
      <c r="G1145">
        <v>4977625</v>
      </c>
      <c r="I1145">
        <v>0</v>
      </c>
      <c r="J1145">
        <v>4977625</v>
      </c>
      <c r="K1145">
        <v>0</v>
      </c>
      <c r="P1145" t="s">
        <v>1215</v>
      </c>
      <c r="Q1145" s="1308" t="s">
        <v>4911</v>
      </c>
    </row>
    <row r="1146" spans="1:17">
      <c r="A1146" s="1305" t="s">
        <v>3719</v>
      </c>
      <c r="B1146" s="29">
        <v>45826</v>
      </c>
      <c r="C1146" s="29">
        <v>45935</v>
      </c>
      <c r="D1146" t="s">
        <v>908</v>
      </c>
      <c r="E1146" s="1276">
        <v>45769</v>
      </c>
      <c r="G1146">
        <v>4977625</v>
      </c>
      <c r="I1146">
        <v>0</v>
      </c>
      <c r="J1146">
        <v>4977625</v>
      </c>
      <c r="K1146">
        <v>0</v>
      </c>
      <c r="P1146" t="s">
        <v>1215</v>
      </c>
      <c r="Q1146" s="1308" t="s">
        <v>4911</v>
      </c>
    </row>
    <row r="1147" spans="1:17">
      <c r="A1147" s="1305" t="s">
        <v>3719</v>
      </c>
      <c r="B1147" s="29">
        <v>45826</v>
      </c>
      <c r="C1147" s="29">
        <v>45935</v>
      </c>
      <c r="D1147" t="s">
        <v>908</v>
      </c>
      <c r="E1147" s="1276">
        <v>45769</v>
      </c>
      <c r="G1147">
        <v>4977625</v>
      </c>
      <c r="I1147">
        <v>0</v>
      </c>
      <c r="J1147">
        <v>4977625</v>
      </c>
      <c r="K1147">
        <v>0</v>
      </c>
      <c r="P1147" t="s">
        <v>1215</v>
      </c>
      <c r="Q1147" s="1308" t="s">
        <v>4911</v>
      </c>
    </row>
    <row r="1148" spans="1:17">
      <c r="A1148" s="1305" t="s">
        <v>3719</v>
      </c>
      <c r="B1148" s="29">
        <v>45826</v>
      </c>
      <c r="C1148" s="29">
        <v>45935</v>
      </c>
      <c r="D1148" t="s">
        <v>908</v>
      </c>
      <c r="E1148" s="1276">
        <v>45769</v>
      </c>
      <c r="G1148">
        <v>4977625</v>
      </c>
      <c r="I1148">
        <v>0</v>
      </c>
      <c r="J1148">
        <v>4977625</v>
      </c>
      <c r="K1148">
        <v>0</v>
      </c>
      <c r="P1148" t="s">
        <v>1215</v>
      </c>
      <c r="Q1148" s="1308" t="s">
        <v>4911</v>
      </c>
    </row>
    <row r="1149" spans="1:17">
      <c r="A1149" s="1305" t="s">
        <v>3719</v>
      </c>
      <c r="B1149" s="29">
        <v>45826</v>
      </c>
      <c r="C1149" s="29">
        <v>45935</v>
      </c>
      <c r="D1149" t="s">
        <v>908</v>
      </c>
      <c r="E1149" s="1276">
        <v>45769</v>
      </c>
      <c r="G1149">
        <v>4977625</v>
      </c>
      <c r="I1149">
        <v>0</v>
      </c>
      <c r="J1149">
        <v>4977625</v>
      </c>
      <c r="K1149">
        <v>0</v>
      </c>
      <c r="P1149" t="s">
        <v>1215</v>
      </c>
      <c r="Q1149" s="1308" t="s">
        <v>4911</v>
      </c>
    </row>
    <row r="1150" spans="1:17">
      <c r="A1150" s="1305" t="s">
        <v>3719</v>
      </c>
      <c r="B1150" s="29">
        <v>45826</v>
      </c>
      <c r="C1150" s="29">
        <v>45935</v>
      </c>
      <c r="D1150" t="s">
        <v>908</v>
      </c>
      <c r="E1150" s="1276">
        <v>45769</v>
      </c>
      <c r="G1150">
        <v>4977625</v>
      </c>
      <c r="I1150">
        <v>0</v>
      </c>
      <c r="J1150">
        <v>4977625</v>
      </c>
      <c r="K1150">
        <v>0</v>
      </c>
      <c r="P1150" t="s">
        <v>1215</v>
      </c>
      <c r="Q1150" s="1308" t="s">
        <v>4911</v>
      </c>
    </row>
    <row r="1151" spans="1:17">
      <c r="A1151" s="1305" t="s">
        <v>3719</v>
      </c>
      <c r="B1151" s="29">
        <v>45826</v>
      </c>
      <c r="C1151" s="29">
        <v>45935</v>
      </c>
      <c r="D1151" t="s">
        <v>908</v>
      </c>
      <c r="E1151" s="1276">
        <v>45769</v>
      </c>
      <c r="G1151">
        <v>4977625</v>
      </c>
      <c r="I1151">
        <v>0</v>
      </c>
      <c r="J1151">
        <v>4977625</v>
      </c>
      <c r="K1151">
        <v>0</v>
      </c>
      <c r="P1151" t="s">
        <v>1215</v>
      </c>
      <c r="Q1151" s="1308" t="s">
        <v>4911</v>
      </c>
    </row>
    <row r="1152" spans="1:17">
      <c r="A1152" s="1305" t="s">
        <v>3719</v>
      </c>
      <c r="B1152" s="29">
        <v>45826</v>
      </c>
      <c r="C1152" s="29">
        <v>45935</v>
      </c>
      <c r="D1152" t="s">
        <v>908</v>
      </c>
      <c r="E1152" s="1276">
        <v>45769</v>
      </c>
      <c r="G1152">
        <v>4977625</v>
      </c>
      <c r="I1152">
        <v>0</v>
      </c>
      <c r="J1152">
        <v>4977625</v>
      </c>
      <c r="K1152">
        <v>0</v>
      </c>
      <c r="P1152" t="s">
        <v>1215</v>
      </c>
      <c r="Q1152" s="1308" t="s">
        <v>4911</v>
      </c>
    </row>
    <row r="1153" spans="1:17">
      <c r="A1153" s="1305" t="s">
        <v>3719</v>
      </c>
      <c r="B1153" s="29">
        <v>45826</v>
      </c>
      <c r="C1153" s="29">
        <v>45935</v>
      </c>
      <c r="D1153" t="s">
        <v>908</v>
      </c>
      <c r="E1153" s="1276">
        <v>45769</v>
      </c>
      <c r="G1153">
        <v>4977625</v>
      </c>
      <c r="I1153">
        <v>0</v>
      </c>
      <c r="J1153">
        <v>4977625</v>
      </c>
      <c r="K1153">
        <v>0</v>
      </c>
      <c r="P1153" t="s">
        <v>1215</v>
      </c>
      <c r="Q1153" s="1308" t="s">
        <v>4911</v>
      </c>
    </row>
    <row r="1154" spans="1:17">
      <c r="A1154" s="1305" t="s">
        <v>3719</v>
      </c>
      <c r="B1154" s="29">
        <v>45826</v>
      </c>
      <c r="C1154" s="29">
        <v>45935</v>
      </c>
      <c r="D1154" t="s">
        <v>908</v>
      </c>
      <c r="E1154" s="1276">
        <v>45769</v>
      </c>
      <c r="G1154">
        <v>4977625</v>
      </c>
      <c r="I1154">
        <v>0</v>
      </c>
      <c r="J1154">
        <v>4977625</v>
      </c>
      <c r="K1154">
        <v>0</v>
      </c>
      <c r="P1154" t="s">
        <v>1215</v>
      </c>
      <c r="Q1154" s="1308" t="s">
        <v>4911</v>
      </c>
    </row>
    <row r="1155" spans="1:17">
      <c r="A1155" s="1305" t="s">
        <v>3719</v>
      </c>
      <c r="B1155" s="29">
        <v>45826</v>
      </c>
      <c r="C1155" s="29">
        <v>45935</v>
      </c>
      <c r="D1155" t="s">
        <v>908</v>
      </c>
      <c r="E1155" s="1276">
        <v>45769</v>
      </c>
      <c r="G1155">
        <v>4977625</v>
      </c>
      <c r="I1155">
        <v>0</v>
      </c>
      <c r="J1155">
        <v>4977625</v>
      </c>
      <c r="K1155">
        <v>0</v>
      </c>
      <c r="P1155" t="s">
        <v>1215</v>
      </c>
      <c r="Q1155" s="1308" t="s">
        <v>4911</v>
      </c>
    </row>
    <row r="1156" spans="1:17">
      <c r="A1156" s="1305" t="s">
        <v>3719</v>
      </c>
      <c r="B1156" s="29">
        <v>45826</v>
      </c>
      <c r="C1156" s="29">
        <v>45935</v>
      </c>
      <c r="D1156" t="s">
        <v>908</v>
      </c>
      <c r="E1156" s="1276">
        <v>45769</v>
      </c>
      <c r="G1156">
        <v>4977625</v>
      </c>
      <c r="I1156">
        <v>0</v>
      </c>
      <c r="J1156">
        <v>4977625</v>
      </c>
      <c r="K1156">
        <v>0</v>
      </c>
      <c r="P1156" t="s">
        <v>1215</v>
      </c>
      <c r="Q1156" s="1308" t="s">
        <v>4911</v>
      </c>
    </row>
    <row r="1157" spans="1:17">
      <c r="A1157" s="1305" t="s">
        <v>3719</v>
      </c>
      <c r="B1157" s="29">
        <v>45826</v>
      </c>
      <c r="C1157" s="29">
        <v>45935</v>
      </c>
      <c r="D1157" t="s">
        <v>908</v>
      </c>
      <c r="E1157" s="1276">
        <v>45769</v>
      </c>
      <c r="G1157">
        <v>4977625</v>
      </c>
      <c r="I1157">
        <v>0</v>
      </c>
      <c r="J1157">
        <v>4977625</v>
      </c>
      <c r="K1157">
        <v>0</v>
      </c>
      <c r="P1157" t="s">
        <v>1215</v>
      </c>
      <c r="Q1157" s="1308" t="s">
        <v>4911</v>
      </c>
    </row>
    <row r="1158" spans="1:17">
      <c r="A1158" s="1305" t="s">
        <v>3719</v>
      </c>
      <c r="B1158" s="29">
        <v>45826</v>
      </c>
      <c r="C1158" s="29">
        <v>45935</v>
      </c>
      <c r="D1158" t="s">
        <v>908</v>
      </c>
      <c r="E1158" s="1276">
        <v>45769</v>
      </c>
      <c r="G1158">
        <v>4977625</v>
      </c>
      <c r="I1158">
        <v>0</v>
      </c>
      <c r="J1158">
        <v>4977625</v>
      </c>
      <c r="K1158">
        <v>0</v>
      </c>
      <c r="P1158" t="s">
        <v>1215</v>
      </c>
      <c r="Q1158" s="1308" t="s">
        <v>4911</v>
      </c>
    </row>
    <row r="1159" spans="1:17">
      <c r="A1159" s="1305" t="s">
        <v>3719</v>
      </c>
      <c r="B1159" s="29">
        <v>45826</v>
      </c>
      <c r="C1159" s="29">
        <v>45935</v>
      </c>
      <c r="D1159" t="s">
        <v>908</v>
      </c>
      <c r="E1159" s="1276">
        <v>45769</v>
      </c>
      <c r="G1159">
        <v>4977625</v>
      </c>
      <c r="I1159">
        <v>0</v>
      </c>
      <c r="J1159">
        <v>4977625</v>
      </c>
      <c r="K1159">
        <v>0</v>
      </c>
      <c r="P1159" t="s">
        <v>1215</v>
      </c>
      <c r="Q1159" s="1308" t="s">
        <v>4911</v>
      </c>
    </row>
    <row r="1160" spans="1:17">
      <c r="A1160" s="1305" t="s">
        <v>3719</v>
      </c>
      <c r="B1160" s="29">
        <v>45826</v>
      </c>
      <c r="C1160" s="29">
        <v>45935</v>
      </c>
      <c r="D1160" t="s">
        <v>908</v>
      </c>
      <c r="E1160" s="1276">
        <v>45769</v>
      </c>
      <c r="G1160">
        <v>4977625</v>
      </c>
      <c r="I1160">
        <v>0</v>
      </c>
      <c r="J1160">
        <v>4977625</v>
      </c>
      <c r="K1160">
        <v>0</v>
      </c>
      <c r="P1160" t="s">
        <v>1215</v>
      </c>
      <c r="Q1160" s="1308" t="s">
        <v>4911</v>
      </c>
    </row>
    <row r="1161" spans="1:17">
      <c r="A1161" s="1305" t="s">
        <v>3719</v>
      </c>
      <c r="B1161" s="29">
        <v>45826</v>
      </c>
      <c r="C1161" s="29">
        <v>45935</v>
      </c>
      <c r="D1161" t="s">
        <v>908</v>
      </c>
      <c r="E1161" s="1276">
        <v>45769</v>
      </c>
      <c r="G1161">
        <v>4977625</v>
      </c>
      <c r="I1161">
        <v>0</v>
      </c>
      <c r="J1161">
        <v>4977625</v>
      </c>
      <c r="K1161">
        <v>0</v>
      </c>
      <c r="P1161" t="s">
        <v>1215</v>
      </c>
      <c r="Q1161" s="1308" t="s">
        <v>4911</v>
      </c>
    </row>
    <row r="1162" spans="1:17">
      <c r="A1162" s="1305" t="s">
        <v>3719</v>
      </c>
      <c r="B1162" s="29">
        <v>45826</v>
      </c>
      <c r="C1162" s="29">
        <v>45935</v>
      </c>
      <c r="D1162" t="s">
        <v>908</v>
      </c>
      <c r="E1162" s="1276">
        <v>45769</v>
      </c>
      <c r="G1162">
        <v>4977625</v>
      </c>
      <c r="I1162">
        <v>0</v>
      </c>
      <c r="J1162">
        <v>4977625</v>
      </c>
      <c r="K1162">
        <v>0</v>
      </c>
      <c r="P1162" t="s">
        <v>1215</v>
      </c>
      <c r="Q1162" s="1308" t="s">
        <v>4911</v>
      </c>
    </row>
    <row r="1163" spans="1:17">
      <c r="A1163" s="1305" t="s">
        <v>3719</v>
      </c>
      <c r="B1163" s="29">
        <v>45826</v>
      </c>
      <c r="C1163" s="29">
        <v>45935</v>
      </c>
      <c r="D1163" t="s">
        <v>908</v>
      </c>
      <c r="E1163" s="1276">
        <v>45769</v>
      </c>
      <c r="G1163">
        <v>4977625</v>
      </c>
      <c r="I1163">
        <v>0</v>
      </c>
      <c r="J1163">
        <v>4977625</v>
      </c>
      <c r="K1163">
        <v>0</v>
      </c>
      <c r="P1163" t="s">
        <v>1215</v>
      </c>
      <c r="Q1163" s="1308" t="s">
        <v>4911</v>
      </c>
    </row>
    <row r="1164" spans="1:17">
      <c r="A1164" s="1305" t="s">
        <v>3719</v>
      </c>
      <c r="B1164" s="29">
        <v>45826</v>
      </c>
      <c r="C1164" s="29">
        <v>45935</v>
      </c>
      <c r="D1164" t="s">
        <v>908</v>
      </c>
      <c r="E1164" s="1276">
        <v>45769</v>
      </c>
      <c r="G1164">
        <v>4977625</v>
      </c>
      <c r="I1164">
        <v>0</v>
      </c>
      <c r="J1164">
        <v>4977625</v>
      </c>
      <c r="K1164">
        <v>0</v>
      </c>
      <c r="P1164" t="s">
        <v>1215</v>
      </c>
      <c r="Q1164" s="1308" t="s">
        <v>4911</v>
      </c>
    </row>
    <row r="1165" spans="1:17">
      <c r="A1165" s="1305" t="s">
        <v>3719</v>
      </c>
      <c r="B1165" s="29">
        <v>45826</v>
      </c>
      <c r="C1165" s="29">
        <v>45935</v>
      </c>
      <c r="D1165" t="s">
        <v>908</v>
      </c>
      <c r="E1165" s="1276">
        <v>45769</v>
      </c>
      <c r="G1165">
        <v>4977625</v>
      </c>
      <c r="I1165">
        <v>0</v>
      </c>
      <c r="J1165">
        <v>4977625</v>
      </c>
      <c r="K1165">
        <v>0</v>
      </c>
      <c r="P1165" t="s">
        <v>1215</v>
      </c>
      <c r="Q1165" s="1308" t="s">
        <v>4911</v>
      </c>
    </row>
    <row r="1166" spans="1:17">
      <c r="A1166" s="1305" t="s">
        <v>3719</v>
      </c>
      <c r="B1166" s="29">
        <v>45826</v>
      </c>
      <c r="C1166" s="29">
        <v>45826</v>
      </c>
      <c r="D1166" t="s">
        <v>908</v>
      </c>
      <c r="E1166" s="1276">
        <v>45769</v>
      </c>
      <c r="G1166">
        <v>4977625</v>
      </c>
      <c r="I1166">
        <v>450993395</v>
      </c>
      <c r="J1166">
        <v>-446015770</v>
      </c>
      <c r="K1166">
        <v>0</v>
      </c>
      <c r="P1166" t="s">
        <v>1215</v>
      </c>
      <c r="Q1166" s="1308" t="s">
        <v>4911</v>
      </c>
    </row>
    <row r="1167" spans="1:17">
      <c r="A1167" s="1305" t="s">
        <v>3719</v>
      </c>
      <c r="B1167" s="29">
        <v>45826</v>
      </c>
      <c r="C1167" s="29">
        <v>45935</v>
      </c>
      <c r="D1167" t="s">
        <v>908</v>
      </c>
      <c r="E1167" s="1276">
        <v>45769</v>
      </c>
      <c r="G1167">
        <v>4977625</v>
      </c>
      <c r="I1167">
        <v>0</v>
      </c>
      <c r="J1167">
        <v>4977625</v>
      </c>
      <c r="K1167">
        <v>0</v>
      </c>
      <c r="P1167" t="s">
        <v>1215</v>
      </c>
      <c r="Q1167" s="1308" t="s">
        <v>4911</v>
      </c>
    </row>
    <row r="1168" spans="1:17">
      <c r="A1168" s="1305" t="s">
        <v>3719</v>
      </c>
      <c r="B1168" s="29">
        <v>45826</v>
      </c>
      <c r="C1168" s="29">
        <v>45935</v>
      </c>
      <c r="D1168" t="s">
        <v>908</v>
      </c>
      <c r="E1168" s="1276">
        <v>45769</v>
      </c>
      <c r="G1168">
        <v>472874</v>
      </c>
      <c r="I1168">
        <v>0</v>
      </c>
      <c r="J1168">
        <v>472874</v>
      </c>
      <c r="K1168">
        <v>0</v>
      </c>
      <c r="P1168" t="s">
        <v>1215</v>
      </c>
      <c r="Q1168" s="1308" t="s">
        <v>4911</v>
      </c>
    </row>
    <row r="1169" spans="1:17">
      <c r="A1169" s="1305" t="s">
        <v>3719</v>
      </c>
      <c r="B1169" s="29">
        <v>45826</v>
      </c>
      <c r="C1169" s="29">
        <v>45935</v>
      </c>
      <c r="D1169" t="s">
        <v>908</v>
      </c>
      <c r="E1169" s="1276">
        <v>45769</v>
      </c>
      <c r="G1169">
        <v>4977625</v>
      </c>
      <c r="I1169">
        <v>0</v>
      </c>
      <c r="J1169">
        <v>4977625</v>
      </c>
      <c r="K1169">
        <v>0</v>
      </c>
      <c r="P1169" t="s">
        <v>1215</v>
      </c>
      <c r="Q1169" s="1308" t="s">
        <v>4911</v>
      </c>
    </row>
    <row r="1170" spans="1:17">
      <c r="A1170" s="1305" t="s">
        <v>3719</v>
      </c>
      <c r="B1170" s="29">
        <v>45826</v>
      </c>
      <c r="C1170" s="29">
        <v>45935</v>
      </c>
      <c r="D1170" t="s">
        <v>908</v>
      </c>
      <c r="E1170" s="1276">
        <v>45769</v>
      </c>
      <c r="G1170">
        <v>4977625</v>
      </c>
      <c r="I1170">
        <v>0</v>
      </c>
      <c r="J1170">
        <v>4977625</v>
      </c>
      <c r="K1170">
        <v>0</v>
      </c>
      <c r="P1170" t="s">
        <v>1215</v>
      </c>
      <c r="Q1170" s="1308" t="s">
        <v>4911</v>
      </c>
    </row>
    <row r="1171" spans="1:17">
      <c r="A1171" s="1305" t="s">
        <v>3719</v>
      </c>
      <c r="B1171" s="29">
        <v>45826</v>
      </c>
      <c r="C1171" s="29">
        <v>45935</v>
      </c>
      <c r="D1171" t="s">
        <v>908</v>
      </c>
      <c r="E1171" s="1276">
        <v>45769</v>
      </c>
      <c r="G1171">
        <v>4977625</v>
      </c>
      <c r="I1171">
        <v>0</v>
      </c>
      <c r="J1171">
        <v>4977625</v>
      </c>
      <c r="K1171">
        <v>0</v>
      </c>
      <c r="P1171" t="s">
        <v>1215</v>
      </c>
      <c r="Q1171" s="1308" t="s">
        <v>4911</v>
      </c>
    </row>
    <row r="1172" spans="1:17">
      <c r="A1172" s="1305" t="s">
        <v>3719</v>
      </c>
      <c r="B1172" s="29">
        <v>45826</v>
      </c>
      <c r="C1172" s="29">
        <v>45935</v>
      </c>
      <c r="D1172" t="s">
        <v>908</v>
      </c>
      <c r="E1172" s="1276">
        <v>45769</v>
      </c>
      <c r="G1172">
        <v>4977625</v>
      </c>
      <c r="I1172">
        <v>0</v>
      </c>
      <c r="J1172">
        <v>4977625</v>
      </c>
      <c r="K1172">
        <v>0</v>
      </c>
      <c r="P1172" t="s">
        <v>1215</v>
      </c>
      <c r="Q1172" s="1308" t="s">
        <v>4911</v>
      </c>
    </row>
    <row r="1173" spans="1:17">
      <c r="A1173" s="1305" t="s">
        <v>3719</v>
      </c>
      <c r="B1173" s="29">
        <v>45837</v>
      </c>
      <c r="C1173" s="29">
        <v>45935</v>
      </c>
      <c r="D1173" t="s">
        <v>908</v>
      </c>
      <c r="E1173" s="1276">
        <v>45769</v>
      </c>
      <c r="G1173">
        <v>6434341</v>
      </c>
      <c r="I1173">
        <v>0</v>
      </c>
      <c r="J1173">
        <v>6434341</v>
      </c>
      <c r="K1173">
        <v>0</v>
      </c>
      <c r="P1173" t="s">
        <v>1215</v>
      </c>
      <c r="Q1173" s="1308" t="s">
        <v>4911</v>
      </c>
    </row>
    <row r="1174" spans="1:17">
      <c r="A1174" s="1305" t="s">
        <v>3719</v>
      </c>
      <c r="B1174" s="29">
        <v>45837</v>
      </c>
      <c r="C1174" s="29">
        <v>45935</v>
      </c>
      <c r="D1174" t="s">
        <v>908</v>
      </c>
      <c r="E1174" s="1276">
        <v>45769</v>
      </c>
      <c r="G1174">
        <v>904829</v>
      </c>
      <c r="I1174">
        <v>0</v>
      </c>
      <c r="J1174">
        <v>904829</v>
      </c>
      <c r="K1174">
        <v>0</v>
      </c>
      <c r="P1174" t="s">
        <v>1215</v>
      </c>
      <c r="Q1174" s="1308" t="s">
        <v>4911</v>
      </c>
    </row>
    <row r="1175" spans="1:17">
      <c r="A1175" s="1305" t="s">
        <v>3719</v>
      </c>
      <c r="B1175" s="29">
        <v>45837</v>
      </c>
      <c r="C1175" s="29">
        <v>45935</v>
      </c>
      <c r="D1175" t="s">
        <v>908</v>
      </c>
      <c r="E1175" s="1276">
        <v>45769</v>
      </c>
      <c r="G1175">
        <v>542898</v>
      </c>
      <c r="I1175">
        <v>0</v>
      </c>
      <c r="J1175">
        <v>542898</v>
      </c>
      <c r="K1175">
        <v>0</v>
      </c>
      <c r="P1175" t="s">
        <v>1215</v>
      </c>
      <c r="Q1175" s="1308" t="s">
        <v>4911</v>
      </c>
    </row>
    <row r="1176" spans="1:17">
      <c r="A1176" s="1305" t="s">
        <v>3719</v>
      </c>
      <c r="B1176" s="29">
        <v>45837</v>
      </c>
      <c r="C1176" s="29">
        <v>45935</v>
      </c>
      <c r="D1176" t="s">
        <v>908</v>
      </c>
      <c r="E1176" s="1276">
        <v>45769</v>
      </c>
      <c r="G1176">
        <v>6434341</v>
      </c>
      <c r="I1176">
        <v>0</v>
      </c>
      <c r="J1176">
        <v>6434341</v>
      </c>
      <c r="K1176">
        <v>0</v>
      </c>
      <c r="P1176" t="s">
        <v>1215</v>
      </c>
      <c r="Q1176" s="1308" t="s">
        <v>4911</v>
      </c>
    </row>
    <row r="1177" spans="1:17">
      <c r="A1177" s="1305" t="s">
        <v>3719</v>
      </c>
      <c r="B1177" s="29">
        <v>45837</v>
      </c>
      <c r="C1177" s="29">
        <v>45935</v>
      </c>
      <c r="D1177" t="s">
        <v>908</v>
      </c>
      <c r="E1177" s="1276">
        <v>45769</v>
      </c>
      <c r="G1177">
        <v>6434341</v>
      </c>
      <c r="I1177">
        <v>0</v>
      </c>
      <c r="J1177">
        <v>6434341</v>
      </c>
      <c r="K1177">
        <v>0</v>
      </c>
      <c r="P1177" t="s">
        <v>1215</v>
      </c>
      <c r="Q1177" s="1308" t="s">
        <v>4911</v>
      </c>
    </row>
    <row r="1178" spans="1:17">
      <c r="A1178" s="1305" t="s">
        <v>3719</v>
      </c>
      <c r="B1178" s="29">
        <v>45837</v>
      </c>
      <c r="C1178" s="29">
        <v>45935</v>
      </c>
      <c r="D1178" t="s">
        <v>908</v>
      </c>
      <c r="E1178" s="1276">
        <v>45769</v>
      </c>
      <c r="G1178">
        <v>4634736</v>
      </c>
      <c r="I1178">
        <v>0</v>
      </c>
      <c r="J1178">
        <v>4634736</v>
      </c>
      <c r="K1178">
        <v>0</v>
      </c>
      <c r="P1178" t="s">
        <v>1215</v>
      </c>
      <c r="Q1178" s="1308" t="s">
        <v>4911</v>
      </c>
    </row>
    <row r="1179" spans="1:17">
      <c r="A1179" s="1305" t="s">
        <v>3719</v>
      </c>
      <c r="B1179" s="29">
        <v>45837</v>
      </c>
      <c r="C1179" s="29">
        <v>45935</v>
      </c>
      <c r="D1179" t="s">
        <v>908</v>
      </c>
      <c r="E1179" s="1276">
        <v>45769</v>
      </c>
      <c r="G1179">
        <v>6434341</v>
      </c>
      <c r="I1179">
        <v>0</v>
      </c>
      <c r="J1179">
        <v>6434341</v>
      </c>
      <c r="K1179">
        <v>0</v>
      </c>
      <c r="P1179" t="s">
        <v>1215</v>
      </c>
      <c r="Q1179" s="1308" t="s">
        <v>4911</v>
      </c>
    </row>
    <row r="1180" spans="1:17">
      <c r="A1180" s="1305" t="s">
        <v>3719</v>
      </c>
      <c r="B1180" s="29">
        <v>45837</v>
      </c>
      <c r="C1180" s="29">
        <v>45935</v>
      </c>
      <c r="D1180" t="s">
        <v>908</v>
      </c>
      <c r="E1180" s="1276">
        <v>45769</v>
      </c>
      <c r="G1180">
        <v>6434341</v>
      </c>
      <c r="I1180">
        <v>0</v>
      </c>
      <c r="J1180">
        <v>6434341</v>
      </c>
      <c r="K1180">
        <v>0</v>
      </c>
      <c r="P1180" t="s">
        <v>1215</v>
      </c>
      <c r="Q1180" s="1308" t="s">
        <v>4911</v>
      </c>
    </row>
    <row r="1181" spans="1:17">
      <c r="A1181" s="1305" t="s">
        <v>3719</v>
      </c>
      <c r="B1181" s="29">
        <v>45837</v>
      </c>
      <c r="C1181" s="29">
        <v>45935</v>
      </c>
      <c r="D1181" t="s">
        <v>908</v>
      </c>
      <c r="E1181" s="1276">
        <v>45769</v>
      </c>
      <c r="G1181">
        <v>6434341</v>
      </c>
      <c r="I1181">
        <v>0</v>
      </c>
      <c r="J1181">
        <v>6434341</v>
      </c>
      <c r="K1181">
        <v>0</v>
      </c>
      <c r="P1181" t="s">
        <v>1215</v>
      </c>
      <c r="Q1181" s="1308" t="s">
        <v>4911</v>
      </c>
    </row>
    <row r="1182" spans="1:17">
      <c r="A1182" s="1305" t="s">
        <v>3719</v>
      </c>
      <c r="B1182" s="29">
        <v>45837</v>
      </c>
      <c r="C1182" s="29">
        <v>45935</v>
      </c>
      <c r="D1182" t="s">
        <v>908</v>
      </c>
      <c r="E1182" s="1276">
        <v>45769</v>
      </c>
      <c r="G1182">
        <v>6434341</v>
      </c>
      <c r="I1182">
        <v>0</v>
      </c>
      <c r="J1182">
        <v>6434341</v>
      </c>
      <c r="K1182">
        <v>0</v>
      </c>
      <c r="P1182" t="s">
        <v>1215</v>
      </c>
      <c r="Q1182" s="1308" t="s">
        <v>4911</v>
      </c>
    </row>
    <row r="1183" spans="1:17">
      <c r="A1183" s="1305" t="s">
        <v>3719</v>
      </c>
      <c r="B1183" s="29">
        <v>45837</v>
      </c>
      <c r="C1183" s="29">
        <v>45935</v>
      </c>
      <c r="D1183" t="s">
        <v>908</v>
      </c>
      <c r="E1183" s="1276">
        <v>45769</v>
      </c>
      <c r="G1183">
        <v>6434341</v>
      </c>
      <c r="I1183">
        <v>0</v>
      </c>
      <c r="J1183">
        <v>6434341</v>
      </c>
      <c r="K1183">
        <v>0</v>
      </c>
      <c r="P1183" t="s">
        <v>1215</v>
      </c>
      <c r="Q1183" s="1308" t="s">
        <v>4911</v>
      </c>
    </row>
    <row r="1184" spans="1:17">
      <c r="A1184" s="1305" t="s">
        <v>3719</v>
      </c>
      <c r="B1184" s="29">
        <v>45837</v>
      </c>
      <c r="C1184" s="29">
        <v>45935</v>
      </c>
      <c r="D1184" t="s">
        <v>908</v>
      </c>
      <c r="E1184" s="1276">
        <v>45769</v>
      </c>
      <c r="G1184">
        <v>6434341</v>
      </c>
      <c r="I1184">
        <v>0</v>
      </c>
      <c r="J1184">
        <v>6434341</v>
      </c>
      <c r="K1184">
        <v>0</v>
      </c>
      <c r="P1184" t="s">
        <v>1215</v>
      </c>
      <c r="Q1184" s="1308" t="s">
        <v>4911</v>
      </c>
    </row>
    <row r="1185" spans="1:17">
      <c r="A1185" s="1305" t="s">
        <v>3719</v>
      </c>
      <c r="B1185" s="29">
        <v>45837</v>
      </c>
      <c r="C1185" s="29">
        <v>45935</v>
      </c>
      <c r="D1185" t="s">
        <v>908</v>
      </c>
      <c r="E1185" s="1276">
        <v>45769</v>
      </c>
      <c r="G1185">
        <v>6434341</v>
      </c>
      <c r="I1185">
        <v>0</v>
      </c>
      <c r="J1185">
        <v>6434341</v>
      </c>
      <c r="K1185">
        <v>0</v>
      </c>
      <c r="P1185" t="s">
        <v>1215</v>
      </c>
      <c r="Q1185" s="1308" t="s">
        <v>4911</v>
      </c>
    </row>
    <row r="1186" spans="1:17">
      <c r="A1186" s="1305" t="s">
        <v>3719</v>
      </c>
      <c r="B1186" s="29">
        <v>45837</v>
      </c>
      <c r="C1186" s="29">
        <v>45935</v>
      </c>
      <c r="D1186" t="s">
        <v>908</v>
      </c>
      <c r="E1186" s="1276">
        <v>45769</v>
      </c>
      <c r="G1186">
        <v>6434341</v>
      </c>
      <c r="I1186">
        <v>0</v>
      </c>
      <c r="J1186">
        <v>6434341</v>
      </c>
      <c r="K1186">
        <v>0</v>
      </c>
      <c r="P1186" t="s">
        <v>1215</v>
      </c>
      <c r="Q1186" s="1308" t="s">
        <v>4911</v>
      </c>
    </row>
    <row r="1187" spans="1:17">
      <c r="A1187" s="1305" t="s">
        <v>3719</v>
      </c>
      <c r="B1187" s="29">
        <v>45837</v>
      </c>
      <c r="C1187" s="29">
        <v>45935</v>
      </c>
      <c r="D1187" t="s">
        <v>908</v>
      </c>
      <c r="E1187" s="1276">
        <v>45769</v>
      </c>
      <c r="G1187">
        <v>6434341</v>
      </c>
      <c r="I1187">
        <v>0</v>
      </c>
      <c r="J1187">
        <v>6434341</v>
      </c>
      <c r="K1187">
        <v>0</v>
      </c>
      <c r="P1187" t="s">
        <v>1215</v>
      </c>
      <c r="Q1187" s="1308" t="s">
        <v>4911</v>
      </c>
    </row>
    <row r="1188" spans="1:17">
      <c r="A1188" s="1305" t="s">
        <v>3719</v>
      </c>
      <c r="B1188" s="29">
        <v>45837</v>
      </c>
      <c r="C1188" s="29">
        <v>45935</v>
      </c>
      <c r="D1188" t="s">
        <v>908</v>
      </c>
      <c r="E1188" s="1276">
        <v>45769</v>
      </c>
      <c r="G1188">
        <v>6434341</v>
      </c>
      <c r="I1188">
        <v>0</v>
      </c>
      <c r="J1188">
        <v>6434341</v>
      </c>
      <c r="K1188">
        <v>0</v>
      </c>
      <c r="P1188" t="s">
        <v>1215</v>
      </c>
      <c r="Q1188" s="1308" t="s">
        <v>4911</v>
      </c>
    </row>
    <row r="1189" spans="1:17">
      <c r="A1189" s="1305" t="s">
        <v>3719</v>
      </c>
      <c r="B1189" s="29">
        <v>45837</v>
      </c>
      <c r="C1189" s="29">
        <v>45935</v>
      </c>
      <c r="D1189" t="s">
        <v>908</v>
      </c>
      <c r="E1189" s="1276">
        <v>45769</v>
      </c>
      <c r="G1189">
        <v>6434341</v>
      </c>
      <c r="I1189">
        <v>0</v>
      </c>
      <c r="J1189">
        <v>6434341</v>
      </c>
      <c r="K1189">
        <v>0</v>
      </c>
      <c r="P1189" t="s">
        <v>1215</v>
      </c>
      <c r="Q1189" s="1308" t="s">
        <v>4911</v>
      </c>
    </row>
    <row r="1190" spans="1:17">
      <c r="A1190" s="1305" t="s">
        <v>3719</v>
      </c>
      <c r="B1190" s="29">
        <v>45837</v>
      </c>
      <c r="C1190" s="29">
        <v>45935</v>
      </c>
      <c r="D1190" t="s">
        <v>908</v>
      </c>
      <c r="E1190" s="1276">
        <v>45769</v>
      </c>
      <c r="G1190">
        <v>6434341</v>
      </c>
      <c r="I1190">
        <v>0</v>
      </c>
      <c r="J1190">
        <v>6434341</v>
      </c>
      <c r="K1190">
        <v>0</v>
      </c>
      <c r="P1190" t="s">
        <v>1215</v>
      </c>
      <c r="Q1190" s="1308" t="s">
        <v>4911</v>
      </c>
    </row>
    <row r="1191" spans="1:17">
      <c r="A1191" s="1305" t="s">
        <v>3719</v>
      </c>
      <c r="B1191" s="29">
        <v>45837</v>
      </c>
      <c r="C1191" s="29">
        <v>45935</v>
      </c>
      <c r="D1191" t="s">
        <v>908</v>
      </c>
      <c r="E1191" s="1276">
        <v>45769</v>
      </c>
      <c r="G1191">
        <v>6434341</v>
      </c>
      <c r="I1191">
        <v>0</v>
      </c>
      <c r="J1191">
        <v>6434341</v>
      </c>
      <c r="K1191">
        <v>0</v>
      </c>
      <c r="P1191" t="s">
        <v>1215</v>
      </c>
      <c r="Q1191" s="1308" t="s">
        <v>4911</v>
      </c>
    </row>
    <row r="1192" spans="1:17">
      <c r="A1192" s="1305" t="s">
        <v>3719</v>
      </c>
      <c r="B1192" s="29">
        <v>45837</v>
      </c>
      <c r="C1192" s="29">
        <v>45935</v>
      </c>
      <c r="D1192" t="s">
        <v>908</v>
      </c>
      <c r="E1192" s="1276">
        <v>45769</v>
      </c>
      <c r="G1192">
        <v>6434341</v>
      </c>
      <c r="I1192">
        <v>0</v>
      </c>
      <c r="J1192">
        <v>6434341</v>
      </c>
      <c r="K1192">
        <v>0</v>
      </c>
      <c r="P1192" t="s">
        <v>1215</v>
      </c>
      <c r="Q1192" s="1308" t="s">
        <v>4911</v>
      </c>
    </row>
    <row r="1193" spans="1:17">
      <c r="A1193" s="1305" t="s">
        <v>3719</v>
      </c>
      <c r="B1193" s="29">
        <v>45837</v>
      </c>
      <c r="C1193" s="29">
        <v>45935</v>
      </c>
      <c r="D1193" t="s">
        <v>908</v>
      </c>
      <c r="E1193" s="1276">
        <v>45769</v>
      </c>
      <c r="G1193">
        <v>6434341</v>
      </c>
      <c r="I1193">
        <v>0</v>
      </c>
      <c r="J1193">
        <v>6434341</v>
      </c>
      <c r="K1193">
        <v>0</v>
      </c>
      <c r="P1193" t="s">
        <v>1215</v>
      </c>
      <c r="Q1193" s="1308" t="s">
        <v>4911</v>
      </c>
    </row>
    <row r="1194" spans="1:17">
      <c r="A1194" s="1305" t="s">
        <v>3719</v>
      </c>
      <c r="B1194" s="29">
        <v>45837</v>
      </c>
      <c r="C1194" s="29">
        <v>45935</v>
      </c>
      <c r="D1194" t="s">
        <v>908</v>
      </c>
      <c r="E1194" s="1276">
        <v>45769</v>
      </c>
      <c r="G1194">
        <v>6434341</v>
      </c>
      <c r="I1194">
        <v>0</v>
      </c>
      <c r="J1194">
        <v>6434341</v>
      </c>
      <c r="K1194">
        <v>0</v>
      </c>
      <c r="P1194" t="s">
        <v>1215</v>
      </c>
      <c r="Q1194" s="1308" t="s">
        <v>4911</v>
      </c>
    </row>
    <row r="1195" spans="1:17">
      <c r="A1195" s="1305" t="s">
        <v>3719</v>
      </c>
      <c r="B1195" s="29">
        <v>45837</v>
      </c>
      <c r="C1195" s="29">
        <v>45935</v>
      </c>
      <c r="D1195" t="s">
        <v>908</v>
      </c>
      <c r="E1195" s="1276">
        <v>45769</v>
      </c>
      <c r="G1195">
        <v>6434341</v>
      </c>
      <c r="I1195">
        <v>0</v>
      </c>
      <c r="J1195">
        <v>6434341</v>
      </c>
      <c r="K1195">
        <v>0</v>
      </c>
      <c r="P1195" t="s">
        <v>1215</v>
      </c>
      <c r="Q1195" s="1308" t="s">
        <v>4911</v>
      </c>
    </row>
    <row r="1196" spans="1:17">
      <c r="A1196" s="1305" t="s">
        <v>3719</v>
      </c>
      <c r="B1196" s="29">
        <v>45837</v>
      </c>
      <c r="C1196" s="29">
        <v>45935</v>
      </c>
      <c r="D1196" t="s">
        <v>908</v>
      </c>
      <c r="E1196" s="1276">
        <v>45769</v>
      </c>
      <c r="G1196">
        <v>6434341</v>
      </c>
      <c r="I1196">
        <v>0</v>
      </c>
      <c r="J1196">
        <v>6434341</v>
      </c>
      <c r="K1196">
        <v>0</v>
      </c>
      <c r="P1196" t="s">
        <v>1215</v>
      </c>
      <c r="Q1196" s="1308" t="s">
        <v>4911</v>
      </c>
    </row>
    <row r="1197" spans="1:17">
      <c r="A1197" s="1305" t="s">
        <v>3719</v>
      </c>
      <c r="B1197" s="29">
        <v>45837</v>
      </c>
      <c r="C1197" s="29">
        <v>45935</v>
      </c>
      <c r="D1197" t="s">
        <v>908</v>
      </c>
      <c r="E1197" s="1276">
        <v>45769</v>
      </c>
      <c r="G1197">
        <v>6434341</v>
      </c>
      <c r="I1197">
        <v>0</v>
      </c>
      <c r="J1197">
        <v>6434341</v>
      </c>
      <c r="K1197">
        <v>0</v>
      </c>
      <c r="P1197" t="s">
        <v>1215</v>
      </c>
      <c r="Q1197" s="1308" t="s">
        <v>4911</v>
      </c>
    </row>
    <row r="1198" spans="1:17">
      <c r="A1198" s="1305" t="s">
        <v>3719</v>
      </c>
      <c r="B1198" s="29">
        <v>45837</v>
      </c>
      <c r="C1198" s="29">
        <v>45935</v>
      </c>
      <c r="D1198" t="s">
        <v>908</v>
      </c>
      <c r="E1198" s="1276">
        <v>45769</v>
      </c>
      <c r="G1198">
        <v>180966</v>
      </c>
      <c r="I1198">
        <v>0</v>
      </c>
      <c r="J1198">
        <v>180966</v>
      </c>
      <c r="K1198">
        <v>0</v>
      </c>
      <c r="P1198" t="s">
        <v>1215</v>
      </c>
      <c r="Q1198" s="1308" t="s">
        <v>4911</v>
      </c>
    </row>
    <row r="1199" spans="1:17">
      <c r="A1199" s="1305" t="s">
        <v>3719</v>
      </c>
      <c r="B1199" s="29">
        <v>45837</v>
      </c>
      <c r="C1199" s="29">
        <v>45935</v>
      </c>
      <c r="D1199" t="s">
        <v>908</v>
      </c>
      <c r="E1199" s="1276">
        <v>45769</v>
      </c>
      <c r="G1199">
        <v>6434341</v>
      </c>
      <c r="I1199">
        <v>0</v>
      </c>
      <c r="J1199">
        <v>6434341</v>
      </c>
      <c r="K1199">
        <v>0</v>
      </c>
      <c r="P1199" t="s">
        <v>1215</v>
      </c>
      <c r="Q1199" s="1308" t="s">
        <v>4911</v>
      </c>
    </row>
    <row r="1200" spans="1:17">
      <c r="A1200" s="1305" t="s">
        <v>3719</v>
      </c>
      <c r="B1200" s="29">
        <v>45837</v>
      </c>
      <c r="C1200" s="29">
        <v>45935</v>
      </c>
      <c r="D1200" t="s">
        <v>908</v>
      </c>
      <c r="E1200" s="1276">
        <v>45769</v>
      </c>
      <c r="G1200">
        <v>6434341</v>
      </c>
      <c r="I1200">
        <v>0</v>
      </c>
      <c r="J1200">
        <v>6434341</v>
      </c>
      <c r="K1200">
        <v>0</v>
      </c>
      <c r="P1200" t="s">
        <v>1215</v>
      </c>
      <c r="Q1200" s="1308" t="s">
        <v>4911</v>
      </c>
    </row>
    <row r="1201" spans="1:17">
      <c r="A1201" s="1305" t="s">
        <v>3719</v>
      </c>
      <c r="B1201" s="29">
        <v>45837</v>
      </c>
      <c r="C1201" s="29">
        <v>45935</v>
      </c>
      <c r="D1201" t="s">
        <v>908</v>
      </c>
      <c r="E1201" s="1276">
        <v>45769</v>
      </c>
      <c r="G1201">
        <v>904829</v>
      </c>
      <c r="I1201">
        <v>0</v>
      </c>
      <c r="J1201">
        <v>904829</v>
      </c>
      <c r="K1201">
        <v>0</v>
      </c>
      <c r="P1201" t="s">
        <v>1215</v>
      </c>
      <c r="Q1201" s="1308" t="s">
        <v>4911</v>
      </c>
    </row>
    <row r="1202" spans="1:17">
      <c r="A1202" s="1305" t="s">
        <v>3719</v>
      </c>
      <c r="B1202" s="29">
        <v>45837</v>
      </c>
      <c r="C1202" s="29">
        <v>45935</v>
      </c>
      <c r="D1202" t="s">
        <v>908</v>
      </c>
      <c r="E1202" s="1276">
        <v>45769</v>
      </c>
      <c r="G1202">
        <v>422254</v>
      </c>
      <c r="I1202">
        <v>0</v>
      </c>
      <c r="J1202">
        <v>422254</v>
      </c>
      <c r="K1202">
        <v>0</v>
      </c>
      <c r="P1202" t="s">
        <v>1215</v>
      </c>
      <c r="Q1202" s="1308" t="s">
        <v>4911</v>
      </c>
    </row>
    <row r="1203" spans="1:17">
      <c r="A1203" s="1305" t="s">
        <v>3719</v>
      </c>
      <c r="B1203" s="29">
        <v>45837</v>
      </c>
      <c r="C1203" s="29">
        <v>45935</v>
      </c>
      <c r="D1203" t="s">
        <v>908</v>
      </c>
      <c r="E1203" s="1276">
        <v>45769</v>
      </c>
      <c r="G1203">
        <v>563005</v>
      </c>
      <c r="I1203">
        <v>0</v>
      </c>
      <c r="J1203">
        <v>563005</v>
      </c>
      <c r="K1203">
        <v>0</v>
      </c>
      <c r="P1203" t="s">
        <v>1215</v>
      </c>
      <c r="Q1203" s="1308" t="s">
        <v>4911</v>
      </c>
    </row>
    <row r="1204" spans="1:17">
      <c r="A1204" s="1305" t="s">
        <v>3719</v>
      </c>
      <c r="B1204" s="29">
        <v>45837</v>
      </c>
      <c r="C1204" s="29">
        <v>45935</v>
      </c>
      <c r="D1204" t="s">
        <v>908</v>
      </c>
      <c r="E1204" s="1276">
        <v>45769</v>
      </c>
      <c r="G1204">
        <v>2815024</v>
      </c>
      <c r="I1204">
        <v>0</v>
      </c>
      <c r="J1204">
        <v>2815024</v>
      </c>
      <c r="K1204">
        <v>0</v>
      </c>
      <c r="P1204" t="s">
        <v>1215</v>
      </c>
      <c r="Q1204" s="1308" t="s">
        <v>4911</v>
      </c>
    </row>
    <row r="1205" spans="1:17">
      <c r="A1205" s="1305" t="s">
        <v>3719</v>
      </c>
      <c r="B1205" s="29">
        <v>45837</v>
      </c>
      <c r="C1205" s="29">
        <v>45935</v>
      </c>
      <c r="D1205" t="s">
        <v>908</v>
      </c>
      <c r="E1205" s="1276">
        <v>45769</v>
      </c>
      <c r="G1205">
        <v>6434341</v>
      </c>
      <c r="I1205">
        <v>0</v>
      </c>
      <c r="J1205">
        <v>6434341</v>
      </c>
      <c r="K1205">
        <v>0</v>
      </c>
      <c r="P1205" t="s">
        <v>1215</v>
      </c>
      <c r="Q1205" s="1308" t="s">
        <v>4911</v>
      </c>
    </row>
    <row r="1206" spans="1:17">
      <c r="A1206" s="1305" t="s">
        <v>3719</v>
      </c>
      <c r="B1206" s="29">
        <v>45837</v>
      </c>
      <c r="C1206" s="29">
        <v>45935</v>
      </c>
      <c r="D1206" t="s">
        <v>908</v>
      </c>
      <c r="E1206" s="1276">
        <v>45769</v>
      </c>
      <c r="G1206">
        <v>6434341</v>
      </c>
      <c r="I1206">
        <v>0</v>
      </c>
      <c r="J1206">
        <v>6434341</v>
      </c>
      <c r="K1206">
        <v>0</v>
      </c>
      <c r="P1206" t="s">
        <v>1215</v>
      </c>
      <c r="Q1206" s="1308" t="s">
        <v>4911</v>
      </c>
    </row>
    <row r="1207" spans="1:17">
      <c r="A1207" s="1305" t="s">
        <v>3719</v>
      </c>
      <c r="B1207" s="29">
        <v>45837</v>
      </c>
      <c r="C1207" s="29">
        <v>45935</v>
      </c>
      <c r="D1207" t="s">
        <v>908</v>
      </c>
      <c r="E1207" s="1276">
        <v>45769</v>
      </c>
      <c r="G1207">
        <v>6434341</v>
      </c>
      <c r="I1207">
        <v>0</v>
      </c>
      <c r="J1207">
        <v>6434341</v>
      </c>
      <c r="K1207">
        <v>0</v>
      </c>
      <c r="P1207" t="s">
        <v>1215</v>
      </c>
      <c r="Q1207" s="1308" t="s">
        <v>4911</v>
      </c>
    </row>
    <row r="1208" spans="1:17">
      <c r="A1208" s="1305" t="s">
        <v>3719</v>
      </c>
      <c r="B1208" s="29">
        <v>45837</v>
      </c>
      <c r="C1208" s="29">
        <v>45935</v>
      </c>
      <c r="D1208" t="s">
        <v>908</v>
      </c>
      <c r="E1208" s="1276">
        <v>45769</v>
      </c>
      <c r="G1208">
        <v>6434341</v>
      </c>
      <c r="I1208">
        <v>0</v>
      </c>
      <c r="J1208">
        <v>6434341</v>
      </c>
      <c r="K1208">
        <v>0</v>
      </c>
      <c r="P1208" t="s">
        <v>1215</v>
      </c>
      <c r="Q1208" s="1308" t="s">
        <v>4911</v>
      </c>
    </row>
    <row r="1209" spans="1:17">
      <c r="A1209" s="1305" t="s">
        <v>3719</v>
      </c>
      <c r="B1209" s="29">
        <v>45837</v>
      </c>
      <c r="C1209" s="29">
        <v>45935</v>
      </c>
      <c r="D1209" t="s">
        <v>908</v>
      </c>
      <c r="E1209" s="1276">
        <v>45769</v>
      </c>
      <c r="G1209">
        <v>6434341</v>
      </c>
      <c r="I1209">
        <v>0</v>
      </c>
      <c r="J1209">
        <v>6434341</v>
      </c>
      <c r="K1209">
        <v>0</v>
      </c>
      <c r="P1209" t="s">
        <v>1215</v>
      </c>
      <c r="Q1209" s="1308" t="s">
        <v>4911</v>
      </c>
    </row>
    <row r="1210" spans="1:17">
      <c r="A1210" s="1305" t="s">
        <v>3719</v>
      </c>
      <c r="B1210" s="29">
        <v>45837</v>
      </c>
      <c r="C1210" s="29">
        <v>45935</v>
      </c>
      <c r="D1210" t="s">
        <v>908</v>
      </c>
      <c r="E1210" s="1276">
        <v>45769</v>
      </c>
      <c r="G1210">
        <v>6434341</v>
      </c>
      <c r="I1210">
        <v>0</v>
      </c>
      <c r="J1210">
        <v>6434341</v>
      </c>
      <c r="K1210">
        <v>0</v>
      </c>
      <c r="P1210" t="s">
        <v>1215</v>
      </c>
      <c r="Q1210" s="1308" t="s">
        <v>4911</v>
      </c>
    </row>
    <row r="1211" spans="1:17">
      <c r="A1211" s="1305" t="s">
        <v>3719</v>
      </c>
      <c r="B1211" s="29">
        <v>45837</v>
      </c>
      <c r="C1211" s="29">
        <v>45935</v>
      </c>
      <c r="D1211" t="s">
        <v>908</v>
      </c>
      <c r="E1211" s="1276">
        <v>45769</v>
      </c>
      <c r="G1211">
        <v>6434341</v>
      </c>
      <c r="I1211">
        <v>0</v>
      </c>
      <c r="J1211">
        <v>6434341</v>
      </c>
      <c r="K1211">
        <v>0</v>
      </c>
      <c r="P1211" t="s">
        <v>1215</v>
      </c>
      <c r="Q1211" s="1308" t="s">
        <v>4911</v>
      </c>
    </row>
    <row r="1212" spans="1:17">
      <c r="A1212" s="1305" t="s">
        <v>3719</v>
      </c>
      <c r="B1212" s="29">
        <v>45837</v>
      </c>
      <c r="C1212" s="29">
        <v>45935</v>
      </c>
      <c r="D1212" t="s">
        <v>908</v>
      </c>
      <c r="E1212" s="1276">
        <v>45769</v>
      </c>
      <c r="G1212">
        <v>6434341</v>
      </c>
      <c r="I1212">
        <v>0</v>
      </c>
      <c r="J1212">
        <v>6434341</v>
      </c>
      <c r="K1212">
        <v>0</v>
      </c>
      <c r="P1212" t="s">
        <v>1215</v>
      </c>
      <c r="Q1212" s="1308" t="s">
        <v>4911</v>
      </c>
    </row>
    <row r="1213" spans="1:17">
      <c r="A1213" s="1305" t="s">
        <v>3719</v>
      </c>
      <c r="B1213" s="29">
        <v>45837</v>
      </c>
      <c r="C1213" s="29">
        <v>45935</v>
      </c>
      <c r="D1213" t="s">
        <v>908</v>
      </c>
      <c r="E1213" s="1276">
        <v>45769</v>
      </c>
      <c r="G1213">
        <v>6434341</v>
      </c>
      <c r="I1213">
        <v>0</v>
      </c>
      <c r="J1213">
        <v>6434341</v>
      </c>
      <c r="K1213">
        <v>0</v>
      </c>
      <c r="P1213" t="s">
        <v>1215</v>
      </c>
      <c r="Q1213" s="1308" t="s">
        <v>4911</v>
      </c>
    </row>
    <row r="1214" spans="1:17">
      <c r="A1214" s="1305" t="s">
        <v>3719</v>
      </c>
      <c r="B1214" s="29">
        <v>45837</v>
      </c>
      <c r="C1214" s="29">
        <v>45935</v>
      </c>
      <c r="D1214" t="s">
        <v>908</v>
      </c>
      <c r="E1214" s="1276">
        <v>45769</v>
      </c>
      <c r="G1214">
        <v>6434341</v>
      </c>
      <c r="I1214">
        <v>0</v>
      </c>
      <c r="J1214">
        <v>6434341</v>
      </c>
      <c r="K1214">
        <v>0</v>
      </c>
      <c r="P1214" t="s">
        <v>1215</v>
      </c>
      <c r="Q1214" s="1308" t="s">
        <v>4911</v>
      </c>
    </row>
    <row r="1215" spans="1:17">
      <c r="A1215" s="1305" t="s">
        <v>3719</v>
      </c>
      <c r="B1215" s="29">
        <v>45837</v>
      </c>
      <c r="C1215" s="29">
        <v>45935</v>
      </c>
      <c r="D1215" t="s">
        <v>908</v>
      </c>
      <c r="E1215" s="1276">
        <v>45769</v>
      </c>
      <c r="G1215">
        <v>6434341</v>
      </c>
      <c r="I1215">
        <v>0</v>
      </c>
      <c r="J1215">
        <v>6434341</v>
      </c>
      <c r="K1215">
        <v>0</v>
      </c>
      <c r="P1215" t="s">
        <v>1215</v>
      </c>
      <c r="Q1215" s="1308" t="s">
        <v>4911</v>
      </c>
    </row>
    <row r="1216" spans="1:17">
      <c r="A1216" s="1305" t="s">
        <v>3719</v>
      </c>
      <c r="B1216" s="29">
        <v>45837</v>
      </c>
      <c r="C1216" s="29">
        <v>45935</v>
      </c>
      <c r="D1216" t="s">
        <v>908</v>
      </c>
      <c r="E1216" s="1276">
        <v>45769</v>
      </c>
      <c r="G1216">
        <v>6434341</v>
      </c>
      <c r="I1216">
        <v>0</v>
      </c>
      <c r="J1216">
        <v>6434341</v>
      </c>
      <c r="K1216">
        <v>0</v>
      </c>
      <c r="P1216" t="s">
        <v>1215</v>
      </c>
      <c r="Q1216" s="1308" t="s">
        <v>4911</v>
      </c>
    </row>
    <row r="1217" spans="1:17">
      <c r="A1217" s="1305" t="s">
        <v>3719</v>
      </c>
      <c r="B1217" s="29">
        <v>45837</v>
      </c>
      <c r="C1217" s="29">
        <v>45935</v>
      </c>
      <c r="D1217" t="s">
        <v>908</v>
      </c>
      <c r="E1217" s="1276">
        <v>45769</v>
      </c>
      <c r="G1217">
        <v>6434341</v>
      </c>
      <c r="I1217">
        <v>0</v>
      </c>
      <c r="J1217">
        <v>6434341</v>
      </c>
      <c r="K1217">
        <v>0</v>
      </c>
      <c r="P1217" t="s">
        <v>1215</v>
      </c>
      <c r="Q1217" s="1308" t="s">
        <v>4911</v>
      </c>
    </row>
    <row r="1218" spans="1:17">
      <c r="A1218" s="1305" t="s">
        <v>3719</v>
      </c>
      <c r="B1218" s="29">
        <v>45837</v>
      </c>
      <c r="C1218" s="29">
        <v>45935</v>
      </c>
      <c r="D1218" t="s">
        <v>908</v>
      </c>
      <c r="E1218" s="1276">
        <v>45769</v>
      </c>
      <c r="G1218">
        <v>6434341</v>
      </c>
      <c r="I1218">
        <v>0</v>
      </c>
      <c r="J1218">
        <v>6434341</v>
      </c>
      <c r="K1218">
        <v>0</v>
      </c>
      <c r="P1218" t="s">
        <v>1215</v>
      </c>
      <c r="Q1218" s="1308" t="s">
        <v>4911</v>
      </c>
    </row>
    <row r="1219" spans="1:17">
      <c r="A1219" s="1305" t="s">
        <v>3719</v>
      </c>
      <c r="B1219" s="29">
        <v>45837</v>
      </c>
      <c r="C1219" s="29">
        <v>45935</v>
      </c>
      <c r="D1219" t="s">
        <v>908</v>
      </c>
      <c r="E1219" s="1276">
        <v>45769</v>
      </c>
      <c r="G1219">
        <v>6434341</v>
      </c>
      <c r="I1219">
        <v>0</v>
      </c>
      <c r="J1219">
        <v>6434341</v>
      </c>
      <c r="K1219">
        <v>0</v>
      </c>
      <c r="P1219" t="s">
        <v>1215</v>
      </c>
      <c r="Q1219" s="1308" t="s">
        <v>4911</v>
      </c>
    </row>
    <row r="1220" spans="1:17">
      <c r="A1220" s="1305" t="s">
        <v>3719</v>
      </c>
      <c r="B1220" s="29">
        <v>45837</v>
      </c>
      <c r="C1220" s="29">
        <v>45935</v>
      </c>
      <c r="D1220" t="s">
        <v>908</v>
      </c>
      <c r="E1220" s="1276">
        <v>45769</v>
      </c>
      <c r="G1220">
        <v>6434341</v>
      </c>
      <c r="I1220">
        <v>0</v>
      </c>
      <c r="J1220">
        <v>6434341</v>
      </c>
      <c r="K1220">
        <v>0</v>
      </c>
      <c r="P1220" t="s">
        <v>1215</v>
      </c>
      <c r="Q1220" s="1308" t="s">
        <v>4911</v>
      </c>
    </row>
    <row r="1221" spans="1:17">
      <c r="A1221" s="1305" t="s">
        <v>3719</v>
      </c>
      <c r="B1221" s="29">
        <v>45837</v>
      </c>
      <c r="C1221" s="29">
        <v>45935</v>
      </c>
      <c r="D1221" t="s">
        <v>908</v>
      </c>
      <c r="E1221" s="1276">
        <v>45769</v>
      </c>
      <c r="G1221">
        <v>6434341</v>
      </c>
      <c r="I1221">
        <v>0</v>
      </c>
      <c r="J1221">
        <v>6434341</v>
      </c>
      <c r="K1221">
        <v>0</v>
      </c>
      <c r="P1221" t="s">
        <v>1215</v>
      </c>
      <c r="Q1221" s="1308" t="s">
        <v>4911</v>
      </c>
    </row>
    <row r="1222" spans="1:17">
      <c r="A1222" s="1305" t="s">
        <v>3719</v>
      </c>
      <c r="B1222" s="29">
        <v>45837</v>
      </c>
      <c r="C1222" s="29">
        <v>45935</v>
      </c>
      <c r="D1222" t="s">
        <v>908</v>
      </c>
      <c r="E1222" s="1276">
        <v>45769</v>
      </c>
      <c r="G1222">
        <v>6434341</v>
      </c>
      <c r="I1222">
        <v>0</v>
      </c>
      <c r="J1222">
        <v>6434341</v>
      </c>
      <c r="K1222">
        <v>0</v>
      </c>
      <c r="P1222" t="s">
        <v>1215</v>
      </c>
      <c r="Q1222" s="1308" t="s">
        <v>4911</v>
      </c>
    </row>
    <row r="1223" spans="1:17">
      <c r="A1223" s="1305" t="s">
        <v>3719</v>
      </c>
      <c r="B1223" s="29">
        <v>45837</v>
      </c>
      <c r="C1223" s="29">
        <v>45935</v>
      </c>
      <c r="D1223" t="s">
        <v>908</v>
      </c>
      <c r="E1223" s="1276">
        <v>45769</v>
      </c>
      <c r="G1223">
        <v>6434341</v>
      </c>
      <c r="I1223">
        <v>0</v>
      </c>
      <c r="J1223">
        <v>6434341</v>
      </c>
      <c r="K1223">
        <v>0</v>
      </c>
      <c r="P1223" t="s">
        <v>1215</v>
      </c>
      <c r="Q1223" s="1308" t="s">
        <v>4911</v>
      </c>
    </row>
    <row r="1224" spans="1:17">
      <c r="A1224" s="1305" t="s">
        <v>3719</v>
      </c>
      <c r="B1224" s="29">
        <v>45837</v>
      </c>
      <c r="C1224" s="29">
        <v>45935</v>
      </c>
      <c r="D1224" t="s">
        <v>908</v>
      </c>
      <c r="E1224" s="1276">
        <v>45769</v>
      </c>
      <c r="G1224">
        <v>6434341</v>
      </c>
      <c r="I1224">
        <v>0</v>
      </c>
      <c r="J1224">
        <v>6434341</v>
      </c>
      <c r="K1224">
        <v>0</v>
      </c>
      <c r="P1224" t="s">
        <v>1215</v>
      </c>
      <c r="Q1224" s="1308" t="s">
        <v>4911</v>
      </c>
    </row>
    <row r="1225" spans="1:17">
      <c r="A1225" s="1305" t="s">
        <v>3719</v>
      </c>
      <c r="B1225" s="29">
        <v>45837</v>
      </c>
      <c r="C1225" s="29">
        <v>45935</v>
      </c>
      <c r="D1225" t="s">
        <v>908</v>
      </c>
      <c r="E1225" s="1276">
        <v>45769</v>
      </c>
      <c r="G1225">
        <v>6434341</v>
      </c>
      <c r="I1225">
        <v>0</v>
      </c>
      <c r="J1225">
        <v>6434341</v>
      </c>
      <c r="K1225">
        <v>0</v>
      </c>
      <c r="P1225" t="s">
        <v>1215</v>
      </c>
      <c r="Q1225" s="1308" t="s">
        <v>4911</v>
      </c>
    </row>
    <row r="1226" spans="1:17">
      <c r="A1226" s="1305" t="s">
        <v>3719</v>
      </c>
      <c r="B1226" s="29">
        <v>45837</v>
      </c>
      <c r="C1226" s="29">
        <v>45935</v>
      </c>
      <c r="D1226" t="s">
        <v>908</v>
      </c>
      <c r="E1226" s="1276">
        <v>45769</v>
      </c>
      <c r="G1226">
        <v>6434341</v>
      </c>
      <c r="I1226">
        <v>0</v>
      </c>
      <c r="J1226">
        <v>6434341</v>
      </c>
      <c r="K1226">
        <v>0</v>
      </c>
      <c r="P1226" t="s">
        <v>1215</v>
      </c>
      <c r="Q1226" s="1308" t="s">
        <v>4911</v>
      </c>
    </row>
    <row r="1227" spans="1:17">
      <c r="A1227" s="1305" t="s">
        <v>3719</v>
      </c>
      <c r="B1227" s="29">
        <v>45837</v>
      </c>
      <c r="C1227" s="29">
        <v>45935</v>
      </c>
      <c r="D1227" t="s">
        <v>908</v>
      </c>
      <c r="E1227" s="1276">
        <v>45769</v>
      </c>
      <c r="G1227">
        <v>6434341</v>
      </c>
      <c r="I1227">
        <v>0</v>
      </c>
      <c r="J1227">
        <v>6434341</v>
      </c>
      <c r="K1227">
        <v>0</v>
      </c>
      <c r="P1227" t="s">
        <v>1215</v>
      </c>
      <c r="Q1227" s="1308" t="s">
        <v>4911</v>
      </c>
    </row>
    <row r="1228" spans="1:17">
      <c r="A1228" s="1305" t="s">
        <v>3719</v>
      </c>
      <c r="B1228" s="29">
        <v>45837</v>
      </c>
      <c r="C1228" s="29">
        <v>45935</v>
      </c>
      <c r="D1228" t="s">
        <v>908</v>
      </c>
      <c r="E1228" s="1276">
        <v>45769</v>
      </c>
      <c r="G1228">
        <v>6434341</v>
      </c>
      <c r="I1228">
        <v>0</v>
      </c>
      <c r="J1228">
        <v>6434341</v>
      </c>
      <c r="K1228">
        <v>0</v>
      </c>
      <c r="P1228" t="s">
        <v>1215</v>
      </c>
      <c r="Q1228" s="1308" t="s">
        <v>4911</v>
      </c>
    </row>
    <row r="1229" spans="1:17">
      <c r="A1229" s="1305" t="s">
        <v>3719</v>
      </c>
      <c r="B1229" s="29">
        <v>45837</v>
      </c>
      <c r="C1229" s="29">
        <v>45935</v>
      </c>
      <c r="D1229" t="s">
        <v>908</v>
      </c>
      <c r="E1229" s="1276">
        <v>45769</v>
      </c>
      <c r="G1229">
        <v>6434341</v>
      </c>
      <c r="I1229">
        <v>0</v>
      </c>
      <c r="J1229">
        <v>6434341</v>
      </c>
      <c r="K1229">
        <v>0</v>
      </c>
      <c r="P1229" t="s">
        <v>1215</v>
      </c>
      <c r="Q1229" s="1308" t="s">
        <v>4911</v>
      </c>
    </row>
    <row r="1230" spans="1:17">
      <c r="A1230" s="1305" t="s">
        <v>3719</v>
      </c>
      <c r="B1230" s="29">
        <v>45837</v>
      </c>
      <c r="C1230" s="29">
        <v>45935</v>
      </c>
      <c r="D1230" t="s">
        <v>908</v>
      </c>
      <c r="E1230" s="1276">
        <v>45769</v>
      </c>
      <c r="G1230">
        <v>6434341</v>
      </c>
      <c r="I1230">
        <v>0</v>
      </c>
      <c r="J1230">
        <v>6434341</v>
      </c>
      <c r="K1230">
        <v>0</v>
      </c>
      <c r="P1230" t="s">
        <v>1215</v>
      </c>
      <c r="Q1230" s="1308" t="s">
        <v>4911</v>
      </c>
    </row>
    <row r="1231" spans="1:17">
      <c r="A1231" s="1305" t="s">
        <v>3719</v>
      </c>
      <c r="B1231" s="29">
        <v>45837</v>
      </c>
      <c r="C1231" s="29">
        <v>45935</v>
      </c>
      <c r="D1231" t="s">
        <v>908</v>
      </c>
      <c r="E1231" s="1276">
        <v>45769</v>
      </c>
      <c r="G1231">
        <v>6434341</v>
      </c>
      <c r="I1231">
        <v>0</v>
      </c>
      <c r="J1231">
        <v>6434341</v>
      </c>
      <c r="K1231">
        <v>0</v>
      </c>
      <c r="P1231" t="s">
        <v>1215</v>
      </c>
      <c r="Q1231" s="1308" t="s">
        <v>4911</v>
      </c>
    </row>
    <row r="1232" spans="1:17">
      <c r="A1232" s="1305" t="s">
        <v>3719</v>
      </c>
      <c r="B1232" s="29">
        <v>45837</v>
      </c>
      <c r="C1232" s="29">
        <v>45935</v>
      </c>
      <c r="D1232" t="s">
        <v>908</v>
      </c>
      <c r="E1232" s="1276">
        <v>45769</v>
      </c>
      <c r="G1232">
        <v>6434341</v>
      </c>
      <c r="I1232">
        <v>0</v>
      </c>
      <c r="J1232">
        <v>6434341</v>
      </c>
      <c r="K1232">
        <v>0</v>
      </c>
      <c r="P1232" t="s">
        <v>1215</v>
      </c>
      <c r="Q1232" s="1308" t="s">
        <v>4911</v>
      </c>
    </row>
    <row r="1233" spans="1:17">
      <c r="A1233" s="1305" t="s">
        <v>3719</v>
      </c>
      <c r="B1233" s="29">
        <v>45837</v>
      </c>
      <c r="C1233" s="29">
        <v>45935</v>
      </c>
      <c r="D1233" t="s">
        <v>908</v>
      </c>
      <c r="E1233" s="1276">
        <v>45769</v>
      </c>
      <c r="G1233">
        <v>6434341</v>
      </c>
      <c r="I1233">
        <v>0</v>
      </c>
      <c r="J1233">
        <v>6434341</v>
      </c>
      <c r="K1233">
        <v>0</v>
      </c>
      <c r="P1233" t="s">
        <v>1215</v>
      </c>
      <c r="Q1233" s="1308" t="s">
        <v>4911</v>
      </c>
    </row>
    <row r="1234" spans="1:17">
      <c r="A1234" s="1305" t="s">
        <v>3719</v>
      </c>
      <c r="B1234" s="29">
        <v>45837</v>
      </c>
      <c r="C1234" s="29">
        <v>45935</v>
      </c>
      <c r="D1234" t="s">
        <v>908</v>
      </c>
      <c r="E1234" s="1276">
        <v>45769</v>
      </c>
      <c r="G1234">
        <v>6434341</v>
      </c>
      <c r="I1234">
        <v>0</v>
      </c>
      <c r="J1234">
        <v>6434341</v>
      </c>
      <c r="K1234">
        <v>0</v>
      </c>
      <c r="P1234" t="s">
        <v>1215</v>
      </c>
      <c r="Q1234" s="1308" t="s">
        <v>4911</v>
      </c>
    </row>
    <row r="1235" spans="1:17">
      <c r="A1235" s="1305" t="s">
        <v>3719</v>
      </c>
      <c r="B1235" s="29">
        <v>45837</v>
      </c>
      <c r="C1235" s="29">
        <v>45935</v>
      </c>
      <c r="D1235" t="s">
        <v>908</v>
      </c>
      <c r="E1235" s="1276">
        <v>45769</v>
      </c>
      <c r="G1235">
        <v>3418244</v>
      </c>
      <c r="I1235">
        <v>0</v>
      </c>
      <c r="J1235">
        <v>3418244</v>
      </c>
      <c r="K1235">
        <v>0</v>
      </c>
      <c r="P1235" t="s">
        <v>1215</v>
      </c>
      <c r="Q1235" s="1308" t="s">
        <v>4911</v>
      </c>
    </row>
    <row r="1236" spans="1:17">
      <c r="A1236" s="1305" t="s">
        <v>3719</v>
      </c>
      <c r="B1236" s="29">
        <v>45837</v>
      </c>
      <c r="C1236" s="29">
        <v>45935</v>
      </c>
      <c r="D1236" t="s">
        <v>908</v>
      </c>
      <c r="E1236" s="1276">
        <v>45769</v>
      </c>
      <c r="G1236">
        <v>6434341</v>
      </c>
      <c r="I1236">
        <v>0</v>
      </c>
      <c r="J1236">
        <v>6434341</v>
      </c>
      <c r="K1236">
        <v>0</v>
      </c>
      <c r="P1236" t="s">
        <v>1215</v>
      </c>
      <c r="Q1236" s="1308" t="s">
        <v>4911</v>
      </c>
    </row>
    <row r="1237" spans="1:17">
      <c r="A1237" s="1305" t="s">
        <v>3719</v>
      </c>
      <c r="B1237" s="29">
        <v>45837</v>
      </c>
      <c r="C1237" s="29">
        <v>45935</v>
      </c>
      <c r="D1237" t="s">
        <v>908</v>
      </c>
      <c r="E1237" s="1276">
        <v>45769</v>
      </c>
      <c r="G1237">
        <v>6434341</v>
      </c>
      <c r="I1237">
        <v>0</v>
      </c>
      <c r="J1237">
        <v>6434341</v>
      </c>
      <c r="K1237">
        <v>0</v>
      </c>
      <c r="P1237" t="s">
        <v>1215</v>
      </c>
      <c r="Q1237" s="1308" t="s">
        <v>4911</v>
      </c>
    </row>
    <row r="1238" spans="1:17">
      <c r="A1238" s="1305" t="s">
        <v>3719</v>
      </c>
      <c r="B1238" s="29">
        <v>45837</v>
      </c>
      <c r="C1238" s="29">
        <v>45935</v>
      </c>
      <c r="D1238" t="s">
        <v>908</v>
      </c>
      <c r="E1238" s="1276">
        <v>45769</v>
      </c>
      <c r="G1238">
        <v>6434341</v>
      </c>
      <c r="I1238">
        <v>0</v>
      </c>
      <c r="J1238">
        <v>6434341</v>
      </c>
      <c r="K1238">
        <v>0</v>
      </c>
      <c r="P1238" t="s">
        <v>1215</v>
      </c>
      <c r="Q1238" s="1308" t="s">
        <v>4911</v>
      </c>
    </row>
    <row r="1239" spans="1:17">
      <c r="A1239" s="1305" t="s">
        <v>3719</v>
      </c>
      <c r="B1239" s="29">
        <v>45837</v>
      </c>
      <c r="C1239" s="29">
        <v>45935</v>
      </c>
      <c r="D1239" t="s">
        <v>908</v>
      </c>
      <c r="E1239" s="1276">
        <v>45769</v>
      </c>
      <c r="G1239">
        <v>6434341</v>
      </c>
      <c r="I1239">
        <v>0</v>
      </c>
      <c r="J1239">
        <v>6434341</v>
      </c>
      <c r="K1239">
        <v>0</v>
      </c>
      <c r="P1239" t="s">
        <v>1215</v>
      </c>
      <c r="Q1239" s="1308" t="s">
        <v>4911</v>
      </c>
    </row>
    <row r="1240" spans="1:17">
      <c r="A1240" s="1305" t="s">
        <v>3719</v>
      </c>
      <c r="B1240" s="29">
        <v>45837</v>
      </c>
      <c r="C1240" s="29">
        <v>45935</v>
      </c>
      <c r="D1240" t="s">
        <v>908</v>
      </c>
      <c r="E1240" s="1276">
        <v>45769</v>
      </c>
      <c r="G1240">
        <v>6434341</v>
      </c>
      <c r="I1240">
        <v>0</v>
      </c>
      <c r="J1240">
        <v>6434341</v>
      </c>
      <c r="K1240">
        <v>0</v>
      </c>
      <c r="P1240" t="s">
        <v>1215</v>
      </c>
      <c r="Q1240" s="1308" t="s">
        <v>4911</v>
      </c>
    </row>
    <row r="1241" spans="1:17">
      <c r="A1241" s="1305" t="s">
        <v>3719</v>
      </c>
      <c r="B1241" s="29">
        <v>45837</v>
      </c>
      <c r="C1241" s="29">
        <v>45935</v>
      </c>
      <c r="D1241" t="s">
        <v>908</v>
      </c>
      <c r="E1241" s="1276">
        <v>45769</v>
      </c>
      <c r="G1241">
        <v>6434341</v>
      </c>
      <c r="I1241">
        <v>0</v>
      </c>
      <c r="J1241">
        <v>6434341</v>
      </c>
      <c r="K1241">
        <v>0</v>
      </c>
      <c r="P1241" t="s">
        <v>1215</v>
      </c>
      <c r="Q1241" s="1308" t="s">
        <v>4911</v>
      </c>
    </row>
    <row r="1242" spans="1:17">
      <c r="A1242" s="1305" t="s">
        <v>3719</v>
      </c>
      <c r="B1242" s="29">
        <v>45837</v>
      </c>
      <c r="C1242" s="29">
        <v>45935</v>
      </c>
      <c r="D1242" t="s">
        <v>908</v>
      </c>
      <c r="E1242" s="1276">
        <v>45769</v>
      </c>
      <c r="G1242">
        <v>6434341</v>
      </c>
      <c r="I1242">
        <v>0</v>
      </c>
      <c r="J1242">
        <v>6434341</v>
      </c>
      <c r="K1242">
        <v>0</v>
      </c>
      <c r="P1242" t="s">
        <v>1215</v>
      </c>
      <c r="Q1242" s="1308" t="s">
        <v>4911</v>
      </c>
    </row>
    <row r="1243" spans="1:17">
      <c r="A1243" s="1305" t="s">
        <v>3719</v>
      </c>
      <c r="B1243" s="29">
        <v>45900</v>
      </c>
      <c r="C1243" s="29">
        <v>45935</v>
      </c>
      <c r="D1243" t="s">
        <v>908</v>
      </c>
      <c r="E1243" s="1276">
        <v>45769</v>
      </c>
      <c r="G1243">
        <v>-6434340.8640000001</v>
      </c>
      <c r="I1243">
        <v>0</v>
      </c>
      <c r="J1243">
        <v>-6434340.8640000001</v>
      </c>
      <c r="K1243">
        <v>0</v>
      </c>
      <c r="P1243" t="s">
        <v>1215</v>
      </c>
      <c r="Q1243" s="1308" t="s">
        <v>4911</v>
      </c>
    </row>
    <row r="1244" spans="1:17">
      <c r="A1244" s="1305" t="s">
        <v>3719</v>
      </c>
      <c r="B1244" s="29">
        <v>45859</v>
      </c>
      <c r="C1244" s="29">
        <v>45935</v>
      </c>
      <c r="D1244" t="s">
        <v>908</v>
      </c>
      <c r="E1244" s="1276">
        <v>45769</v>
      </c>
      <c r="G1244">
        <v>7339171</v>
      </c>
      <c r="I1244">
        <v>0</v>
      </c>
      <c r="J1244">
        <v>7339171</v>
      </c>
      <c r="K1244">
        <v>0</v>
      </c>
      <c r="P1244" t="s">
        <v>1215</v>
      </c>
      <c r="Q1244" s="1308" t="s">
        <v>4911</v>
      </c>
    </row>
    <row r="1245" spans="1:17">
      <c r="A1245" s="1305" t="s">
        <v>3719</v>
      </c>
      <c r="B1245" s="29">
        <v>45859</v>
      </c>
      <c r="C1245" s="29">
        <v>45935</v>
      </c>
      <c r="D1245" t="s">
        <v>908</v>
      </c>
      <c r="E1245" s="1276">
        <v>45769</v>
      </c>
      <c r="G1245">
        <v>6484609</v>
      </c>
      <c r="I1245">
        <v>0</v>
      </c>
      <c r="J1245">
        <v>6484609</v>
      </c>
      <c r="K1245">
        <v>0</v>
      </c>
      <c r="P1245" t="s">
        <v>1215</v>
      </c>
      <c r="Q1245" s="1308" t="s">
        <v>4911</v>
      </c>
    </row>
    <row r="1246" spans="1:17">
      <c r="A1246" s="1305" t="s">
        <v>3719</v>
      </c>
      <c r="B1246" s="29">
        <f t="shared" ref="B1246:B1247" si="26">E1246</f>
        <v>45769</v>
      </c>
      <c r="C1246" s="29">
        <v>45935</v>
      </c>
      <c r="D1246" t="s">
        <v>908</v>
      </c>
      <c r="E1246" s="1276">
        <v>45769</v>
      </c>
      <c r="G1246">
        <v>0</v>
      </c>
      <c r="I1246">
        <v>0</v>
      </c>
      <c r="J1246">
        <v>0</v>
      </c>
      <c r="K1246">
        <v>0</v>
      </c>
      <c r="P1246" t="s">
        <v>1215</v>
      </c>
      <c r="Q1246" s="1308" t="s">
        <v>4911</v>
      </c>
    </row>
    <row r="1247" spans="1:17">
      <c r="A1247" s="1305" t="s">
        <v>3719</v>
      </c>
      <c r="B1247" s="29">
        <f t="shared" si="26"/>
        <v>45769</v>
      </c>
      <c r="C1247" s="29">
        <v>0</v>
      </c>
      <c r="D1247" t="s">
        <v>908</v>
      </c>
      <c r="E1247" s="1276">
        <v>45769</v>
      </c>
      <c r="G1247">
        <v>0</v>
      </c>
      <c r="I1247">
        <v>438918097</v>
      </c>
      <c r="J1247">
        <v>-438918097</v>
      </c>
      <c r="K1247">
        <v>0</v>
      </c>
      <c r="P1247" t="s">
        <v>1215</v>
      </c>
      <c r="Q1247" s="1308" t="s">
        <v>4911</v>
      </c>
    </row>
    <row r="1248" spans="1:17">
      <c r="A1248" s="1305" t="s">
        <v>3719</v>
      </c>
      <c r="B1248" s="29">
        <v>45915</v>
      </c>
      <c r="C1248" s="29">
        <v>45935</v>
      </c>
      <c r="D1248" t="s">
        <v>908</v>
      </c>
      <c r="E1248" s="1276">
        <v>45769</v>
      </c>
      <c r="G1248">
        <v>2374262</v>
      </c>
      <c r="I1248">
        <v>0</v>
      </c>
      <c r="J1248">
        <v>2374262</v>
      </c>
      <c r="K1248">
        <v>0</v>
      </c>
      <c r="P1248" t="s">
        <v>1215</v>
      </c>
      <c r="Q1248" s="1308" t="s">
        <v>4911</v>
      </c>
    </row>
    <row r="1249" spans="1:17">
      <c r="A1249" s="1305" t="s">
        <v>3719</v>
      </c>
      <c r="B1249" s="29">
        <v>45915</v>
      </c>
      <c r="C1249" s="29">
        <v>45935</v>
      </c>
      <c r="D1249" t="s">
        <v>908</v>
      </c>
      <c r="E1249" s="1276">
        <v>45769</v>
      </c>
      <c r="G1249">
        <v>2967828</v>
      </c>
      <c r="I1249">
        <v>0</v>
      </c>
      <c r="J1249">
        <v>2967828</v>
      </c>
      <c r="K1249">
        <v>0</v>
      </c>
      <c r="P1249" t="s">
        <v>1215</v>
      </c>
      <c r="Q1249" s="1308" t="s">
        <v>4911</v>
      </c>
    </row>
    <row r="1250" spans="1:17">
      <c r="A1250" s="1305" t="s">
        <v>3719</v>
      </c>
      <c r="B1250" s="29">
        <v>45915</v>
      </c>
      <c r="C1250" s="29">
        <v>45935</v>
      </c>
      <c r="D1250" t="s">
        <v>908</v>
      </c>
      <c r="E1250" s="1276">
        <v>45769</v>
      </c>
      <c r="G1250">
        <v>2374262</v>
      </c>
      <c r="I1250">
        <v>0</v>
      </c>
      <c r="J1250">
        <v>2374262</v>
      </c>
      <c r="K1250">
        <v>0</v>
      </c>
      <c r="P1250" t="s">
        <v>1215</v>
      </c>
      <c r="Q1250" s="1308" t="s">
        <v>4911</v>
      </c>
    </row>
    <row r="1251" spans="1:17">
      <c r="A1251" s="1305" t="s">
        <v>3719</v>
      </c>
      <c r="B1251" s="29">
        <v>45915</v>
      </c>
      <c r="C1251" s="29">
        <v>45935</v>
      </c>
      <c r="D1251" t="s">
        <v>908</v>
      </c>
      <c r="E1251" s="1276">
        <v>45769</v>
      </c>
      <c r="G1251">
        <v>2374262</v>
      </c>
      <c r="I1251">
        <v>0</v>
      </c>
      <c r="J1251">
        <v>2374262</v>
      </c>
      <c r="K1251">
        <v>0</v>
      </c>
      <c r="P1251" t="s">
        <v>1215</v>
      </c>
      <c r="Q1251" s="1308" t="s">
        <v>4911</v>
      </c>
    </row>
    <row r="1252" spans="1:17">
      <c r="A1252" s="1305" t="s">
        <v>3719</v>
      </c>
      <c r="B1252" s="29">
        <v>45915</v>
      </c>
      <c r="C1252" s="29">
        <v>45935</v>
      </c>
      <c r="D1252" t="s">
        <v>908</v>
      </c>
      <c r="E1252" s="1276">
        <v>45769</v>
      </c>
      <c r="G1252">
        <v>2374262</v>
      </c>
      <c r="I1252">
        <v>0</v>
      </c>
      <c r="J1252">
        <v>2374262</v>
      </c>
      <c r="K1252">
        <v>0</v>
      </c>
      <c r="P1252" t="s">
        <v>1215</v>
      </c>
      <c r="Q1252" s="1308" t="s">
        <v>4911</v>
      </c>
    </row>
    <row r="1253" spans="1:17">
      <c r="A1253" s="1305" t="s">
        <v>3719</v>
      </c>
      <c r="B1253" s="29">
        <v>45915</v>
      </c>
      <c r="C1253" s="29">
        <v>45935</v>
      </c>
      <c r="D1253" t="s">
        <v>908</v>
      </c>
      <c r="E1253" s="1276">
        <v>45769</v>
      </c>
      <c r="G1253">
        <v>2374262</v>
      </c>
      <c r="I1253">
        <v>0</v>
      </c>
      <c r="J1253">
        <v>2374262</v>
      </c>
      <c r="K1253">
        <v>0</v>
      </c>
      <c r="P1253" t="s">
        <v>1215</v>
      </c>
      <c r="Q1253" s="1308" t="s">
        <v>4911</v>
      </c>
    </row>
    <row r="1254" spans="1:17">
      <c r="A1254" s="1305" t="s">
        <v>3719</v>
      </c>
      <c r="B1254" s="29">
        <v>45916</v>
      </c>
      <c r="C1254" s="29">
        <v>45935</v>
      </c>
      <c r="D1254" t="s">
        <v>908</v>
      </c>
      <c r="E1254" s="1276">
        <v>45769</v>
      </c>
      <c r="G1254">
        <v>2374262</v>
      </c>
      <c r="I1254">
        <v>0</v>
      </c>
      <c r="J1254">
        <v>2374262</v>
      </c>
      <c r="K1254">
        <v>0</v>
      </c>
      <c r="P1254" t="s">
        <v>1215</v>
      </c>
      <c r="Q1254" s="1308" t="s">
        <v>4911</v>
      </c>
    </row>
    <row r="1255" spans="1:17">
      <c r="A1255" s="1305" t="s">
        <v>3719</v>
      </c>
      <c r="B1255" s="29">
        <v>45916</v>
      </c>
      <c r="C1255" s="29">
        <v>45935</v>
      </c>
      <c r="D1255" t="s">
        <v>908</v>
      </c>
      <c r="E1255" s="1276">
        <v>45769</v>
      </c>
      <c r="G1255">
        <v>2374262</v>
      </c>
      <c r="I1255">
        <v>0</v>
      </c>
      <c r="J1255">
        <v>2374262</v>
      </c>
      <c r="K1255">
        <v>0</v>
      </c>
      <c r="P1255" t="s">
        <v>1215</v>
      </c>
      <c r="Q1255" s="1308" t="s">
        <v>4911</v>
      </c>
    </row>
    <row r="1256" spans="1:17">
      <c r="A1256" s="1305" t="s">
        <v>3719</v>
      </c>
      <c r="B1256" s="29">
        <v>45916</v>
      </c>
      <c r="C1256" s="29">
        <v>45935</v>
      </c>
      <c r="D1256" t="s">
        <v>908</v>
      </c>
      <c r="E1256" s="1276">
        <v>45769</v>
      </c>
      <c r="G1256">
        <v>2374262</v>
      </c>
      <c r="I1256">
        <v>0</v>
      </c>
      <c r="J1256">
        <v>2374262</v>
      </c>
      <c r="K1256">
        <v>0</v>
      </c>
      <c r="P1256" t="s">
        <v>1215</v>
      </c>
      <c r="Q1256" s="1308" t="s">
        <v>4911</v>
      </c>
    </row>
    <row r="1257" spans="1:17">
      <c r="A1257" s="1305" t="s">
        <v>3719</v>
      </c>
      <c r="B1257" s="29">
        <v>45916</v>
      </c>
      <c r="C1257" s="29">
        <v>45935</v>
      </c>
      <c r="D1257" t="s">
        <v>908</v>
      </c>
      <c r="E1257" s="1276">
        <v>45769</v>
      </c>
      <c r="G1257">
        <v>2374262</v>
      </c>
      <c r="I1257">
        <v>0</v>
      </c>
      <c r="J1257">
        <v>2374262</v>
      </c>
      <c r="K1257">
        <v>0</v>
      </c>
      <c r="P1257" t="s">
        <v>1215</v>
      </c>
      <c r="Q1257" s="1308" t="s">
        <v>4911</v>
      </c>
    </row>
    <row r="1258" spans="1:17">
      <c r="A1258" s="1305" t="s">
        <v>3719</v>
      </c>
      <c r="B1258" s="29">
        <v>45916</v>
      </c>
      <c r="C1258" s="29">
        <v>45935</v>
      </c>
      <c r="D1258" t="s">
        <v>908</v>
      </c>
      <c r="E1258" s="1276">
        <v>45769</v>
      </c>
      <c r="G1258">
        <v>2374262</v>
      </c>
      <c r="I1258">
        <v>0</v>
      </c>
      <c r="J1258">
        <v>2374262</v>
      </c>
      <c r="K1258">
        <v>0</v>
      </c>
      <c r="P1258" t="s">
        <v>1215</v>
      </c>
      <c r="Q1258" s="1308" t="s">
        <v>4911</v>
      </c>
    </row>
    <row r="1259" spans="1:17">
      <c r="A1259" s="1305" t="s">
        <v>3719</v>
      </c>
      <c r="B1259" s="29">
        <v>45916</v>
      </c>
      <c r="C1259" s="29">
        <v>45935</v>
      </c>
      <c r="D1259" t="s">
        <v>908</v>
      </c>
      <c r="E1259" s="1276">
        <v>45769</v>
      </c>
      <c r="G1259">
        <v>2374262</v>
      </c>
      <c r="I1259">
        <v>0</v>
      </c>
      <c r="J1259">
        <v>2374262</v>
      </c>
      <c r="K1259">
        <v>0</v>
      </c>
      <c r="P1259" t="s">
        <v>1215</v>
      </c>
      <c r="Q1259" s="1308" t="s">
        <v>4911</v>
      </c>
    </row>
    <row r="1260" spans="1:17">
      <c r="A1260" s="1305" t="s">
        <v>3719</v>
      </c>
      <c r="B1260" s="29">
        <v>45916</v>
      </c>
      <c r="C1260" s="29">
        <v>45935</v>
      </c>
      <c r="D1260" t="s">
        <v>908</v>
      </c>
      <c r="E1260" s="1276">
        <v>45769</v>
      </c>
      <c r="G1260">
        <v>2374262</v>
      </c>
      <c r="I1260">
        <v>0</v>
      </c>
      <c r="J1260">
        <v>2374262</v>
      </c>
      <c r="K1260">
        <v>0</v>
      </c>
      <c r="P1260" t="s">
        <v>1215</v>
      </c>
      <c r="Q1260" s="1308" t="s">
        <v>4911</v>
      </c>
    </row>
    <row r="1261" spans="1:17">
      <c r="A1261" s="1305" t="s">
        <v>3719</v>
      </c>
      <c r="B1261" s="29">
        <v>45916</v>
      </c>
      <c r="C1261" s="29">
        <v>45935</v>
      </c>
      <c r="D1261" t="s">
        <v>908</v>
      </c>
      <c r="E1261" s="1276">
        <v>45769</v>
      </c>
      <c r="G1261">
        <v>2374262</v>
      </c>
      <c r="I1261">
        <v>0</v>
      </c>
      <c r="J1261">
        <v>2374262</v>
      </c>
      <c r="K1261">
        <v>0</v>
      </c>
      <c r="P1261" t="s">
        <v>1215</v>
      </c>
      <c r="Q1261" s="1308" t="s">
        <v>4911</v>
      </c>
    </row>
    <row r="1262" spans="1:17">
      <c r="A1262" s="1305" t="s">
        <v>3719</v>
      </c>
      <c r="B1262" s="29">
        <v>45916</v>
      </c>
      <c r="C1262" s="29">
        <v>45935</v>
      </c>
      <c r="D1262" t="s">
        <v>908</v>
      </c>
      <c r="E1262" s="1276">
        <v>45769</v>
      </c>
      <c r="G1262">
        <v>2374262</v>
      </c>
      <c r="I1262">
        <v>0</v>
      </c>
      <c r="J1262">
        <v>2374262</v>
      </c>
      <c r="K1262">
        <v>0</v>
      </c>
      <c r="P1262" t="s">
        <v>1215</v>
      </c>
      <c r="Q1262" s="1308" t="s">
        <v>4911</v>
      </c>
    </row>
    <row r="1263" spans="1:17">
      <c r="A1263" s="1305" t="s">
        <v>3719</v>
      </c>
      <c r="B1263" s="29">
        <v>45916</v>
      </c>
      <c r="C1263" s="29">
        <v>45935</v>
      </c>
      <c r="D1263" t="s">
        <v>908</v>
      </c>
      <c r="E1263" s="1276">
        <v>45769</v>
      </c>
      <c r="G1263">
        <v>2374262</v>
      </c>
      <c r="I1263">
        <v>0</v>
      </c>
      <c r="J1263">
        <v>2374262</v>
      </c>
      <c r="K1263">
        <v>0</v>
      </c>
      <c r="P1263" t="s">
        <v>1215</v>
      </c>
      <c r="Q1263" s="1308" t="s">
        <v>4911</v>
      </c>
    </row>
    <row r="1264" spans="1:17">
      <c r="A1264" s="1305" t="s">
        <v>3719</v>
      </c>
      <c r="B1264" s="29">
        <v>45916</v>
      </c>
      <c r="C1264" s="29">
        <v>45935</v>
      </c>
      <c r="D1264" t="s">
        <v>908</v>
      </c>
      <c r="E1264" s="1276">
        <v>45769</v>
      </c>
      <c r="G1264">
        <v>2374262</v>
      </c>
      <c r="I1264">
        <v>0</v>
      </c>
      <c r="J1264">
        <v>2374262</v>
      </c>
      <c r="K1264">
        <v>0</v>
      </c>
      <c r="P1264" t="s">
        <v>1215</v>
      </c>
      <c r="Q1264" s="1308" t="s">
        <v>4911</v>
      </c>
    </row>
    <row r="1265" spans="1:17">
      <c r="A1265" s="1305" t="s">
        <v>3719</v>
      </c>
      <c r="B1265" s="29">
        <v>45916</v>
      </c>
      <c r="C1265" s="29">
        <v>45935</v>
      </c>
      <c r="D1265" t="s">
        <v>908</v>
      </c>
      <c r="E1265" s="1276">
        <v>45769</v>
      </c>
      <c r="G1265">
        <v>2374262</v>
      </c>
      <c r="I1265">
        <v>0</v>
      </c>
      <c r="J1265">
        <v>2374262</v>
      </c>
      <c r="K1265">
        <v>0</v>
      </c>
      <c r="P1265" t="s">
        <v>1215</v>
      </c>
      <c r="Q1265" s="1308" t="s">
        <v>4911</v>
      </c>
    </row>
    <row r="1266" spans="1:17">
      <c r="A1266" s="1305" t="s">
        <v>3719</v>
      </c>
      <c r="B1266" s="29">
        <v>45916</v>
      </c>
      <c r="C1266" s="29">
        <v>45935</v>
      </c>
      <c r="D1266" t="s">
        <v>908</v>
      </c>
      <c r="E1266" s="1276">
        <v>45769</v>
      </c>
      <c r="G1266">
        <v>2374262</v>
      </c>
      <c r="I1266">
        <v>0</v>
      </c>
      <c r="J1266">
        <v>2374262</v>
      </c>
      <c r="K1266">
        <v>0</v>
      </c>
      <c r="P1266" t="s">
        <v>1215</v>
      </c>
      <c r="Q1266" s="1308" t="s">
        <v>4911</v>
      </c>
    </row>
    <row r="1267" spans="1:17">
      <c r="A1267" s="1305" t="s">
        <v>3719</v>
      </c>
      <c r="B1267" s="29">
        <v>45916</v>
      </c>
      <c r="C1267" s="29">
        <v>45935</v>
      </c>
      <c r="D1267" t="s">
        <v>908</v>
      </c>
      <c r="E1267" s="1276">
        <v>45769</v>
      </c>
      <c r="G1267">
        <v>2374262</v>
      </c>
      <c r="I1267">
        <v>0</v>
      </c>
      <c r="J1267">
        <v>2374262</v>
      </c>
      <c r="K1267">
        <v>0</v>
      </c>
      <c r="P1267" t="s">
        <v>1215</v>
      </c>
      <c r="Q1267" s="1308" t="s">
        <v>4911</v>
      </c>
    </row>
    <row r="1268" spans="1:17">
      <c r="A1268" s="1305" t="s">
        <v>3719</v>
      </c>
      <c r="B1268" s="29">
        <v>45916</v>
      </c>
      <c r="C1268" s="29">
        <v>45935</v>
      </c>
      <c r="D1268" t="s">
        <v>908</v>
      </c>
      <c r="E1268" s="1276">
        <v>45769</v>
      </c>
      <c r="G1268">
        <v>2374262</v>
      </c>
      <c r="I1268">
        <v>0</v>
      </c>
      <c r="J1268">
        <v>2374262</v>
      </c>
      <c r="K1268">
        <v>0</v>
      </c>
      <c r="P1268" t="s">
        <v>1215</v>
      </c>
      <c r="Q1268" s="1308" t="s">
        <v>4911</v>
      </c>
    </row>
    <row r="1269" spans="1:17">
      <c r="A1269" s="1305" t="s">
        <v>3719</v>
      </c>
      <c r="B1269" s="29">
        <v>45916</v>
      </c>
      <c r="C1269" s="29">
        <v>45935</v>
      </c>
      <c r="D1269" t="s">
        <v>908</v>
      </c>
      <c r="E1269" s="1276">
        <v>45769</v>
      </c>
      <c r="G1269">
        <v>2374262</v>
      </c>
      <c r="I1269">
        <v>0</v>
      </c>
      <c r="J1269">
        <v>2374262</v>
      </c>
      <c r="K1269">
        <v>0</v>
      </c>
      <c r="P1269" t="s">
        <v>1215</v>
      </c>
      <c r="Q1269" s="1308" t="s">
        <v>4911</v>
      </c>
    </row>
    <row r="1270" spans="1:17">
      <c r="A1270" s="1305" t="s">
        <v>3719</v>
      </c>
      <c r="B1270" s="29">
        <v>45916</v>
      </c>
      <c r="C1270" s="29">
        <v>45935</v>
      </c>
      <c r="D1270" t="s">
        <v>908</v>
      </c>
      <c r="E1270" s="1276">
        <v>45769</v>
      </c>
      <c r="G1270">
        <v>2374262</v>
      </c>
      <c r="I1270">
        <v>0</v>
      </c>
      <c r="J1270">
        <v>2374262</v>
      </c>
      <c r="K1270">
        <v>0</v>
      </c>
      <c r="P1270" t="s">
        <v>1215</v>
      </c>
      <c r="Q1270" s="1308" t="s">
        <v>4911</v>
      </c>
    </row>
    <row r="1271" spans="1:17">
      <c r="A1271" s="1305" t="s">
        <v>3719</v>
      </c>
      <c r="B1271" s="29">
        <v>45916</v>
      </c>
      <c r="C1271" s="29">
        <v>45935</v>
      </c>
      <c r="D1271" t="s">
        <v>908</v>
      </c>
      <c r="E1271" s="1276">
        <v>45769</v>
      </c>
      <c r="G1271">
        <v>2374262</v>
      </c>
      <c r="I1271">
        <v>0</v>
      </c>
      <c r="J1271">
        <v>2374262</v>
      </c>
      <c r="K1271">
        <v>0</v>
      </c>
      <c r="P1271" t="s">
        <v>1215</v>
      </c>
      <c r="Q1271" s="1308" t="s">
        <v>4911</v>
      </c>
    </row>
    <row r="1272" spans="1:17">
      <c r="A1272" s="1305" t="s">
        <v>3719</v>
      </c>
      <c r="B1272" s="29">
        <v>45916</v>
      </c>
      <c r="C1272" s="29">
        <v>45935</v>
      </c>
      <c r="D1272" t="s">
        <v>908</v>
      </c>
      <c r="E1272" s="1276">
        <v>45769</v>
      </c>
      <c r="G1272">
        <v>2374262</v>
      </c>
      <c r="I1272">
        <v>0</v>
      </c>
      <c r="J1272">
        <v>2374262</v>
      </c>
      <c r="K1272">
        <v>0</v>
      </c>
      <c r="P1272" t="s">
        <v>1215</v>
      </c>
      <c r="Q1272" s="1308" t="s">
        <v>4911</v>
      </c>
    </row>
    <row r="1273" spans="1:17">
      <c r="A1273" s="1305" t="s">
        <v>3719</v>
      </c>
      <c r="B1273" s="29">
        <v>45916</v>
      </c>
      <c r="C1273" s="29">
        <v>45935</v>
      </c>
      <c r="D1273" t="s">
        <v>908</v>
      </c>
      <c r="E1273" s="1276">
        <v>45769</v>
      </c>
      <c r="G1273">
        <v>2374262</v>
      </c>
      <c r="I1273">
        <v>0</v>
      </c>
      <c r="J1273">
        <v>2374262</v>
      </c>
      <c r="K1273">
        <v>0</v>
      </c>
      <c r="P1273" t="s">
        <v>1215</v>
      </c>
      <c r="Q1273" s="1308" t="s">
        <v>4911</v>
      </c>
    </row>
    <row r="1274" spans="1:17">
      <c r="A1274" s="1305" t="s">
        <v>3719</v>
      </c>
      <c r="B1274" s="29">
        <v>45916</v>
      </c>
      <c r="C1274" s="29">
        <v>45935</v>
      </c>
      <c r="D1274" t="s">
        <v>908</v>
      </c>
      <c r="E1274" s="1276">
        <v>45769</v>
      </c>
      <c r="G1274">
        <v>2374262</v>
      </c>
      <c r="I1274">
        <v>0</v>
      </c>
      <c r="J1274">
        <v>2374262</v>
      </c>
      <c r="K1274">
        <v>0</v>
      </c>
      <c r="P1274" t="s">
        <v>1215</v>
      </c>
      <c r="Q1274" s="1308" t="s">
        <v>4911</v>
      </c>
    </row>
    <row r="1275" spans="1:17">
      <c r="A1275" s="1305" t="s">
        <v>3719</v>
      </c>
      <c r="B1275" s="29">
        <v>45916</v>
      </c>
      <c r="C1275" s="29">
        <v>45935</v>
      </c>
      <c r="D1275" t="s">
        <v>908</v>
      </c>
      <c r="E1275" s="1276">
        <v>45769</v>
      </c>
      <c r="G1275">
        <v>2374262</v>
      </c>
      <c r="I1275">
        <v>0</v>
      </c>
      <c r="J1275">
        <v>2374262</v>
      </c>
      <c r="K1275">
        <v>0</v>
      </c>
      <c r="P1275" t="s">
        <v>1215</v>
      </c>
      <c r="Q1275" s="1308" t="s">
        <v>4911</v>
      </c>
    </row>
    <row r="1276" spans="1:17">
      <c r="A1276" s="1305" t="s">
        <v>3719</v>
      </c>
      <c r="B1276" s="29">
        <v>45916</v>
      </c>
      <c r="C1276" s="29">
        <v>45935</v>
      </c>
      <c r="D1276" t="s">
        <v>908</v>
      </c>
      <c r="E1276" s="1276">
        <v>45769</v>
      </c>
      <c r="G1276">
        <v>2374262</v>
      </c>
      <c r="I1276">
        <v>0</v>
      </c>
      <c r="J1276">
        <v>2374262</v>
      </c>
      <c r="K1276">
        <v>0</v>
      </c>
      <c r="P1276" t="s">
        <v>1215</v>
      </c>
      <c r="Q1276" s="1308" t="s">
        <v>4911</v>
      </c>
    </row>
    <row r="1277" spans="1:17">
      <c r="A1277" s="1305" t="s">
        <v>3719</v>
      </c>
      <c r="B1277" s="29">
        <v>45923</v>
      </c>
      <c r="C1277" s="29">
        <v>45935</v>
      </c>
      <c r="D1277" t="s">
        <v>908</v>
      </c>
      <c r="E1277" s="1276">
        <v>45769</v>
      </c>
      <c r="G1277">
        <v>2374262</v>
      </c>
      <c r="I1277">
        <v>0</v>
      </c>
      <c r="J1277">
        <v>2374262</v>
      </c>
      <c r="K1277">
        <v>0</v>
      </c>
      <c r="P1277" t="s">
        <v>1215</v>
      </c>
      <c r="Q1277" s="1308" t="s">
        <v>4911</v>
      </c>
    </row>
    <row r="1278" spans="1:17">
      <c r="A1278" s="1305" t="s">
        <v>3719</v>
      </c>
      <c r="B1278" s="29">
        <v>45923</v>
      </c>
      <c r="C1278" s="29">
        <v>45935</v>
      </c>
      <c r="D1278" t="s">
        <v>908</v>
      </c>
      <c r="E1278" s="1276">
        <v>45769</v>
      </c>
      <c r="G1278">
        <v>2967828</v>
      </c>
      <c r="I1278">
        <v>0</v>
      </c>
      <c r="J1278">
        <v>2967828</v>
      </c>
      <c r="K1278">
        <v>0</v>
      </c>
      <c r="P1278" t="s">
        <v>1215</v>
      </c>
      <c r="Q1278" s="1308" t="s">
        <v>4911</v>
      </c>
    </row>
    <row r="1279" spans="1:17">
      <c r="A1279" s="1305" t="s">
        <v>3719</v>
      </c>
      <c r="B1279" s="29">
        <v>45923</v>
      </c>
      <c r="C1279" s="29">
        <v>45935</v>
      </c>
      <c r="D1279" t="s">
        <v>908</v>
      </c>
      <c r="E1279" s="1276">
        <v>45769</v>
      </c>
      <c r="G1279">
        <v>2374262</v>
      </c>
      <c r="I1279">
        <v>0</v>
      </c>
      <c r="J1279">
        <v>2374262</v>
      </c>
      <c r="K1279">
        <v>0</v>
      </c>
      <c r="P1279" t="s">
        <v>1215</v>
      </c>
      <c r="Q1279" s="1308" t="s">
        <v>4911</v>
      </c>
    </row>
    <row r="1280" spans="1:17">
      <c r="A1280" s="1305" t="s">
        <v>3719</v>
      </c>
      <c r="B1280" s="29">
        <v>45923</v>
      </c>
      <c r="C1280" s="29">
        <v>45935</v>
      </c>
      <c r="D1280" t="s">
        <v>908</v>
      </c>
      <c r="E1280" s="1276">
        <v>45769</v>
      </c>
      <c r="G1280">
        <v>2374262</v>
      </c>
      <c r="I1280">
        <v>0</v>
      </c>
      <c r="J1280">
        <v>2374262</v>
      </c>
      <c r="K1280">
        <v>0</v>
      </c>
      <c r="P1280" t="s">
        <v>1215</v>
      </c>
      <c r="Q1280" s="1308" t="s">
        <v>4911</v>
      </c>
    </row>
    <row r="1281" spans="1:17">
      <c r="A1281" s="1305" t="s">
        <v>3719</v>
      </c>
      <c r="B1281" s="29">
        <v>45923</v>
      </c>
      <c r="C1281" s="29">
        <v>45935</v>
      </c>
      <c r="D1281" t="s">
        <v>908</v>
      </c>
      <c r="E1281" s="1276">
        <v>45769</v>
      </c>
      <c r="G1281">
        <v>2374262</v>
      </c>
      <c r="I1281">
        <v>0</v>
      </c>
      <c r="J1281">
        <v>2374262</v>
      </c>
      <c r="K1281">
        <v>0</v>
      </c>
      <c r="P1281" t="s">
        <v>1215</v>
      </c>
      <c r="Q1281" s="1308" t="s">
        <v>4911</v>
      </c>
    </row>
    <row r="1282" spans="1:17">
      <c r="A1282" s="1305" t="s">
        <v>3719</v>
      </c>
      <c r="B1282" s="29">
        <v>45923</v>
      </c>
      <c r="C1282" s="29">
        <v>45935</v>
      </c>
      <c r="D1282" t="s">
        <v>908</v>
      </c>
      <c r="E1282" s="1276">
        <v>45769</v>
      </c>
      <c r="G1282">
        <v>2819437</v>
      </c>
      <c r="I1282">
        <v>0</v>
      </c>
      <c r="J1282">
        <v>2819437</v>
      </c>
      <c r="K1282">
        <v>0</v>
      </c>
      <c r="P1282" t="s">
        <v>1215</v>
      </c>
      <c r="Q1282" s="1308" t="s">
        <v>4911</v>
      </c>
    </row>
    <row r="1283" spans="1:17">
      <c r="A1283" s="1305" t="s">
        <v>3719</v>
      </c>
      <c r="B1283" s="29">
        <v>45923</v>
      </c>
      <c r="C1283" s="29">
        <v>45935</v>
      </c>
      <c r="D1283" t="s">
        <v>908</v>
      </c>
      <c r="E1283" s="1276">
        <v>45769</v>
      </c>
      <c r="G1283">
        <v>2374262</v>
      </c>
      <c r="I1283">
        <v>0</v>
      </c>
      <c r="J1283">
        <v>2374262</v>
      </c>
      <c r="K1283">
        <v>0</v>
      </c>
      <c r="P1283" t="s">
        <v>1215</v>
      </c>
      <c r="Q1283" s="1308" t="s">
        <v>4911</v>
      </c>
    </row>
    <row r="1284" spans="1:17">
      <c r="A1284" s="1305" t="s">
        <v>3719</v>
      </c>
      <c r="B1284" s="29">
        <v>45923</v>
      </c>
      <c r="C1284" s="29">
        <v>45935</v>
      </c>
      <c r="D1284" t="s">
        <v>908</v>
      </c>
      <c r="E1284" s="1276">
        <v>45769</v>
      </c>
      <c r="G1284">
        <v>2374262</v>
      </c>
      <c r="I1284">
        <v>0</v>
      </c>
      <c r="J1284">
        <v>2374262</v>
      </c>
      <c r="K1284">
        <v>0</v>
      </c>
      <c r="P1284" t="s">
        <v>1215</v>
      </c>
      <c r="Q1284" s="1308" t="s">
        <v>4911</v>
      </c>
    </row>
    <row r="1285" spans="1:17">
      <c r="A1285" s="1305" t="s">
        <v>3719</v>
      </c>
      <c r="B1285" s="29">
        <v>45923</v>
      </c>
      <c r="C1285" s="29">
        <v>45935</v>
      </c>
      <c r="D1285" t="s">
        <v>908</v>
      </c>
      <c r="E1285" s="1276">
        <v>45769</v>
      </c>
      <c r="G1285">
        <v>2374262</v>
      </c>
      <c r="I1285">
        <v>0</v>
      </c>
      <c r="J1285">
        <v>2374262</v>
      </c>
      <c r="K1285">
        <v>0</v>
      </c>
      <c r="P1285" t="s">
        <v>1215</v>
      </c>
      <c r="Q1285" s="1308" t="s">
        <v>4911</v>
      </c>
    </row>
    <row r="1286" spans="1:17">
      <c r="A1286" s="1305" t="s">
        <v>3719</v>
      </c>
      <c r="B1286" s="29">
        <v>45923</v>
      </c>
      <c r="C1286" s="29">
        <v>45935</v>
      </c>
      <c r="D1286" t="s">
        <v>908</v>
      </c>
      <c r="E1286" s="1276">
        <v>45769</v>
      </c>
      <c r="G1286">
        <v>2374262</v>
      </c>
      <c r="I1286">
        <v>0</v>
      </c>
      <c r="J1286">
        <v>2374262</v>
      </c>
      <c r="K1286">
        <v>0</v>
      </c>
      <c r="P1286" t="s">
        <v>1215</v>
      </c>
      <c r="Q1286" s="1308" t="s">
        <v>4911</v>
      </c>
    </row>
    <row r="1287" spans="1:17">
      <c r="A1287" s="1305" t="s">
        <v>3719</v>
      </c>
      <c r="B1287" s="29">
        <v>45923</v>
      </c>
      <c r="C1287" s="29">
        <v>45935</v>
      </c>
      <c r="D1287" t="s">
        <v>908</v>
      </c>
      <c r="E1287" s="1276">
        <v>45769</v>
      </c>
      <c r="G1287">
        <v>2374262</v>
      </c>
      <c r="I1287">
        <v>0</v>
      </c>
      <c r="J1287">
        <v>2374262</v>
      </c>
      <c r="K1287">
        <v>0</v>
      </c>
      <c r="P1287" t="s">
        <v>1215</v>
      </c>
      <c r="Q1287" s="1308" t="s">
        <v>4911</v>
      </c>
    </row>
    <row r="1288" spans="1:17">
      <c r="A1288" s="1305" t="s">
        <v>3719</v>
      </c>
      <c r="B1288" s="29">
        <v>45923</v>
      </c>
      <c r="C1288" s="29">
        <v>45935</v>
      </c>
      <c r="D1288" t="s">
        <v>908</v>
      </c>
      <c r="E1288" s="1276">
        <v>45769</v>
      </c>
      <c r="G1288">
        <v>2967828</v>
      </c>
      <c r="I1288">
        <v>0</v>
      </c>
      <c r="J1288">
        <v>2967828</v>
      </c>
      <c r="K1288">
        <v>0</v>
      </c>
      <c r="P1288" t="s">
        <v>1215</v>
      </c>
      <c r="Q1288" s="1308" t="s">
        <v>4911</v>
      </c>
    </row>
    <row r="1289" spans="1:17">
      <c r="A1289" s="1305" t="s">
        <v>3719</v>
      </c>
      <c r="B1289" s="29">
        <v>45923</v>
      </c>
      <c r="C1289" s="29">
        <v>45935</v>
      </c>
      <c r="D1289" t="s">
        <v>908</v>
      </c>
      <c r="E1289" s="1276">
        <v>45769</v>
      </c>
      <c r="G1289">
        <v>2374262</v>
      </c>
      <c r="I1289">
        <v>0</v>
      </c>
      <c r="J1289">
        <v>2374262</v>
      </c>
      <c r="K1289">
        <v>0</v>
      </c>
      <c r="P1289" t="s">
        <v>1215</v>
      </c>
      <c r="Q1289" s="1308" t="s">
        <v>4911</v>
      </c>
    </row>
    <row r="1290" spans="1:17">
      <c r="A1290" s="1305" t="s">
        <v>3719</v>
      </c>
      <c r="B1290" s="29">
        <v>45923</v>
      </c>
      <c r="C1290" s="29">
        <v>45935</v>
      </c>
      <c r="D1290" t="s">
        <v>908</v>
      </c>
      <c r="E1290" s="1276">
        <v>45769</v>
      </c>
      <c r="G1290">
        <v>2374262</v>
      </c>
      <c r="I1290">
        <v>0</v>
      </c>
      <c r="J1290">
        <v>2374262</v>
      </c>
      <c r="K1290">
        <v>0</v>
      </c>
      <c r="P1290" t="s">
        <v>1215</v>
      </c>
      <c r="Q1290" s="1308" t="s">
        <v>4911</v>
      </c>
    </row>
    <row r="1291" spans="1:17">
      <c r="A1291" s="1305" t="s">
        <v>3719</v>
      </c>
      <c r="B1291" s="29">
        <v>45923</v>
      </c>
      <c r="C1291" s="29">
        <v>45935</v>
      </c>
      <c r="D1291" t="s">
        <v>908</v>
      </c>
      <c r="E1291" s="1276">
        <v>45769</v>
      </c>
      <c r="G1291">
        <v>2374262</v>
      </c>
      <c r="I1291">
        <v>0</v>
      </c>
      <c r="J1291">
        <v>2374262</v>
      </c>
      <c r="K1291">
        <v>0</v>
      </c>
      <c r="P1291" t="s">
        <v>1215</v>
      </c>
      <c r="Q1291" s="1308" t="s">
        <v>4911</v>
      </c>
    </row>
    <row r="1292" spans="1:17">
      <c r="A1292" s="1305" t="s">
        <v>3719</v>
      </c>
      <c r="B1292" s="29">
        <v>45923</v>
      </c>
      <c r="C1292" s="29">
        <v>45935</v>
      </c>
      <c r="D1292" t="s">
        <v>908</v>
      </c>
      <c r="E1292" s="1276">
        <v>45769</v>
      </c>
      <c r="G1292">
        <v>2967828</v>
      </c>
      <c r="I1292">
        <v>0</v>
      </c>
      <c r="J1292">
        <v>2967828</v>
      </c>
      <c r="K1292">
        <v>0</v>
      </c>
      <c r="P1292" t="s">
        <v>1215</v>
      </c>
      <c r="Q1292" s="1308" t="s">
        <v>4911</v>
      </c>
    </row>
    <row r="1293" spans="1:17">
      <c r="A1293" s="1305" t="s">
        <v>3719</v>
      </c>
      <c r="B1293" s="29">
        <v>45923</v>
      </c>
      <c r="C1293" s="29">
        <v>45935</v>
      </c>
      <c r="D1293" t="s">
        <v>908</v>
      </c>
      <c r="E1293" s="1276">
        <v>45769</v>
      </c>
      <c r="G1293">
        <v>2374262</v>
      </c>
      <c r="I1293">
        <v>0</v>
      </c>
      <c r="J1293">
        <v>2374262</v>
      </c>
      <c r="K1293">
        <v>0</v>
      </c>
      <c r="P1293" t="s">
        <v>1215</v>
      </c>
      <c r="Q1293" s="1308" t="s">
        <v>4911</v>
      </c>
    </row>
    <row r="1294" spans="1:17">
      <c r="A1294" s="1305" t="s">
        <v>3719</v>
      </c>
      <c r="B1294" s="29">
        <v>45923</v>
      </c>
      <c r="C1294" s="29">
        <v>45935</v>
      </c>
      <c r="D1294" t="s">
        <v>908</v>
      </c>
      <c r="E1294" s="1276">
        <v>45769</v>
      </c>
      <c r="G1294">
        <v>2374262</v>
      </c>
      <c r="I1294">
        <v>0</v>
      </c>
      <c r="J1294">
        <v>2374262</v>
      </c>
      <c r="K1294">
        <v>0</v>
      </c>
      <c r="P1294" t="s">
        <v>1215</v>
      </c>
      <c r="Q1294" s="1308" t="s">
        <v>4911</v>
      </c>
    </row>
    <row r="1295" spans="1:17">
      <c r="A1295" s="1305" t="s">
        <v>3719</v>
      </c>
      <c r="B1295" s="29">
        <v>45923</v>
      </c>
      <c r="C1295" s="29">
        <v>45935</v>
      </c>
      <c r="D1295" t="s">
        <v>908</v>
      </c>
      <c r="E1295" s="1276">
        <v>45769</v>
      </c>
      <c r="G1295">
        <v>2374262</v>
      </c>
      <c r="I1295">
        <v>0</v>
      </c>
      <c r="J1295">
        <v>2374262</v>
      </c>
      <c r="K1295">
        <v>0</v>
      </c>
      <c r="P1295" t="s">
        <v>1215</v>
      </c>
      <c r="Q1295" s="1308" t="s">
        <v>4911</v>
      </c>
    </row>
    <row r="1296" spans="1:17">
      <c r="A1296" s="1305" t="s">
        <v>3719</v>
      </c>
      <c r="B1296" s="29">
        <v>45923</v>
      </c>
      <c r="C1296" s="29">
        <v>45935</v>
      </c>
      <c r="D1296" t="s">
        <v>908</v>
      </c>
      <c r="E1296" s="1276">
        <v>45769</v>
      </c>
      <c r="G1296">
        <v>2374262</v>
      </c>
      <c r="I1296">
        <v>0</v>
      </c>
      <c r="J1296">
        <v>2374262</v>
      </c>
      <c r="K1296">
        <v>0</v>
      </c>
      <c r="P1296" t="s">
        <v>1215</v>
      </c>
      <c r="Q1296" s="1308" t="s">
        <v>4911</v>
      </c>
    </row>
    <row r="1297" spans="1:17">
      <c r="A1297" s="1305" t="s">
        <v>3719</v>
      </c>
      <c r="B1297" s="29">
        <v>45926</v>
      </c>
      <c r="C1297" s="29">
        <v>45935</v>
      </c>
      <c r="D1297" t="s">
        <v>908</v>
      </c>
      <c r="E1297" s="1276">
        <v>45769</v>
      </c>
      <c r="G1297">
        <v>2967828</v>
      </c>
      <c r="I1297">
        <v>0</v>
      </c>
      <c r="J1297">
        <v>2967828</v>
      </c>
      <c r="K1297">
        <v>0</v>
      </c>
      <c r="P1297" t="s">
        <v>1215</v>
      </c>
      <c r="Q1297" s="1308" t="s">
        <v>4911</v>
      </c>
    </row>
    <row r="1298" spans="1:17">
      <c r="A1298" s="1305" t="s">
        <v>3719</v>
      </c>
      <c r="B1298" s="29">
        <v>45926</v>
      </c>
      <c r="C1298" s="29">
        <v>45935</v>
      </c>
      <c r="D1298" t="s">
        <v>908</v>
      </c>
      <c r="E1298" s="1276">
        <v>45769</v>
      </c>
      <c r="G1298">
        <v>2374262</v>
      </c>
      <c r="I1298">
        <v>0</v>
      </c>
      <c r="J1298">
        <v>2374262</v>
      </c>
      <c r="K1298">
        <v>0</v>
      </c>
      <c r="P1298" t="s">
        <v>1215</v>
      </c>
      <c r="Q1298" s="1308" t="s">
        <v>4911</v>
      </c>
    </row>
    <row r="1299" spans="1:17">
      <c r="A1299" s="1305" t="s">
        <v>3719</v>
      </c>
      <c r="B1299" s="29">
        <v>45926</v>
      </c>
      <c r="C1299" s="29">
        <v>45935</v>
      </c>
      <c r="D1299" t="s">
        <v>908</v>
      </c>
      <c r="E1299" s="1276">
        <v>45769</v>
      </c>
      <c r="G1299">
        <v>2374262</v>
      </c>
      <c r="I1299">
        <v>0</v>
      </c>
      <c r="J1299">
        <v>2374262</v>
      </c>
      <c r="K1299">
        <v>0</v>
      </c>
      <c r="P1299" t="s">
        <v>1215</v>
      </c>
      <c r="Q1299" s="1308" t="s">
        <v>4911</v>
      </c>
    </row>
    <row r="1300" spans="1:17">
      <c r="A1300" s="1305" t="s">
        <v>3719</v>
      </c>
      <c r="B1300" s="29">
        <v>45926</v>
      </c>
      <c r="C1300" s="29">
        <v>45935</v>
      </c>
      <c r="D1300" t="s">
        <v>908</v>
      </c>
      <c r="E1300" s="1276">
        <v>45769</v>
      </c>
      <c r="G1300">
        <v>2374262</v>
      </c>
      <c r="I1300">
        <v>0</v>
      </c>
      <c r="J1300">
        <v>2374262</v>
      </c>
      <c r="K1300">
        <v>0</v>
      </c>
      <c r="P1300" t="s">
        <v>1215</v>
      </c>
      <c r="Q1300" s="1308" t="s">
        <v>4911</v>
      </c>
    </row>
    <row r="1301" spans="1:17">
      <c r="A1301" s="1305" t="s">
        <v>3719</v>
      </c>
      <c r="B1301" s="29">
        <v>45926</v>
      </c>
      <c r="C1301" s="29">
        <v>45935</v>
      </c>
      <c r="D1301" t="s">
        <v>908</v>
      </c>
      <c r="E1301" s="1276">
        <v>45769</v>
      </c>
      <c r="G1301">
        <v>2374262</v>
      </c>
      <c r="I1301">
        <v>0</v>
      </c>
      <c r="J1301">
        <v>2374262</v>
      </c>
      <c r="K1301">
        <v>0</v>
      </c>
      <c r="P1301" t="s">
        <v>1215</v>
      </c>
      <c r="Q1301" s="1308" t="s">
        <v>4911</v>
      </c>
    </row>
    <row r="1302" spans="1:17">
      <c r="A1302" s="1305" t="s">
        <v>3719</v>
      </c>
      <c r="B1302" s="29">
        <v>45926</v>
      </c>
      <c r="C1302" s="29">
        <v>45935</v>
      </c>
      <c r="D1302" t="s">
        <v>908</v>
      </c>
      <c r="E1302" s="1276">
        <v>45769</v>
      </c>
      <c r="G1302">
        <v>2967828</v>
      </c>
      <c r="I1302">
        <v>0</v>
      </c>
      <c r="J1302">
        <v>2967828</v>
      </c>
      <c r="K1302">
        <v>0</v>
      </c>
      <c r="P1302" t="s">
        <v>1215</v>
      </c>
      <c r="Q1302" s="1308" t="s">
        <v>4911</v>
      </c>
    </row>
    <row r="1303" spans="1:17">
      <c r="A1303" s="1305" t="s">
        <v>3719</v>
      </c>
      <c r="B1303" s="29">
        <v>45928</v>
      </c>
      <c r="C1303" s="29">
        <v>45935</v>
      </c>
      <c r="D1303" t="s">
        <v>908</v>
      </c>
      <c r="E1303" s="1276">
        <v>45769</v>
      </c>
      <c r="G1303">
        <v>2967828</v>
      </c>
      <c r="I1303">
        <v>0</v>
      </c>
      <c r="J1303">
        <v>2967828</v>
      </c>
      <c r="K1303">
        <v>0</v>
      </c>
      <c r="P1303" t="s">
        <v>1215</v>
      </c>
      <c r="Q1303" s="1308" t="s">
        <v>4911</v>
      </c>
    </row>
    <row r="1304" spans="1:17">
      <c r="A1304" s="1305" t="s">
        <v>3719</v>
      </c>
      <c r="B1304" s="29">
        <v>45926</v>
      </c>
      <c r="C1304" s="29">
        <v>45935</v>
      </c>
      <c r="D1304" t="s">
        <v>908</v>
      </c>
      <c r="E1304" s="1276">
        <v>45769</v>
      </c>
      <c r="G1304">
        <v>2374262</v>
      </c>
      <c r="I1304">
        <v>0</v>
      </c>
      <c r="J1304">
        <v>2374262</v>
      </c>
      <c r="K1304">
        <v>0</v>
      </c>
      <c r="P1304" t="s">
        <v>1215</v>
      </c>
      <c r="Q1304" s="1308" t="s">
        <v>4911</v>
      </c>
    </row>
    <row r="1305" spans="1:17">
      <c r="A1305" s="1305" t="s">
        <v>3719</v>
      </c>
      <c r="B1305" s="29">
        <v>45926</v>
      </c>
      <c r="C1305" s="29">
        <v>45935</v>
      </c>
      <c r="D1305" t="s">
        <v>908</v>
      </c>
      <c r="E1305" s="1276">
        <v>45769</v>
      </c>
      <c r="G1305">
        <v>2967828</v>
      </c>
      <c r="I1305">
        <v>0</v>
      </c>
      <c r="J1305">
        <v>2967828</v>
      </c>
      <c r="K1305">
        <v>0</v>
      </c>
      <c r="P1305" t="s">
        <v>1215</v>
      </c>
      <c r="Q1305" s="1308" t="s">
        <v>4911</v>
      </c>
    </row>
    <row r="1306" spans="1:17">
      <c r="A1306" s="1305" t="s">
        <v>3719</v>
      </c>
      <c r="B1306" s="29">
        <v>45926</v>
      </c>
      <c r="C1306" s="29">
        <v>45935</v>
      </c>
      <c r="D1306" t="s">
        <v>908</v>
      </c>
      <c r="E1306" s="1276">
        <v>45769</v>
      </c>
      <c r="G1306">
        <v>2374262</v>
      </c>
      <c r="I1306">
        <v>0</v>
      </c>
      <c r="J1306">
        <v>2374262</v>
      </c>
      <c r="K1306">
        <v>0</v>
      </c>
      <c r="P1306" t="s">
        <v>1215</v>
      </c>
      <c r="Q1306" s="1308" t="s">
        <v>4911</v>
      </c>
    </row>
    <row r="1307" spans="1:17">
      <c r="A1307" s="1305" t="s">
        <v>3719</v>
      </c>
      <c r="B1307" s="29">
        <v>45926</v>
      </c>
      <c r="C1307" s="29">
        <v>45935</v>
      </c>
      <c r="D1307" t="s">
        <v>908</v>
      </c>
      <c r="E1307" s="1276">
        <v>45769</v>
      </c>
      <c r="G1307">
        <v>2967828</v>
      </c>
      <c r="I1307">
        <v>0</v>
      </c>
      <c r="J1307">
        <v>2967828</v>
      </c>
      <c r="K1307">
        <v>0</v>
      </c>
      <c r="P1307" t="s">
        <v>1215</v>
      </c>
      <c r="Q1307" s="1308" t="s">
        <v>4911</v>
      </c>
    </row>
    <row r="1308" spans="1:17">
      <c r="A1308" s="1305" t="s">
        <v>3719</v>
      </c>
      <c r="B1308" s="29">
        <v>45926</v>
      </c>
      <c r="C1308" s="29">
        <v>45935</v>
      </c>
      <c r="D1308" t="s">
        <v>908</v>
      </c>
      <c r="E1308" s="1276">
        <v>45769</v>
      </c>
      <c r="G1308">
        <v>2374262</v>
      </c>
      <c r="I1308">
        <v>0</v>
      </c>
      <c r="J1308">
        <v>2374262</v>
      </c>
      <c r="K1308">
        <v>0</v>
      </c>
      <c r="P1308" t="s">
        <v>1215</v>
      </c>
      <c r="Q1308" s="1308" t="s">
        <v>4911</v>
      </c>
    </row>
    <row r="1309" spans="1:17">
      <c r="A1309" s="1305" t="s">
        <v>3719</v>
      </c>
      <c r="B1309" s="29">
        <v>45926</v>
      </c>
      <c r="C1309" s="29">
        <v>45935</v>
      </c>
      <c r="D1309" t="s">
        <v>908</v>
      </c>
      <c r="E1309" s="1276">
        <v>45769</v>
      </c>
      <c r="G1309">
        <v>2967828</v>
      </c>
      <c r="I1309">
        <v>0</v>
      </c>
      <c r="J1309">
        <v>2967828</v>
      </c>
      <c r="K1309">
        <v>0</v>
      </c>
      <c r="P1309" t="s">
        <v>1215</v>
      </c>
      <c r="Q1309" s="1308" t="s">
        <v>4911</v>
      </c>
    </row>
    <row r="1310" spans="1:17">
      <c r="A1310" s="1305" t="s">
        <v>3719</v>
      </c>
      <c r="B1310" s="29">
        <v>45926</v>
      </c>
      <c r="C1310" s="29">
        <v>45935</v>
      </c>
      <c r="D1310" t="s">
        <v>908</v>
      </c>
      <c r="E1310" s="1276">
        <v>45769</v>
      </c>
      <c r="G1310">
        <v>2374262</v>
      </c>
      <c r="I1310">
        <v>0</v>
      </c>
      <c r="J1310">
        <v>2374262</v>
      </c>
      <c r="K1310">
        <v>0</v>
      </c>
      <c r="P1310" t="s">
        <v>1215</v>
      </c>
      <c r="Q1310" s="1308" t="s">
        <v>4911</v>
      </c>
    </row>
    <row r="1311" spans="1:17">
      <c r="A1311" s="1305" t="s">
        <v>3719</v>
      </c>
      <c r="B1311" s="29">
        <v>45926</v>
      </c>
      <c r="C1311" s="29">
        <v>45935</v>
      </c>
      <c r="D1311" t="s">
        <v>908</v>
      </c>
      <c r="E1311" s="1276">
        <v>45769</v>
      </c>
      <c r="G1311">
        <v>2967828</v>
      </c>
      <c r="I1311">
        <v>0</v>
      </c>
      <c r="J1311">
        <v>2967828</v>
      </c>
      <c r="K1311">
        <v>0</v>
      </c>
      <c r="P1311" t="s">
        <v>1215</v>
      </c>
      <c r="Q1311" s="1308" t="s">
        <v>4911</v>
      </c>
    </row>
    <row r="1312" spans="1:17">
      <c r="A1312" s="1305" t="s">
        <v>3719</v>
      </c>
      <c r="B1312" s="29">
        <v>45928</v>
      </c>
      <c r="C1312" s="29">
        <v>45935</v>
      </c>
      <c r="D1312" t="s">
        <v>908</v>
      </c>
      <c r="E1312" s="1276">
        <v>45769</v>
      </c>
      <c r="G1312">
        <v>2374262</v>
      </c>
      <c r="I1312">
        <v>0</v>
      </c>
      <c r="J1312">
        <v>2374262</v>
      </c>
      <c r="K1312">
        <v>0</v>
      </c>
      <c r="P1312" t="s">
        <v>1215</v>
      </c>
      <c r="Q1312" s="1308" t="s">
        <v>4911</v>
      </c>
    </row>
    <row r="1313" spans="1:17">
      <c r="A1313" s="1305" t="s">
        <v>3719</v>
      </c>
      <c r="B1313" s="29">
        <v>45926</v>
      </c>
      <c r="C1313" s="29">
        <v>45935</v>
      </c>
      <c r="D1313" t="s">
        <v>908</v>
      </c>
      <c r="E1313" s="1276">
        <v>45769</v>
      </c>
      <c r="G1313">
        <v>2374262</v>
      </c>
      <c r="I1313">
        <v>0</v>
      </c>
      <c r="J1313">
        <v>2374262</v>
      </c>
      <c r="K1313">
        <v>0</v>
      </c>
      <c r="P1313" t="s">
        <v>1215</v>
      </c>
      <c r="Q1313" s="1308" t="s">
        <v>4911</v>
      </c>
    </row>
    <row r="1314" spans="1:17">
      <c r="A1314" s="1305" t="s">
        <v>3719</v>
      </c>
      <c r="B1314" s="29">
        <v>45926</v>
      </c>
      <c r="C1314" s="29">
        <v>45935</v>
      </c>
      <c r="D1314" t="s">
        <v>908</v>
      </c>
      <c r="E1314" s="1276">
        <v>45769</v>
      </c>
      <c r="G1314">
        <v>2967828</v>
      </c>
      <c r="I1314">
        <v>0</v>
      </c>
      <c r="J1314">
        <v>2967828</v>
      </c>
      <c r="K1314">
        <v>0</v>
      </c>
      <c r="P1314" t="s">
        <v>1215</v>
      </c>
      <c r="Q1314" s="1308" t="s">
        <v>4911</v>
      </c>
    </row>
    <row r="1315" spans="1:17">
      <c r="A1315" s="1305" t="s">
        <v>3719</v>
      </c>
      <c r="B1315" s="29">
        <v>45928</v>
      </c>
      <c r="C1315" s="29">
        <v>45935</v>
      </c>
      <c r="D1315" t="s">
        <v>908</v>
      </c>
      <c r="E1315" s="1276">
        <v>45769</v>
      </c>
      <c r="G1315">
        <v>2967828</v>
      </c>
      <c r="I1315">
        <v>0</v>
      </c>
      <c r="J1315">
        <v>2967828</v>
      </c>
      <c r="K1315">
        <v>0</v>
      </c>
      <c r="P1315" t="s">
        <v>1215</v>
      </c>
      <c r="Q1315" s="1308" t="s">
        <v>4911</v>
      </c>
    </row>
    <row r="1316" spans="1:17">
      <c r="A1316" s="1305" t="s">
        <v>3719</v>
      </c>
      <c r="B1316" s="29">
        <v>45926</v>
      </c>
      <c r="C1316" s="29">
        <v>45935</v>
      </c>
      <c r="D1316" t="s">
        <v>908</v>
      </c>
      <c r="E1316" s="1276">
        <v>45769</v>
      </c>
      <c r="G1316">
        <v>2967828</v>
      </c>
      <c r="I1316">
        <v>0</v>
      </c>
      <c r="J1316">
        <v>2967828</v>
      </c>
      <c r="K1316">
        <v>0</v>
      </c>
      <c r="P1316" t="s">
        <v>1215</v>
      </c>
      <c r="Q1316" s="1308" t="s">
        <v>4911</v>
      </c>
    </row>
    <row r="1317" spans="1:17">
      <c r="A1317" s="1305" t="s">
        <v>3719</v>
      </c>
      <c r="B1317" s="29">
        <v>45926</v>
      </c>
      <c r="C1317" s="29">
        <v>45935</v>
      </c>
      <c r="D1317" t="s">
        <v>908</v>
      </c>
      <c r="E1317" s="1276">
        <v>45769</v>
      </c>
      <c r="G1317">
        <v>2374262</v>
      </c>
      <c r="I1317">
        <v>0</v>
      </c>
      <c r="J1317">
        <v>2374262</v>
      </c>
      <c r="K1317">
        <v>0</v>
      </c>
      <c r="P1317" t="s">
        <v>1215</v>
      </c>
      <c r="Q1317" s="1308" t="s">
        <v>4911</v>
      </c>
    </row>
    <row r="1318" spans="1:17">
      <c r="A1318" s="1305" t="s">
        <v>3719</v>
      </c>
      <c r="B1318" s="29">
        <v>45926</v>
      </c>
      <c r="C1318" s="29">
        <v>45935</v>
      </c>
      <c r="D1318" t="s">
        <v>908</v>
      </c>
      <c r="E1318" s="1276">
        <v>45769</v>
      </c>
      <c r="G1318">
        <v>2374262</v>
      </c>
      <c r="I1318">
        <v>0</v>
      </c>
      <c r="J1318">
        <v>2374262</v>
      </c>
      <c r="K1318">
        <v>0</v>
      </c>
      <c r="P1318" t="s">
        <v>1215</v>
      </c>
      <c r="Q1318" s="1308" t="s">
        <v>4911</v>
      </c>
    </row>
    <row r="1319" spans="1:17">
      <c r="A1319" s="1305" t="s">
        <v>3719</v>
      </c>
      <c r="B1319" s="29">
        <v>45926</v>
      </c>
      <c r="C1319" s="29">
        <v>45935</v>
      </c>
      <c r="D1319" t="s">
        <v>908</v>
      </c>
      <c r="E1319" s="1276">
        <v>45769</v>
      </c>
      <c r="G1319">
        <v>2374262</v>
      </c>
      <c r="I1319">
        <v>0</v>
      </c>
      <c r="J1319">
        <v>2374262</v>
      </c>
      <c r="K1319">
        <v>0</v>
      </c>
      <c r="P1319" t="s">
        <v>1215</v>
      </c>
      <c r="Q1319" s="1308" t="s">
        <v>4911</v>
      </c>
    </row>
    <row r="1320" spans="1:17">
      <c r="A1320" s="1305" t="s">
        <v>3719</v>
      </c>
      <c r="B1320" s="29">
        <v>45926</v>
      </c>
      <c r="C1320" s="29">
        <v>45935</v>
      </c>
      <c r="D1320" t="s">
        <v>908</v>
      </c>
      <c r="E1320" s="1276">
        <v>45769</v>
      </c>
      <c r="G1320">
        <v>2374262</v>
      </c>
      <c r="I1320">
        <v>0</v>
      </c>
      <c r="J1320">
        <v>2374262</v>
      </c>
      <c r="K1320">
        <v>0</v>
      </c>
      <c r="P1320" t="s">
        <v>1215</v>
      </c>
      <c r="Q1320" s="1308" t="s">
        <v>4911</v>
      </c>
    </row>
    <row r="1321" spans="1:17">
      <c r="A1321" s="1305" t="s">
        <v>3719</v>
      </c>
      <c r="B1321" s="29">
        <v>45926</v>
      </c>
      <c r="C1321" s="29">
        <v>45935</v>
      </c>
      <c r="D1321" t="s">
        <v>908</v>
      </c>
      <c r="E1321" s="1276">
        <v>45769</v>
      </c>
      <c r="G1321">
        <v>2374262</v>
      </c>
      <c r="I1321">
        <v>0</v>
      </c>
      <c r="J1321">
        <v>2374262</v>
      </c>
      <c r="K1321">
        <v>0</v>
      </c>
      <c r="P1321" t="s">
        <v>1215</v>
      </c>
      <c r="Q1321" s="1308" t="s">
        <v>4911</v>
      </c>
    </row>
    <row r="1322" spans="1:17">
      <c r="A1322" s="1305" t="s">
        <v>3719</v>
      </c>
      <c r="B1322" s="29">
        <v>45926</v>
      </c>
      <c r="C1322" s="29">
        <v>45935</v>
      </c>
      <c r="D1322" t="s">
        <v>908</v>
      </c>
      <c r="E1322" s="1276">
        <v>45769</v>
      </c>
      <c r="G1322">
        <v>2374262</v>
      </c>
      <c r="I1322">
        <v>0</v>
      </c>
      <c r="J1322">
        <v>2374262</v>
      </c>
      <c r="K1322">
        <v>0</v>
      </c>
      <c r="P1322" t="s">
        <v>1215</v>
      </c>
      <c r="Q1322" s="1308" t="s">
        <v>4911</v>
      </c>
    </row>
    <row r="1323" spans="1:17">
      <c r="A1323" s="1305" t="s">
        <v>3719</v>
      </c>
      <c r="B1323" s="29">
        <v>45926</v>
      </c>
      <c r="C1323" s="29">
        <v>45935</v>
      </c>
      <c r="D1323" t="s">
        <v>908</v>
      </c>
      <c r="E1323" s="1276">
        <v>45769</v>
      </c>
      <c r="G1323">
        <v>2374262</v>
      </c>
      <c r="I1323">
        <v>0</v>
      </c>
      <c r="J1323">
        <v>2374262</v>
      </c>
      <c r="K1323">
        <v>0</v>
      </c>
      <c r="P1323" t="s">
        <v>1215</v>
      </c>
      <c r="Q1323" s="1308" t="s">
        <v>4911</v>
      </c>
    </row>
    <row r="1324" spans="1:17">
      <c r="A1324" s="1305" t="s">
        <v>3719</v>
      </c>
      <c r="B1324" s="29">
        <v>45926</v>
      </c>
      <c r="C1324" s="29">
        <v>45935</v>
      </c>
      <c r="D1324" t="s">
        <v>908</v>
      </c>
      <c r="E1324" s="1276">
        <v>45769</v>
      </c>
      <c r="G1324">
        <v>2374262</v>
      </c>
      <c r="I1324">
        <v>0</v>
      </c>
      <c r="J1324">
        <v>2374262</v>
      </c>
      <c r="K1324">
        <v>0</v>
      </c>
      <c r="P1324" t="s">
        <v>1215</v>
      </c>
      <c r="Q1324" s="1308" t="s">
        <v>4911</v>
      </c>
    </row>
    <row r="1325" spans="1:17">
      <c r="A1325" s="1305" t="s">
        <v>3719</v>
      </c>
      <c r="B1325" s="29">
        <v>45926</v>
      </c>
      <c r="C1325" s="29">
        <v>45935</v>
      </c>
      <c r="D1325" t="s">
        <v>908</v>
      </c>
      <c r="E1325" s="1276">
        <v>45769</v>
      </c>
      <c r="G1325">
        <v>1632305</v>
      </c>
      <c r="I1325">
        <v>0</v>
      </c>
      <c r="J1325">
        <v>1632305</v>
      </c>
      <c r="K1325">
        <v>0</v>
      </c>
      <c r="P1325" t="s">
        <v>1215</v>
      </c>
      <c r="Q1325" s="1308" t="s">
        <v>4911</v>
      </c>
    </row>
    <row r="1326" spans="1:17">
      <c r="A1326" s="1305" t="s">
        <v>3719</v>
      </c>
      <c r="B1326" s="29">
        <v>45926</v>
      </c>
      <c r="C1326" s="29">
        <v>45935</v>
      </c>
      <c r="D1326" t="s">
        <v>908</v>
      </c>
      <c r="E1326" s="1276">
        <v>45769</v>
      </c>
      <c r="G1326">
        <v>1632305</v>
      </c>
      <c r="I1326">
        <v>0</v>
      </c>
      <c r="J1326">
        <v>1632305</v>
      </c>
      <c r="K1326">
        <v>0</v>
      </c>
      <c r="P1326" t="s">
        <v>1215</v>
      </c>
      <c r="Q1326" s="1308" t="s">
        <v>4911</v>
      </c>
    </row>
    <row r="1327" spans="1:17">
      <c r="A1327" s="1305" t="s">
        <v>3719</v>
      </c>
      <c r="B1327" s="29">
        <v>45928</v>
      </c>
      <c r="C1327" s="29">
        <v>45935</v>
      </c>
      <c r="D1327" t="s">
        <v>908</v>
      </c>
      <c r="E1327" s="1276">
        <v>45769</v>
      </c>
      <c r="G1327">
        <v>2374262</v>
      </c>
      <c r="I1327">
        <v>0</v>
      </c>
      <c r="J1327">
        <v>2374262</v>
      </c>
      <c r="K1327">
        <v>0</v>
      </c>
      <c r="P1327" t="s">
        <v>1215</v>
      </c>
      <c r="Q1327" s="1308" t="s">
        <v>4911</v>
      </c>
    </row>
    <row r="1328" spans="1:17">
      <c r="A1328" s="1305" t="s">
        <v>3719</v>
      </c>
      <c r="B1328" s="29">
        <v>45928</v>
      </c>
      <c r="C1328" s="29">
        <v>45935</v>
      </c>
      <c r="D1328" t="s">
        <v>908</v>
      </c>
      <c r="E1328" s="1276">
        <v>45769</v>
      </c>
      <c r="G1328">
        <v>2374262</v>
      </c>
      <c r="I1328">
        <v>0</v>
      </c>
      <c r="J1328">
        <v>2374262</v>
      </c>
      <c r="K1328">
        <v>0</v>
      </c>
      <c r="P1328" t="s">
        <v>1215</v>
      </c>
      <c r="Q1328" s="1308" t="s">
        <v>4911</v>
      </c>
    </row>
    <row r="1329" spans="1:17">
      <c r="A1329" s="1305" t="s">
        <v>3719</v>
      </c>
      <c r="B1329" s="29">
        <v>45928</v>
      </c>
      <c r="C1329" s="29">
        <v>45935</v>
      </c>
      <c r="D1329" t="s">
        <v>908</v>
      </c>
      <c r="E1329" s="1276">
        <v>45769</v>
      </c>
      <c r="G1329">
        <v>2374262</v>
      </c>
      <c r="I1329">
        <v>0</v>
      </c>
      <c r="J1329">
        <v>2374262</v>
      </c>
      <c r="K1329">
        <v>0</v>
      </c>
      <c r="P1329" t="s">
        <v>1215</v>
      </c>
      <c r="Q1329" s="1308" t="s">
        <v>4911</v>
      </c>
    </row>
    <row r="1330" spans="1:17">
      <c r="A1330" s="1305" t="s">
        <v>3719</v>
      </c>
      <c r="B1330" s="29">
        <v>45926</v>
      </c>
      <c r="C1330" s="29">
        <v>45935</v>
      </c>
      <c r="D1330" t="s">
        <v>908</v>
      </c>
      <c r="E1330" s="1276">
        <v>45769</v>
      </c>
      <c r="G1330">
        <v>2374262</v>
      </c>
      <c r="I1330">
        <v>0</v>
      </c>
      <c r="J1330">
        <v>2374262</v>
      </c>
      <c r="K1330">
        <v>0</v>
      </c>
      <c r="P1330" t="s">
        <v>1215</v>
      </c>
      <c r="Q1330" s="1308" t="s">
        <v>4911</v>
      </c>
    </row>
    <row r="1331" spans="1:17">
      <c r="A1331" s="1305" t="s">
        <v>3719</v>
      </c>
      <c r="B1331" s="29">
        <v>45926</v>
      </c>
      <c r="C1331" s="29">
        <v>45935</v>
      </c>
      <c r="D1331" t="s">
        <v>908</v>
      </c>
      <c r="E1331" s="1276">
        <v>45769</v>
      </c>
      <c r="G1331">
        <v>2374262</v>
      </c>
      <c r="I1331">
        <v>0</v>
      </c>
      <c r="J1331">
        <v>2374262</v>
      </c>
      <c r="K1331">
        <v>0</v>
      </c>
      <c r="P1331" t="s">
        <v>1215</v>
      </c>
      <c r="Q1331" s="1308" t="s">
        <v>4911</v>
      </c>
    </row>
    <row r="1332" spans="1:17">
      <c r="A1332" s="1305" t="s">
        <v>3719</v>
      </c>
      <c r="B1332" s="29">
        <v>45926</v>
      </c>
      <c r="C1332" s="29">
        <v>45935</v>
      </c>
      <c r="D1332" t="s">
        <v>908</v>
      </c>
      <c r="E1332" s="1276">
        <v>45769</v>
      </c>
      <c r="G1332">
        <v>2374262</v>
      </c>
      <c r="I1332">
        <v>0</v>
      </c>
      <c r="J1332">
        <v>2374262</v>
      </c>
      <c r="K1332">
        <v>0</v>
      </c>
      <c r="P1332" t="s">
        <v>1215</v>
      </c>
      <c r="Q1332" s="1308" t="s">
        <v>4911</v>
      </c>
    </row>
    <row r="1333" spans="1:17">
      <c r="A1333" s="1305" t="s">
        <v>3719</v>
      </c>
      <c r="B1333" s="29">
        <v>45926</v>
      </c>
      <c r="C1333" s="29">
        <v>45935</v>
      </c>
      <c r="D1333" t="s">
        <v>908</v>
      </c>
      <c r="E1333" s="1276">
        <v>45769</v>
      </c>
      <c r="G1333">
        <v>2374262</v>
      </c>
      <c r="I1333">
        <v>0</v>
      </c>
      <c r="J1333">
        <v>2374262</v>
      </c>
      <c r="K1333">
        <v>0</v>
      </c>
      <c r="P1333" t="s">
        <v>1215</v>
      </c>
      <c r="Q1333" s="1308" t="s">
        <v>4911</v>
      </c>
    </row>
    <row r="1334" spans="1:17">
      <c r="A1334" s="1305" t="s">
        <v>3719</v>
      </c>
      <c r="B1334" s="29">
        <v>45928</v>
      </c>
      <c r="C1334" s="29">
        <v>45935</v>
      </c>
      <c r="D1334" t="s">
        <v>908</v>
      </c>
      <c r="E1334" s="1276">
        <v>45769</v>
      </c>
      <c r="G1334">
        <v>2374262</v>
      </c>
      <c r="I1334">
        <v>0</v>
      </c>
      <c r="J1334">
        <v>2374262</v>
      </c>
      <c r="K1334">
        <v>0</v>
      </c>
      <c r="P1334" t="s">
        <v>1215</v>
      </c>
      <c r="Q1334" s="1308" t="s">
        <v>4911</v>
      </c>
    </row>
    <row r="1335" spans="1:17">
      <c r="A1335" s="1305" t="s">
        <v>3719</v>
      </c>
      <c r="B1335" s="29">
        <v>45926</v>
      </c>
      <c r="C1335" s="29">
        <v>45935</v>
      </c>
      <c r="D1335" t="s">
        <v>908</v>
      </c>
      <c r="E1335" s="1276">
        <v>45769</v>
      </c>
      <c r="G1335">
        <v>2374262</v>
      </c>
      <c r="I1335">
        <v>0</v>
      </c>
      <c r="J1335">
        <v>2374262</v>
      </c>
      <c r="K1335">
        <v>0</v>
      </c>
      <c r="P1335" t="s">
        <v>1215</v>
      </c>
      <c r="Q1335" s="1308" t="s">
        <v>4911</v>
      </c>
    </row>
    <row r="1336" spans="1:17">
      <c r="A1336" s="1305" t="s">
        <v>3719</v>
      </c>
      <c r="B1336" s="29">
        <v>45926</v>
      </c>
      <c r="C1336" s="29">
        <v>45935</v>
      </c>
      <c r="D1336" t="s">
        <v>908</v>
      </c>
      <c r="E1336" s="1276">
        <v>45769</v>
      </c>
      <c r="G1336">
        <v>2374262</v>
      </c>
      <c r="I1336">
        <v>0</v>
      </c>
      <c r="J1336">
        <v>2374262</v>
      </c>
      <c r="K1336">
        <v>0</v>
      </c>
      <c r="P1336" t="s">
        <v>1215</v>
      </c>
      <c r="Q1336" s="1308" t="s">
        <v>4911</v>
      </c>
    </row>
    <row r="1337" spans="1:17">
      <c r="A1337" s="1305" t="s">
        <v>3719</v>
      </c>
      <c r="B1337" s="29">
        <v>45926</v>
      </c>
      <c r="C1337" s="29">
        <v>45935</v>
      </c>
      <c r="D1337" t="s">
        <v>908</v>
      </c>
      <c r="E1337" s="1276">
        <v>45769</v>
      </c>
      <c r="G1337">
        <v>2374262</v>
      </c>
      <c r="I1337">
        <v>0</v>
      </c>
      <c r="J1337">
        <v>2374262</v>
      </c>
      <c r="K1337">
        <v>0</v>
      </c>
      <c r="P1337" t="s">
        <v>1215</v>
      </c>
      <c r="Q1337" s="1308" t="s">
        <v>4911</v>
      </c>
    </row>
    <row r="1338" spans="1:17">
      <c r="A1338" s="1305" t="s">
        <v>3719</v>
      </c>
      <c r="B1338" s="29">
        <v>45926</v>
      </c>
      <c r="C1338" s="29">
        <v>45935</v>
      </c>
      <c r="D1338" t="s">
        <v>908</v>
      </c>
      <c r="E1338" s="1276">
        <v>45769</v>
      </c>
      <c r="G1338">
        <v>2374262</v>
      </c>
      <c r="I1338">
        <v>0</v>
      </c>
      <c r="J1338">
        <v>2374262</v>
      </c>
      <c r="K1338">
        <v>0</v>
      </c>
      <c r="P1338" t="s">
        <v>1215</v>
      </c>
      <c r="Q1338" s="1308" t="s">
        <v>4911</v>
      </c>
    </row>
    <row r="1339" spans="1:17">
      <c r="A1339" s="1305" t="s">
        <v>3719</v>
      </c>
      <c r="B1339" s="29">
        <v>45926</v>
      </c>
      <c r="C1339" s="29">
        <v>45935</v>
      </c>
      <c r="D1339" t="s">
        <v>908</v>
      </c>
      <c r="E1339" s="1276">
        <v>45769</v>
      </c>
      <c r="G1339">
        <v>2374262</v>
      </c>
      <c r="I1339">
        <v>0</v>
      </c>
      <c r="J1339">
        <v>2374262</v>
      </c>
      <c r="K1339">
        <v>0</v>
      </c>
      <c r="P1339" t="s">
        <v>1215</v>
      </c>
      <c r="Q1339" s="1308" t="s">
        <v>4911</v>
      </c>
    </row>
    <row r="1340" spans="1:17">
      <c r="A1340" s="1305" t="s">
        <v>3719</v>
      </c>
      <c r="B1340" s="29">
        <v>45926</v>
      </c>
      <c r="C1340" s="29">
        <v>45935</v>
      </c>
      <c r="D1340" t="s">
        <v>908</v>
      </c>
      <c r="E1340" s="1276">
        <v>45769</v>
      </c>
      <c r="G1340">
        <v>2374262</v>
      </c>
      <c r="I1340">
        <v>0</v>
      </c>
      <c r="J1340">
        <v>2374262</v>
      </c>
      <c r="K1340">
        <v>0</v>
      </c>
      <c r="P1340" t="s">
        <v>1215</v>
      </c>
      <c r="Q1340" s="1308" t="s">
        <v>4911</v>
      </c>
    </row>
    <row r="1341" spans="1:17">
      <c r="A1341" s="1305" t="s">
        <v>3719</v>
      </c>
      <c r="B1341" s="29">
        <v>45926</v>
      </c>
      <c r="C1341" s="29">
        <v>45935</v>
      </c>
      <c r="D1341" t="s">
        <v>908</v>
      </c>
      <c r="E1341" s="1276">
        <v>45769</v>
      </c>
      <c r="G1341">
        <v>2374262</v>
      </c>
      <c r="I1341">
        <v>0</v>
      </c>
      <c r="J1341">
        <v>2374262</v>
      </c>
      <c r="K1341">
        <v>0</v>
      </c>
      <c r="P1341" t="s">
        <v>1215</v>
      </c>
      <c r="Q1341" s="1308" t="s">
        <v>4911</v>
      </c>
    </row>
    <row r="1342" spans="1:17">
      <c r="A1342" s="1305" t="s">
        <v>3719</v>
      </c>
      <c r="B1342" s="29">
        <v>45928</v>
      </c>
      <c r="C1342" s="29">
        <v>45935</v>
      </c>
      <c r="D1342" t="s">
        <v>908</v>
      </c>
      <c r="E1342" s="1276">
        <v>45769</v>
      </c>
      <c r="G1342">
        <v>2374262</v>
      </c>
      <c r="I1342">
        <v>0</v>
      </c>
      <c r="J1342">
        <v>2374262</v>
      </c>
      <c r="K1342">
        <v>0</v>
      </c>
      <c r="P1342" t="s">
        <v>1215</v>
      </c>
      <c r="Q1342" s="1308" t="s">
        <v>4911</v>
      </c>
    </row>
    <row r="1343" spans="1:17">
      <c r="A1343" s="1305" t="s">
        <v>3719</v>
      </c>
      <c r="B1343" s="29">
        <v>45928</v>
      </c>
      <c r="C1343" s="29">
        <v>45935</v>
      </c>
      <c r="D1343" t="s">
        <v>908</v>
      </c>
      <c r="E1343" s="1276">
        <v>45769</v>
      </c>
      <c r="G1343">
        <v>1632305</v>
      </c>
      <c r="I1343">
        <v>0</v>
      </c>
      <c r="J1343">
        <v>1632305</v>
      </c>
      <c r="K1343">
        <v>0</v>
      </c>
      <c r="P1343" t="s">
        <v>1215</v>
      </c>
      <c r="Q1343" s="1308" t="s">
        <v>4911</v>
      </c>
    </row>
    <row r="1344" spans="1:17">
      <c r="A1344" s="1305" t="s">
        <v>3719</v>
      </c>
      <c r="B1344" s="29">
        <v>45928</v>
      </c>
      <c r="C1344" s="29">
        <v>45935</v>
      </c>
      <c r="D1344" t="s">
        <v>908</v>
      </c>
      <c r="E1344" s="1276">
        <v>45769</v>
      </c>
      <c r="G1344">
        <v>2225871</v>
      </c>
      <c r="I1344">
        <v>0</v>
      </c>
      <c r="J1344">
        <v>2225871</v>
      </c>
      <c r="K1344">
        <v>0</v>
      </c>
      <c r="P1344" t="s">
        <v>1215</v>
      </c>
      <c r="Q1344" s="1308" t="s">
        <v>4911</v>
      </c>
    </row>
    <row r="1345" spans="1:17">
      <c r="A1345" s="1305" t="s">
        <v>3719</v>
      </c>
      <c r="B1345" s="29">
        <v>45928</v>
      </c>
      <c r="C1345" s="29">
        <v>45935</v>
      </c>
      <c r="D1345" t="s">
        <v>908</v>
      </c>
      <c r="E1345" s="1276">
        <v>45769</v>
      </c>
      <c r="G1345">
        <v>2374262</v>
      </c>
      <c r="I1345">
        <v>0</v>
      </c>
      <c r="J1345">
        <v>2374262</v>
      </c>
      <c r="K1345">
        <v>0</v>
      </c>
      <c r="P1345" t="s">
        <v>1215</v>
      </c>
      <c r="Q1345" s="1308" t="s">
        <v>4911</v>
      </c>
    </row>
    <row r="1346" spans="1:17">
      <c r="A1346" s="1305" t="s">
        <v>3719</v>
      </c>
      <c r="B1346" s="29">
        <v>45926</v>
      </c>
      <c r="C1346" s="29">
        <v>45935</v>
      </c>
      <c r="D1346" t="s">
        <v>908</v>
      </c>
      <c r="E1346" s="1276">
        <v>45769</v>
      </c>
      <c r="G1346">
        <v>2374262</v>
      </c>
      <c r="I1346">
        <v>0</v>
      </c>
      <c r="J1346">
        <v>2374262</v>
      </c>
      <c r="K1346">
        <v>0</v>
      </c>
      <c r="P1346" t="s">
        <v>1215</v>
      </c>
      <c r="Q1346" s="1308" t="s">
        <v>4911</v>
      </c>
    </row>
    <row r="1347" spans="1:17">
      <c r="A1347" s="1305" t="s">
        <v>3719</v>
      </c>
      <c r="B1347" s="29">
        <v>45926</v>
      </c>
      <c r="C1347" s="29">
        <v>45935</v>
      </c>
      <c r="D1347" t="s">
        <v>908</v>
      </c>
      <c r="E1347" s="1276">
        <v>45769</v>
      </c>
      <c r="G1347">
        <v>1780697</v>
      </c>
      <c r="I1347">
        <v>0</v>
      </c>
      <c r="J1347">
        <v>1780697</v>
      </c>
      <c r="K1347">
        <v>0</v>
      </c>
      <c r="P1347" t="s">
        <v>1215</v>
      </c>
      <c r="Q1347" s="1308" t="s">
        <v>4911</v>
      </c>
    </row>
    <row r="1348" spans="1:17">
      <c r="A1348" s="1305" t="s">
        <v>3719</v>
      </c>
      <c r="B1348" s="29">
        <v>45928</v>
      </c>
      <c r="C1348" s="29">
        <v>45935</v>
      </c>
      <c r="D1348" t="s">
        <v>908</v>
      </c>
      <c r="E1348" s="1276">
        <v>45769</v>
      </c>
      <c r="G1348">
        <v>2374262</v>
      </c>
      <c r="I1348">
        <v>0</v>
      </c>
      <c r="J1348">
        <v>2374262</v>
      </c>
      <c r="K1348">
        <v>0</v>
      </c>
      <c r="P1348" t="s">
        <v>1215</v>
      </c>
      <c r="Q1348" s="1308" t="s">
        <v>4911</v>
      </c>
    </row>
    <row r="1349" spans="1:17">
      <c r="A1349" s="1305" t="s">
        <v>3720</v>
      </c>
      <c r="B1349" s="29">
        <v>45930</v>
      </c>
      <c r="C1349" s="29">
        <v>45935</v>
      </c>
      <c r="D1349" t="s">
        <v>4631</v>
      </c>
      <c r="E1349" s="1276">
        <v>45769</v>
      </c>
      <c r="G1349">
        <v>4000000</v>
      </c>
      <c r="I1349">
        <v>0</v>
      </c>
      <c r="J1349">
        <v>4000000</v>
      </c>
      <c r="K1349">
        <v>0</v>
      </c>
      <c r="P1349" s="22" t="s">
        <v>1216</v>
      </c>
      <c r="Q1349" s="1308" t="s">
        <v>4915</v>
      </c>
    </row>
    <row r="1350" spans="1:17">
      <c r="A1350" s="1305" t="s">
        <v>3720</v>
      </c>
      <c r="B1350" s="29">
        <v>45930</v>
      </c>
      <c r="C1350" s="29">
        <v>45935</v>
      </c>
      <c r="D1350" t="s">
        <v>4632</v>
      </c>
      <c r="E1350" s="1276">
        <v>45769</v>
      </c>
      <c r="G1350">
        <v>4000000</v>
      </c>
      <c r="I1350">
        <v>0</v>
      </c>
      <c r="J1350">
        <v>4000000</v>
      </c>
      <c r="K1350">
        <v>0</v>
      </c>
      <c r="P1350" s="22" t="s">
        <v>1216</v>
      </c>
      <c r="Q1350" s="1308" t="s">
        <v>4915</v>
      </c>
    </row>
    <row r="1351" spans="1:17">
      <c r="A1351" s="1305" t="s">
        <v>3720</v>
      </c>
      <c r="B1351" s="29">
        <v>45930</v>
      </c>
      <c r="C1351" s="29">
        <v>45935</v>
      </c>
      <c r="D1351" t="s">
        <v>4633</v>
      </c>
      <c r="E1351" s="1276">
        <v>45769</v>
      </c>
      <c r="G1351">
        <v>4000000</v>
      </c>
      <c r="I1351">
        <v>0</v>
      </c>
      <c r="J1351">
        <v>4000000</v>
      </c>
      <c r="K1351">
        <v>0</v>
      </c>
      <c r="P1351" s="22" t="s">
        <v>1216</v>
      </c>
      <c r="Q1351" s="1308" t="s">
        <v>4915</v>
      </c>
    </row>
    <row r="1352" spans="1:17">
      <c r="A1352" s="1305" t="s">
        <v>3720</v>
      </c>
      <c r="B1352" s="29">
        <v>45930</v>
      </c>
      <c r="C1352" s="29">
        <v>45935</v>
      </c>
      <c r="D1352" t="s">
        <v>4634</v>
      </c>
      <c r="E1352" s="1276">
        <v>45769</v>
      </c>
      <c r="G1352">
        <v>4000000</v>
      </c>
      <c r="I1352">
        <v>0</v>
      </c>
      <c r="J1352">
        <v>4000000</v>
      </c>
      <c r="K1352">
        <v>0</v>
      </c>
      <c r="P1352" s="22" t="s">
        <v>1216</v>
      </c>
      <c r="Q1352" s="1308" t="s">
        <v>4915</v>
      </c>
    </row>
    <row r="1353" spans="1:17">
      <c r="A1353" s="1305" t="s">
        <v>3720</v>
      </c>
      <c r="B1353" s="29">
        <v>45930</v>
      </c>
      <c r="C1353" s="29">
        <v>45935</v>
      </c>
      <c r="D1353" t="s">
        <v>4635</v>
      </c>
      <c r="E1353" s="1276">
        <v>45769</v>
      </c>
      <c r="G1353">
        <v>4000000</v>
      </c>
      <c r="I1353">
        <v>0</v>
      </c>
      <c r="J1353">
        <v>4000000</v>
      </c>
      <c r="K1353">
        <v>0</v>
      </c>
      <c r="P1353" s="22" t="s">
        <v>1216</v>
      </c>
      <c r="Q1353" s="1308" t="s">
        <v>4915</v>
      </c>
    </row>
    <row r="1354" spans="1:17">
      <c r="A1354" s="1305" t="s">
        <v>3720</v>
      </c>
      <c r="B1354" s="29">
        <v>45930</v>
      </c>
      <c r="C1354" s="29">
        <v>45935</v>
      </c>
      <c r="D1354" t="s">
        <v>4636</v>
      </c>
      <c r="E1354" s="1276">
        <v>45769</v>
      </c>
      <c r="G1354">
        <v>59000</v>
      </c>
      <c r="I1354">
        <v>0</v>
      </c>
      <c r="J1354">
        <v>59000</v>
      </c>
      <c r="K1354">
        <v>0</v>
      </c>
      <c r="P1354" s="22" t="s">
        <v>1216</v>
      </c>
      <c r="Q1354" s="1308" t="s">
        <v>4915</v>
      </c>
    </row>
    <row r="1355" spans="1:17">
      <c r="A1355" s="1305" t="s">
        <v>3720</v>
      </c>
      <c r="B1355" s="29">
        <v>45930</v>
      </c>
      <c r="C1355" s="29">
        <v>45935</v>
      </c>
      <c r="D1355" t="s">
        <v>4636</v>
      </c>
      <c r="E1355" s="1276">
        <v>45769</v>
      </c>
      <c r="G1355">
        <v>23600000</v>
      </c>
      <c r="I1355">
        <v>0</v>
      </c>
      <c r="J1355">
        <v>23600000</v>
      </c>
      <c r="K1355">
        <v>0</v>
      </c>
      <c r="P1355" s="22" t="s">
        <v>1216</v>
      </c>
      <c r="Q1355" s="1308" t="s">
        <v>4915</v>
      </c>
    </row>
    <row r="1356" spans="1:17">
      <c r="A1356" s="1305" t="s">
        <v>3720</v>
      </c>
      <c r="B1356" s="29">
        <v>45930</v>
      </c>
      <c r="C1356" s="29">
        <v>45930</v>
      </c>
      <c r="D1356" t="s">
        <v>4637</v>
      </c>
      <c r="E1356" s="1276">
        <v>45769</v>
      </c>
      <c r="G1356">
        <v>2950</v>
      </c>
      <c r="I1356">
        <v>2950</v>
      </c>
      <c r="J1356">
        <v>0</v>
      </c>
      <c r="K1356">
        <v>0</v>
      </c>
      <c r="P1356" s="22" t="s">
        <v>1216</v>
      </c>
      <c r="Q1356" s="1308" t="s">
        <v>4915</v>
      </c>
    </row>
    <row r="1357" spans="1:17">
      <c r="A1357" s="1305" t="s">
        <v>3720</v>
      </c>
      <c r="B1357" s="29">
        <v>45930</v>
      </c>
      <c r="C1357" s="29">
        <v>45930</v>
      </c>
      <c r="D1357" t="s">
        <v>4637</v>
      </c>
      <c r="E1357" s="1276">
        <v>45769</v>
      </c>
      <c r="G1357">
        <v>590000</v>
      </c>
      <c r="I1357">
        <v>590000</v>
      </c>
      <c r="J1357">
        <v>0</v>
      </c>
      <c r="K1357">
        <v>0</v>
      </c>
      <c r="P1357" s="22" t="s">
        <v>1216</v>
      </c>
      <c r="Q1357" s="1308" t="s">
        <v>4915</v>
      </c>
    </row>
    <row r="1358" spans="1:17">
      <c r="A1358" s="1305" t="s">
        <v>3720</v>
      </c>
      <c r="B1358" s="29">
        <v>45930</v>
      </c>
      <c r="C1358" s="29">
        <v>45935</v>
      </c>
      <c r="D1358" t="s">
        <v>4636</v>
      </c>
      <c r="E1358" s="1276">
        <v>45769</v>
      </c>
      <c r="G1358">
        <v>59000</v>
      </c>
      <c r="I1358">
        <v>0</v>
      </c>
      <c r="J1358">
        <v>59000</v>
      </c>
      <c r="K1358">
        <v>0</v>
      </c>
      <c r="P1358" s="22" t="s">
        <v>1216</v>
      </c>
      <c r="Q1358" s="1308" t="s">
        <v>4915</v>
      </c>
    </row>
    <row r="1359" spans="1:17">
      <c r="A1359" s="1305" t="s">
        <v>3720</v>
      </c>
      <c r="B1359" s="29">
        <v>45930</v>
      </c>
      <c r="C1359" s="29">
        <v>45935</v>
      </c>
      <c r="D1359" t="s">
        <v>4636</v>
      </c>
      <c r="E1359" s="1276">
        <v>45769</v>
      </c>
      <c r="G1359">
        <v>14160000</v>
      </c>
      <c r="I1359">
        <v>0</v>
      </c>
      <c r="J1359">
        <v>14160000</v>
      </c>
      <c r="K1359">
        <v>0</v>
      </c>
      <c r="P1359" s="22" t="s">
        <v>1216</v>
      </c>
      <c r="Q1359" s="1308" t="s">
        <v>4915</v>
      </c>
    </row>
    <row r="1360" spans="1:17">
      <c r="A1360" s="1305" t="s">
        <v>3720</v>
      </c>
      <c r="B1360" s="29">
        <v>45930</v>
      </c>
      <c r="C1360" s="29">
        <v>45935</v>
      </c>
      <c r="D1360" t="s">
        <v>4638</v>
      </c>
      <c r="E1360" s="1276">
        <v>45769</v>
      </c>
      <c r="G1360">
        <v>295000</v>
      </c>
      <c r="I1360">
        <v>0</v>
      </c>
      <c r="J1360">
        <v>295000</v>
      </c>
      <c r="K1360">
        <v>0</v>
      </c>
      <c r="P1360" s="22" t="s">
        <v>1216</v>
      </c>
      <c r="Q1360" s="1308" t="s">
        <v>4915</v>
      </c>
    </row>
    <row r="1361" spans="1:17">
      <c r="A1361" s="1305" t="s">
        <v>3720</v>
      </c>
      <c r="B1361" s="29">
        <v>45930</v>
      </c>
      <c r="C1361" s="29">
        <v>45935</v>
      </c>
      <c r="D1361" t="s">
        <v>4638</v>
      </c>
      <c r="E1361" s="1276">
        <v>45769</v>
      </c>
      <c r="G1361">
        <v>17700</v>
      </c>
      <c r="I1361">
        <v>0</v>
      </c>
      <c r="J1361">
        <v>17700</v>
      </c>
      <c r="K1361">
        <v>0</v>
      </c>
      <c r="P1361" s="22" t="s">
        <v>1216</v>
      </c>
      <c r="Q1361" s="1308" t="s">
        <v>4915</v>
      </c>
    </row>
    <row r="1362" spans="1:17">
      <c r="A1362" s="1305" t="s">
        <v>3720</v>
      </c>
      <c r="B1362" s="29">
        <v>45930</v>
      </c>
      <c r="C1362" s="29">
        <v>45935</v>
      </c>
      <c r="D1362" t="s">
        <v>4636</v>
      </c>
      <c r="E1362" s="1276">
        <v>45769</v>
      </c>
      <c r="G1362">
        <v>29500</v>
      </c>
      <c r="I1362">
        <v>0</v>
      </c>
      <c r="J1362">
        <v>29500</v>
      </c>
      <c r="K1362">
        <v>0</v>
      </c>
      <c r="P1362" s="22" t="s">
        <v>1216</v>
      </c>
      <c r="Q1362" s="1308" t="s">
        <v>4915</v>
      </c>
    </row>
    <row r="1363" spans="1:17">
      <c r="A1363" s="1305" t="s">
        <v>3720</v>
      </c>
      <c r="B1363" s="29">
        <v>45930</v>
      </c>
      <c r="C1363" s="29">
        <v>45935</v>
      </c>
      <c r="D1363" t="s">
        <v>4636</v>
      </c>
      <c r="E1363" s="1276">
        <v>45769</v>
      </c>
      <c r="G1363">
        <v>29500</v>
      </c>
      <c r="I1363">
        <v>0</v>
      </c>
      <c r="J1363">
        <v>29500</v>
      </c>
      <c r="K1363">
        <v>0</v>
      </c>
      <c r="P1363" s="22" t="s">
        <v>1216</v>
      </c>
      <c r="Q1363" s="1308" t="s">
        <v>4915</v>
      </c>
    </row>
    <row r="1364" spans="1:17">
      <c r="A1364" s="1305" t="s">
        <v>3720</v>
      </c>
      <c r="B1364" s="29">
        <v>45930</v>
      </c>
      <c r="C1364" s="29">
        <v>45935</v>
      </c>
      <c r="D1364" t="s">
        <v>4639</v>
      </c>
      <c r="E1364" s="1276">
        <v>45769</v>
      </c>
      <c r="G1364">
        <v>5900</v>
      </c>
      <c r="I1364">
        <v>0</v>
      </c>
      <c r="J1364">
        <v>5900</v>
      </c>
      <c r="K1364">
        <v>0</v>
      </c>
      <c r="P1364" s="22" t="s">
        <v>1216</v>
      </c>
      <c r="Q1364" s="1308" t="s">
        <v>4915</v>
      </c>
    </row>
    <row r="1365" spans="1:17">
      <c r="A1365" s="1305" t="s">
        <v>3720</v>
      </c>
      <c r="B1365" s="29">
        <v>45930</v>
      </c>
      <c r="C1365" s="29">
        <v>45935</v>
      </c>
      <c r="D1365" t="s">
        <v>4639</v>
      </c>
      <c r="E1365" s="1276">
        <v>45769</v>
      </c>
      <c r="G1365">
        <v>11800</v>
      </c>
      <c r="I1365">
        <v>0</v>
      </c>
      <c r="J1365">
        <v>11800</v>
      </c>
      <c r="K1365">
        <v>0</v>
      </c>
      <c r="P1365" s="22" t="s">
        <v>1216</v>
      </c>
      <c r="Q1365" s="1308" t="s">
        <v>4915</v>
      </c>
    </row>
    <row r="1366" spans="1:17">
      <c r="A1366" s="1305" t="s">
        <v>3720</v>
      </c>
      <c r="B1366" s="29">
        <v>45930</v>
      </c>
      <c r="C1366" s="29">
        <v>45935</v>
      </c>
      <c r="D1366" t="s">
        <v>4640</v>
      </c>
      <c r="E1366" s="1276">
        <v>45769</v>
      </c>
      <c r="G1366">
        <v>29500</v>
      </c>
      <c r="I1366">
        <v>0</v>
      </c>
      <c r="J1366">
        <v>29500</v>
      </c>
      <c r="K1366">
        <v>0</v>
      </c>
      <c r="P1366" s="22" t="s">
        <v>1216</v>
      </c>
      <c r="Q1366" s="1308" t="s">
        <v>4915</v>
      </c>
    </row>
    <row r="1367" spans="1:17">
      <c r="A1367" s="1305" t="s">
        <v>3720</v>
      </c>
      <c r="B1367" s="29">
        <v>45930</v>
      </c>
      <c r="C1367" s="29">
        <v>45935</v>
      </c>
      <c r="D1367" t="s">
        <v>4640</v>
      </c>
      <c r="E1367" s="1276">
        <v>45769</v>
      </c>
      <c r="G1367">
        <v>1770000</v>
      </c>
      <c r="I1367">
        <v>0</v>
      </c>
      <c r="J1367">
        <v>1770000</v>
      </c>
      <c r="K1367">
        <v>0</v>
      </c>
      <c r="P1367" s="22" t="s">
        <v>1216</v>
      </c>
      <c r="Q1367" s="1308" t="s">
        <v>4915</v>
      </c>
    </row>
    <row r="1368" spans="1:17">
      <c r="A1368" s="1305" t="s">
        <v>3720</v>
      </c>
      <c r="B1368" s="29">
        <v>45930</v>
      </c>
      <c r="C1368" s="29">
        <v>45935</v>
      </c>
      <c r="D1368" t="s">
        <v>4641</v>
      </c>
      <c r="E1368" s="1276">
        <v>45769</v>
      </c>
      <c r="G1368">
        <v>29500</v>
      </c>
      <c r="I1368">
        <v>0</v>
      </c>
      <c r="J1368">
        <v>29500</v>
      </c>
      <c r="K1368">
        <v>0</v>
      </c>
      <c r="P1368" s="22" t="s">
        <v>1216</v>
      </c>
      <c r="Q1368" s="1308" t="s">
        <v>4915</v>
      </c>
    </row>
    <row r="1369" spans="1:17">
      <c r="A1369" s="1305" t="s">
        <v>3720</v>
      </c>
      <c r="B1369" s="29">
        <v>45930</v>
      </c>
      <c r="C1369" s="29">
        <v>45935</v>
      </c>
      <c r="D1369" t="s">
        <v>4641</v>
      </c>
      <c r="E1369" s="1276">
        <v>45769</v>
      </c>
      <c r="G1369">
        <v>1770000</v>
      </c>
      <c r="I1369">
        <v>0</v>
      </c>
      <c r="J1369">
        <v>1770000</v>
      </c>
      <c r="K1369">
        <v>0</v>
      </c>
      <c r="P1369" s="22" t="s">
        <v>1216</v>
      </c>
      <c r="Q1369" s="1308" t="s">
        <v>4915</v>
      </c>
    </row>
    <row r="1370" spans="1:17">
      <c r="A1370" s="1305" t="s">
        <v>3720</v>
      </c>
      <c r="B1370" s="29">
        <v>45930</v>
      </c>
      <c r="C1370" s="29">
        <v>45935</v>
      </c>
      <c r="D1370" t="s">
        <v>4642</v>
      </c>
      <c r="E1370" s="1276">
        <v>45769</v>
      </c>
      <c r="G1370">
        <v>29500</v>
      </c>
      <c r="I1370">
        <v>0</v>
      </c>
      <c r="J1370">
        <v>29500</v>
      </c>
      <c r="K1370">
        <v>0</v>
      </c>
      <c r="P1370" s="22" t="s">
        <v>1216</v>
      </c>
      <c r="Q1370" s="1308" t="s">
        <v>4915</v>
      </c>
    </row>
    <row r="1371" spans="1:17">
      <c r="A1371" s="1305" t="s">
        <v>3720</v>
      </c>
      <c r="B1371" s="29">
        <v>45930</v>
      </c>
      <c r="C1371" s="29">
        <v>45935</v>
      </c>
      <c r="D1371" t="s">
        <v>4642</v>
      </c>
      <c r="E1371" s="1276">
        <v>45769</v>
      </c>
      <c r="G1371">
        <v>590000</v>
      </c>
      <c r="I1371">
        <v>0</v>
      </c>
      <c r="J1371">
        <v>590000</v>
      </c>
      <c r="K1371">
        <v>0</v>
      </c>
      <c r="P1371" s="22" t="s">
        <v>1216</v>
      </c>
      <c r="Q1371" s="1308" t="s">
        <v>4915</v>
      </c>
    </row>
    <row r="1372" spans="1:17">
      <c r="A1372" s="1305" t="s">
        <v>3720</v>
      </c>
      <c r="B1372" s="29">
        <v>45930</v>
      </c>
      <c r="C1372" s="29">
        <v>45935</v>
      </c>
      <c r="D1372" t="s">
        <v>4643</v>
      </c>
      <c r="E1372" s="1276">
        <v>45769</v>
      </c>
      <c r="G1372">
        <v>22500</v>
      </c>
      <c r="I1372">
        <v>0</v>
      </c>
      <c r="J1372">
        <v>22500</v>
      </c>
      <c r="K1372">
        <v>0</v>
      </c>
      <c r="P1372" s="22" t="s">
        <v>1216</v>
      </c>
      <c r="Q1372" s="1308" t="s">
        <v>4915</v>
      </c>
    </row>
    <row r="1373" spans="1:17">
      <c r="A1373" s="1305" t="s">
        <v>3720</v>
      </c>
      <c r="B1373" s="29">
        <v>45930</v>
      </c>
      <c r="C1373" s="29">
        <v>45935</v>
      </c>
      <c r="D1373" t="s">
        <v>4631</v>
      </c>
      <c r="E1373" s="1276">
        <v>45769</v>
      </c>
      <c r="G1373">
        <v>29500</v>
      </c>
      <c r="I1373">
        <v>0</v>
      </c>
      <c r="J1373">
        <v>29500</v>
      </c>
      <c r="K1373">
        <v>0</v>
      </c>
      <c r="P1373" s="22" t="s">
        <v>1216</v>
      </c>
      <c r="Q1373" s="1308" t="s">
        <v>4915</v>
      </c>
    </row>
    <row r="1374" spans="1:17">
      <c r="A1374" s="1305" t="s">
        <v>3720</v>
      </c>
      <c r="B1374" s="29">
        <v>45930</v>
      </c>
      <c r="C1374" s="29">
        <v>45935</v>
      </c>
      <c r="D1374" t="s">
        <v>4631</v>
      </c>
      <c r="E1374" s="1276">
        <v>45769</v>
      </c>
      <c r="G1374">
        <v>590000</v>
      </c>
      <c r="I1374">
        <v>0</v>
      </c>
      <c r="J1374">
        <v>590000</v>
      </c>
      <c r="K1374">
        <v>0</v>
      </c>
      <c r="P1374" s="22" t="s">
        <v>1216</v>
      </c>
      <c r="Q1374" s="1308" t="s">
        <v>4915</v>
      </c>
    </row>
    <row r="1375" spans="1:17">
      <c r="A1375" s="1305" t="s">
        <v>3720</v>
      </c>
      <c r="B1375" s="29">
        <v>45930</v>
      </c>
      <c r="C1375" s="29">
        <v>45935</v>
      </c>
      <c r="D1375" t="s">
        <v>4644</v>
      </c>
      <c r="E1375" s="1276">
        <v>45769</v>
      </c>
      <c r="G1375">
        <v>29500</v>
      </c>
      <c r="I1375">
        <v>0</v>
      </c>
      <c r="J1375">
        <v>29500</v>
      </c>
      <c r="K1375">
        <v>0</v>
      </c>
      <c r="P1375" s="22" t="s">
        <v>1216</v>
      </c>
      <c r="Q1375" s="1308" t="s">
        <v>4915</v>
      </c>
    </row>
    <row r="1376" spans="1:17">
      <c r="A1376" s="1305" t="s">
        <v>3720</v>
      </c>
      <c r="B1376" s="29">
        <v>45930</v>
      </c>
      <c r="C1376" s="29">
        <v>45935</v>
      </c>
      <c r="D1376" t="s">
        <v>4644</v>
      </c>
      <c r="E1376" s="1276">
        <v>45769</v>
      </c>
      <c r="G1376">
        <v>354000</v>
      </c>
      <c r="I1376">
        <v>0</v>
      </c>
      <c r="J1376">
        <v>354000</v>
      </c>
      <c r="K1376">
        <v>0</v>
      </c>
      <c r="P1376" s="22" t="s">
        <v>1216</v>
      </c>
      <c r="Q1376" s="1308" t="s">
        <v>4915</v>
      </c>
    </row>
    <row r="1377" spans="1:17">
      <c r="A1377" s="1305" t="s">
        <v>3720</v>
      </c>
      <c r="B1377" s="29">
        <v>45930</v>
      </c>
      <c r="C1377" s="29">
        <v>45935</v>
      </c>
      <c r="D1377" t="s">
        <v>4645</v>
      </c>
      <c r="E1377" s="1276">
        <v>45769</v>
      </c>
      <c r="G1377">
        <v>59000</v>
      </c>
      <c r="I1377">
        <v>0</v>
      </c>
      <c r="J1377">
        <v>59000</v>
      </c>
      <c r="K1377">
        <v>0</v>
      </c>
      <c r="P1377" s="22" t="s">
        <v>1216</v>
      </c>
      <c r="Q1377" s="1308" t="s">
        <v>4915</v>
      </c>
    </row>
    <row r="1378" spans="1:17">
      <c r="A1378" s="1305" t="s">
        <v>3720</v>
      </c>
      <c r="B1378" s="29">
        <v>45930</v>
      </c>
      <c r="C1378" s="29">
        <v>45935</v>
      </c>
      <c r="D1378" t="s">
        <v>4645</v>
      </c>
      <c r="E1378" s="1276">
        <v>45769</v>
      </c>
      <c r="G1378">
        <v>885000</v>
      </c>
      <c r="I1378">
        <v>0</v>
      </c>
      <c r="J1378">
        <v>885000</v>
      </c>
      <c r="K1378">
        <v>0</v>
      </c>
      <c r="P1378" s="22" t="s">
        <v>1216</v>
      </c>
      <c r="Q1378" s="1308" t="s">
        <v>4915</v>
      </c>
    </row>
    <row r="1379" spans="1:17">
      <c r="A1379" s="1305" t="s">
        <v>3720</v>
      </c>
      <c r="B1379" s="29">
        <v>45930</v>
      </c>
      <c r="C1379" s="29">
        <v>45935</v>
      </c>
      <c r="D1379" t="s">
        <v>4646</v>
      </c>
      <c r="E1379" s="1276">
        <v>45769</v>
      </c>
      <c r="G1379">
        <v>5000000</v>
      </c>
      <c r="I1379">
        <v>0</v>
      </c>
      <c r="J1379">
        <v>5000000</v>
      </c>
      <c r="K1379">
        <v>0</v>
      </c>
      <c r="P1379" s="22" t="s">
        <v>1216</v>
      </c>
      <c r="Q1379" s="1308" t="s">
        <v>4915</v>
      </c>
    </row>
    <row r="1380" spans="1:17">
      <c r="A1380" s="1305" t="s">
        <v>3724</v>
      </c>
      <c r="B1380" s="29">
        <v>45937</v>
      </c>
      <c r="C1380" s="29">
        <v>45937</v>
      </c>
      <c r="D1380" t="s">
        <v>4647</v>
      </c>
      <c r="E1380" s="1276">
        <v>45769</v>
      </c>
      <c r="G1380">
        <v>17200000</v>
      </c>
      <c r="I1380">
        <v>0</v>
      </c>
      <c r="J1380">
        <v>17200000</v>
      </c>
      <c r="P1380" s="22" t="s">
        <v>1216</v>
      </c>
      <c r="Q1380" s="1308" t="s">
        <v>4913</v>
      </c>
    </row>
    <row r="1381" spans="1:17">
      <c r="A1381" s="1305" t="s">
        <v>3724</v>
      </c>
      <c r="B1381" s="29">
        <v>45968</v>
      </c>
      <c r="C1381" s="29">
        <v>45968</v>
      </c>
      <c r="D1381" t="s">
        <v>4647</v>
      </c>
      <c r="E1381" s="1276">
        <v>45769</v>
      </c>
      <c r="G1381">
        <v>17200000</v>
      </c>
      <c r="I1381">
        <v>0</v>
      </c>
      <c r="J1381">
        <v>17200000</v>
      </c>
      <c r="P1381" s="22" t="s">
        <v>1216</v>
      </c>
      <c r="Q1381" s="1308" t="s">
        <v>4913</v>
      </c>
    </row>
    <row r="1382" spans="1:17">
      <c r="A1382" s="1305" t="s">
        <v>3724</v>
      </c>
      <c r="B1382" s="29">
        <v>45998</v>
      </c>
      <c r="C1382" s="29">
        <v>45998</v>
      </c>
      <c r="D1382" t="s">
        <v>4647</v>
      </c>
      <c r="E1382" s="1276">
        <v>45769</v>
      </c>
      <c r="G1382">
        <v>17200000</v>
      </c>
      <c r="I1382">
        <v>0</v>
      </c>
      <c r="J1382">
        <v>17200000</v>
      </c>
      <c r="P1382" s="22" t="s">
        <v>1216</v>
      </c>
      <c r="Q1382" s="1308" t="s">
        <v>4913</v>
      </c>
    </row>
    <row r="1383" spans="1:17">
      <c r="A1383" s="1305" t="s">
        <v>3724</v>
      </c>
      <c r="B1383" s="29">
        <v>46029</v>
      </c>
      <c r="C1383" s="29">
        <v>46029</v>
      </c>
      <c r="D1383" t="s">
        <v>4647</v>
      </c>
      <c r="E1383" s="1276">
        <v>45769</v>
      </c>
      <c r="G1383">
        <v>17200000</v>
      </c>
      <c r="I1383">
        <v>0</v>
      </c>
      <c r="J1383">
        <v>17200000</v>
      </c>
      <c r="P1383" s="22" t="s">
        <v>1216</v>
      </c>
      <c r="Q1383" s="1308" t="s">
        <v>4913</v>
      </c>
    </row>
    <row r="1384" spans="1:17">
      <c r="A1384" s="1305" t="s">
        <v>3724</v>
      </c>
      <c r="B1384" s="29">
        <v>46060</v>
      </c>
      <c r="C1384" s="29">
        <v>46060</v>
      </c>
      <c r="D1384" t="s">
        <v>4647</v>
      </c>
      <c r="E1384" s="1276">
        <v>45769</v>
      </c>
      <c r="G1384">
        <v>17200000</v>
      </c>
      <c r="I1384">
        <v>0</v>
      </c>
      <c r="J1384">
        <v>17200000</v>
      </c>
      <c r="P1384" s="22" t="s">
        <v>1216</v>
      </c>
      <c r="Q1384" s="1308" t="s">
        <v>4913</v>
      </c>
    </row>
    <row r="1385" spans="1:17">
      <c r="A1385" s="1305" t="s">
        <v>3724</v>
      </c>
      <c r="B1385" s="29">
        <v>46088</v>
      </c>
      <c r="C1385" s="29">
        <v>46088</v>
      </c>
      <c r="D1385" t="s">
        <v>4647</v>
      </c>
      <c r="E1385" s="1276">
        <v>45769</v>
      </c>
      <c r="G1385">
        <v>17200000</v>
      </c>
      <c r="I1385">
        <v>0</v>
      </c>
      <c r="J1385">
        <v>17200000</v>
      </c>
      <c r="P1385" s="22" t="s">
        <v>1216</v>
      </c>
      <c r="Q1385" s="1308" t="s">
        <v>4913</v>
      </c>
    </row>
    <row r="1386" spans="1:17">
      <c r="A1386" s="1305" t="s">
        <v>3720</v>
      </c>
      <c r="B1386" s="29">
        <v>45906</v>
      </c>
      <c r="C1386" s="29">
        <v>45906</v>
      </c>
      <c r="D1386" t="s">
        <v>4648</v>
      </c>
      <c r="E1386" s="1276">
        <v>45769</v>
      </c>
      <c r="G1386">
        <v>1146960</v>
      </c>
      <c r="I1386">
        <v>0</v>
      </c>
      <c r="J1386">
        <v>1146960</v>
      </c>
      <c r="P1386" s="22" t="s">
        <v>1216</v>
      </c>
      <c r="Q1386" s="1308" t="s">
        <v>4915</v>
      </c>
    </row>
    <row r="1387" spans="1:17">
      <c r="A1387" s="1305" t="s">
        <v>3720</v>
      </c>
      <c r="B1387" s="29">
        <v>45906</v>
      </c>
      <c r="C1387" s="29">
        <v>45906</v>
      </c>
      <c r="D1387" t="s">
        <v>4649</v>
      </c>
      <c r="E1387" s="1276">
        <v>45769</v>
      </c>
      <c r="G1387">
        <v>983412.00000000023</v>
      </c>
      <c r="I1387">
        <v>0</v>
      </c>
      <c r="J1387">
        <v>983412.00000000023</v>
      </c>
      <c r="P1387" s="22" t="s">
        <v>1216</v>
      </c>
      <c r="Q1387" s="1308" t="s">
        <v>4915</v>
      </c>
    </row>
    <row r="1388" spans="1:17">
      <c r="A1388" s="1305" t="s">
        <v>3720</v>
      </c>
      <c r="B1388" s="29">
        <v>45906</v>
      </c>
      <c r="C1388" s="29">
        <v>45906</v>
      </c>
      <c r="D1388" t="s">
        <v>4650</v>
      </c>
      <c r="E1388" s="1276">
        <v>45769</v>
      </c>
      <c r="G1388">
        <v>15122880</v>
      </c>
      <c r="I1388">
        <v>0</v>
      </c>
      <c r="J1388">
        <v>15122880</v>
      </c>
      <c r="P1388" s="22" t="s">
        <v>1216</v>
      </c>
      <c r="Q1388" s="1308" t="s">
        <v>4915</v>
      </c>
    </row>
    <row r="1389" spans="1:17">
      <c r="A1389" s="1305" t="s">
        <v>3720</v>
      </c>
      <c r="B1389" s="29">
        <v>45906</v>
      </c>
      <c r="C1389" s="29">
        <v>45906</v>
      </c>
      <c r="D1389" t="s">
        <v>4651</v>
      </c>
      <c r="E1389" s="1276">
        <v>45769</v>
      </c>
      <c r="G1389">
        <v>892080.00000000012</v>
      </c>
      <c r="I1389">
        <v>0</v>
      </c>
      <c r="J1389">
        <v>892080.00000000012</v>
      </c>
      <c r="P1389" s="22" t="s">
        <v>1216</v>
      </c>
      <c r="Q1389" s="1308" t="s">
        <v>4915</v>
      </c>
    </row>
    <row r="1390" spans="1:17">
      <c r="A1390" s="1305" t="s">
        <v>3720</v>
      </c>
      <c r="B1390" s="29">
        <v>45906</v>
      </c>
      <c r="C1390" s="29">
        <v>45906</v>
      </c>
      <c r="D1390" t="s">
        <v>4652</v>
      </c>
      <c r="E1390" s="1276">
        <v>45769</v>
      </c>
      <c r="G1390">
        <v>4518907.6827600002</v>
      </c>
      <c r="I1390">
        <v>0</v>
      </c>
      <c r="J1390">
        <v>4518907.6827600002</v>
      </c>
      <c r="P1390" s="22" t="s">
        <v>1216</v>
      </c>
      <c r="Q1390" s="1308" t="s">
        <v>4915</v>
      </c>
    </row>
    <row r="1391" spans="1:17">
      <c r="A1391" s="1305" t="s">
        <v>3720</v>
      </c>
      <c r="B1391" s="29">
        <v>45906</v>
      </c>
      <c r="C1391" s="29">
        <v>45906</v>
      </c>
      <c r="D1391" t="s">
        <v>4653</v>
      </c>
      <c r="E1391" s="1276">
        <v>45769</v>
      </c>
      <c r="G1391">
        <v>10150596.000000004</v>
      </c>
      <c r="I1391">
        <v>0</v>
      </c>
      <c r="J1391">
        <v>10150596.000000004</v>
      </c>
      <c r="P1391" s="22" t="s">
        <v>1216</v>
      </c>
      <c r="Q1391" s="1308" t="s">
        <v>4915</v>
      </c>
    </row>
    <row r="1392" spans="1:17">
      <c r="A1392" s="1305" t="s">
        <v>3720</v>
      </c>
      <c r="B1392" s="29">
        <v>45906</v>
      </c>
      <c r="C1392" s="29">
        <v>45906</v>
      </c>
      <c r="D1392" t="s">
        <v>4654</v>
      </c>
      <c r="E1392" s="1276">
        <v>45769</v>
      </c>
      <c r="G1392">
        <v>2686435.2</v>
      </c>
      <c r="I1392">
        <v>0</v>
      </c>
      <c r="J1392">
        <v>2686435.2</v>
      </c>
      <c r="P1392" s="22" t="s">
        <v>1216</v>
      </c>
      <c r="Q1392" s="1308" t="s">
        <v>4915</v>
      </c>
    </row>
    <row r="1393" spans="1:17">
      <c r="A1393" s="1305" t="s">
        <v>3720</v>
      </c>
      <c r="B1393" s="29">
        <v>45906</v>
      </c>
      <c r="C1393" s="29">
        <v>45906</v>
      </c>
      <c r="D1393" t="s">
        <v>4654</v>
      </c>
      <c r="E1393" s="1276">
        <v>45769</v>
      </c>
      <c r="G1393">
        <v>551815.20000000007</v>
      </c>
      <c r="I1393">
        <v>0</v>
      </c>
      <c r="J1393">
        <v>551815.20000000007</v>
      </c>
      <c r="P1393" s="22" t="s">
        <v>1216</v>
      </c>
      <c r="Q1393" s="1308" t="s">
        <v>4915</v>
      </c>
    </row>
    <row r="1394" spans="1:17">
      <c r="A1394" s="1305" t="s">
        <v>3720</v>
      </c>
      <c r="B1394" s="29">
        <v>45930</v>
      </c>
      <c r="C1394" s="29">
        <v>45930</v>
      </c>
      <c r="D1394" t="s">
        <v>4655</v>
      </c>
      <c r="E1394" s="1276">
        <v>45769</v>
      </c>
      <c r="G1394">
        <v>50976.000000000007</v>
      </c>
      <c r="I1394">
        <v>0</v>
      </c>
      <c r="J1394">
        <v>50976.000000000007</v>
      </c>
      <c r="P1394" s="22" t="s">
        <v>1216</v>
      </c>
      <c r="Q1394" s="1308" t="s">
        <v>4915</v>
      </c>
    </row>
    <row r="1395" spans="1:17">
      <c r="A1395" s="1305" t="s">
        <v>3720</v>
      </c>
      <c r="B1395" s="29">
        <v>45930</v>
      </c>
      <c r="C1395" s="29">
        <v>45930</v>
      </c>
      <c r="D1395" t="s">
        <v>4656</v>
      </c>
      <c r="E1395" s="1276">
        <v>45769</v>
      </c>
      <c r="G1395">
        <v>1062000</v>
      </c>
      <c r="I1395">
        <v>0</v>
      </c>
      <c r="J1395">
        <v>1062000</v>
      </c>
      <c r="P1395" s="22" t="s">
        <v>1216</v>
      </c>
      <c r="Q1395" s="1308" t="s">
        <v>4915</v>
      </c>
    </row>
    <row r="1396" spans="1:17">
      <c r="A1396" s="1305" t="s">
        <v>3720</v>
      </c>
      <c r="B1396" s="29">
        <v>45930</v>
      </c>
      <c r="C1396" s="29">
        <v>45930</v>
      </c>
      <c r="D1396" t="s">
        <v>4657</v>
      </c>
      <c r="E1396" s="1276">
        <v>45769</v>
      </c>
      <c r="G1396">
        <v>892080.00000000012</v>
      </c>
      <c r="I1396">
        <v>0</v>
      </c>
      <c r="J1396">
        <v>892080.00000000012</v>
      </c>
      <c r="P1396" s="22" t="s">
        <v>1216</v>
      </c>
      <c r="Q1396" s="1308" t="s">
        <v>4915</v>
      </c>
    </row>
    <row r="1397" spans="1:17">
      <c r="A1397" s="1305" t="s">
        <v>3720</v>
      </c>
      <c r="B1397" s="29">
        <v>45930</v>
      </c>
      <c r="C1397" s="29">
        <v>45930</v>
      </c>
      <c r="D1397" t="s">
        <v>4658</v>
      </c>
      <c r="E1397" s="1276">
        <v>45769</v>
      </c>
      <c r="G1397">
        <v>637200.00000000012</v>
      </c>
      <c r="I1397">
        <v>0</v>
      </c>
      <c r="J1397">
        <v>637200.00000000012</v>
      </c>
      <c r="P1397" s="22" t="s">
        <v>1216</v>
      </c>
      <c r="Q1397" s="1308" t="s">
        <v>4915</v>
      </c>
    </row>
    <row r="1398" spans="1:17">
      <c r="A1398" s="1305" t="s">
        <v>3720</v>
      </c>
      <c r="B1398" s="29">
        <v>45930</v>
      </c>
      <c r="C1398" s="29">
        <v>45930</v>
      </c>
      <c r="D1398" t="s">
        <v>4659</v>
      </c>
      <c r="E1398" s="1276">
        <v>45769</v>
      </c>
      <c r="G1398">
        <v>531000</v>
      </c>
      <c r="I1398">
        <v>0</v>
      </c>
      <c r="J1398">
        <v>531000</v>
      </c>
      <c r="P1398" s="22" t="s">
        <v>1216</v>
      </c>
      <c r="Q1398" s="1308" t="s">
        <v>4915</v>
      </c>
    </row>
    <row r="1399" spans="1:17">
      <c r="A1399" s="1305" t="s">
        <v>3720</v>
      </c>
      <c r="B1399" s="29">
        <v>45930</v>
      </c>
      <c r="C1399" s="29">
        <v>45930</v>
      </c>
      <c r="D1399" t="s">
        <v>4660</v>
      </c>
      <c r="E1399" s="1276">
        <v>45769</v>
      </c>
      <c r="G1399">
        <v>892080.00000000012</v>
      </c>
      <c r="I1399">
        <v>0</v>
      </c>
      <c r="J1399">
        <v>892080.00000000012</v>
      </c>
      <c r="P1399" s="22" t="s">
        <v>1216</v>
      </c>
      <c r="Q1399" s="1308" t="s">
        <v>4915</v>
      </c>
    </row>
    <row r="1400" spans="1:17">
      <c r="A1400" s="1305" t="s">
        <v>3720</v>
      </c>
      <c r="B1400" s="29">
        <v>45930</v>
      </c>
      <c r="C1400" s="29">
        <v>45930</v>
      </c>
      <c r="D1400" t="s">
        <v>4661</v>
      </c>
      <c r="E1400" s="1276">
        <v>45769</v>
      </c>
      <c r="G1400">
        <v>15930000.000000002</v>
      </c>
      <c r="I1400">
        <v>0</v>
      </c>
      <c r="J1400">
        <v>15930000.000000002</v>
      </c>
      <c r="P1400" s="22" t="s">
        <v>1216</v>
      </c>
      <c r="Q1400" s="1308" t="s">
        <v>4915</v>
      </c>
    </row>
    <row r="1401" spans="1:17">
      <c r="A1401" s="1305" t="s">
        <v>3720</v>
      </c>
      <c r="B1401" s="29">
        <v>45930</v>
      </c>
      <c r="C1401" s="29">
        <v>45930</v>
      </c>
      <c r="D1401" t="s">
        <v>4662</v>
      </c>
      <c r="E1401" s="1276">
        <v>45769</v>
      </c>
      <c r="G1401">
        <v>1401840.0000000002</v>
      </c>
      <c r="I1401">
        <v>0</v>
      </c>
      <c r="J1401">
        <v>1401840.0000000002</v>
      </c>
      <c r="P1401" s="22" t="s">
        <v>1216</v>
      </c>
      <c r="Q1401" s="1308" t="s">
        <v>4915</v>
      </c>
    </row>
    <row r="1402" spans="1:17">
      <c r="A1402" s="1305" t="s">
        <v>3720</v>
      </c>
      <c r="B1402" s="29">
        <v>45930</v>
      </c>
      <c r="C1402" s="29">
        <v>45930</v>
      </c>
      <c r="D1402" t="s">
        <v>4646</v>
      </c>
      <c r="E1402" s="1276">
        <v>45769</v>
      </c>
      <c r="G1402">
        <v>1593000.0000000002</v>
      </c>
      <c r="I1402">
        <v>0</v>
      </c>
      <c r="J1402">
        <v>1593000.0000000002</v>
      </c>
      <c r="P1402" s="22" t="s">
        <v>1216</v>
      </c>
      <c r="Q1402" s="1308" t="s">
        <v>4915</v>
      </c>
    </row>
    <row r="1403" spans="1:17">
      <c r="A1403" s="1305" t="s">
        <v>4906</v>
      </c>
      <c r="B1403" s="29">
        <v>45913</v>
      </c>
      <c r="C1403" s="29">
        <v>45913</v>
      </c>
      <c r="D1403" t="s">
        <v>4663</v>
      </c>
      <c r="E1403" s="1276">
        <v>45769</v>
      </c>
      <c r="G1403">
        <v>500000000</v>
      </c>
      <c r="I1403">
        <v>0</v>
      </c>
      <c r="J1403">
        <v>500000000</v>
      </c>
      <c r="P1403" s="22" t="s">
        <v>1216</v>
      </c>
      <c r="Q1403" s="1308" t="s">
        <v>4916</v>
      </c>
    </row>
    <row r="1404" spans="1:17">
      <c r="A1404" s="1305" t="s">
        <v>4906</v>
      </c>
      <c r="B1404" s="29">
        <v>45920</v>
      </c>
      <c r="C1404" s="29">
        <v>45920</v>
      </c>
      <c r="D1404" t="s">
        <v>4664</v>
      </c>
      <c r="E1404" s="1276">
        <v>45769</v>
      </c>
      <c r="G1404">
        <v>1600000000</v>
      </c>
      <c r="I1404">
        <v>0</v>
      </c>
      <c r="J1404">
        <v>1600000000</v>
      </c>
      <c r="P1404" s="22" t="s">
        <v>1216</v>
      </c>
      <c r="Q1404" s="1308" t="s">
        <v>4916</v>
      </c>
    </row>
    <row r="1405" spans="1:17">
      <c r="A1405" s="1305" t="s">
        <v>4906</v>
      </c>
      <c r="B1405" s="29">
        <v>45920</v>
      </c>
      <c r="C1405" s="29">
        <v>45920</v>
      </c>
      <c r="D1405" t="s">
        <v>4665</v>
      </c>
      <c r="E1405" s="1276">
        <v>45769</v>
      </c>
      <c r="G1405">
        <v>300000000</v>
      </c>
      <c r="I1405">
        <v>0</v>
      </c>
      <c r="J1405">
        <v>300000000</v>
      </c>
      <c r="P1405" s="22" t="s">
        <v>1216</v>
      </c>
      <c r="Q1405" s="1308" t="s">
        <v>4916</v>
      </c>
    </row>
    <row r="1406" spans="1:17">
      <c r="A1406" s="1305" t="s">
        <v>4906</v>
      </c>
      <c r="B1406" s="29">
        <v>45927</v>
      </c>
      <c r="C1406" s="29">
        <v>45927</v>
      </c>
      <c r="D1406" t="s">
        <v>4666</v>
      </c>
      <c r="E1406" s="1276">
        <v>45769</v>
      </c>
      <c r="G1406">
        <v>500000000</v>
      </c>
      <c r="I1406">
        <v>0</v>
      </c>
      <c r="J1406">
        <v>500000000</v>
      </c>
      <c r="P1406" s="22" t="s">
        <v>1216</v>
      </c>
      <c r="Q1406" s="1308" t="s">
        <v>4916</v>
      </c>
    </row>
    <row r="1407" spans="1:17">
      <c r="A1407" s="1305" t="s">
        <v>4907</v>
      </c>
      <c r="B1407" s="29">
        <v>45906</v>
      </c>
      <c r="C1407" s="29">
        <v>45906</v>
      </c>
      <c r="D1407" s="22">
        <v>0</v>
      </c>
      <c r="E1407" s="1276">
        <v>45769</v>
      </c>
      <c r="G1407">
        <v>100000000</v>
      </c>
      <c r="I1407">
        <v>0</v>
      </c>
      <c r="J1407">
        <v>100000000</v>
      </c>
      <c r="P1407" s="22" t="s">
        <v>1216</v>
      </c>
      <c r="Q1407" s="55" t="s">
        <v>4912</v>
      </c>
    </row>
    <row r="1408" spans="1:17">
      <c r="A1408" s="1305" t="s">
        <v>3725</v>
      </c>
      <c r="B1408" s="29">
        <v>45907</v>
      </c>
      <c r="C1408" s="29">
        <v>45907</v>
      </c>
      <c r="D1408" s="22">
        <v>0</v>
      </c>
      <c r="E1408" s="1276">
        <v>45769</v>
      </c>
      <c r="G1408">
        <v>185000000</v>
      </c>
      <c r="I1408">
        <v>0</v>
      </c>
      <c r="J1408">
        <v>185000000</v>
      </c>
      <c r="P1408" s="22" t="s">
        <v>1216</v>
      </c>
      <c r="Q1408" s="55" t="s">
        <v>4912</v>
      </c>
    </row>
    <row r="1409" spans="1:17">
      <c r="A1409" s="1305" t="s">
        <v>4908</v>
      </c>
      <c r="B1409" s="29">
        <v>45988</v>
      </c>
      <c r="C1409" s="29">
        <v>45898</v>
      </c>
      <c r="D1409" s="22">
        <v>0</v>
      </c>
      <c r="E1409" s="1276">
        <v>45769</v>
      </c>
      <c r="G1409">
        <v>100000000</v>
      </c>
      <c r="I1409">
        <v>0</v>
      </c>
      <c r="J1409">
        <v>100000000</v>
      </c>
      <c r="P1409" s="22" t="s">
        <v>1216</v>
      </c>
      <c r="Q1409" s="55" t="s">
        <v>4912</v>
      </c>
    </row>
    <row r="1410" spans="1:17">
      <c r="A1410" s="1305" t="s">
        <v>4908</v>
      </c>
      <c r="B1410" s="29">
        <v>45988</v>
      </c>
      <c r="C1410" s="29">
        <v>45898</v>
      </c>
      <c r="D1410" s="22">
        <v>0</v>
      </c>
      <c r="E1410" s="1276">
        <v>45769</v>
      </c>
      <c r="G1410">
        <v>3180821.9178082193</v>
      </c>
      <c r="I1410">
        <v>0</v>
      </c>
      <c r="J1410">
        <v>3180821.9178082193</v>
      </c>
      <c r="P1410" s="22" t="s">
        <v>1216</v>
      </c>
      <c r="Q1410" s="55" t="s">
        <v>4912</v>
      </c>
    </row>
    <row r="1411" spans="1:17">
      <c r="A1411" s="1305" t="s">
        <v>4909</v>
      </c>
      <c r="B1411" s="29">
        <v>45945</v>
      </c>
      <c r="C1411" s="29">
        <v>45945</v>
      </c>
      <c r="D1411" s="22">
        <v>0</v>
      </c>
      <c r="E1411" s="1276">
        <v>45769</v>
      </c>
      <c r="G1411">
        <v>450000000</v>
      </c>
      <c r="I1411">
        <v>0</v>
      </c>
      <c r="J1411">
        <v>3180821.9178082193</v>
      </c>
      <c r="P1411" s="22" t="s">
        <v>1216</v>
      </c>
      <c r="Q1411" s="55"/>
    </row>
  </sheetData>
  <autoFilter ref="A1:Q1411" xr:uid="{9723ADC9-2AF4-41A0-96EA-081D62DA60C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2B1DF-2B4A-41AF-824B-84A17F4A8874}">
  <sheetPr>
    <pageSetUpPr fitToPage="1"/>
  </sheetPr>
  <dimension ref="A1:AQ1252"/>
  <sheetViews>
    <sheetView zoomScale="70" zoomScaleNormal="55" workbookViewId="0">
      <pane xSplit="2" ySplit="1" topLeftCell="C900" activePane="bottomRight" state="frozen"/>
      <selection pane="topRight" activeCell="C1" sqref="C1"/>
      <selection pane="bottomLeft" activeCell="A2" sqref="A2"/>
      <selection pane="bottomRight" activeCell="A900" sqref="A900"/>
    </sheetView>
  </sheetViews>
  <sheetFormatPr defaultRowHeight="15"/>
  <cols>
    <col min="1" max="1" width="6.88671875" style="312" bestFit="1" customWidth="1"/>
    <col min="2" max="2" width="24.77734375" style="273" bestFit="1" customWidth="1"/>
    <col min="3" max="3" width="10.44140625" style="273" bestFit="1" customWidth="1"/>
    <col min="4" max="4" width="16.6640625" style="273" customWidth="1"/>
    <col min="5" max="5" width="10.33203125" style="273" bestFit="1" customWidth="1"/>
    <col min="6" max="6" width="10.88671875" style="739" bestFit="1" customWidth="1"/>
    <col min="7" max="7" width="13.33203125" style="306" bestFit="1" customWidth="1"/>
    <col min="8" max="8" width="12.21875" style="307" bestFit="1" customWidth="1"/>
    <col min="9" max="10" width="13.5546875" style="308" customWidth="1"/>
    <col min="11" max="11" width="17.109375" style="273" customWidth="1"/>
    <col min="12" max="12" width="9.109375" style="273" customWidth="1"/>
    <col min="13" max="13" width="11.77734375" style="665" customWidth="1"/>
    <col min="14" max="14" width="9.5546875" style="273" customWidth="1"/>
    <col min="15" max="15" width="15.33203125" style="862" customWidth="1"/>
    <col min="16" max="16" width="11.44140625" style="862" bestFit="1" customWidth="1"/>
    <col min="17" max="17" width="16.88671875" style="273" bestFit="1" customWidth="1"/>
    <col min="18" max="18" width="17.109375" style="314" bestFit="1" customWidth="1"/>
    <col min="19" max="19" width="16.109375" style="314" bestFit="1" customWidth="1"/>
    <col min="20" max="20" width="7.109375" style="876" customWidth="1"/>
    <col min="21" max="21" width="10.33203125" style="273" bestFit="1" customWidth="1"/>
    <col min="22" max="22" width="8.21875" style="273" bestFit="1" customWidth="1"/>
    <col min="23" max="23" width="7.88671875" style="862" bestFit="1" customWidth="1"/>
    <col min="24" max="24" width="6.88671875" style="273" bestFit="1" customWidth="1"/>
    <col min="25" max="25" width="11.33203125" style="862" bestFit="1" customWidth="1"/>
    <col min="26" max="26" width="11.33203125" style="731" bestFit="1" customWidth="1"/>
    <col min="27" max="27" width="13.33203125" style="877" bestFit="1" customWidth="1"/>
    <col min="28" max="28" width="15" style="307" bestFit="1" customWidth="1"/>
    <col min="29" max="29" width="13.33203125" style="307" customWidth="1"/>
    <col min="30" max="30" width="17.5546875" style="862" bestFit="1" customWidth="1"/>
    <col min="31" max="31" width="9.77734375" style="273" bestFit="1" customWidth="1"/>
    <col min="32" max="32" width="10.21875" style="273" bestFit="1" customWidth="1"/>
    <col min="33" max="33" width="10.88671875" style="273" bestFit="1" customWidth="1"/>
    <col min="34" max="35" width="10.88671875" style="273" customWidth="1"/>
    <col min="36" max="36" width="12.6640625" style="273" bestFit="1" customWidth="1"/>
    <col min="37" max="37" width="10.109375" style="273" bestFit="1" customWidth="1"/>
    <col min="38" max="38" width="11.6640625" style="273" bestFit="1" customWidth="1"/>
    <col min="39" max="39" width="12.6640625" style="273" bestFit="1" customWidth="1"/>
    <col min="40" max="40" width="11.6640625" style="273" bestFit="1" customWidth="1"/>
    <col min="41" max="41" width="10" style="273" bestFit="1" customWidth="1"/>
    <col min="42" max="16384" width="8.88671875" style="273"/>
  </cols>
  <sheetData>
    <row r="1" spans="1:43" ht="40.5">
      <c r="A1" s="257" t="s">
        <v>896</v>
      </c>
      <c r="B1" s="258" t="s">
        <v>1550</v>
      </c>
      <c r="C1" s="258" t="s">
        <v>1551</v>
      </c>
      <c r="D1" s="258" t="s">
        <v>1552</v>
      </c>
      <c r="E1" s="258" t="s">
        <v>1553</v>
      </c>
      <c r="F1" s="259" t="s">
        <v>1554</v>
      </c>
      <c r="G1" s="260" t="s">
        <v>1555</v>
      </c>
      <c r="H1" s="261" t="s">
        <v>1556</v>
      </c>
      <c r="I1" s="261" t="s">
        <v>1557</v>
      </c>
      <c r="J1" s="261" t="s">
        <v>1558</v>
      </c>
      <c r="K1" s="258" t="s">
        <v>1559</v>
      </c>
      <c r="L1" s="262" t="s">
        <v>1560</v>
      </c>
      <c r="M1" s="263" t="s">
        <v>1561</v>
      </c>
      <c r="N1" s="262" t="s">
        <v>1562</v>
      </c>
      <c r="O1" s="264" t="s">
        <v>1563</v>
      </c>
      <c r="P1" s="264" t="s">
        <v>1564</v>
      </c>
      <c r="Q1" s="262" t="s">
        <v>1565</v>
      </c>
      <c r="R1" s="265" t="s">
        <v>1566</v>
      </c>
      <c r="S1" s="265" t="s">
        <v>1567</v>
      </c>
      <c r="T1" s="266" t="s">
        <v>1568</v>
      </c>
      <c r="U1" s="258" t="s">
        <v>1569</v>
      </c>
      <c r="V1" s="258" t="s">
        <v>1570</v>
      </c>
      <c r="W1" s="267" t="s">
        <v>1571</v>
      </c>
      <c r="X1" s="258" t="s">
        <v>1572</v>
      </c>
      <c r="Y1" s="267" t="s">
        <v>1573</v>
      </c>
      <c r="Z1" s="268" t="s">
        <v>1574</v>
      </c>
      <c r="AA1" s="269" t="s">
        <v>1575</v>
      </c>
      <c r="AB1" s="261" t="s">
        <v>1576</v>
      </c>
      <c r="AC1" s="261" t="s">
        <v>1577</v>
      </c>
      <c r="AD1" s="267" t="s">
        <v>1578</v>
      </c>
      <c r="AE1" s="258" t="s">
        <v>861</v>
      </c>
      <c r="AF1" s="258" t="s">
        <v>1579</v>
      </c>
      <c r="AG1" s="258" t="s">
        <v>1580</v>
      </c>
      <c r="AH1" s="270" t="s">
        <v>1581</v>
      </c>
      <c r="AI1" s="270" t="s">
        <v>1582</v>
      </c>
      <c r="AJ1" s="270" t="s">
        <v>1583</v>
      </c>
      <c r="AK1" s="271" t="s">
        <v>7</v>
      </c>
      <c r="AL1" s="271" t="s">
        <v>1584</v>
      </c>
      <c r="AM1" s="272" t="s">
        <v>1585</v>
      </c>
      <c r="AN1" s="272" t="s">
        <v>1586</v>
      </c>
      <c r="AO1" s="271" t="s">
        <v>1587</v>
      </c>
      <c r="AP1" s="273" t="s">
        <v>4591</v>
      </c>
    </row>
    <row r="2" spans="1:43" ht="15.75">
      <c r="A2" s="274">
        <v>1</v>
      </c>
      <c r="B2" s="275" t="s">
        <v>1588</v>
      </c>
      <c r="C2" s="276" t="s">
        <v>1589</v>
      </c>
      <c r="D2" s="277" t="s">
        <v>1590</v>
      </c>
      <c r="E2" s="278">
        <v>45745</v>
      </c>
      <c r="F2" s="279">
        <v>2.5</v>
      </c>
      <c r="G2" s="280"/>
      <c r="H2" s="281"/>
      <c r="I2" s="281"/>
      <c r="J2" s="281"/>
      <c r="K2" s="282"/>
      <c r="L2" s="283"/>
      <c r="M2" s="284"/>
      <c r="N2" s="283"/>
      <c r="O2" s="285"/>
      <c r="P2" s="286">
        <v>0</v>
      </c>
      <c r="Q2" s="287"/>
      <c r="R2" s="288"/>
      <c r="S2" s="288"/>
      <c r="T2" s="289">
        <v>7</v>
      </c>
      <c r="U2" s="290">
        <v>45868</v>
      </c>
      <c r="V2" s="291">
        <f ca="1">MONTH(Z2)</f>
        <v>5</v>
      </c>
      <c r="W2" s="292">
        <f ca="1">YEAR(Z2)</f>
        <v>2025</v>
      </c>
      <c r="X2" s="291" t="str">
        <f ca="1">INT((DAY(Z2)-1)/7)+1&amp;" WEEK"</f>
        <v>4 WEEK</v>
      </c>
      <c r="Y2" s="293">
        <v>45803</v>
      </c>
      <c r="Z2" s="294" cm="1">
        <f t="array" aca="1" ref="Z2" ca="1">_xlfn.IFS(AD2&lt;100,Y2,Y2&lt;TODAY(),TODAY(),Y2&gt;TODAY(),Y2,Y2=TODAY(),Y2)</f>
        <v>45803</v>
      </c>
      <c r="AA2" s="295"/>
      <c r="AB2" s="296"/>
      <c r="AC2" s="297"/>
      <c r="AD2" s="298">
        <f>ROUND(AA2-AB2-AC2,0)</f>
        <v>0</v>
      </c>
      <c r="AE2" s="299" t="str">
        <f>IF(AD2&lt;100,"Complete","Incomplete")</f>
        <v>Complete</v>
      </c>
      <c r="AF2" s="282"/>
      <c r="AG2" s="282"/>
      <c r="AH2" s="300"/>
      <c r="AI2" s="301">
        <f t="shared" ref="AI2:AI65" ca="1" si="0">Z2-Y2</f>
        <v>0</v>
      </c>
      <c r="AJ2" s="302">
        <f t="shared" ref="AJ2:AJ65" ca="1" si="1">IF(AI2&gt;1,"Delayed",0)</f>
        <v>0</v>
      </c>
      <c r="AL2" s="303">
        <f>I2-J2</f>
        <v>0</v>
      </c>
      <c r="AM2" s="303">
        <f>IFERROR(I2-R2,0)</f>
        <v>0</v>
      </c>
      <c r="AN2" s="303">
        <f>IFERROR(R2-J2,0)</f>
        <v>0</v>
      </c>
      <c r="AO2" s="304">
        <f>IFERROR(P2/J2,0)</f>
        <v>0</v>
      </c>
      <c r="AP2" s="273">
        <f>MONTH(P2)</f>
        <v>1</v>
      </c>
      <c r="AQ2" s="273" t="str">
        <f ca="1">AP2&amp;W2</f>
        <v>12025</v>
      </c>
    </row>
    <row r="3" spans="1:43" ht="15.75">
      <c r="A3" s="274">
        <v>1</v>
      </c>
      <c r="B3" s="305" t="s">
        <v>1588</v>
      </c>
      <c r="C3" s="276" t="s">
        <v>1589</v>
      </c>
      <c r="D3" s="277" t="s">
        <v>1590</v>
      </c>
      <c r="E3" s="278">
        <v>45745</v>
      </c>
      <c r="F3" s="279">
        <v>2.5</v>
      </c>
      <c r="K3" s="305" t="s">
        <v>1591</v>
      </c>
      <c r="L3" s="305" t="s">
        <v>1592</v>
      </c>
      <c r="M3" s="309">
        <v>0.2</v>
      </c>
      <c r="N3" s="305" t="s">
        <v>1593</v>
      </c>
      <c r="O3" s="310"/>
      <c r="P3" s="311">
        <v>0</v>
      </c>
      <c r="Q3" s="312"/>
      <c r="R3" s="313"/>
      <c r="T3" s="289">
        <v>7</v>
      </c>
      <c r="U3" s="290">
        <v>45868</v>
      </c>
      <c r="V3" s="291">
        <f ca="1">MONTH(Z3)</f>
        <v>5</v>
      </c>
      <c r="W3" s="292">
        <f ca="1">YEAR(Z3)</f>
        <v>2025</v>
      </c>
      <c r="X3" s="291" t="str">
        <f ca="1">INT((DAY(Z3)-1)/7)+1&amp;" WEEK"</f>
        <v>4 WEEK</v>
      </c>
      <c r="Y3" s="293">
        <v>45803</v>
      </c>
      <c r="Z3" s="294" cm="1">
        <f t="array" aca="1" ref="Z3" ca="1">_xlfn.IFS(AD3&lt;100,Y3,Y3&lt;TODAY(),TODAY(),Y3&gt;TODAY(),Y3,Y3=TODAY(),Y3)</f>
        <v>45803</v>
      </c>
      <c r="AA3" s="315">
        <f>SUM(G3:G22)*M3</f>
        <v>12623995.028000001</v>
      </c>
      <c r="AB3" s="316">
        <f>12611376</f>
        <v>12611376</v>
      </c>
      <c r="AC3" s="299">
        <v>12623.999999999998</v>
      </c>
      <c r="AD3" s="298">
        <f t="shared" ref="AD3:AD66" si="2">ROUND(AA3-AB3-AC3,0)</f>
        <v>-5</v>
      </c>
      <c r="AE3" s="299" t="str">
        <f t="shared" ref="AE3:AE66" si="3">IF(AD3&lt;100,"Complete","Incomplete")</f>
        <v>Complete</v>
      </c>
      <c r="AF3" s="317"/>
      <c r="AG3" s="299"/>
      <c r="AH3" s="318"/>
      <c r="AI3" s="301">
        <f t="shared" ca="1" si="0"/>
        <v>0</v>
      </c>
      <c r="AJ3" s="302">
        <f t="shared" ca="1" si="1"/>
        <v>0</v>
      </c>
      <c r="AL3" s="303">
        <f t="shared" ref="AL3:AL66" si="4">I3-J3</f>
        <v>0</v>
      </c>
      <c r="AM3" s="303">
        <f t="shared" ref="AM3:AM66" si="5">IFERROR(I3-R3,0)</f>
        <v>0</v>
      </c>
      <c r="AN3" s="303">
        <f t="shared" ref="AN3:AN66" si="6">IFERROR(R3-J3,0)</f>
        <v>0</v>
      </c>
      <c r="AO3" s="304">
        <f t="shared" ref="AO3:AO66" si="7">IFERROR(P3/J3,0)</f>
        <v>0</v>
      </c>
      <c r="AP3" s="273">
        <f>MONTH(P3)</f>
        <v>1</v>
      </c>
      <c r="AQ3" s="273" t="str">
        <f t="shared" ref="AQ3:AQ66" ca="1" si="8">AP3&amp;W3</f>
        <v>12025</v>
      </c>
    </row>
    <row r="4" spans="1:43" ht="15.75">
      <c r="A4" s="274">
        <v>1</v>
      </c>
      <c r="B4" s="305" t="s">
        <v>1588</v>
      </c>
      <c r="C4" s="276" t="s">
        <v>1589</v>
      </c>
      <c r="D4" s="277" t="s">
        <v>1590</v>
      </c>
      <c r="E4" s="278">
        <v>45745</v>
      </c>
      <c r="F4" s="279">
        <v>2.5</v>
      </c>
      <c r="G4" s="319">
        <v>42737475.299999997</v>
      </c>
      <c r="H4" s="320">
        <v>5128497.04</v>
      </c>
      <c r="I4" s="321">
        <f>G4+H4</f>
        <v>47865972.339999996</v>
      </c>
      <c r="J4" s="321"/>
      <c r="K4" s="322" t="s">
        <v>1594</v>
      </c>
      <c r="L4" s="323" t="s">
        <v>1595</v>
      </c>
      <c r="M4" s="324">
        <v>0.7</v>
      </c>
      <c r="N4" s="305" t="s">
        <v>1593</v>
      </c>
      <c r="O4" s="305" t="s">
        <v>1596</v>
      </c>
      <c r="P4" s="325">
        <v>45854</v>
      </c>
      <c r="Q4" s="326" t="s">
        <v>1597</v>
      </c>
      <c r="R4" s="327">
        <v>47865972</v>
      </c>
      <c r="S4" s="328">
        <f t="shared" ref="S4:S19" si="9">R4/SUM($I$3:$I$22)</f>
        <v>0.66813496424137608</v>
      </c>
      <c r="T4" s="289">
        <v>7</v>
      </c>
      <c r="U4" s="290">
        <v>45868</v>
      </c>
      <c r="V4" s="291">
        <f ca="1">MONTH(Z4)</f>
        <v>10</v>
      </c>
      <c r="W4" s="292">
        <f t="shared" ref="W4:W67" ca="1" si="10">YEAR(Z4)</f>
        <v>2025</v>
      </c>
      <c r="X4" s="291" t="str">
        <f t="shared" ref="X4:X67" ca="1" si="11">INT((DAY(Z4)-1)/7)+1&amp;" WEEK"</f>
        <v>1 WEEK</v>
      </c>
      <c r="Y4" s="329">
        <f t="shared" ref="Y4:Y19" si="12">P4+T4</f>
        <v>45861</v>
      </c>
      <c r="Z4" s="294" cm="1">
        <f t="array" aca="1" ref="Z4" ca="1">_xlfn.IFS(AD4&lt;100,Y4,Y4&lt;TODAY(),TODAY(),Y4&gt;TODAY(),Y4,Y4=TODAY(),Y4)</f>
        <v>45935</v>
      </c>
      <c r="AA4" s="330">
        <f t="shared" ref="AA4:AA20" si="13">SUM($I$3:$I$23)*M4*S4</f>
        <v>33506180.400000002</v>
      </c>
      <c r="AB4" s="331"/>
      <c r="AC4" s="331"/>
      <c r="AD4" s="298">
        <f t="shared" si="2"/>
        <v>33506180</v>
      </c>
      <c r="AE4" s="299" t="str">
        <f t="shared" si="3"/>
        <v>Incomplete</v>
      </c>
      <c r="AI4" s="301">
        <f t="shared" ca="1" si="0"/>
        <v>74</v>
      </c>
      <c r="AJ4" s="302" t="str">
        <f t="shared" ca="1" si="1"/>
        <v>Delayed</v>
      </c>
      <c r="AL4" s="303">
        <f t="shared" si="4"/>
        <v>47865972.339999996</v>
      </c>
      <c r="AM4" s="303">
        <f t="shared" si="5"/>
        <v>0.33999999612569809</v>
      </c>
      <c r="AN4" s="303">
        <f t="shared" si="6"/>
        <v>47865972</v>
      </c>
      <c r="AO4" s="304">
        <f t="shared" si="7"/>
        <v>0</v>
      </c>
      <c r="AP4" s="273">
        <f>MONTH(P4)</f>
        <v>7</v>
      </c>
      <c r="AQ4" s="273" t="str">
        <f t="shared" ca="1" si="8"/>
        <v>72025</v>
      </c>
    </row>
    <row r="5" spans="1:43" ht="15.75">
      <c r="A5" s="274">
        <v>1</v>
      </c>
      <c r="B5" s="322" t="s">
        <v>1588</v>
      </c>
      <c r="C5" s="332" t="s">
        <v>1589</v>
      </c>
      <c r="D5" s="277" t="s">
        <v>1590</v>
      </c>
      <c r="E5" s="333">
        <v>45745</v>
      </c>
      <c r="F5" s="334">
        <v>2.5</v>
      </c>
      <c r="G5" s="335">
        <v>4602499.84</v>
      </c>
      <c r="H5" s="246">
        <v>552299.98100000003</v>
      </c>
      <c r="I5" s="336">
        <f>G5+H5</f>
        <v>5154799.8209999995</v>
      </c>
      <c r="J5" s="336"/>
      <c r="K5" s="322" t="s">
        <v>1594</v>
      </c>
      <c r="L5" s="323" t="s">
        <v>1595</v>
      </c>
      <c r="M5" s="324">
        <v>0.7</v>
      </c>
      <c r="N5" s="305" t="s">
        <v>1593</v>
      </c>
      <c r="O5" s="322" t="s">
        <v>1598</v>
      </c>
      <c r="P5" s="337">
        <v>45855</v>
      </c>
      <c r="Q5" s="326" t="s">
        <v>1599</v>
      </c>
      <c r="R5" s="338">
        <v>5154800</v>
      </c>
      <c r="S5" s="328">
        <f t="shared" si="9"/>
        <v>7.1953038239178452E-2</v>
      </c>
      <c r="T5" s="339">
        <v>7</v>
      </c>
      <c r="U5" s="290">
        <v>45868</v>
      </c>
      <c r="V5" s="340">
        <f t="shared" ref="V5:V68" ca="1" si="14">MONTH(Z5)</f>
        <v>10</v>
      </c>
      <c r="W5" s="292">
        <f t="shared" ca="1" si="10"/>
        <v>2025</v>
      </c>
      <c r="X5" s="291" t="str">
        <f t="shared" ca="1" si="11"/>
        <v>1 WEEK</v>
      </c>
      <c r="Y5" s="329">
        <f t="shared" si="12"/>
        <v>45862</v>
      </c>
      <c r="Z5" s="341" cm="1">
        <f t="array" aca="1" ref="Z5" ca="1">_xlfn.IFS(AD5&lt;100,Y5,Y5&lt;TODAY(),TODAY(),Y5&gt;TODAY(),Y5,Y5=TODAY(),Y5)</f>
        <v>45935</v>
      </c>
      <c r="AA5" s="330">
        <f t="shared" si="13"/>
        <v>3608359.9999999995</v>
      </c>
      <c r="AB5" s="342"/>
      <c r="AC5" s="301"/>
      <c r="AD5" s="298">
        <f t="shared" si="2"/>
        <v>3608360</v>
      </c>
      <c r="AE5" s="299" t="str">
        <f t="shared" si="3"/>
        <v>Incomplete</v>
      </c>
      <c r="AF5" s="340"/>
      <c r="AG5" s="301"/>
      <c r="AH5" s="343"/>
      <c r="AI5" s="301">
        <f t="shared" ca="1" si="0"/>
        <v>73</v>
      </c>
      <c r="AJ5" s="302" t="str">
        <f t="shared" ca="1" si="1"/>
        <v>Delayed</v>
      </c>
      <c r="AL5" s="303">
        <f t="shared" si="4"/>
        <v>5154799.8209999995</v>
      </c>
      <c r="AM5" s="303">
        <f t="shared" si="5"/>
        <v>-0.17900000046938658</v>
      </c>
      <c r="AN5" s="303">
        <f t="shared" si="6"/>
        <v>5154800</v>
      </c>
      <c r="AO5" s="304">
        <f t="shared" si="7"/>
        <v>0</v>
      </c>
      <c r="AP5" s="273">
        <f t="shared" ref="AP5:AP68" si="15">MONTH(P5)</f>
        <v>7</v>
      </c>
      <c r="AQ5" s="273" t="str">
        <f t="shared" ca="1" si="8"/>
        <v>72025</v>
      </c>
    </row>
    <row r="6" spans="1:43" ht="15.75">
      <c r="A6" s="274">
        <v>1</v>
      </c>
      <c r="B6" s="322" t="s">
        <v>1588</v>
      </c>
      <c r="C6" s="332" t="s">
        <v>1589</v>
      </c>
      <c r="D6" s="277" t="s">
        <v>1590</v>
      </c>
      <c r="E6" s="333">
        <v>45745</v>
      </c>
      <c r="F6" s="334">
        <v>2.5</v>
      </c>
      <c r="G6" s="335">
        <v>15780000</v>
      </c>
      <c r="H6" s="246">
        <v>2840400</v>
      </c>
      <c r="I6" s="336">
        <f>G6+H6</f>
        <v>18620400</v>
      </c>
      <c r="J6" s="336"/>
      <c r="K6" s="322" t="s">
        <v>1594</v>
      </c>
      <c r="L6" s="323" t="s">
        <v>1595</v>
      </c>
      <c r="M6" s="324">
        <v>0.7</v>
      </c>
      <c r="N6" s="305" t="s">
        <v>1593</v>
      </c>
      <c r="O6" s="322" t="s">
        <v>1600</v>
      </c>
      <c r="P6" s="344">
        <v>45825</v>
      </c>
      <c r="Q6" s="326" t="s">
        <v>1601</v>
      </c>
      <c r="R6" s="345">
        <v>372408</v>
      </c>
      <c r="S6" s="328">
        <f t="shared" si="9"/>
        <v>5.1982399054426882E-3</v>
      </c>
      <c r="T6" s="339">
        <v>7</v>
      </c>
      <c r="U6" s="290">
        <v>45868</v>
      </c>
      <c r="V6" s="340">
        <f t="shared" ca="1" si="14"/>
        <v>10</v>
      </c>
      <c r="W6" s="292">
        <f t="shared" ca="1" si="10"/>
        <v>2025</v>
      </c>
      <c r="X6" s="291" t="str">
        <f t="shared" ca="1" si="11"/>
        <v>1 WEEK</v>
      </c>
      <c r="Y6" s="329">
        <f t="shared" si="12"/>
        <v>45832</v>
      </c>
      <c r="Z6" s="341" cm="1">
        <f t="array" aca="1" ref="Z6" ca="1">_xlfn.IFS(AD6&lt;100,Y6,Y6&lt;TODAY(),TODAY(),Y6&gt;TODAY(),Y6,Y6=TODAY(),Y6)</f>
        <v>45935</v>
      </c>
      <c r="AA6" s="330">
        <f t="shared" si="13"/>
        <v>260685.59999999998</v>
      </c>
      <c r="AB6" s="342"/>
      <c r="AC6" s="301"/>
      <c r="AD6" s="298">
        <f t="shared" si="2"/>
        <v>260686</v>
      </c>
      <c r="AE6" s="299" t="str">
        <f t="shared" si="3"/>
        <v>Incomplete</v>
      </c>
      <c r="AF6" s="340"/>
      <c r="AG6" s="301"/>
      <c r="AH6" s="343"/>
      <c r="AI6" s="301">
        <f t="shared" ca="1" si="0"/>
        <v>103</v>
      </c>
      <c r="AJ6" s="302" t="str">
        <f t="shared" ca="1" si="1"/>
        <v>Delayed</v>
      </c>
      <c r="AK6" s="303"/>
      <c r="AL6" s="303">
        <f t="shared" si="4"/>
        <v>18620400</v>
      </c>
      <c r="AM6" s="303">
        <f t="shared" si="5"/>
        <v>18247992</v>
      </c>
      <c r="AN6" s="303">
        <f t="shared" si="6"/>
        <v>372408</v>
      </c>
      <c r="AO6" s="304">
        <f t="shared" si="7"/>
        <v>0</v>
      </c>
      <c r="AP6" s="273">
        <f t="shared" si="15"/>
        <v>6</v>
      </c>
      <c r="AQ6" s="273" t="str">
        <f t="shared" ca="1" si="8"/>
        <v>62025</v>
      </c>
    </row>
    <row r="7" spans="1:43" ht="15.75">
      <c r="A7" s="274">
        <v>1</v>
      </c>
      <c r="B7" s="322" t="s">
        <v>1588</v>
      </c>
      <c r="C7" s="332" t="s">
        <v>1589</v>
      </c>
      <c r="D7" s="277" t="s">
        <v>1590</v>
      </c>
      <c r="E7" s="333">
        <v>45745</v>
      </c>
      <c r="F7" s="334">
        <v>2.5</v>
      </c>
      <c r="G7" s="335"/>
      <c r="H7" s="246"/>
      <c r="I7" s="346"/>
      <c r="J7" s="346"/>
      <c r="K7" s="322" t="s">
        <v>1594</v>
      </c>
      <c r="L7" s="323" t="s">
        <v>1595</v>
      </c>
      <c r="M7" s="324">
        <v>0.7</v>
      </c>
      <c r="N7" s="305" t="s">
        <v>1593</v>
      </c>
      <c r="O7" s="322" t="s">
        <v>1600</v>
      </c>
      <c r="P7" s="344">
        <v>45833</v>
      </c>
      <c r="Q7" s="347" t="s">
        <v>1602</v>
      </c>
      <c r="R7" s="345">
        <v>1117224</v>
      </c>
      <c r="S7" s="328">
        <f t="shared" si="9"/>
        <v>1.5594719716328066E-2</v>
      </c>
      <c r="T7" s="339">
        <v>7</v>
      </c>
      <c r="U7" s="290">
        <v>45868</v>
      </c>
      <c r="V7" s="340">
        <f t="shared" ca="1" si="14"/>
        <v>10</v>
      </c>
      <c r="W7" s="292">
        <f t="shared" ca="1" si="10"/>
        <v>2025</v>
      </c>
      <c r="X7" s="291" t="str">
        <f t="shared" ca="1" si="11"/>
        <v>1 WEEK</v>
      </c>
      <c r="Y7" s="329">
        <f t="shared" si="12"/>
        <v>45840</v>
      </c>
      <c r="Z7" s="341" cm="1">
        <f t="array" aca="1" ref="Z7" ca="1">_xlfn.IFS(AD7&lt;100,Y7,Y7&lt;TODAY(),TODAY(),Y7&gt;TODAY(),Y7,Y7=TODAY(),Y7)</f>
        <v>45935</v>
      </c>
      <c r="AA7" s="330">
        <f t="shared" si="13"/>
        <v>782056.8</v>
      </c>
      <c r="AB7" s="342"/>
      <c r="AC7" s="301"/>
      <c r="AD7" s="298">
        <f t="shared" si="2"/>
        <v>782057</v>
      </c>
      <c r="AE7" s="299" t="str">
        <f t="shared" si="3"/>
        <v>Incomplete</v>
      </c>
      <c r="AF7" s="340"/>
      <c r="AG7" s="301"/>
      <c r="AH7" s="343"/>
      <c r="AI7" s="301">
        <f t="shared" ca="1" si="0"/>
        <v>95</v>
      </c>
      <c r="AJ7" s="302" t="str">
        <f t="shared" ca="1" si="1"/>
        <v>Delayed</v>
      </c>
      <c r="AL7" s="303">
        <f t="shared" si="4"/>
        <v>0</v>
      </c>
      <c r="AM7" s="303">
        <f t="shared" si="5"/>
        <v>-1117224</v>
      </c>
      <c r="AN7" s="303">
        <f t="shared" si="6"/>
        <v>1117224</v>
      </c>
      <c r="AO7" s="304">
        <f t="shared" si="7"/>
        <v>0</v>
      </c>
      <c r="AP7" s="273">
        <f t="shared" si="15"/>
        <v>6</v>
      </c>
      <c r="AQ7" s="273" t="str">
        <f t="shared" ca="1" si="8"/>
        <v>62025</v>
      </c>
    </row>
    <row r="8" spans="1:43" ht="15.75">
      <c r="A8" s="274">
        <v>1</v>
      </c>
      <c r="B8" s="322" t="s">
        <v>1588</v>
      </c>
      <c r="C8" s="332" t="s">
        <v>1589</v>
      </c>
      <c r="D8" s="277" t="s">
        <v>1590</v>
      </c>
      <c r="E8" s="333">
        <v>45745</v>
      </c>
      <c r="F8" s="334">
        <v>2.5</v>
      </c>
      <c r="G8" s="348"/>
      <c r="H8" s="301"/>
      <c r="I8" s="349"/>
      <c r="J8" s="349"/>
      <c r="K8" s="322" t="s">
        <v>1594</v>
      </c>
      <c r="L8" s="323" t="s">
        <v>1595</v>
      </c>
      <c r="M8" s="324">
        <v>0.7</v>
      </c>
      <c r="N8" s="305" t="s">
        <v>1593</v>
      </c>
      <c r="O8" s="322" t="s">
        <v>1600</v>
      </c>
      <c r="P8" s="344">
        <v>45833</v>
      </c>
      <c r="Q8" s="347" t="s">
        <v>1603</v>
      </c>
      <c r="R8" s="345">
        <v>558612</v>
      </c>
      <c r="S8" s="328">
        <f t="shared" si="9"/>
        <v>7.7973598581640331E-3</v>
      </c>
      <c r="T8" s="339">
        <v>7</v>
      </c>
      <c r="U8" s="290">
        <v>45868</v>
      </c>
      <c r="V8" s="340">
        <f t="shared" ca="1" si="14"/>
        <v>10</v>
      </c>
      <c r="W8" s="292">
        <f t="shared" ca="1" si="10"/>
        <v>2025</v>
      </c>
      <c r="X8" s="291" t="str">
        <f t="shared" ca="1" si="11"/>
        <v>1 WEEK</v>
      </c>
      <c r="Y8" s="329">
        <f t="shared" si="12"/>
        <v>45840</v>
      </c>
      <c r="Z8" s="341" cm="1">
        <f t="array" aca="1" ref="Z8" ca="1">_xlfn.IFS(AD8&lt;100,Y8,Y8&lt;TODAY(),TODAY(),Y8&gt;TODAY(),Y8,Y8=TODAY(),Y8)</f>
        <v>45935</v>
      </c>
      <c r="AA8" s="330">
        <f t="shared" si="13"/>
        <v>391028.4</v>
      </c>
      <c r="AB8" s="342"/>
      <c r="AC8" s="301"/>
      <c r="AD8" s="298">
        <f t="shared" si="2"/>
        <v>391028</v>
      </c>
      <c r="AE8" s="299" t="str">
        <f t="shared" si="3"/>
        <v>Incomplete</v>
      </c>
      <c r="AF8" s="340"/>
      <c r="AG8" s="301"/>
      <c r="AH8" s="343"/>
      <c r="AI8" s="301">
        <f t="shared" ca="1" si="0"/>
        <v>95</v>
      </c>
      <c r="AJ8" s="302" t="str">
        <f t="shared" ca="1" si="1"/>
        <v>Delayed</v>
      </c>
      <c r="AL8" s="303">
        <f t="shared" si="4"/>
        <v>0</v>
      </c>
      <c r="AM8" s="303">
        <f t="shared" si="5"/>
        <v>-558612</v>
      </c>
      <c r="AN8" s="303">
        <f t="shared" si="6"/>
        <v>558612</v>
      </c>
      <c r="AO8" s="304">
        <f t="shared" si="7"/>
        <v>0</v>
      </c>
      <c r="AP8" s="273">
        <f t="shared" si="15"/>
        <v>6</v>
      </c>
      <c r="AQ8" s="273" t="str">
        <f t="shared" ca="1" si="8"/>
        <v>62025</v>
      </c>
    </row>
    <row r="9" spans="1:43" ht="15.75">
      <c r="A9" s="274">
        <v>1</v>
      </c>
      <c r="B9" s="322" t="s">
        <v>1588</v>
      </c>
      <c r="C9" s="332" t="s">
        <v>1589</v>
      </c>
      <c r="D9" s="277" t="s">
        <v>1590</v>
      </c>
      <c r="E9" s="333">
        <v>45745</v>
      </c>
      <c r="F9" s="334">
        <v>2.5</v>
      </c>
      <c r="G9" s="348"/>
      <c r="H9" s="301"/>
      <c r="I9" s="349"/>
      <c r="J9" s="349"/>
      <c r="K9" s="322" t="s">
        <v>1594</v>
      </c>
      <c r="L9" s="323" t="s">
        <v>1595</v>
      </c>
      <c r="M9" s="324">
        <v>0.7</v>
      </c>
      <c r="N9" s="305" t="s">
        <v>1593</v>
      </c>
      <c r="O9" s="322" t="s">
        <v>1600</v>
      </c>
      <c r="P9" s="344">
        <v>45834</v>
      </c>
      <c r="Q9" s="347" t="s">
        <v>1604</v>
      </c>
      <c r="R9" s="345">
        <v>1862040</v>
      </c>
      <c r="S9" s="328">
        <f t="shared" si="9"/>
        <v>2.5991199527213443E-2</v>
      </c>
      <c r="T9" s="339">
        <v>7</v>
      </c>
      <c r="U9" s="290">
        <v>45868</v>
      </c>
      <c r="V9" s="340">
        <f t="shared" ca="1" si="14"/>
        <v>10</v>
      </c>
      <c r="W9" s="292">
        <f t="shared" ca="1" si="10"/>
        <v>2025</v>
      </c>
      <c r="X9" s="291" t="str">
        <f t="shared" ca="1" si="11"/>
        <v>1 WEEK</v>
      </c>
      <c r="Y9" s="329">
        <f t="shared" si="12"/>
        <v>45841</v>
      </c>
      <c r="Z9" s="341" cm="1">
        <f t="array" aca="1" ref="Z9" ca="1">_xlfn.IFS(AD9&lt;100,Y9,Y9&lt;TODAY(),TODAY(),Y9&gt;TODAY(),Y9,Y9=TODAY(),Y9)</f>
        <v>45935</v>
      </c>
      <c r="AA9" s="330">
        <f t="shared" si="13"/>
        <v>1303428</v>
      </c>
      <c r="AB9" s="342"/>
      <c r="AC9" s="301"/>
      <c r="AD9" s="298">
        <f t="shared" si="2"/>
        <v>1303428</v>
      </c>
      <c r="AE9" s="299" t="str">
        <f t="shared" si="3"/>
        <v>Incomplete</v>
      </c>
      <c r="AF9" s="340"/>
      <c r="AG9" s="301"/>
      <c r="AH9" s="343"/>
      <c r="AI9" s="301">
        <f t="shared" ca="1" si="0"/>
        <v>94</v>
      </c>
      <c r="AJ9" s="302" t="str">
        <f t="shared" ca="1" si="1"/>
        <v>Delayed</v>
      </c>
      <c r="AL9" s="303">
        <f t="shared" si="4"/>
        <v>0</v>
      </c>
      <c r="AM9" s="303">
        <f t="shared" si="5"/>
        <v>-1862040</v>
      </c>
      <c r="AN9" s="303">
        <f t="shared" si="6"/>
        <v>1862040</v>
      </c>
      <c r="AO9" s="304">
        <f t="shared" si="7"/>
        <v>0</v>
      </c>
      <c r="AP9" s="273">
        <f t="shared" si="15"/>
        <v>6</v>
      </c>
      <c r="AQ9" s="273" t="str">
        <f t="shared" ca="1" si="8"/>
        <v>62025</v>
      </c>
    </row>
    <row r="10" spans="1:43" ht="15.75">
      <c r="A10" s="274">
        <v>1</v>
      </c>
      <c r="B10" s="322" t="s">
        <v>1588</v>
      </c>
      <c r="C10" s="332" t="s">
        <v>1589</v>
      </c>
      <c r="D10" s="277" t="s">
        <v>1590</v>
      </c>
      <c r="E10" s="333">
        <v>45745</v>
      </c>
      <c r="F10" s="334">
        <v>2.5</v>
      </c>
      <c r="G10" s="348"/>
      <c r="H10" s="301"/>
      <c r="I10" s="349"/>
      <c r="J10" s="349"/>
      <c r="K10" s="322" t="s">
        <v>1594</v>
      </c>
      <c r="L10" s="323" t="s">
        <v>1595</v>
      </c>
      <c r="M10" s="324">
        <v>0.7</v>
      </c>
      <c r="N10" s="305" t="s">
        <v>1593</v>
      </c>
      <c r="O10" s="322" t="s">
        <v>1600</v>
      </c>
      <c r="P10" s="344">
        <v>45838</v>
      </c>
      <c r="Q10" s="347" t="s">
        <v>1605</v>
      </c>
      <c r="R10" s="345">
        <v>1303428</v>
      </c>
      <c r="S10" s="328">
        <f t="shared" si="9"/>
        <v>1.8193839669049409E-2</v>
      </c>
      <c r="T10" s="339">
        <v>7</v>
      </c>
      <c r="U10" s="290">
        <v>45868</v>
      </c>
      <c r="V10" s="340">
        <f t="shared" ca="1" si="14"/>
        <v>10</v>
      </c>
      <c r="W10" s="292">
        <f t="shared" ca="1" si="10"/>
        <v>2025</v>
      </c>
      <c r="X10" s="291" t="str">
        <f t="shared" ca="1" si="11"/>
        <v>1 WEEK</v>
      </c>
      <c r="Y10" s="329">
        <f t="shared" si="12"/>
        <v>45845</v>
      </c>
      <c r="Z10" s="341" cm="1">
        <f t="array" aca="1" ref="Z10" ca="1">_xlfn.IFS(AD10&lt;100,Y10,Y10&lt;TODAY(),TODAY(),Y10&gt;TODAY(),Y10,Y10=TODAY(),Y10)</f>
        <v>45935</v>
      </c>
      <c r="AA10" s="330">
        <f t="shared" si="13"/>
        <v>912399.6</v>
      </c>
      <c r="AB10" s="342"/>
      <c r="AC10" s="301"/>
      <c r="AD10" s="298">
        <f t="shared" si="2"/>
        <v>912400</v>
      </c>
      <c r="AE10" s="299" t="str">
        <f t="shared" si="3"/>
        <v>Incomplete</v>
      </c>
      <c r="AF10" s="340"/>
      <c r="AG10" s="301"/>
      <c r="AH10" s="343"/>
      <c r="AI10" s="301">
        <f t="shared" ca="1" si="0"/>
        <v>90</v>
      </c>
      <c r="AJ10" s="302" t="str">
        <f t="shared" ca="1" si="1"/>
        <v>Delayed</v>
      </c>
      <c r="AL10" s="303">
        <f t="shared" si="4"/>
        <v>0</v>
      </c>
      <c r="AM10" s="303">
        <f t="shared" si="5"/>
        <v>-1303428</v>
      </c>
      <c r="AN10" s="303">
        <f t="shared" si="6"/>
        <v>1303428</v>
      </c>
      <c r="AO10" s="304">
        <f t="shared" si="7"/>
        <v>0</v>
      </c>
      <c r="AP10" s="273">
        <f t="shared" si="15"/>
        <v>6</v>
      </c>
      <c r="AQ10" s="273" t="str">
        <f t="shared" ca="1" si="8"/>
        <v>62025</v>
      </c>
    </row>
    <row r="11" spans="1:43" ht="15.75">
      <c r="A11" s="274">
        <v>1</v>
      </c>
      <c r="B11" s="322" t="s">
        <v>1588</v>
      </c>
      <c r="C11" s="332" t="s">
        <v>1589</v>
      </c>
      <c r="D11" s="277" t="s">
        <v>1590</v>
      </c>
      <c r="E11" s="333">
        <v>45745</v>
      </c>
      <c r="F11" s="334">
        <v>2.5</v>
      </c>
      <c r="G11" s="348"/>
      <c r="H11" s="301"/>
      <c r="I11" s="349"/>
      <c r="J11" s="349"/>
      <c r="K11" s="322" t="s">
        <v>1594</v>
      </c>
      <c r="L11" s="323" t="s">
        <v>1595</v>
      </c>
      <c r="M11" s="324">
        <v>0.7</v>
      </c>
      <c r="N11" s="305" t="s">
        <v>1593</v>
      </c>
      <c r="O11" s="322" t="s">
        <v>1600</v>
      </c>
      <c r="P11" s="344">
        <v>45846</v>
      </c>
      <c r="Q11" s="347" t="s">
        <v>1606</v>
      </c>
      <c r="R11" s="345">
        <v>744816</v>
      </c>
      <c r="S11" s="328">
        <f t="shared" si="9"/>
        <v>1.0396479810885376E-2</v>
      </c>
      <c r="T11" s="339">
        <v>7</v>
      </c>
      <c r="U11" s="290">
        <v>45868</v>
      </c>
      <c r="V11" s="340">
        <f t="shared" ca="1" si="14"/>
        <v>10</v>
      </c>
      <c r="W11" s="292">
        <f t="shared" ca="1" si="10"/>
        <v>2025</v>
      </c>
      <c r="X11" s="291" t="str">
        <f t="shared" ca="1" si="11"/>
        <v>1 WEEK</v>
      </c>
      <c r="Y11" s="329">
        <f t="shared" si="12"/>
        <v>45853</v>
      </c>
      <c r="Z11" s="341" cm="1">
        <f t="array" aca="1" ref="Z11" ca="1">_xlfn.IFS(AD11&lt;100,Y11,Y11&lt;TODAY(),TODAY(),Y11&gt;TODAY(),Y11,Y11=TODAY(),Y11)</f>
        <v>45935</v>
      </c>
      <c r="AA11" s="330">
        <f t="shared" si="13"/>
        <v>521371.19999999995</v>
      </c>
      <c r="AB11" s="342"/>
      <c r="AC11" s="301"/>
      <c r="AD11" s="298">
        <f t="shared" si="2"/>
        <v>521371</v>
      </c>
      <c r="AE11" s="299" t="str">
        <f t="shared" si="3"/>
        <v>Incomplete</v>
      </c>
      <c r="AF11" s="340"/>
      <c r="AG11" s="301"/>
      <c r="AH11" s="343"/>
      <c r="AI11" s="301">
        <f t="shared" ca="1" si="0"/>
        <v>82</v>
      </c>
      <c r="AJ11" s="302" t="str">
        <f t="shared" ca="1" si="1"/>
        <v>Delayed</v>
      </c>
      <c r="AL11" s="303">
        <f t="shared" si="4"/>
        <v>0</v>
      </c>
      <c r="AM11" s="303">
        <f t="shared" si="5"/>
        <v>-744816</v>
      </c>
      <c r="AN11" s="303">
        <f t="shared" si="6"/>
        <v>744816</v>
      </c>
      <c r="AO11" s="304">
        <f t="shared" si="7"/>
        <v>0</v>
      </c>
      <c r="AP11" s="273">
        <f t="shared" si="15"/>
        <v>7</v>
      </c>
      <c r="AQ11" s="273" t="str">
        <f t="shared" ca="1" si="8"/>
        <v>72025</v>
      </c>
    </row>
    <row r="12" spans="1:43" ht="15.75">
      <c r="A12" s="274">
        <v>1</v>
      </c>
      <c r="B12" s="322" t="s">
        <v>1588</v>
      </c>
      <c r="C12" s="332" t="s">
        <v>1589</v>
      </c>
      <c r="D12" s="277" t="s">
        <v>1590</v>
      </c>
      <c r="E12" s="333">
        <v>45745</v>
      </c>
      <c r="F12" s="334">
        <v>2.5</v>
      </c>
      <c r="G12" s="348"/>
      <c r="H12" s="301"/>
      <c r="I12" s="349"/>
      <c r="J12" s="349"/>
      <c r="K12" s="322" t="s">
        <v>1594</v>
      </c>
      <c r="L12" s="323" t="s">
        <v>1595</v>
      </c>
      <c r="M12" s="324">
        <v>0.7</v>
      </c>
      <c r="N12" s="305" t="s">
        <v>1593</v>
      </c>
      <c r="O12" s="322" t="s">
        <v>1600</v>
      </c>
      <c r="P12" s="344">
        <v>45846</v>
      </c>
      <c r="Q12" s="347" t="s">
        <v>1607</v>
      </c>
      <c r="R12" s="345">
        <v>2793060</v>
      </c>
      <c r="S12" s="328">
        <f t="shared" si="9"/>
        <v>3.8986799290820162E-2</v>
      </c>
      <c r="T12" s="339">
        <v>7</v>
      </c>
      <c r="U12" s="290">
        <v>45868</v>
      </c>
      <c r="V12" s="340">
        <f t="shared" ca="1" si="14"/>
        <v>10</v>
      </c>
      <c r="W12" s="292">
        <f t="shared" ca="1" si="10"/>
        <v>2025</v>
      </c>
      <c r="X12" s="291" t="str">
        <f t="shared" ca="1" si="11"/>
        <v>1 WEEK</v>
      </c>
      <c r="Y12" s="329">
        <f t="shared" si="12"/>
        <v>45853</v>
      </c>
      <c r="Z12" s="341" cm="1">
        <f t="array" aca="1" ref="Z12" ca="1">_xlfn.IFS(AD12&lt;100,Y12,Y12&lt;TODAY(),TODAY(),Y12&gt;TODAY(),Y12,Y12=TODAY(),Y12)</f>
        <v>45935</v>
      </c>
      <c r="AA12" s="330">
        <f t="shared" si="13"/>
        <v>1955142</v>
      </c>
      <c r="AB12" s="342"/>
      <c r="AC12" s="301"/>
      <c r="AD12" s="298">
        <f t="shared" si="2"/>
        <v>1955142</v>
      </c>
      <c r="AE12" s="299" t="str">
        <f t="shared" si="3"/>
        <v>Incomplete</v>
      </c>
      <c r="AF12" s="340"/>
      <c r="AG12" s="301"/>
      <c r="AH12" s="343"/>
      <c r="AI12" s="301">
        <f t="shared" ca="1" si="0"/>
        <v>82</v>
      </c>
      <c r="AJ12" s="302" t="str">
        <f t="shared" ca="1" si="1"/>
        <v>Delayed</v>
      </c>
      <c r="AL12" s="303">
        <f t="shared" si="4"/>
        <v>0</v>
      </c>
      <c r="AM12" s="303">
        <f t="shared" si="5"/>
        <v>-2793060</v>
      </c>
      <c r="AN12" s="303">
        <f t="shared" si="6"/>
        <v>2793060</v>
      </c>
      <c r="AO12" s="304">
        <f t="shared" si="7"/>
        <v>0</v>
      </c>
      <c r="AP12" s="273">
        <f t="shared" si="15"/>
        <v>7</v>
      </c>
      <c r="AQ12" s="273" t="str">
        <f t="shared" ca="1" si="8"/>
        <v>72025</v>
      </c>
    </row>
    <row r="13" spans="1:43" ht="15.75">
      <c r="A13" s="274">
        <v>1</v>
      </c>
      <c r="B13" s="322" t="s">
        <v>1588</v>
      </c>
      <c r="C13" s="332" t="s">
        <v>1589</v>
      </c>
      <c r="D13" s="277" t="s">
        <v>1590</v>
      </c>
      <c r="E13" s="333">
        <v>45745</v>
      </c>
      <c r="F13" s="334">
        <v>2.5</v>
      </c>
      <c r="G13" s="348"/>
      <c r="H13" s="301"/>
      <c r="I13" s="349"/>
      <c r="J13" s="349"/>
      <c r="K13" s="322" t="s">
        <v>1594</v>
      </c>
      <c r="L13" s="323" t="s">
        <v>1595</v>
      </c>
      <c r="M13" s="324">
        <v>0.7</v>
      </c>
      <c r="N13" s="305" t="s">
        <v>1593</v>
      </c>
      <c r="O13" s="322" t="s">
        <v>1600</v>
      </c>
      <c r="P13" s="344">
        <v>45846</v>
      </c>
      <c r="Q13" s="347" t="s">
        <v>1608</v>
      </c>
      <c r="R13" s="345">
        <v>372408</v>
      </c>
      <c r="S13" s="328">
        <f t="shared" si="9"/>
        <v>5.1982399054426882E-3</v>
      </c>
      <c r="T13" s="301">
        <v>7</v>
      </c>
      <c r="U13" s="290">
        <v>45868</v>
      </c>
      <c r="V13" s="340">
        <f t="shared" ca="1" si="14"/>
        <v>10</v>
      </c>
      <c r="W13" s="292">
        <f t="shared" ca="1" si="10"/>
        <v>2025</v>
      </c>
      <c r="X13" s="291" t="str">
        <f t="shared" ca="1" si="11"/>
        <v>1 WEEK</v>
      </c>
      <c r="Y13" s="329">
        <f t="shared" si="12"/>
        <v>45853</v>
      </c>
      <c r="Z13" s="341" cm="1">
        <f t="array" aca="1" ref="Z13" ca="1">_xlfn.IFS(AD13&lt;100,Y13,Y13&lt;TODAY(),TODAY(),Y13&gt;TODAY(),Y13,Y13=TODAY(),Y13)</f>
        <v>45935</v>
      </c>
      <c r="AA13" s="330">
        <f t="shared" si="13"/>
        <v>260685.59999999998</v>
      </c>
      <c r="AB13" s="342"/>
      <c r="AC13" s="301"/>
      <c r="AD13" s="298">
        <f t="shared" si="2"/>
        <v>260686</v>
      </c>
      <c r="AE13" s="299" t="str">
        <f t="shared" si="3"/>
        <v>Incomplete</v>
      </c>
      <c r="AF13" s="340"/>
      <c r="AG13" s="301"/>
      <c r="AH13" s="343"/>
      <c r="AI13" s="301">
        <f t="shared" ca="1" si="0"/>
        <v>82</v>
      </c>
      <c r="AJ13" s="302" t="str">
        <f t="shared" ca="1" si="1"/>
        <v>Delayed</v>
      </c>
      <c r="AL13" s="303">
        <f t="shared" si="4"/>
        <v>0</v>
      </c>
      <c r="AM13" s="303">
        <f t="shared" si="5"/>
        <v>-372408</v>
      </c>
      <c r="AN13" s="303">
        <f t="shared" si="6"/>
        <v>372408</v>
      </c>
      <c r="AO13" s="304">
        <f t="shared" si="7"/>
        <v>0</v>
      </c>
      <c r="AP13" s="273">
        <f t="shared" si="15"/>
        <v>7</v>
      </c>
      <c r="AQ13" s="273" t="str">
        <f t="shared" ca="1" si="8"/>
        <v>72025</v>
      </c>
    </row>
    <row r="14" spans="1:43" ht="15.75">
      <c r="A14" s="274">
        <v>1</v>
      </c>
      <c r="B14" s="322" t="s">
        <v>1588</v>
      </c>
      <c r="C14" s="332" t="s">
        <v>1589</v>
      </c>
      <c r="D14" s="277" t="s">
        <v>1590</v>
      </c>
      <c r="E14" s="333">
        <v>45745</v>
      </c>
      <c r="F14" s="334">
        <v>2.5</v>
      </c>
      <c r="G14" s="348"/>
      <c r="H14" s="301"/>
      <c r="I14" s="349"/>
      <c r="J14" s="349"/>
      <c r="K14" s="322" t="s">
        <v>1594</v>
      </c>
      <c r="L14" s="323" t="s">
        <v>1595</v>
      </c>
      <c r="M14" s="324">
        <v>0.7</v>
      </c>
      <c r="N14" s="305" t="s">
        <v>1593</v>
      </c>
      <c r="O14" s="322" t="s">
        <v>1600</v>
      </c>
      <c r="P14" s="344">
        <v>45849</v>
      </c>
      <c r="Q14" s="347" t="s">
        <v>1609</v>
      </c>
      <c r="R14" s="345">
        <v>186204</v>
      </c>
      <c r="S14" s="328">
        <f t="shared" si="9"/>
        <v>2.5991199527213441E-3</v>
      </c>
      <c r="T14" s="301">
        <v>7</v>
      </c>
      <c r="U14" s="290">
        <v>45868</v>
      </c>
      <c r="V14" s="340">
        <f t="shared" ca="1" si="14"/>
        <v>10</v>
      </c>
      <c r="W14" s="292">
        <f t="shared" ca="1" si="10"/>
        <v>2025</v>
      </c>
      <c r="X14" s="291" t="str">
        <f t="shared" ca="1" si="11"/>
        <v>1 WEEK</v>
      </c>
      <c r="Y14" s="329">
        <f t="shared" si="12"/>
        <v>45856</v>
      </c>
      <c r="Z14" s="341" cm="1">
        <f t="array" aca="1" ref="Z14" ca="1">_xlfn.IFS(AD14&lt;100,Y14,Y14&lt;TODAY(),TODAY(),Y14&gt;TODAY(),Y14,Y14=TODAY(),Y14)</f>
        <v>45935</v>
      </c>
      <c r="AA14" s="330">
        <f t="shared" si="13"/>
        <v>130342.79999999999</v>
      </c>
      <c r="AB14" s="342"/>
      <c r="AC14" s="301"/>
      <c r="AD14" s="298">
        <f t="shared" si="2"/>
        <v>130343</v>
      </c>
      <c r="AE14" s="299" t="str">
        <f t="shared" si="3"/>
        <v>Incomplete</v>
      </c>
      <c r="AF14" s="340"/>
      <c r="AG14" s="301"/>
      <c r="AH14" s="343"/>
      <c r="AI14" s="301">
        <f t="shared" ca="1" si="0"/>
        <v>79</v>
      </c>
      <c r="AJ14" s="302" t="str">
        <f t="shared" ca="1" si="1"/>
        <v>Delayed</v>
      </c>
      <c r="AL14" s="303">
        <f t="shared" si="4"/>
        <v>0</v>
      </c>
      <c r="AM14" s="303">
        <f t="shared" si="5"/>
        <v>-186204</v>
      </c>
      <c r="AN14" s="303">
        <f t="shared" si="6"/>
        <v>186204</v>
      </c>
      <c r="AO14" s="304">
        <f t="shared" si="7"/>
        <v>0</v>
      </c>
      <c r="AP14" s="273">
        <f t="shared" si="15"/>
        <v>7</v>
      </c>
      <c r="AQ14" s="273" t="str">
        <f t="shared" ca="1" si="8"/>
        <v>72025</v>
      </c>
    </row>
    <row r="15" spans="1:43" ht="15.75">
      <c r="A15" s="274">
        <v>1</v>
      </c>
      <c r="B15" s="322" t="s">
        <v>1588</v>
      </c>
      <c r="C15" s="332" t="s">
        <v>1589</v>
      </c>
      <c r="D15" s="277" t="s">
        <v>1590</v>
      </c>
      <c r="E15" s="333">
        <v>45745</v>
      </c>
      <c r="F15" s="334">
        <v>2.5</v>
      </c>
      <c r="G15" s="348"/>
      <c r="H15" s="301"/>
      <c r="I15" s="349"/>
      <c r="J15" s="349"/>
      <c r="K15" s="322" t="s">
        <v>1594</v>
      </c>
      <c r="L15" s="323" t="s">
        <v>1595</v>
      </c>
      <c r="M15" s="324">
        <v>0.7</v>
      </c>
      <c r="N15" s="305" t="s">
        <v>1593</v>
      </c>
      <c r="O15" s="322" t="s">
        <v>1600</v>
      </c>
      <c r="P15" s="344">
        <v>45852</v>
      </c>
      <c r="Q15" s="347" t="s">
        <v>1610</v>
      </c>
      <c r="R15" s="345">
        <v>1489632</v>
      </c>
      <c r="S15" s="328">
        <f t="shared" si="9"/>
        <v>2.0792959621770753E-2</v>
      </c>
      <c r="T15" s="301">
        <v>7</v>
      </c>
      <c r="U15" s="290">
        <v>45868</v>
      </c>
      <c r="V15" s="340">
        <f t="shared" ca="1" si="14"/>
        <v>10</v>
      </c>
      <c r="W15" s="292">
        <f t="shared" ca="1" si="10"/>
        <v>2025</v>
      </c>
      <c r="X15" s="291" t="str">
        <f t="shared" ca="1" si="11"/>
        <v>1 WEEK</v>
      </c>
      <c r="Y15" s="329">
        <f t="shared" si="12"/>
        <v>45859</v>
      </c>
      <c r="Z15" s="341" cm="1">
        <f t="array" aca="1" ref="Z15" ca="1">_xlfn.IFS(AD15&lt;100,Y15,Y15&lt;TODAY(),TODAY(),Y15&gt;TODAY(),Y15,Y15=TODAY(),Y15)</f>
        <v>45935</v>
      </c>
      <c r="AA15" s="330">
        <f t="shared" si="13"/>
        <v>1042742.3999999999</v>
      </c>
      <c r="AB15" s="342"/>
      <c r="AC15" s="301"/>
      <c r="AD15" s="298">
        <f t="shared" si="2"/>
        <v>1042742</v>
      </c>
      <c r="AE15" s="299" t="str">
        <f t="shared" si="3"/>
        <v>Incomplete</v>
      </c>
      <c r="AF15" s="340"/>
      <c r="AG15" s="301"/>
      <c r="AH15" s="343"/>
      <c r="AI15" s="301">
        <f t="shared" ca="1" si="0"/>
        <v>76</v>
      </c>
      <c r="AJ15" s="302" t="str">
        <f t="shared" ca="1" si="1"/>
        <v>Delayed</v>
      </c>
      <c r="AL15" s="303">
        <f t="shared" si="4"/>
        <v>0</v>
      </c>
      <c r="AM15" s="303">
        <f t="shared" si="5"/>
        <v>-1489632</v>
      </c>
      <c r="AN15" s="303">
        <f t="shared" si="6"/>
        <v>1489632</v>
      </c>
      <c r="AO15" s="304">
        <f t="shared" si="7"/>
        <v>0</v>
      </c>
      <c r="AP15" s="273">
        <f t="shared" si="15"/>
        <v>7</v>
      </c>
      <c r="AQ15" s="273" t="str">
        <f t="shared" ca="1" si="8"/>
        <v>72025</v>
      </c>
    </row>
    <row r="16" spans="1:43" ht="15.75">
      <c r="A16" s="274">
        <v>1</v>
      </c>
      <c r="B16" s="322" t="s">
        <v>1588</v>
      </c>
      <c r="C16" s="332" t="s">
        <v>1589</v>
      </c>
      <c r="D16" s="277" t="s">
        <v>1590</v>
      </c>
      <c r="E16" s="333">
        <v>45745</v>
      </c>
      <c r="F16" s="334">
        <v>2.5</v>
      </c>
      <c r="G16" s="348"/>
      <c r="H16" s="301"/>
      <c r="I16" s="349"/>
      <c r="J16" s="349"/>
      <c r="K16" s="322" t="s">
        <v>1594</v>
      </c>
      <c r="L16" s="323" t="s">
        <v>1595</v>
      </c>
      <c r="M16" s="324">
        <v>0.7</v>
      </c>
      <c r="N16" s="305" t="s">
        <v>1593</v>
      </c>
      <c r="O16" s="322" t="s">
        <v>1600</v>
      </c>
      <c r="P16" s="344">
        <v>45852</v>
      </c>
      <c r="Q16" s="347" t="s">
        <v>1611</v>
      </c>
      <c r="R16" s="345">
        <v>1862040</v>
      </c>
      <c r="S16" s="328">
        <f t="shared" si="9"/>
        <v>2.5991199527213443E-2</v>
      </c>
      <c r="T16" s="301">
        <v>7</v>
      </c>
      <c r="U16" s="290">
        <v>45868</v>
      </c>
      <c r="V16" s="340">
        <f t="shared" ca="1" si="14"/>
        <v>10</v>
      </c>
      <c r="W16" s="292">
        <f t="shared" ca="1" si="10"/>
        <v>2025</v>
      </c>
      <c r="X16" s="291" t="str">
        <f t="shared" ca="1" si="11"/>
        <v>1 WEEK</v>
      </c>
      <c r="Y16" s="329">
        <f t="shared" si="12"/>
        <v>45859</v>
      </c>
      <c r="Z16" s="341" cm="1">
        <f t="array" aca="1" ref="Z16" ca="1">_xlfn.IFS(AD16&lt;100,Y16,Y16&lt;TODAY(),TODAY(),Y16&gt;TODAY(),Y16,Y16=TODAY(),Y16)</f>
        <v>45935</v>
      </c>
      <c r="AA16" s="330">
        <f t="shared" si="13"/>
        <v>1303428</v>
      </c>
      <c r="AB16" s="342"/>
      <c r="AC16" s="301"/>
      <c r="AD16" s="298">
        <f t="shared" si="2"/>
        <v>1303428</v>
      </c>
      <c r="AE16" s="299" t="str">
        <f t="shared" si="3"/>
        <v>Incomplete</v>
      </c>
      <c r="AF16" s="340"/>
      <c r="AG16" s="301"/>
      <c r="AH16" s="343"/>
      <c r="AI16" s="301">
        <f t="shared" ca="1" si="0"/>
        <v>76</v>
      </c>
      <c r="AJ16" s="302" t="str">
        <f t="shared" ca="1" si="1"/>
        <v>Delayed</v>
      </c>
      <c r="AL16" s="303">
        <f t="shared" si="4"/>
        <v>0</v>
      </c>
      <c r="AM16" s="303">
        <f t="shared" si="5"/>
        <v>-1862040</v>
      </c>
      <c r="AN16" s="303">
        <f t="shared" si="6"/>
        <v>1862040</v>
      </c>
      <c r="AO16" s="304">
        <f t="shared" si="7"/>
        <v>0</v>
      </c>
      <c r="AP16" s="273">
        <f t="shared" si="15"/>
        <v>7</v>
      </c>
      <c r="AQ16" s="273" t="str">
        <f t="shared" ca="1" si="8"/>
        <v>72025</v>
      </c>
    </row>
    <row r="17" spans="1:43" ht="15.75">
      <c r="A17" s="274">
        <v>1</v>
      </c>
      <c r="B17" s="322" t="s">
        <v>1588</v>
      </c>
      <c r="C17" s="332" t="s">
        <v>1589</v>
      </c>
      <c r="D17" s="277" t="s">
        <v>1590</v>
      </c>
      <c r="E17" s="333">
        <v>45745</v>
      </c>
      <c r="F17" s="334">
        <v>2.5</v>
      </c>
      <c r="G17" s="348"/>
      <c r="H17" s="301"/>
      <c r="I17" s="349"/>
      <c r="J17" s="349"/>
      <c r="K17" s="322" t="s">
        <v>1594</v>
      </c>
      <c r="L17" s="323" t="s">
        <v>1595</v>
      </c>
      <c r="M17" s="324">
        <v>0.7</v>
      </c>
      <c r="N17" s="305" t="s">
        <v>1593</v>
      </c>
      <c r="O17" s="322" t="s">
        <v>1600</v>
      </c>
      <c r="P17" s="344">
        <v>45852</v>
      </c>
      <c r="Q17" s="350" t="s">
        <v>1612</v>
      </c>
      <c r="R17" s="345">
        <v>2234448</v>
      </c>
      <c r="S17" s="351">
        <f t="shared" si="9"/>
        <v>3.1189439432656133E-2</v>
      </c>
      <c r="T17" s="301">
        <v>7</v>
      </c>
      <c r="U17" s="290">
        <v>45868</v>
      </c>
      <c r="V17" s="340">
        <f t="shared" ca="1" si="14"/>
        <v>10</v>
      </c>
      <c r="W17" s="292">
        <f t="shared" ca="1" si="10"/>
        <v>2025</v>
      </c>
      <c r="X17" s="291" t="str">
        <f t="shared" ca="1" si="11"/>
        <v>1 WEEK</v>
      </c>
      <c r="Y17" s="329">
        <f t="shared" si="12"/>
        <v>45859</v>
      </c>
      <c r="Z17" s="341" cm="1">
        <f t="array" aca="1" ref="Z17" ca="1">_xlfn.IFS(AD17&lt;100,Y17,Y17&lt;TODAY(),TODAY(),Y17&gt;TODAY(),Y17,Y17=TODAY(),Y17)</f>
        <v>45935</v>
      </c>
      <c r="AA17" s="330">
        <f t="shared" si="13"/>
        <v>1564113.6</v>
      </c>
      <c r="AB17" s="342"/>
      <c r="AC17" s="301"/>
      <c r="AD17" s="298">
        <f t="shared" si="2"/>
        <v>1564114</v>
      </c>
      <c r="AE17" s="299" t="str">
        <f t="shared" si="3"/>
        <v>Incomplete</v>
      </c>
      <c r="AF17" s="340"/>
      <c r="AG17" s="301"/>
      <c r="AH17" s="343"/>
      <c r="AI17" s="301">
        <f t="shared" ca="1" si="0"/>
        <v>76</v>
      </c>
      <c r="AJ17" s="302" t="str">
        <f t="shared" ca="1" si="1"/>
        <v>Delayed</v>
      </c>
      <c r="AK17" s="301" t="s">
        <v>1613</v>
      </c>
      <c r="AL17" s="303">
        <f t="shared" si="4"/>
        <v>0</v>
      </c>
      <c r="AM17" s="303">
        <f t="shared" si="5"/>
        <v>-2234448</v>
      </c>
      <c r="AN17" s="303">
        <f t="shared" si="6"/>
        <v>2234448</v>
      </c>
      <c r="AO17" s="304">
        <f t="shared" si="7"/>
        <v>0</v>
      </c>
      <c r="AP17" s="273">
        <f t="shared" si="15"/>
        <v>7</v>
      </c>
      <c r="AQ17" s="273" t="str">
        <f t="shared" ca="1" si="8"/>
        <v>72025</v>
      </c>
    </row>
    <row r="18" spans="1:43" ht="16.5">
      <c r="A18" s="274">
        <v>1</v>
      </c>
      <c r="B18" s="322" t="s">
        <v>1588</v>
      </c>
      <c r="C18" s="332" t="s">
        <v>1589</v>
      </c>
      <c r="D18" s="277" t="s">
        <v>1590</v>
      </c>
      <c r="E18" s="333">
        <v>45745</v>
      </c>
      <c r="F18" s="334">
        <v>2.5</v>
      </c>
      <c r="G18" s="348"/>
      <c r="H18" s="301"/>
      <c r="I18" s="349"/>
      <c r="J18" s="349"/>
      <c r="K18" s="322" t="s">
        <v>1594</v>
      </c>
      <c r="L18" s="323" t="s">
        <v>1595</v>
      </c>
      <c r="M18" s="324">
        <v>0.7</v>
      </c>
      <c r="N18" s="305" t="s">
        <v>1593</v>
      </c>
      <c r="O18" s="322" t="s">
        <v>1600</v>
      </c>
      <c r="P18" s="352">
        <v>45867</v>
      </c>
      <c r="Q18" s="353" t="s">
        <v>1614</v>
      </c>
      <c r="R18" s="354">
        <v>3351672</v>
      </c>
      <c r="S18" s="351">
        <f t="shared" si="9"/>
        <v>4.6784159148984199E-2</v>
      </c>
      <c r="T18" s="301">
        <v>7</v>
      </c>
      <c r="U18" s="290">
        <v>45868</v>
      </c>
      <c r="V18" s="340">
        <f t="shared" ca="1" si="14"/>
        <v>10</v>
      </c>
      <c r="W18" s="292">
        <f t="shared" ca="1" si="10"/>
        <v>2025</v>
      </c>
      <c r="X18" s="291" t="str">
        <f t="shared" ca="1" si="11"/>
        <v>1 WEEK</v>
      </c>
      <c r="Y18" s="329">
        <f t="shared" si="12"/>
        <v>45874</v>
      </c>
      <c r="Z18" s="341" cm="1">
        <f t="array" aca="1" ref="Z18" ca="1">_xlfn.IFS(AD18&lt;100,Y18,Y18&lt;TODAY(),TODAY(),Y18&gt;TODAY(),Y18,Y18=TODAY(),Y18)</f>
        <v>45935</v>
      </c>
      <c r="AA18" s="330">
        <f t="shared" si="13"/>
        <v>2346170.4</v>
      </c>
      <c r="AB18" s="342"/>
      <c r="AC18" s="301"/>
      <c r="AD18" s="298">
        <f t="shared" si="2"/>
        <v>2346170</v>
      </c>
      <c r="AE18" s="299" t="str">
        <f t="shared" si="3"/>
        <v>Incomplete</v>
      </c>
      <c r="AF18" s="340"/>
      <c r="AG18" s="301"/>
      <c r="AH18" s="343"/>
      <c r="AI18" s="301">
        <f t="shared" ca="1" si="0"/>
        <v>61</v>
      </c>
      <c r="AJ18" s="302" t="str">
        <f t="shared" ca="1" si="1"/>
        <v>Delayed</v>
      </c>
      <c r="AL18" s="303">
        <f t="shared" si="4"/>
        <v>0</v>
      </c>
      <c r="AM18" s="303">
        <f t="shared" si="5"/>
        <v>-3351672</v>
      </c>
      <c r="AN18" s="303">
        <f t="shared" si="6"/>
        <v>3351672</v>
      </c>
      <c r="AO18" s="304">
        <f t="shared" si="7"/>
        <v>0</v>
      </c>
      <c r="AP18" s="273">
        <f t="shared" si="15"/>
        <v>7</v>
      </c>
      <c r="AQ18" s="273" t="str">
        <f t="shared" ca="1" si="8"/>
        <v>72025</v>
      </c>
    </row>
    <row r="19" spans="1:43" ht="16.5">
      <c r="A19" s="274">
        <v>1</v>
      </c>
      <c r="B19" s="322" t="s">
        <v>1588</v>
      </c>
      <c r="C19" s="332" t="s">
        <v>1589</v>
      </c>
      <c r="D19" s="277" t="s">
        <v>1590</v>
      </c>
      <c r="E19" s="333">
        <v>45745</v>
      </c>
      <c r="F19" s="334">
        <v>2.5</v>
      </c>
      <c r="G19" s="348"/>
      <c r="H19" s="301"/>
      <c r="I19" s="349"/>
      <c r="J19" s="349"/>
      <c r="K19" s="322" t="s">
        <v>1594</v>
      </c>
      <c r="L19" s="323" t="s">
        <v>1595</v>
      </c>
      <c r="M19" s="324">
        <v>0.7</v>
      </c>
      <c r="N19" s="305" t="s">
        <v>1593</v>
      </c>
      <c r="O19" s="355" t="s">
        <v>1600</v>
      </c>
      <c r="P19" s="356">
        <v>45873</v>
      </c>
      <c r="Q19" s="357" t="s">
        <v>1615</v>
      </c>
      <c r="R19" s="315">
        <v>372408</v>
      </c>
      <c r="S19" s="351">
        <f t="shared" si="9"/>
        <v>5.1982399054426882E-3</v>
      </c>
      <c r="T19" s="301">
        <v>7</v>
      </c>
      <c r="U19" s="290">
        <v>45868</v>
      </c>
      <c r="V19" s="340">
        <f t="shared" ca="1" si="14"/>
        <v>10</v>
      </c>
      <c r="W19" s="292">
        <f t="shared" ca="1" si="10"/>
        <v>2025</v>
      </c>
      <c r="X19" s="291" t="str">
        <f t="shared" ca="1" si="11"/>
        <v>1 WEEK</v>
      </c>
      <c r="Y19" s="329">
        <f t="shared" si="12"/>
        <v>45880</v>
      </c>
      <c r="Z19" s="341" cm="1">
        <f t="array" aca="1" ref="Z19" ca="1">_xlfn.IFS(AD19&lt;100,Y19,Y19&lt;TODAY(),TODAY(),Y19&gt;TODAY(),Y19,Y19=TODAY(),Y19)</f>
        <v>45935</v>
      </c>
      <c r="AA19" s="330">
        <f t="shared" si="13"/>
        <v>260685.59999999998</v>
      </c>
      <c r="AB19" s="342"/>
      <c r="AC19" s="301"/>
      <c r="AD19" s="298">
        <f t="shared" si="2"/>
        <v>260686</v>
      </c>
      <c r="AE19" s="299" t="str">
        <f t="shared" si="3"/>
        <v>Incomplete</v>
      </c>
      <c r="AF19" s="340"/>
      <c r="AG19" s="301"/>
      <c r="AH19" s="343"/>
      <c r="AI19" s="301">
        <f t="shared" ca="1" si="0"/>
        <v>55</v>
      </c>
      <c r="AJ19" s="302" t="str">
        <f t="shared" ca="1" si="1"/>
        <v>Delayed</v>
      </c>
      <c r="AL19" s="303">
        <f t="shared" si="4"/>
        <v>0</v>
      </c>
      <c r="AM19" s="303">
        <f t="shared" si="5"/>
        <v>-372408</v>
      </c>
      <c r="AN19" s="303">
        <f t="shared" si="6"/>
        <v>372408</v>
      </c>
      <c r="AO19" s="304">
        <f t="shared" si="7"/>
        <v>0</v>
      </c>
      <c r="AP19" s="273">
        <f t="shared" si="15"/>
        <v>8</v>
      </c>
      <c r="AQ19" s="273" t="str">
        <f t="shared" ca="1" si="8"/>
        <v>82025</v>
      </c>
    </row>
    <row r="20" spans="1:43" ht="16.5">
      <c r="A20" s="274">
        <v>1</v>
      </c>
      <c r="B20" s="322" t="s">
        <v>1588</v>
      </c>
      <c r="C20" s="332" t="s">
        <v>1589</v>
      </c>
      <c r="D20" s="277" t="s">
        <v>1590</v>
      </c>
      <c r="E20" s="333">
        <v>45745</v>
      </c>
      <c r="F20" s="334">
        <v>2.5</v>
      </c>
      <c r="G20" s="348"/>
      <c r="H20" s="301"/>
      <c r="I20" s="349"/>
      <c r="J20" s="349"/>
      <c r="K20" s="322" t="s">
        <v>1594</v>
      </c>
      <c r="L20" s="323" t="s">
        <v>1595</v>
      </c>
      <c r="M20" s="324">
        <v>0.7</v>
      </c>
      <c r="N20" s="305" t="s">
        <v>1593</v>
      </c>
      <c r="O20" s="355" t="s">
        <v>1600</v>
      </c>
      <c r="P20" s="358">
        <v>0</v>
      </c>
      <c r="Q20" s="359"/>
      <c r="R20" s="360"/>
      <c r="S20" s="328"/>
      <c r="T20" s="301">
        <v>7</v>
      </c>
      <c r="U20" s="290">
        <v>45868</v>
      </c>
      <c r="V20" s="340">
        <f t="shared" ca="1" si="14"/>
        <v>9</v>
      </c>
      <c r="W20" s="292">
        <f t="shared" ca="1" si="10"/>
        <v>2025</v>
      </c>
      <c r="X20" s="291" t="str">
        <f t="shared" ca="1" si="11"/>
        <v>4 WEEK</v>
      </c>
      <c r="Y20" s="361">
        <v>45928</v>
      </c>
      <c r="Z20" s="341" cm="1">
        <f t="array" aca="1" ref="Z20" ca="1">_xlfn.IFS(AD20&lt;100,Y20,Y20&lt;TODAY(),TODAY(),Y20&gt;TODAY(),Y20,Y20=TODAY(),Y20)</f>
        <v>45928</v>
      </c>
      <c r="AA20" s="330">
        <f t="shared" si="13"/>
        <v>0</v>
      </c>
      <c r="AB20" s="342"/>
      <c r="AC20" s="301"/>
      <c r="AD20" s="298">
        <f t="shared" si="2"/>
        <v>0</v>
      </c>
      <c r="AE20" s="299" t="str">
        <f t="shared" si="3"/>
        <v>Complete</v>
      </c>
      <c r="AF20" s="340"/>
      <c r="AG20" s="301"/>
      <c r="AH20" s="343"/>
      <c r="AI20" s="301">
        <f t="shared" ca="1" si="0"/>
        <v>0</v>
      </c>
      <c r="AJ20" s="302">
        <f t="shared" ca="1" si="1"/>
        <v>0</v>
      </c>
      <c r="AL20" s="303">
        <f t="shared" si="4"/>
        <v>0</v>
      </c>
      <c r="AM20" s="303">
        <f t="shared" si="5"/>
        <v>0</v>
      </c>
      <c r="AN20" s="303">
        <f t="shared" si="6"/>
        <v>0</v>
      </c>
      <c r="AO20" s="304">
        <f t="shared" si="7"/>
        <v>0</v>
      </c>
      <c r="AP20" s="273">
        <f t="shared" si="15"/>
        <v>1</v>
      </c>
      <c r="AQ20" s="273" t="str">
        <f t="shared" ca="1" si="8"/>
        <v>12025</v>
      </c>
    </row>
    <row r="21" spans="1:43" ht="15.75">
      <c r="A21" s="274">
        <v>1</v>
      </c>
      <c r="B21" s="322" t="s">
        <v>1588</v>
      </c>
      <c r="C21" s="332" t="s">
        <v>1589</v>
      </c>
      <c r="D21" s="277" t="s">
        <v>1590</v>
      </c>
      <c r="E21" s="333">
        <v>45745</v>
      </c>
      <c r="F21" s="334">
        <v>2.5</v>
      </c>
      <c r="G21" s="362"/>
      <c r="H21" s="363"/>
      <c r="I21" s="348"/>
      <c r="J21" s="348"/>
      <c r="K21" s="322" t="s">
        <v>1616</v>
      </c>
      <c r="L21" s="322" t="s">
        <v>1617</v>
      </c>
      <c r="M21" s="324">
        <v>0.05</v>
      </c>
      <c r="N21" s="305" t="s">
        <v>1618</v>
      </c>
      <c r="O21" s="355"/>
      <c r="P21" s="364">
        <v>0</v>
      </c>
      <c r="Q21" s="365"/>
      <c r="R21" s="366"/>
      <c r="S21" s="328"/>
      <c r="T21" s="301">
        <v>7</v>
      </c>
      <c r="U21" s="290">
        <v>45868</v>
      </c>
      <c r="V21" s="340">
        <f t="shared" ca="1" si="14"/>
        <v>10</v>
      </c>
      <c r="W21" s="292">
        <f t="shared" ca="1" si="10"/>
        <v>2025</v>
      </c>
      <c r="X21" s="291" t="str">
        <f t="shared" ca="1" si="11"/>
        <v>1 WEEK</v>
      </c>
      <c r="Y21" s="361">
        <v>45928</v>
      </c>
      <c r="Z21" s="341" cm="1">
        <f t="array" aca="1" ref="Z21" ca="1">_xlfn.IFS(AD21&lt;100,Y21,Y21&lt;TODAY(),TODAY(),Y21&gt;TODAY(),Y21,Y21=TODAY(),Y21)</f>
        <v>45935</v>
      </c>
      <c r="AA21" s="367">
        <f>SUM($I$3:$I$23)*M21</f>
        <v>3582058.6080499999</v>
      </c>
      <c r="AB21" s="342"/>
      <c r="AC21" s="301"/>
      <c r="AD21" s="298">
        <f t="shared" si="2"/>
        <v>3582059</v>
      </c>
      <c r="AE21" s="299" t="str">
        <f t="shared" si="3"/>
        <v>Incomplete</v>
      </c>
      <c r="AF21" s="340"/>
      <c r="AG21" s="301"/>
      <c r="AH21" s="343"/>
      <c r="AI21" s="301">
        <f t="shared" ca="1" si="0"/>
        <v>7</v>
      </c>
      <c r="AJ21" s="302" t="str">
        <f t="shared" ca="1" si="1"/>
        <v>Delayed</v>
      </c>
      <c r="AL21" s="303">
        <f t="shared" si="4"/>
        <v>0</v>
      </c>
      <c r="AM21" s="303">
        <f t="shared" si="5"/>
        <v>0</v>
      </c>
      <c r="AN21" s="303">
        <f t="shared" si="6"/>
        <v>0</v>
      </c>
      <c r="AO21" s="304">
        <f t="shared" si="7"/>
        <v>0</v>
      </c>
      <c r="AP21" s="273">
        <f t="shared" si="15"/>
        <v>1</v>
      </c>
      <c r="AQ21" s="273" t="str">
        <f t="shared" ca="1" si="8"/>
        <v>12025</v>
      </c>
    </row>
    <row r="22" spans="1:43" ht="15.75">
      <c r="A22" s="274">
        <v>1</v>
      </c>
      <c r="B22" s="368" t="s">
        <v>1588</v>
      </c>
      <c r="C22" s="369" t="s">
        <v>1589</v>
      </c>
      <c r="D22" s="277" t="s">
        <v>1590</v>
      </c>
      <c r="E22" s="207">
        <v>45745</v>
      </c>
      <c r="F22" s="370">
        <v>2.5</v>
      </c>
      <c r="G22" s="371"/>
      <c r="H22" s="372"/>
      <c r="I22" s="373"/>
      <c r="J22" s="373"/>
      <c r="K22" s="368" t="s">
        <v>1619</v>
      </c>
      <c r="L22" s="368" t="s">
        <v>1620</v>
      </c>
      <c r="M22" s="374">
        <v>0.05</v>
      </c>
      <c r="N22" s="305" t="s">
        <v>1593</v>
      </c>
      <c r="O22" s="368"/>
      <c r="P22" s="375">
        <v>0</v>
      </c>
      <c r="Q22" s="312"/>
      <c r="R22" s="313"/>
      <c r="T22" s="376">
        <v>7</v>
      </c>
      <c r="U22" s="377">
        <v>45868</v>
      </c>
      <c r="V22" s="378">
        <f t="shared" ca="1" si="14"/>
        <v>10</v>
      </c>
      <c r="W22" s="292">
        <f t="shared" ca="1" si="10"/>
        <v>2025</v>
      </c>
      <c r="X22" s="291" t="str">
        <f t="shared" ca="1" si="11"/>
        <v>1 WEEK</v>
      </c>
      <c r="Y22" s="379">
        <v>45930</v>
      </c>
      <c r="Z22" s="380" cm="1">
        <f t="array" aca="1" ref="Z22" ca="1">_xlfn.IFS(AD22&lt;100,Y22,Y22&lt;TODAY(),TODAY(),Y22&gt;TODAY(),Y22,Y22=TODAY(),Y22)</f>
        <v>45935</v>
      </c>
      <c r="AA22" s="381">
        <f>SUM($I$2:$I$23)*M22+SUM(H2:H23)*M3</f>
        <v>5286298.0122499997</v>
      </c>
      <c r="AB22" s="376"/>
      <c r="AC22" s="376"/>
      <c r="AD22" s="298">
        <f t="shared" si="2"/>
        <v>5286298</v>
      </c>
      <c r="AE22" s="299" t="str">
        <f t="shared" si="3"/>
        <v>Incomplete</v>
      </c>
      <c r="AF22" s="378"/>
      <c r="AG22" s="376"/>
      <c r="AH22" s="382"/>
      <c r="AI22" s="301">
        <f t="shared" ca="1" si="0"/>
        <v>5</v>
      </c>
      <c r="AJ22" s="302" t="str">
        <f t="shared" ca="1" si="1"/>
        <v>Delayed</v>
      </c>
      <c r="AL22" s="303">
        <f t="shared" si="4"/>
        <v>0</v>
      </c>
      <c r="AM22" s="303">
        <f t="shared" si="5"/>
        <v>0</v>
      </c>
      <c r="AN22" s="303">
        <f t="shared" si="6"/>
        <v>0</v>
      </c>
      <c r="AO22" s="304">
        <f t="shared" si="7"/>
        <v>0</v>
      </c>
      <c r="AP22" s="273">
        <f t="shared" si="15"/>
        <v>1</v>
      </c>
      <c r="AQ22" s="273" t="str">
        <f t="shared" ca="1" si="8"/>
        <v>12025</v>
      </c>
    </row>
    <row r="23" spans="1:43" ht="16.5" thickBot="1">
      <c r="A23" s="383">
        <v>1</v>
      </c>
      <c r="B23" s="368" t="s">
        <v>1588</v>
      </c>
      <c r="C23" s="369" t="s">
        <v>1589</v>
      </c>
      <c r="D23" s="277" t="s">
        <v>1590</v>
      </c>
      <c r="E23" s="207">
        <v>45745</v>
      </c>
      <c r="F23" s="370">
        <v>2.5</v>
      </c>
      <c r="G23" s="384"/>
      <c r="H23" s="385"/>
      <c r="I23" s="386"/>
      <c r="J23" s="386"/>
      <c r="K23" s="387"/>
      <c r="L23" s="387"/>
      <c r="M23" s="388"/>
      <c r="N23" s="305"/>
      <c r="O23" s="387"/>
      <c r="P23" s="375">
        <v>0</v>
      </c>
      <c r="T23" s="376">
        <v>7</v>
      </c>
      <c r="U23" s="377">
        <v>45868</v>
      </c>
      <c r="V23" s="378">
        <f t="shared" ca="1" si="14"/>
        <v>9</v>
      </c>
      <c r="W23" s="292">
        <f t="shared" ca="1" si="10"/>
        <v>2025</v>
      </c>
      <c r="X23" s="291" t="str">
        <f t="shared" ca="1" si="11"/>
        <v>5 WEEK</v>
      </c>
      <c r="Y23" s="379">
        <v>45930</v>
      </c>
      <c r="Z23" s="380" cm="1">
        <f t="array" aca="1" ref="Z23" ca="1">_xlfn.IFS(AD23&lt;100,Y23,Y23&lt;TODAY(),TODAY(),Y23&gt;TODAY(),Y23,Y23=TODAY(),Y23)</f>
        <v>45930</v>
      </c>
      <c r="AA23" s="381">
        <v>0</v>
      </c>
      <c r="AB23" s="389"/>
      <c r="AC23" s="389"/>
      <c r="AD23" s="298">
        <f t="shared" si="2"/>
        <v>0</v>
      </c>
      <c r="AE23" s="299" t="str">
        <f t="shared" si="3"/>
        <v>Complete</v>
      </c>
      <c r="AF23" s="390"/>
      <c r="AG23" s="389"/>
      <c r="AH23" s="391"/>
      <c r="AI23" s="301">
        <f t="shared" ca="1" si="0"/>
        <v>0</v>
      </c>
      <c r="AJ23" s="302">
        <f t="shared" ca="1" si="1"/>
        <v>0</v>
      </c>
      <c r="AL23" s="303">
        <f t="shared" si="4"/>
        <v>0</v>
      </c>
      <c r="AM23" s="303">
        <f t="shared" si="5"/>
        <v>0</v>
      </c>
      <c r="AN23" s="303">
        <f t="shared" si="6"/>
        <v>0</v>
      </c>
      <c r="AO23" s="304">
        <f t="shared" si="7"/>
        <v>0</v>
      </c>
      <c r="AP23" s="273">
        <f t="shared" si="15"/>
        <v>1</v>
      </c>
      <c r="AQ23" s="273" t="str">
        <f t="shared" ca="1" si="8"/>
        <v>12025</v>
      </c>
    </row>
    <row r="24" spans="1:43" ht="15.75">
      <c r="A24" s="392">
        <v>2</v>
      </c>
      <c r="B24" s="393" t="s">
        <v>1588</v>
      </c>
      <c r="C24" s="394" t="s">
        <v>1589</v>
      </c>
      <c r="D24" s="277" t="s">
        <v>1590</v>
      </c>
      <c r="E24" s="395">
        <v>45778</v>
      </c>
      <c r="F24" s="396">
        <v>2.5</v>
      </c>
      <c r="G24" s="397">
        <f>2630000*M24</f>
        <v>526000</v>
      </c>
      <c r="H24" s="398">
        <f>473400*M24</f>
        <v>94680</v>
      </c>
      <c r="I24" s="399">
        <f>3103400*M24</f>
        <v>620680</v>
      </c>
      <c r="J24" s="399"/>
      <c r="K24" s="400" t="s">
        <v>1621</v>
      </c>
      <c r="L24" s="400" t="s">
        <v>1592</v>
      </c>
      <c r="M24" s="401">
        <v>0.2</v>
      </c>
      <c r="N24" s="400" t="s">
        <v>1617</v>
      </c>
      <c r="O24" s="400"/>
      <c r="P24" s="402">
        <v>0</v>
      </c>
      <c r="Q24" s="400"/>
      <c r="R24" s="403"/>
      <c r="S24" s="404"/>
      <c r="T24" s="405">
        <v>7</v>
      </c>
      <c r="U24" s="406">
        <v>45882</v>
      </c>
      <c r="V24" s="407">
        <f t="shared" ca="1" si="14"/>
        <v>5</v>
      </c>
      <c r="W24" s="292">
        <f t="shared" ca="1" si="10"/>
        <v>2025</v>
      </c>
      <c r="X24" s="291" t="str">
        <f t="shared" ca="1" si="11"/>
        <v>4 WEEK</v>
      </c>
      <c r="Y24" s="408">
        <v>45803</v>
      </c>
      <c r="Z24" s="409" cm="1">
        <f t="array" aca="1" ref="Z24" ca="1">_xlfn.IFS(AD24&lt;100,Y24,Y24&lt;TODAY(),TODAY(),Y24&gt;TODAY(),Y24,Y24=TODAY(),Y24)</f>
        <v>45803</v>
      </c>
      <c r="AA24" s="410">
        <f>SUM(G24:G27)*M24</f>
        <v>526000</v>
      </c>
      <c r="AB24" s="405">
        <f>515480-98%</f>
        <v>515479.02</v>
      </c>
      <c r="AC24" s="405">
        <v>10520</v>
      </c>
      <c r="AD24" s="298">
        <f t="shared" si="2"/>
        <v>1</v>
      </c>
      <c r="AE24" s="299" t="str">
        <f t="shared" si="3"/>
        <v>Complete</v>
      </c>
      <c r="AF24" s="407"/>
      <c r="AG24" s="405"/>
      <c r="AH24" s="411"/>
      <c r="AI24" s="301">
        <f t="shared" ca="1" si="0"/>
        <v>0</v>
      </c>
      <c r="AJ24" s="302">
        <f t="shared" ca="1" si="1"/>
        <v>0</v>
      </c>
      <c r="AL24" s="303">
        <f t="shared" si="4"/>
        <v>620680</v>
      </c>
      <c r="AM24" s="303">
        <f t="shared" si="5"/>
        <v>620680</v>
      </c>
      <c r="AN24" s="303">
        <f t="shared" si="6"/>
        <v>0</v>
      </c>
      <c r="AO24" s="304">
        <f t="shared" si="7"/>
        <v>0</v>
      </c>
      <c r="AP24" s="273">
        <f t="shared" si="15"/>
        <v>1</v>
      </c>
      <c r="AQ24" s="273" t="str">
        <f t="shared" ca="1" si="8"/>
        <v>12025</v>
      </c>
    </row>
    <row r="25" spans="1:43" ht="15.75">
      <c r="A25" s="392">
        <v>2</v>
      </c>
      <c r="B25" s="322" t="s">
        <v>1588</v>
      </c>
      <c r="C25" s="332" t="s">
        <v>1589</v>
      </c>
      <c r="D25" s="277" t="s">
        <v>1590</v>
      </c>
      <c r="E25" s="412">
        <v>45778</v>
      </c>
      <c r="F25" s="334">
        <v>2.5</v>
      </c>
      <c r="G25" s="413"/>
      <c r="H25" s="414"/>
      <c r="I25" s="415"/>
      <c r="J25" s="415"/>
      <c r="K25" s="323"/>
      <c r="L25" s="323"/>
      <c r="M25" s="324">
        <v>0.7</v>
      </c>
      <c r="N25" s="323" t="s">
        <v>1595</v>
      </c>
      <c r="O25" s="323"/>
      <c r="P25" s="416">
        <v>0</v>
      </c>
      <c r="Q25" s="323"/>
      <c r="R25" s="417"/>
      <c r="S25" s="315"/>
      <c r="T25" s="301">
        <v>7</v>
      </c>
      <c r="U25" s="406">
        <v>45882</v>
      </c>
      <c r="V25" s="340">
        <f t="shared" ca="1" si="14"/>
        <v>10</v>
      </c>
      <c r="W25" s="292">
        <f t="shared" ca="1" si="10"/>
        <v>2025</v>
      </c>
      <c r="X25" s="291" t="str">
        <f t="shared" ca="1" si="11"/>
        <v>1 WEEK</v>
      </c>
      <c r="Y25" s="329">
        <f>Y21</f>
        <v>45928</v>
      </c>
      <c r="Z25" s="341" cm="1">
        <f t="array" aca="1" ref="Z25" ca="1">_xlfn.IFS(AD25&lt;100,Y25,Y25&lt;TODAY(),TODAY(),Y25&gt;TODAY(),Y25,Y25=TODAY(),Y25)</f>
        <v>45935</v>
      </c>
      <c r="AA25" s="330">
        <f>SUM(I24:I27)*M25</f>
        <v>2172380</v>
      </c>
      <c r="AB25" s="301"/>
      <c r="AC25" s="301"/>
      <c r="AD25" s="298">
        <f t="shared" si="2"/>
        <v>2172380</v>
      </c>
      <c r="AE25" s="299" t="str">
        <f t="shared" si="3"/>
        <v>Incomplete</v>
      </c>
      <c r="AF25" s="340"/>
      <c r="AG25" s="301"/>
      <c r="AH25" s="343"/>
      <c r="AI25" s="301">
        <f t="shared" ca="1" si="0"/>
        <v>7</v>
      </c>
      <c r="AJ25" s="302" t="str">
        <f t="shared" ca="1" si="1"/>
        <v>Delayed</v>
      </c>
      <c r="AL25" s="303">
        <f t="shared" si="4"/>
        <v>0</v>
      </c>
      <c r="AM25" s="303">
        <f t="shared" si="5"/>
        <v>0</v>
      </c>
      <c r="AN25" s="303">
        <f t="shared" si="6"/>
        <v>0</v>
      </c>
      <c r="AO25" s="304">
        <f t="shared" si="7"/>
        <v>0</v>
      </c>
      <c r="AP25" s="273">
        <f t="shared" si="15"/>
        <v>1</v>
      </c>
      <c r="AQ25" s="273" t="str">
        <f t="shared" ca="1" si="8"/>
        <v>12025</v>
      </c>
    </row>
    <row r="26" spans="1:43" ht="15.75">
      <c r="A26" s="392">
        <v>2</v>
      </c>
      <c r="B26" s="322" t="s">
        <v>1588</v>
      </c>
      <c r="C26" s="332" t="s">
        <v>1589</v>
      </c>
      <c r="D26" s="277" t="s">
        <v>1590</v>
      </c>
      <c r="E26" s="412">
        <v>45778</v>
      </c>
      <c r="F26" s="334">
        <v>2.5</v>
      </c>
      <c r="G26" s="413">
        <v>1052000</v>
      </c>
      <c r="H26" s="414">
        <v>189360</v>
      </c>
      <c r="I26" s="415">
        <v>1241360</v>
      </c>
      <c r="J26" s="415"/>
      <c r="K26" s="323" t="s">
        <v>1622</v>
      </c>
      <c r="L26" s="322" t="s">
        <v>1617</v>
      </c>
      <c r="M26" s="324">
        <v>0.05</v>
      </c>
      <c r="N26" s="305" t="s">
        <v>1618</v>
      </c>
      <c r="O26" s="323"/>
      <c r="P26" s="416">
        <v>0</v>
      </c>
      <c r="Q26" s="323"/>
      <c r="R26" s="417"/>
      <c r="S26" s="315"/>
      <c r="T26" s="301">
        <v>7</v>
      </c>
      <c r="U26" s="406">
        <v>45882</v>
      </c>
      <c r="V26" s="340">
        <f t="shared" ca="1" si="14"/>
        <v>10</v>
      </c>
      <c r="W26" s="292">
        <f t="shared" ca="1" si="10"/>
        <v>2025</v>
      </c>
      <c r="X26" s="291" t="str">
        <f t="shared" ca="1" si="11"/>
        <v>1 WEEK</v>
      </c>
      <c r="Y26" s="329">
        <f>Y21</f>
        <v>45928</v>
      </c>
      <c r="Z26" s="341" cm="1">
        <f t="array" aca="1" ref="Z26" ca="1">_xlfn.IFS(AD26&lt;100,Y26,Y26&lt;TODAY(),TODAY(),Y26&gt;TODAY(),Y26,Y26=TODAY(),Y26)</f>
        <v>45935</v>
      </c>
      <c r="AA26" s="330">
        <f>SUM(I24:I27)*M26</f>
        <v>155170</v>
      </c>
      <c r="AB26" s="301"/>
      <c r="AC26" s="301"/>
      <c r="AD26" s="298">
        <f t="shared" si="2"/>
        <v>155170</v>
      </c>
      <c r="AE26" s="299" t="str">
        <f t="shared" si="3"/>
        <v>Incomplete</v>
      </c>
      <c r="AF26" s="340"/>
      <c r="AG26" s="301"/>
      <c r="AH26" s="343"/>
      <c r="AI26" s="301">
        <f t="shared" ca="1" si="0"/>
        <v>7</v>
      </c>
      <c r="AJ26" s="302" t="str">
        <f t="shared" ca="1" si="1"/>
        <v>Delayed</v>
      </c>
      <c r="AL26" s="303">
        <f t="shared" si="4"/>
        <v>1241360</v>
      </c>
      <c r="AM26" s="303">
        <f t="shared" si="5"/>
        <v>1241360</v>
      </c>
      <c r="AN26" s="303">
        <f t="shared" si="6"/>
        <v>0</v>
      </c>
      <c r="AO26" s="304">
        <f t="shared" si="7"/>
        <v>0</v>
      </c>
      <c r="AP26" s="273">
        <f t="shared" si="15"/>
        <v>1</v>
      </c>
      <c r="AQ26" s="273" t="str">
        <f t="shared" ca="1" si="8"/>
        <v>12025</v>
      </c>
    </row>
    <row r="27" spans="1:43" ht="15.75">
      <c r="A27" s="392">
        <v>2</v>
      </c>
      <c r="B27" s="368" t="s">
        <v>1588</v>
      </c>
      <c r="C27" s="369" t="s">
        <v>1589</v>
      </c>
      <c r="D27" s="277" t="s">
        <v>1590</v>
      </c>
      <c r="E27" s="418">
        <v>45778</v>
      </c>
      <c r="F27" s="370">
        <v>2.5</v>
      </c>
      <c r="G27" s="413">
        <v>1052000</v>
      </c>
      <c r="H27" s="414">
        <v>189360</v>
      </c>
      <c r="I27" s="415">
        <v>1241360</v>
      </c>
      <c r="J27" s="419"/>
      <c r="K27" s="420" t="s">
        <v>1623</v>
      </c>
      <c r="L27" s="420" t="s">
        <v>1620</v>
      </c>
      <c r="M27" s="374">
        <v>0.05</v>
      </c>
      <c r="N27" s="305" t="s">
        <v>1618</v>
      </c>
      <c r="O27" s="420"/>
      <c r="P27" s="421">
        <v>45882</v>
      </c>
      <c r="Q27" s="206"/>
      <c r="R27" s="422"/>
      <c r="S27" s="423"/>
      <c r="T27" s="376">
        <v>7</v>
      </c>
      <c r="U27" s="406">
        <v>45882</v>
      </c>
      <c r="V27" s="378">
        <f t="shared" ca="1" si="14"/>
        <v>10</v>
      </c>
      <c r="W27" s="292">
        <f t="shared" ca="1" si="10"/>
        <v>2025</v>
      </c>
      <c r="X27" s="291" t="str">
        <f t="shared" ca="1" si="11"/>
        <v>1 WEEK</v>
      </c>
      <c r="Y27" s="329">
        <f>P27+T27</f>
        <v>45889</v>
      </c>
      <c r="Z27" s="380" cm="1">
        <f t="array" aca="1" ref="Z27" ca="1">_xlfn.IFS(AD27&lt;100,Y27,Y27&lt;TODAY(),TODAY(),Y27&gt;TODAY(),Y27,Y27=TODAY(),Y27)</f>
        <v>45935</v>
      </c>
      <c r="AA27" s="424">
        <f>SUM(I24:I27)*M27+SUM(H24:H27)*M24</f>
        <v>249850</v>
      </c>
      <c r="AB27" s="376"/>
      <c r="AC27" s="376"/>
      <c r="AD27" s="298">
        <f t="shared" si="2"/>
        <v>249850</v>
      </c>
      <c r="AE27" s="299" t="str">
        <f t="shared" si="3"/>
        <v>Incomplete</v>
      </c>
      <c r="AF27" s="378"/>
      <c r="AG27" s="376"/>
      <c r="AH27" s="382"/>
      <c r="AI27" s="301">
        <f t="shared" ca="1" si="0"/>
        <v>46</v>
      </c>
      <c r="AJ27" s="302" t="str">
        <f t="shared" ca="1" si="1"/>
        <v>Delayed</v>
      </c>
      <c r="AL27" s="303">
        <f t="shared" si="4"/>
        <v>1241360</v>
      </c>
      <c r="AM27" s="303">
        <f t="shared" si="5"/>
        <v>1241360</v>
      </c>
      <c r="AN27" s="303">
        <f t="shared" si="6"/>
        <v>0</v>
      </c>
      <c r="AO27" s="304">
        <f t="shared" si="7"/>
        <v>0</v>
      </c>
      <c r="AP27" s="273">
        <f t="shared" si="15"/>
        <v>8</v>
      </c>
      <c r="AQ27" s="273" t="str">
        <f t="shared" ca="1" si="8"/>
        <v>82025</v>
      </c>
    </row>
    <row r="28" spans="1:43" ht="15.75">
      <c r="A28" s="383"/>
      <c r="B28" s="387"/>
      <c r="C28" s="425"/>
      <c r="D28" s="277"/>
      <c r="E28" s="426"/>
      <c r="F28" s="370"/>
      <c r="G28" s="427"/>
      <c r="H28" s="428"/>
      <c r="I28" s="429"/>
      <c r="J28" s="429"/>
      <c r="K28" s="430"/>
      <c r="L28" s="430"/>
      <c r="M28" s="388"/>
      <c r="N28" s="420"/>
      <c r="O28" s="430"/>
      <c r="P28" s="431">
        <v>0</v>
      </c>
      <c r="Q28" s="432"/>
      <c r="R28" s="433"/>
      <c r="S28" s="434"/>
      <c r="T28" s="389"/>
      <c r="U28" s="435"/>
      <c r="V28" s="378">
        <f t="shared" ca="1" si="14"/>
        <v>1</v>
      </c>
      <c r="W28" s="292">
        <f t="shared" ca="1" si="10"/>
        <v>1900</v>
      </c>
      <c r="X28" s="291" t="str">
        <f t="shared" ca="1" si="11"/>
        <v>0 WEEK</v>
      </c>
      <c r="Y28" s="436">
        <f t="shared" ref="Y28:Y30" si="16">P28+T28</f>
        <v>0</v>
      </c>
      <c r="Z28" s="437" cm="1">
        <f t="array" aca="1" ref="Z28" ca="1">_xlfn.IFS(AD28&lt;100,Y28,Y28&lt;TODAY(),TODAY(),Y28&gt;TODAY(),Y28,Y28=TODAY(),Y28)</f>
        <v>0</v>
      </c>
      <c r="AA28" s="438"/>
      <c r="AB28" s="389"/>
      <c r="AC28" s="389"/>
      <c r="AD28" s="298">
        <f t="shared" si="2"/>
        <v>0</v>
      </c>
      <c r="AE28" s="299" t="str">
        <f t="shared" si="3"/>
        <v>Complete</v>
      </c>
      <c r="AF28" s="390"/>
      <c r="AG28" s="389"/>
      <c r="AH28" s="391"/>
      <c r="AI28" s="301">
        <f t="shared" ca="1" si="0"/>
        <v>0</v>
      </c>
      <c r="AJ28" s="302">
        <f t="shared" ca="1" si="1"/>
        <v>0</v>
      </c>
      <c r="AL28" s="303">
        <f t="shared" si="4"/>
        <v>0</v>
      </c>
      <c r="AM28" s="303">
        <f t="shared" si="5"/>
        <v>0</v>
      </c>
      <c r="AN28" s="303">
        <f t="shared" si="6"/>
        <v>0</v>
      </c>
      <c r="AO28" s="304">
        <f t="shared" si="7"/>
        <v>0</v>
      </c>
      <c r="AP28" s="273">
        <f t="shared" si="15"/>
        <v>1</v>
      </c>
      <c r="AQ28" s="273" t="str">
        <f t="shared" ca="1" si="8"/>
        <v>11900</v>
      </c>
    </row>
    <row r="29" spans="1:43" ht="18">
      <c r="A29" s="312">
        <v>3</v>
      </c>
      <c r="B29" s="439" t="s">
        <v>1624</v>
      </c>
      <c r="C29" s="277" t="s">
        <v>1625</v>
      </c>
      <c r="D29" s="277" t="s">
        <v>1626</v>
      </c>
      <c r="E29" s="440">
        <v>45692</v>
      </c>
      <c r="F29" s="441">
        <f>555.18/1000</f>
        <v>0.5551799999999999</v>
      </c>
      <c r="G29" s="442"/>
      <c r="H29" s="443"/>
      <c r="I29" s="444"/>
      <c r="J29" s="444"/>
      <c r="K29" s="445"/>
      <c r="L29" s="445"/>
      <c r="M29" s="446"/>
      <c r="N29" s="445"/>
      <c r="O29" s="445"/>
      <c r="P29" s="447">
        <v>0</v>
      </c>
      <c r="Q29" s="448"/>
      <c r="R29" s="449" t="e">
        <v>#VALUE!</v>
      </c>
      <c r="S29" s="450"/>
      <c r="T29" s="451"/>
      <c r="U29" s="440"/>
      <c r="V29" s="378">
        <f t="shared" ca="1" si="14"/>
        <v>1</v>
      </c>
      <c r="W29" s="292">
        <f t="shared" ca="1" si="10"/>
        <v>1900</v>
      </c>
      <c r="X29" s="291" t="str">
        <f t="shared" ca="1" si="11"/>
        <v>0 WEEK</v>
      </c>
      <c r="Y29" s="436">
        <f t="shared" si="16"/>
        <v>0</v>
      </c>
      <c r="Z29" s="437" cm="1">
        <f t="array" aca="1" ref="Z29" ca="1">_xlfn.IFS(AD29&lt;100,Y29,Y29&lt;TODAY(),TODAY(),Y29&gt;TODAY(),Y29,Y29=TODAY(),Y29)</f>
        <v>0</v>
      </c>
      <c r="AA29" s="452"/>
      <c r="AB29" s="453"/>
      <c r="AC29" s="451"/>
      <c r="AD29" s="298">
        <f t="shared" si="2"/>
        <v>0</v>
      </c>
      <c r="AE29" s="299" t="str">
        <f t="shared" si="3"/>
        <v>Complete</v>
      </c>
      <c r="AG29" s="451"/>
      <c r="AH29" s="451"/>
      <c r="AI29" s="301">
        <f t="shared" ca="1" si="0"/>
        <v>0</v>
      </c>
      <c r="AJ29" s="302">
        <f t="shared" ca="1" si="1"/>
        <v>0</v>
      </c>
      <c r="AL29" s="303">
        <f t="shared" si="4"/>
        <v>0</v>
      </c>
      <c r="AM29" s="303">
        <f t="shared" si="5"/>
        <v>0</v>
      </c>
      <c r="AN29" s="303">
        <f t="shared" si="6"/>
        <v>0</v>
      </c>
      <c r="AO29" s="304">
        <f t="shared" si="7"/>
        <v>0</v>
      </c>
      <c r="AP29" s="273">
        <f t="shared" si="15"/>
        <v>1</v>
      </c>
      <c r="AQ29" s="273" t="str">
        <f t="shared" ca="1" si="8"/>
        <v>11900</v>
      </c>
    </row>
    <row r="30" spans="1:43" ht="18">
      <c r="A30" s="312">
        <v>3</v>
      </c>
      <c r="B30" s="439" t="s">
        <v>1624</v>
      </c>
      <c r="C30" s="277" t="s">
        <v>1625</v>
      </c>
      <c r="D30" s="277" t="s">
        <v>1626</v>
      </c>
      <c r="E30" s="440">
        <v>45692</v>
      </c>
      <c r="F30" s="441">
        <f>555.18/1000</f>
        <v>0.5551799999999999</v>
      </c>
      <c r="G30" s="454"/>
      <c r="H30" s="454"/>
      <c r="I30" s="455"/>
      <c r="J30" s="455"/>
      <c r="K30" s="456" t="s">
        <v>1627</v>
      </c>
      <c r="L30" s="456" t="s">
        <v>1592</v>
      </c>
      <c r="M30" s="446">
        <v>0.3</v>
      </c>
      <c r="N30" s="457" t="s">
        <v>1593</v>
      </c>
      <c r="O30" s="457"/>
      <c r="P30" s="458">
        <v>0</v>
      </c>
      <c r="Q30" s="312"/>
      <c r="R30" s="459"/>
      <c r="S30" s="460"/>
      <c r="T30" s="461">
        <v>7</v>
      </c>
      <c r="U30" s="440">
        <v>45780</v>
      </c>
      <c r="V30" s="378">
        <f t="shared" ca="1" si="14"/>
        <v>1</v>
      </c>
      <c r="W30" s="292">
        <f t="shared" ca="1" si="10"/>
        <v>1900</v>
      </c>
      <c r="X30" s="291" t="str">
        <f t="shared" ca="1" si="11"/>
        <v>1 WEEK</v>
      </c>
      <c r="Y30" s="436">
        <f t="shared" si="16"/>
        <v>7</v>
      </c>
      <c r="Z30" s="437" cm="1">
        <f t="array" aca="1" ref="Z30" ca="1">_xlfn.IFS(AD30&lt;100,Y30,Y30&lt;TODAY(),TODAY(),Y30&gt;TODAY(),Y30,Y30=TODAY(),Y30)</f>
        <v>7</v>
      </c>
      <c r="AA30" s="462">
        <f>SUM(G30:G38)*M30</f>
        <v>4458681</v>
      </c>
      <c r="AB30" s="462">
        <f>AA30-AC30</f>
        <v>4454222.3190000001</v>
      </c>
      <c r="AC30" s="462">
        <f>AA30*0.1%</f>
        <v>4458.6810000000005</v>
      </c>
      <c r="AD30" s="298">
        <f t="shared" si="2"/>
        <v>0</v>
      </c>
      <c r="AE30" s="299" t="str">
        <f t="shared" si="3"/>
        <v>Complete</v>
      </c>
      <c r="AG30" s="451"/>
      <c r="AH30" s="451"/>
      <c r="AI30" s="301">
        <f t="shared" ca="1" si="0"/>
        <v>0</v>
      </c>
      <c r="AJ30" s="302">
        <f t="shared" ca="1" si="1"/>
        <v>0</v>
      </c>
      <c r="AK30" s="273" t="s">
        <v>630</v>
      </c>
      <c r="AL30" s="303">
        <f t="shared" si="4"/>
        <v>0</v>
      </c>
      <c r="AM30" s="303">
        <f t="shared" si="5"/>
        <v>0</v>
      </c>
      <c r="AN30" s="303">
        <f t="shared" si="6"/>
        <v>0</v>
      </c>
      <c r="AO30" s="304">
        <f t="shared" si="7"/>
        <v>0</v>
      </c>
      <c r="AP30" s="273">
        <f t="shared" si="15"/>
        <v>1</v>
      </c>
      <c r="AQ30" s="273" t="str">
        <f t="shared" ca="1" si="8"/>
        <v>11900</v>
      </c>
    </row>
    <row r="31" spans="1:43" ht="18">
      <c r="A31" s="392">
        <v>3</v>
      </c>
      <c r="B31" s="463" t="s">
        <v>1624</v>
      </c>
      <c r="C31" s="332" t="s">
        <v>1625</v>
      </c>
      <c r="D31" s="332" t="s">
        <v>1626</v>
      </c>
      <c r="E31" s="406">
        <v>45692</v>
      </c>
      <c r="F31" s="464">
        <f t="shared" ref="F31:F38" si="17">555.18/1000</f>
        <v>0.5551799999999999</v>
      </c>
      <c r="G31" s="465">
        <v>9562975.5</v>
      </c>
      <c r="H31" s="465">
        <v>1147557.06</v>
      </c>
      <c r="I31" s="349">
        <f>G31+H31</f>
        <v>10710532.560000001</v>
      </c>
      <c r="J31" s="349"/>
      <c r="K31" s="392" t="s">
        <v>1628</v>
      </c>
      <c r="L31" s="392" t="s">
        <v>1595</v>
      </c>
      <c r="M31" s="324">
        <v>0.6</v>
      </c>
      <c r="N31" s="466" t="s">
        <v>1593</v>
      </c>
      <c r="O31" s="466" t="s">
        <v>1629</v>
      </c>
      <c r="P31" s="467">
        <v>45832</v>
      </c>
      <c r="Q31" s="392" t="s">
        <v>1630</v>
      </c>
      <c r="R31" s="468">
        <v>10710533</v>
      </c>
      <c r="S31" s="469"/>
      <c r="T31" s="470">
        <v>7</v>
      </c>
      <c r="U31" s="440">
        <v>45780</v>
      </c>
      <c r="V31" s="291">
        <f t="shared" ca="1" si="14"/>
        <v>7</v>
      </c>
      <c r="W31" s="292">
        <f t="shared" ca="1" si="10"/>
        <v>2025</v>
      </c>
      <c r="X31" s="291" t="str">
        <f t="shared" ca="1" si="11"/>
        <v>1 WEEK</v>
      </c>
      <c r="Y31" s="293">
        <f>P31+T31</f>
        <v>45839</v>
      </c>
      <c r="Z31" s="294" cm="1">
        <f t="array" aca="1" ref="Z31" ca="1">_xlfn.IFS(AD31&lt;100,Y31,Y31&lt;TODAY(),TODAY(),Y31&gt;TODAY(),Y31,Y31=TODAY(),Y31)</f>
        <v>45839</v>
      </c>
      <c r="AA31" s="471">
        <f>SUM(I30:I37)*M31</f>
        <v>10141145.1204</v>
      </c>
      <c r="AB31" s="471">
        <f>AA31-AC31</f>
        <v>10131003.975279601</v>
      </c>
      <c r="AC31" s="471">
        <f>AA31*0.1%</f>
        <v>10141.1451204</v>
      </c>
      <c r="AD31" s="298">
        <f t="shared" si="2"/>
        <v>0</v>
      </c>
      <c r="AE31" s="299" t="str">
        <f t="shared" si="3"/>
        <v>Complete</v>
      </c>
      <c r="AF31" s="291"/>
      <c r="AG31" s="299"/>
      <c r="AH31" s="318"/>
      <c r="AI31" s="301">
        <f t="shared" ca="1" si="0"/>
        <v>0</v>
      </c>
      <c r="AJ31" s="302">
        <f t="shared" ca="1" si="1"/>
        <v>0</v>
      </c>
      <c r="AL31" s="303">
        <f t="shared" si="4"/>
        <v>10710532.560000001</v>
      </c>
      <c r="AM31" s="303">
        <f t="shared" si="5"/>
        <v>-0.43999999947845936</v>
      </c>
      <c r="AN31" s="303">
        <f t="shared" si="6"/>
        <v>10710533</v>
      </c>
      <c r="AO31" s="304">
        <f t="shared" si="7"/>
        <v>0</v>
      </c>
      <c r="AP31" s="273">
        <f t="shared" si="15"/>
        <v>6</v>
      </c>
      <c r="AQ31" s="273" t="str">
        <f t="shared" ca="1" si="8"/>
        <v>62025</v>
      </c>
    </row>
    <row r="32" spans="1:43" ht="18">
      <c r="A32" s="392">
        <v>3</v>
      </c>
      <c r="B32" s="463" t="s">
        <v>1624</v>
      </c>
      <c r="C32" s="332" t="s">
        <v>1625</v>
      </c>
      <c r="D32" s="332" t="s">
        <v>1626</v>
      </c>
      <c r="E32" s="406">
        <v>45692</v>
      </c>
      <c r="F32" s="464">
        <f t="shared" si="17"/>
        <v>0.5551799999999999</v>
      </c>
      <c r="G32" s="465">
        <v>1029858.9</v>
      </c>
      <c r="H32" s="465">
        <v>123583.07</v>
      </c>
      <c r="I32" s="349">
        <f t="shared" ref="I32:I33" si="18">G32+H32</f>
        <v>1153441.97</v>
      </c>
      <c r="J32" s="349"/>
      <c r="K32" s="392" t="s">
        <v>1628</v>
      </c>
      <c r="L32" s="392" t="s">
        <v>1595</v>
      </c>
      <c r="M32" s="324">
        <v>0.6</v>
      </c>
      <c r="N32" s="466" t="s">
        <v>1593</v>
      </c>
      <c r="O32" s="472" t="s">
        <v>1598</v>
      </c>
      <c r="P32" s="467">
        <v>45780</v>
      </c>
      <c r="Q32" s="473" t="s">
        <v>1631</v>
      </c>
      <c r="R32" s="468">
        <v>1153442</v>
      </c>
      <c r="S32" s="474"/>
      <c r="T32" s="475">
        <v>7</v>
      </c>
      <c r="U32" s="440">
        <v>45780</v>
      </c>
      <c r="V32" s="340">
        <f t="shared" ca="1" si="14"/>
        <v>5</v>
      </c>
      <c r="W32" s="292">
        <f t="shared" ca="1" si="10"/>
        <v>2025</v>
      </c>
      <c r="X32" s="291" t="str">
        <f t="shared" ca="1" si="11"/>
        <v>2 WEEK</v>
      </c>
      <c r="Y32" s="329">
        <f>P32+T32</f>
        <v>45787</v>
      </c>
      <c r="Z32" s="476" cm="1">
        <f t="array" aca="1" ref="Z32" ca="1">_xlfn.IFS(AD32&lt;100,Y32,Y32&lt;TODAY(),TODAY(),Y32&gt;TODAY(),Y32,Y32=TODAY(),Y32)</f>
        <v>45787</v>
      </c>
      <c r="AA32" s="477"/>
      <c r="AB32" s="301"/>
      <c r="AC32" s="477"/>
      <c r="AD32" s="298">
        <f t="shared" si="2"/>
        <v>0</v>
      </c>
      <c r="AE32" s="299" t="str">
        <f t="shared" si="3"/>
        <v>Complete</v>
      </c>
      <c r="AF32" s="340"/>
      <c r="AG32" s="301"/>
      <c r="AH32" s="343"/>
      <c r="AI32" s="301">
        <f t="shared" ca="1" si="0"/>
        <v>0</v>
      </c>
      <c r="AJ32" s="302">
        <f t="shared" ca="1" si="1"/>
        <v>0</v>
      </c>
      <c r="AL32" s="303">
        <f t="shared" si="4"/>
        <v>1153441.97</v>
      </c>
      <c r="AM32" s="303">
        <f t="shared" si="5"/>
        <v>-3.0000000027939677E-2</v>
      </c>
      <c r="AN32" s="303">
        <f t="shared" si="6"/>
        <v>1153442</v>
      </c>
      <c r="AO32" s="304">
        <f t="shared" si="7"/>
        <v>0</v>
      </c>
      <c r="AP32" s="273">
        <f t="shared" si="15"/>
        <v>5</v>
      </c>
      <c r="AQ32" s="273" t="str">
        <f t="shared" ca="1" si="8"/>
        <v>52025</v>
      </c>
    </row>
    <row r="33" spans="1:43" ht="18">
      <c r="A33" s="392">
        <v>3</v>
      </c>
      <c r="B33" s="463" t="s">
        <v>1624</v>
      </c>
      <c r="C33" s="332" t="s">
        <v>1625</v>
      </c>
      <c r="D33" s="332" t="s">
        <v>1626</v>
      </c>
      <c r="E33" s="406">
        <v>45692</v>
      </c>
      <c r="F33" s="464">
        <f t="shared" si="17"/>
        <v>0.5551799999999999</v>
      </c>
      <c r="G33" s="465">
        <v>3680944.8</v>
      </c>
      <c r="H33" s="465">
        <v>662570.06000000006</v>
      </c>
      <c r="I33" s="349">
        <f t="shared" si="18"/>
        <v>4343514.8599999994</v>
      </c>
      <c r="J33" s="349"/>
      <c r="K33" s="392" t="s">
        <v>1628</v>
      </c>
      <c r="L33" s="392" t="s">
        <v>1595</v>
      </c>
      <c r="M33" s="324">
        <v>0.6</v>
      </c>
      <c r="N33" s="466" t="s">
        <v>1593</v>
      </c>
      <c r="O33" s="466" t="s">
        <v>1632</v>
      </c>
      <c r="P33" s="478">
        <v>45744</v>
      </c>
      <c r="Q33" s="479" t="s">
        <v>1633</v>
      </c>
      <c r="R33" s="468">
        <v>874968</v>
      </c>
      <c r="S33" s="474"/>
      <c r="T33" s="475">
        <v>7</v>
      </c>
      <c r="U33" s="440">
        <v>45780</v>
      </c>
      <c r="V33" s="340">
        <f t="shared" ca="1" si="14"/>
        <v>4</v>
      </c>
      <c r="W33" s="292">
        <f t="shared" ca="1" si="10"/>
        <v>2025</v>
      </c>
      <c r="X33" s="291" t="str">
        <f t="shared" ca="1" si="11"/>
        <v>1 WEEK</v>
      </c>
      <c r="Y33" s="329">
        <f t="shared" ref="Y33:Y36" si="19">P33+T33</f>
        <v>45751</v>
      </c>
      <c r="Z33" s="341" cm="1">
        <f t="array" aca="1" ref="Z33" ca="1">_xlfn.IFS(AD33&lt;100,Y33,Y33&lt;TODAY(),TODAY(),Y33&gt;TODAY(),Y33,Y33=TODAY(),Y33)</f>
        <v>45751</v>
      </c>
      <c r="AA33" s="477"/>
      <c r="AB33" s="301"/>
      <c r="AC33" s="301"/>
      <c r="AD33" s="298">
        <f t="shared" si="2"/>
        <v>0</v>
      </c>
      <c r="AE33" s="299" t="str">
        <f t="shared" si="3"/>
        <v>Complete</v>
      </c>
      <c r="AF33" s="340"/>
      <c r="AG33" s="301"/>
      <c r="AH33" s="343"/>
      <c r="AI33" s="301">
        <f t="shared" ca="1" si="0"/>
        <v>0</v>
      </c>
      <c r="AJ33" s="302">
        <f t="shared" ca="1" si="1"/>
        <v>0</v>
      </c>
      <c r="AL33" s="303">
        <f t="shared" si="4"/>
        <v>4343514.8599999994</v>
      </c>
      <c r="AM33" s="303">
        <f t="shared" si="5"/>
        <v>3468546.8599999994</v>
      </c>
      <c r="AN33" s="303">
        <f t="shared" si="6"/>
        <v>874968</v>
      </c>
      <c r="AO33" s="304">
        <f t="shared" si="7"/>
        <v>0</v>
      </c>
      <c r="AP33" s="273">
        <f t="shared" si="15"/>
        <v>3</v>
      </c>
      <c r="AQ33" s="273" t="str">
        <f t="shared" ca="1" si="8"/>
        <v>32025</v>
      </c>
    </row>
    <row r="34" spans="1:43" ht="18">
      <c r="A34" s="392">
        <v>3</v>
      </c>
      <c r="B34" s="463" t="s">
        <v>1624</v>
      </c>
      <c r="C34" s="332" t="s">
        <v>1625</v>
      </c>
      <c r="D34" s="332" t="s">
        <v>1626</v>
      </c>
      <c r="E34" s="406">
        <v>45692</v>
      </c>
      <c r="F34" s="464">
        <f t="shared" si="17"/>
        <v>0.5551799999999999</v>
      </c>
      <c r="G34" s="465"/>
      <c r="H34" s="465"/>
      <c r="I34" s="349"/>
      <c r="J34" s="349"/>
      <c r="K34" s="392" t="s">
        <v>1628</v>
      </c>
      <c r="L34" s="392" t="s">
        <v>1595</v>
      </c>
      <c r="M34" s="324">
        <v>0.6</v>
      </c>
      <c r="N34" s="466" t="s">
        <v>1593</v>
      </c>
      <c r="O34" s="466" t="s">
        <v>1632</v>
      </c>
      <c r="P34" s="478">
        <v>45782</v>
      </c>
      <c r="Q34" s="479" t="s">
        <v>1634</v>
      </c>
      <c r="R34" s="468">
        <v>138742</v>
      </c>
      <c r="S34" s="474"/>
      <c r="T34" s="475">
        <v>7</v>
      </c>
      <c r="U34" s="440">
        <v>45780</v>
      </c>
      <c r="V34" s="340">
        <f t="shared" ca="1" si="14"/>
        <v>5</v>
      </c>
      <c r="W34" s="292">
        <f t="shared" ca="1" si="10"/>
        <v>2025</v>
      </c>
      <c r="X34" s="291" t="str">
        <f t="shared" ca="1" si="11"/>
        <v>2 WEEK</v>
      </c>
      <c r="Y34" s="329">
        <f t="shared" si="19"/>
        <v>45789</v>
      </c>
      <c r="Z34" s="341" cm="1">
        <f t="array" aca="1" ref="Z34" ca="1">_xlfn.IFS(AD34&lt;100,Y34,Y34&lt;TODAY(),TODAY(),Y34&gt;TODAY(),Y34,Y34=TODAY(),Y34)</f>
        <v>45789</v>
      </c>
      <c r="AA34" s="477"/>
      <c r="AB34" s="301"/>
      <c r="AC34" s="301"/>
      <c r="AD34" s="298">
        <f t="shared" si="2"/>
        <v>0</v>
      </c>
      <c r="AE34" s="299" t="str">
        <f t="shared" si="3"/>
        <v>Complete</v>
      </c>
      <c r="AF34" s="340"/>
      <c r="AG34" s="301"/>
      <c r="AH34" s="343"/>
      <c r="AI34" s="301">
        <f t="shared" ca="1" si="0"/>
        <v>0</v>
      </c>
      <c r="AJ34" s="302">
        <f t="shared" ca="1" si="1"/>
        <v>0</v>
      </c>
      <c r="AL34" s="303">
        <f t="shared" si="4"/>
        <v>0</v>
      </c>
      <c r="AM34" s="303">
        <f t="shared" si="5"/>
        <v>-138742</v>
      </c>
      <c r="AN34" s="303">
        <f t="shared" si="6"/>
        <v>138742</v>
      </c>
      <c r="AO34" s="304">
        <f t="shared" si="7"/>
        <v>0</v>
      </c>
      <c r="AP34" s="273">
        <f t="shared" si="15"/>
        <v>5</v>
      </c>
      <c r="AQ34" s="273" t="str">
        <f t="shared" ca="1" si="8"/>
        <v>52025</v>
      </c>
    </row>
    <row r="35" spans="1:43" ht="18">
      <c r="A35" s="392">
        <v>3</v>
      </c>
      <c r="B35" s="463" t="s">
        <v>1624</v>
      </c>
      <c r="C35" s="332" t="s">
        <v>1625</v>
      </c>
      <c r="D35" s="332" t="s">
        <v>1626</v>
      </c>
      <c r="E35" s="406">
        <v>45692</v>
      </c>
      <c r="F35" s="464">
        <f t="shared" si="17"/>
        <v>0.5551799999999999</v>
      </c>
      <c r="G35" s="465"/>
      <c r="H35" s="465"/>
      <c r="I35" s="349"/>
      <c r="J35" s="349"/>
      <c r="K35" s="392" t="s">
        <v>1628</v>
      </c>
      <c r="L35" s="392" t="s">
        <v>1595</v>
      </c>
      <c r="M35" s="324">
        <v>0.6</v>
      </c>
      <c r="N35" s="466" t="s">
        <v>1593</v>
      </c>
      <c r="O35" s="466" t="s">
        <v>1632</v>
      </c>
      <c r="P35" s="478">
        <v>45833</v>
      </c>
      <c r="Q35" s="479" t="s">
        <v>1635</v>
      </c>
      <c r="R35" s="468">
        <v>2823285</v>
      </c>
      <c r="S35" s="474"/>
      <c r="T35" s="475">
        <v>7</v>
      </c>
      <c r="U35" s="440">
        <v>45780</v>
      </c>
      <c r="V35" s="340">
        <f t="shared" ca="1" si="14"/>
        <v>7</v>
      </c>
      <c r="W35" s="292">
        <f t="shared" ca="1" si="10"/>
        <v>2025</v>
      </c>
      <c r="X35" s="291" t="str">
        <f t="shared" ca="1" si="11"/>
        <v>1 WEEK</v>
      </c>
      <c r="Y35" s="329">
        <f t="shared" si="19"/>
        <v>45840</v>
      </c>
      <c r="Z35" s="341" cm="1">
        <f t="array" aca="1" ref="Z35" ca="1">_xlfn.IFS(AD35&lt;100,Y35,Y35&lt;TODAY(),TODAY(),Y35&gt;TODAY(),Y35,Y35=TODAY(),Y35)</f>
        <v>45840</v>
      </c>
      <c r="AA35" s="477"/>
      <c r="AB35" s="301"/>
      <c r="AC35" s="301"/>
      <c r="AD35" s="298">
        <f t="shared" si="2"/>
        <v>0</v>
      </c>
      <c r="AE35" s="299" t="str">
        <f t="shared" si="3"/>
        <v>Complete</v>
      </c>
      <c r="AF35" s="340"/>
      <c r="AG35" s="301"/>
      <c r="AH35" s="343"/>
      <c r="AI35" s="301">
        <f t="shared" ca="1" si="0"/>
        <v>0</v>
      </c>
      <c r="AJ35" s="302">
        <f t="shared" ca="1" si="1"/>
        <v>0</v>
      </c>
      <c r="AL35" s="303">
        <f t="shared" si="4"/>
        <v>0</v>
      </c>
      <c r="AM35" s="303">
        <f t="shared" si="5"/>
        <v>-2823285</v>
      </c>
      <c r="AN35" s="303">
        <f t="shared" si="6"/>
        <v>2823285</v>
      </c>
      <c r="AO35" s="304">
        <f t="shared" si="7"/>
        <v>0</v>
      </c>
      <c r="AP35" s="273">
        <f t="shared" si="15"/>
        <v>6</v>
      </c>
      <c r="AQ35" s="273" t="str">
        <f t="shared" ca="1" si="8"/>
        <v>62025</v>
      </c>
    </row>
    <row r="36" spans="1:43" ht="18">
      <c r="A36" s="392">
        <v>3</v>
      </c>
      <c r="B36" s="463" t="s">
        <v>1624</v>
      </c>
      <c r="C36" s="332" t="s">
        <v>1625</v>
      </c>
      <c r="D36" s="332" t="s">
        <v>1626</v>
      </c>
      <c r="E36" s="406">
        <v>45692</v>
      </c>
      <c r="F36" s="464">
        <f t="shared" si="17"/>
        <v>0.5551799999999999</v>
      </c>
      <c r="G36" s="465"/>
      <c r="H36" s="465"/>
      <c r="I36" s="349"/>
      <c r="J36" s="349"/>
      <c r="K36" s="392" t="s">
        <v>1628</v>
      </c>
      <c r="L36" s="392" t="s">
        <v>1595</v>
      </c>
      <c r="M36" s="324">
        <v>0.6</v>
      </c>
      <c r="N36" s="466" t="s">
        <v>1593</v>
      </c>
      <c r="O36" s="466" t="s">
        <v>1632</v>
      </c>
      <c r="P36" s="480">
        <v>45860</v>
      </c>
      <c r="Q36" s="481" t="s">
        <v>1636</v>
      </c>
      <c r="R36" s="468">
        <v>506520.1801999996</v>
      </c>
      <c r="S36" s="474"/>
      <c r="T36" s="475">
        <v>7</v>
      </c>
      <c r="U36" s="440">
        <v>45780</v>
      </c>
      <c r="V36" s="340">
        <f t="shared" ca="1" si="14"/>
        <v>7</v>
      </c>
      <c r="W36" s="292">
        <f t="shared" ca="1" si="10"/>
        <v>2025</v>
      </c>
      <c r="X36" s="291" t="str">
        <f t="shared" ca="1" si="11"/>
        <v>5 WEEK</v>
      </c>
      <c r="Y36" s="436">
        <f t="shared" si="19"/>
        <v>45867</v>
      </c>
      <c r="Z36" s="341" cm="1">
        <f t="array" aca="1" ref="Z36" ca="1">_xlfn.IFS(AD36&lt;100,Y36,Y36&lt;TODAY(),TODAY(),Y36&gt;TODAY(),Y36,Y36=TODAY(),Y36)</f>
        <v>45867</v>
      </c>
      <c r="AA36" s="482"/>
      <c r="AB36" s="301"/>
      <c r="AC36" s="301"/>
      <c r="AD36" s="298">
        <f t="shared" si="2"/>
        <v>0</v>
      </c>
      <c r="AE36" s="299" t="str">
        <f t="shared" si="3"/>
        <v>Complete</v>
      </c>
      <c r="AF36" s="340"/>
      <c r="AG36" s="301"/>
      <c r="AH36" s="343"/>
      <c r="AI36" s="301">
        <f t="shared" ca="1" si="0"/>
        <v>0</v>
      </c>
      <c r="AJ36" s="302">
        <f t="shared" ca="1" si="1"/>
        <v>0</v>
      </c>
      <c r="AK36" s="340" t="s">
        <v>1637</v>
      </c>
      <c r="AL36" s="303">
        <f t="shared" si="4"/>
        <v>0</v>
      </c>
      <c r="AM36" s="303">
        <f t="shared" si="5"/>
        <v>-506520.1801999996</v>
      </c>
      <c r="AN36" s="303">
        <f t="shared" si="6"/>
        <v>506520.1801999996</v>
      </c>
      <c r="AO36" s="304">
        <f t="shared" si="7"/>
        <v>0</v>
      </c>
      <c r="AP36" s="273">
        <f t="shared" si="15"/>
        <v>7</v>
      </c>
      <c r="AQ36" s="273" t="str">
        <f t="shared" ca="1" si="8"/>
        <v>72025</v>
      </c>
    </row>
    <row r="37" spans="1:43" ht="18">
      <c r="A37" s="392">
        <v>3</v>
      </c>
      <c r="B37" s="463" t="s">
        <v>1624</v>
      </c>
      <c r="C37" s="332" t="s">
        <v>1625</v>
      </c>
      <c r="D37" s="332" t="s">
        <v>1626</v>
      </c>
      <c r="E37" s="406">
        <v>45692</v>
      </c>
      <c r="F37" s="464">
        <f t="shared" si="17"/>
        <v>0.5551799999999999</v>
      </c>
      <c r="G37" s="483">
        <v>588490.80000000005</v>
      </c>
      <c r="H37" s="301">
        <f>G37*18%</f>
        <v>105928.344</v>
      </c>
      <c r="I37" s="349">
        <f t="shared" ref="I37" si="20">G37+H37</f>
        <v>694419.14400000009</v>
      </c>
      <c r="J37" s="349"/>
      <c r="K37" s="392" t="s">
        <v>1638</v>
      </c>
      <c r="L37" s="322" t="s">
        <v>1639</v>
      </c>
      <c r="M37" s="324">
        <v>0.05</v>
      </c>
      <c r="N37" s="466" t="s">
        <v>1618</v>
      </c>
      <c r="O37" s="466" t="s">
        <v>1640</v>
      </c>
      <c r="P37" s="484">
        <v>45871</v>
      </c>
      <c r="Q37" s="246" t="s">
        <v>1641</v>
      </c>
      <c r="R37" s="485">
        <v>694419</v>
      </c>
      <c r="S37" s="486"/>
      <c r="T37" s="475">
        <v>7</v>
      </c>
      <c r="U37" s="440">
        <v>45780</v>
      </c>
      <c r="V37" s="340">
        <f t="shared" ca="1" si="14"/>
        <v>6</v>
      </c>
      <c r="W37" s="292">
        <f t="shared" ca="1" si="10"/>
        <v>2025</v>
      </c>
      <c r="X37" s="291" t="str">
        <f t="shared" ca="1" si="11"/>
        <v>4 WEEK</v>
      </c>
      <c r="Y37" s="484">
        <v>45834</v>
      </c>
      <c r="Z37" s="341" cm="1">
        <f t="array" aca="1" ref="Z37" ca="1">_xlfn.IFS(AD37&lt;100,Y37,Y37&lt;TODAY(),TODAY(),Y37&gt;TODAY(),Y37,Y37=TODAY(),Y37)</f>
        <v>45834</v>
      </c>
      <c r="AA37" s="487">
        <f>SUM(I30:I38)*M37</f>
        <v>845095.42670000019</v>
      </c>
      <c r="AB37" s="488">
        <f>AA37-AC37</f>
        <v>828193.51816600014</v>
      </c>
      <c r="AC37" s="488">
        <f>AA37*2%</f>
        <v>16901.908534000006</v>
      </c>
      <c r="AD37" s="298">
        <f t="shared" si="2"/>
        <v>0</v>
      </c>
      <c r="AE37" s="299" t="str">
        <f t="shared" si="3"/>
        <v>Complete</v>
      </c>
      <c r="AF37" s="340"/>
      <c r="AG37" s="301"/>
      <c r="AH37" s="343"/>
      <c r="AI37" s="301">
        <f t="shared" ca="1" si="0"/>
        <v>0</v>
      </c>
      <c r="AJ37" s="302">
        <f t="shared" ca="1" si="1"/>
        <v>0</v>
      </c>
      <c r="AL37" s="303">
        <f t="shared" si="4"/>
        <v>694419.14400000009</v>
      </c>
      <c r="AM37" s="303">
        <f t="shared" si="5"/>
        <v>0.14400000008754432</v>
      </c>
      <c r="AN37" s="303">
        <f t="shared" si="6"/>
        <v>694419</v>
      </c>
      <c r="AO37" s="304">
        <f t="shared" si="7"/>
        <v>0</v>
      </c>
      <c r="AP37" s="273">
        <f t="shared" si="15"/>
        <v>8</v>
      </c>
      <c r="AQ37" s="273" t="str">
        <f t="shared" ca="1" si="8"/>
        <v>82025</v>
      </c>
    </row>
    <row r="38" spans="1:43" ht="18">
      <c r="A38" s="312">
        <v>3</v>
      </c>
      <c r="B38" s="489" t="s">
        <v>1624</v>
      </c>
      <c r="C38" s="425" t="s">
        <v>1625</v>
      </c>
      <c r="D38" s="277" t="s">
        <v>1626</v>
      </c>
      <c r="E38" s="435">
        <v>45692</v>
      </c>
      <c r="F38" s="490">
        <f t="shared" si="17"/>
        <v>0.5551799999999999</v>
      </c>
      <c r="G38" s="491"/>
      <c r="H38" s="389"/>
      <c r="I38" s="492"/>
      <c r="J38" s="492"/>
      <c r="K38" s="493" t="s">
        <v>1642</v>
      </c>
      <c r="L38" s="387" t="s">
        <v>1643</v>
      </c>
      <c r="M38" s="388">
        <v>0.05</v>
      </c>
      <c r="N38" s="494" t="s">
        <v>1618</v>
      </c>
      <c r="O38" s="495" t="s">
        <v>1640</v>
      </c>
      <c r="P38" s="496">
        <f>P37+7</f>
        <v>45878</v>
      </c>
      <c r="Q38" s="497"/>
      <c r="R38" s="433"/>
      <c r="S38" s="423"/>
      <c r="T38" s="475">
        <v>7</v>
      </c>
      <c r="U38" s="440">
        <v>45780</v>
      </c>
      <c r="V38" s="378">
        <f t="shared" ca="1" si="14"/>
        <v>10</v>
      </c>
      <c r="W38" s="292">
        <f t="shared" ca="1" si="10"/>
        <v>2025</v>
      </c>
      <c r="X38" s="291" t="str">
        <f t="shared" ca="1" si="11"/>
        <v>1 WEEK</v>
      </c>
      <c r="Y38" s="498">
        <f>P38+T38</f>
        <v>45885</v>
      </c>
      <c r="Z38" s="341" cm="1">
        <f t="array" aca="1" ref="Z38" ca="1">_xlfn.IFS(AD38&lt;100,Y38,Y38&lt;TODAY(),TODAY(),Y38&gt;TODAY(),Y38,Y38=TODAY(),Y38)</f>
        <v>45935</v>
      </c>
      <c r="AA38" s="499">
        <f>SUM(I30:I38)*M38+SUM(H30:H37)*M30</f>
        <v>1456986.9869000004</v>
      </c>
      <c r="AB38" s="500">
        <f>16050000-AB30-AB31-AB37</f>
        <v>636580.18755439844</v>
      </c>
      <c r="AC38" s="500">
        <f>AA38*2%</f>
        <v>29139.739738000007</v>
      </c>
      <c r="AD38" s="298">
        <f t="shared" si="2"/>
        <v>791267</v>
      </c>
      <c r="AE38" s="299" t="str">
        <f t="shared" si="3"/>
        <v>Incomplete</v>
      </c>
      <c r="AF38" s="378"/>
      <c r="AG38" s="376"/>
      <c r="AH38" s="382"/>
      <c r="AI38" s="301">
        <f t="shared" ca="1" si="0"/>
        <v>50</v>
      </c>
      <c r="AJ38" s="302" t="str">
        <f t="shared" ca="1" si="1"/>
        <v>Delayed</v>
      </c>
      <c r="AL38" s="303">
        <f t="shared" si="4"/>
        <v>0</v>
      </c>
      <c r="AM38" s="303">
        <f t="shared" si="5"/>
        <v>0</v>
      </c>
      <c r="AN38" s="303">
        <f t="shared" si="6"/>
        <v>0</v>
      </c>
      <c r="AO38" s="304">
        <f t="shared" si="7"/>
        <v>0</v>
      </c>
      <c r="AP38" s="273">
        <f t="shared" si="15"/>
        <v>8</v>
      </c>
      <c r="AQ38" s="273" t="str">
        <f t="shared" ca="1" si="8"/>
        <v>82025</v>
      </c>
    </row>
    <row r="39" spans="1:43" ht="18.75" thickBot="1">
      <c r="A39" s="383"/>
      <c r="B39" s="489"/>
      <c r="C39" s="425"/>
      <c r="D39" s="277"/>
      <c r="E39" s="435"/>
      <c r="F39" s="490"/>
      <c r="G39" s="491"/>
      <c r="H39" s="389"/>
      <c r="I39" s="492"/>
      <c r="J39" s="492"/>
      <c r="K39" s="493"/>
      <c r="L39" s="387"/>
      <c r="M39" s="388"/>
      <c r="N39" s="494"/>
      <c r="O39" s="495"/>
      <c r="P39" s="501">
        <v>0</v>
      </c>
      <c r="Q39" s="497"/>
      <c r="R39" s="433"/>
      <c r="S39" s="434"/>
      <c r="T39" s="470"/>
      <c r="U39" s="435"/>
      <c r="V39" s="378">
        <f t="shared" ca="1" si="14"/>
        <v>1</v>
      </c>
      <c r="W39" s="292">
        <f t="shared" ca="1" si="10"/>
        <v>1900</v>
      </c>
      <c r="X39" s="291" t="str">
        <f t="shared" ca="1" si="11"/>
        <v>0 WEEK</v>
      </c>
      <c r="Y39" s="502">
        <f t="shared" ref="Y39:Y41" si="21">P39+T39</f>
        <v>0</v>
      </c>
      <c r="Z39" s="476" cm="1">
        <f t="array" aca="1" ref="Z39" ca="1">_xlfn.IFS(AD39&lt;100,Y39,Y39&lt;TODAY(),TODAY(),Y39&gt;TODAY(),Y39,Y39=TODAY(),Y39)</f>
        <v>0</v>
      </c>
      <c r="AA39" s="503"/>
      <c r="AB39" s="504"/>
      <c r="AC39" s="504"/>
      <c r="AD39" s="298">
        <f t="shared" si="2"/>
        <v>0</v>
      </c>
      <c r="AE39" s="299" t="str">
        <f t="shared" si="3"/>
        <v>Complete</v>
      </c>
      <c r="AF39" s="390"/>
      <c r="AG39" s="389"/>
      <c r="AH39" s="391"/>
      <c r="AI39" s="301">
        <f t="shared" ca="1" si="0"/>
        <v>0</v>
      </c>
      <c r="AJ39" s="302">
        <f t="shared" ca="1" si="1"/>
        <v>0</v>
      </c>
      <c r="AL39" s="303">
        <f t="shared" si="4"/>
        <v>0</v>
      </c>
      <c r="AM39" s="303">
        <f t="shared" si="5"/>
        <v>0</v>
      </c>
      <c r="AN39" s="303">
        <f t="shared" si="6"/>
        <v>0</v>
      </c>
      <c r="AO39" s="304">
        <f t="shared" si="7"/>
        <v>0</v>
      </c>
      <c r="AP39" s="273">
        <f t="shared" si="15"/>
        <v>1</v>
      </c>
      <c r="AQ39" s="273" t="str">
        <f t="shared" ca="1" si="8"/>
        <v>11900</v>
      </c>
    </row>
    <row r="40" spans="1:43" ht="18">
      <c r="A40" s="392">
        <v>4</v>
      </c>
      <c r="B40" s="505" t="s">
        <v>1644</v>
      </c>
      <c r="C40" s="332" t="s">
        <v>1645</v>
      </c>
      <c r="D40" s="340" t="s">
        <v>610</v>
      </c>
      <c r="E40" s="506">
        <v>45579</v>
      </c>
      <c r="F40" s="507">
        <v>71</v>
      </c>
      <c r="G40" s="491"/>
      <c r="H40" s="389"/>
      <c r="I40" s="492"/>
      <c r="J40" s="492"/>
      <c r="K40" s="493"/>
      <c r="L40" s="387"/>
      <c r="M40" s="388"/>
      <c r="N40" s="495"/>
      <c r="O40" s="495"/>
      <c r="P40" s="501">
        <v>0</v>
      </c>
      <c r="Q40" s="497"/>
      <c r="R40" s="508" t="e">
        <v>#VALUE!</v>
      </c>
      <c r="S40" s="434"/>
      <c r="T40" s="509"/>
      <c r="U40" s="341">
        <v>45714</v>
      </c>
      <c r="V40" s="378">
        <f t="shared" ca="1" si="14"/>
        <v>1</v>
      </c>
      <c r="W40" s="292">
        <f t="shared" ca="1" si="10"/>
        <v>1900</v>
      </c>
      <c r="X40" s="291" t="str">
        <f t="shared" ca="1" si="11"/>
        <v>0 WEEK</v>
      </c>
      <c r="Y40" s="510">
        <f t="shared" si="21"/>
        <v>0</v>
      </c>
      <c r="Z40" s="511" cm="1">
        <f t="array" aca="1" ref="Z40" ca="1">_xlfn.IFS(AD40&lt;100,Y40,Y40&lt;TODAY(),TODAY(),Y40&gt;TODAY(),Y40,Y40=TODAY(),Y40)</f>
        <v>0</v>
      </c>
      <c r="AA40" s="503"/>
      <c r="AB40" s="512"/>
      <c r="AC40" s="504"/>
      <c r="AD40" s="298">
        <f t="shared" si="2"/>
        <v>0</v>
      </c>
      <c r="AE40" s="299" t="str">
        <f t="shared" si="3"/>
        <v>Complete</v>
      </c>
      <c r="AF40" s="390"/>
      <c r="AG40" s="389"/>
      <c r="AH40" s="391"/>
      <c r="AI40" s="301">
        <f t="shared" ca="1" si="0"/>
        <v>0</v>
      </c>
      <c r="AJ40" s="302">
        <f t="shared" ca="1" si="1"/>
        <v>0</v>
      </c>
      <c r="AL40" s="303">
        <f t="shared" si="4"/>
        <v>0</v>
      </c>
      <c r="AM40" s="303">
        <f t="shared" si="5"/>
        <v>0</v>
      </c>
      <c r="AN40" s="303">
        <f t="shared" si="6"/>
        <v>0</v>
      </c>
      <c r="AO40" s="304">
        <f t="shared" si="7"/>
        <v>0</v>
      </c>
      <c r="AP40" s="273">
        <f t="shared" si="15"/>
        <v>1</v>
      </c>
      <c r="AQ40" s="273" t="str">
        <f t="shared" ca="1" si="8"/>
        <v>11900</v>
      </c>
    </row>
    <row r="41" spans="1:43" s="520" customFormat="1" ht="16.5">
      <c r="A41" s="392">
        <v>4</v>
      </c>
      <c r="B41" s="322" t="s">
        <v>1644</v>
      </c>
      <c r="C41" s="332" t="s">
        <v>1645</v>
      </c>
      <c r="D41" s="340" t="s">
        <v>610</v>
      </c>
      <c r="E41" s="506">
        <v>45579</v>
      </c>
      <c r="F41" s="507">
        <v>71</v>
      </c>
      <c r="G41" s="335">
        <v>581900000</v>
      </c>
      <c r="H41" s="301">
        <f>G41*12%</f>
        <v>69828000</v>
      </c>
      <c r="I41" s="513">
        <f>G41+H41</f>
        <v>651728000</v>
      </c>
      <c r="J41" s="513"/>
      <c r="K41" s="514" t="s">
        <v>1646</v>
      </c>
      <c r="L41" s="392" t="s">
        <v>1595</v>
      </c>
      <c r="M41" s="324">
        <v>0.4</v>
      </c>
      <c r="N41" s="515" t="s">
        <v>1593</v>
      </c>
      <c r="O41" s="515" t="s">
        <v>1647</v>
      </c>
      <c r="P41" s="516">
        <v>45653</v>
      </c>
      <c r="Q41" s="517" t="s">
        <v>1648</v>
      </c>
      <c r="R41" s="417">
        <v>182483840</v>
      </c>
      <c r="S41" s="315"/>
      <c r="T41" s="315"/>
      <c r="U41" s="341">
        <v>45714</v>
      </c>
      <c r="V41" s="378">
        <f t="shared" ca="1" si="14"/>
        <v>12</v>
      </c>
      <c r="W41" s="292">
        <f t="shared" ca="1" si="10"/>
        <v>2024</v>
      </c>
      <c r="X41" s="291" t="str">
        <f t="shared" ca="1" si="11"/>
        <v>4 WEEK</v>
      </c>
      <c r="Y41" s="498">
        <f t="shared" si="21"/>
        <v>45653</v>
      </c>
      <c r="Z41" s="341" cm="1">
        <f t="array" aca="1" ref="Z41" ca="1">_xlfn.IFS(AD41&lt;100,Y41,Y41&lt;TODAY(),TODAY(),Y41&gt;TODAY(),Y41,Y41=TODAY(),Y41)</f>
        <v>45653</v>
      </c>
      <c r="AA41" s="315">
        <f>SUM(I41:I82)*M41</f>
        <v>963203200</v>
      </c>
      <c r="AB41" s="518">
        <v>962239997</v>
      </c>
      <c r="AC41" s="519">
        <f>AA41*0.1%</f>
        <v>963203.20000000007</v>
      </c>
      <c r="AD41" s="298">
        <f t="shared" si="2"/>
        <v>0</v>
      </c>
      <c r="AE41" s="299" t="str">
        <f t="shared" si="3"/>
        <v>Complete</v>
      </c>
      <c r="AF41" s="340"/>
      <c r="AG41" s="301"/>
      <c r="AH41" s="301"/>
      <c r="AI41" s="301">
        <f t="shared" ca="1" si="0"/>
        <v>0</v>
      </c>
      <c r="AJ41" s="302">
        <f t="shared" ca="1" si="1"/>
        <v>0</v>
      </c>
      <c r="AK41" s="246" t="s">
        <v>1649</v>
      </c>
      <c r="AL41" s="303">
        <f t="shared" si="4"/>
        <v>651728000</v>
      </c>
      <c r="AM41" s="303">
        <f t="shared" si="5"/>
        <v>469244160</v>
      </c>
      <c r="AN41" s="303">
        <f t="shared" si="6"/>
        <v>182483840</v>
      </c>
      <c r="AO41" s="304">
        <f t="shared" si="7"/>
        <v>0</v>
      </c>
      <c r="AP41" s="273">
        <f t="shared" si="15"/>
        <v>12</v>
      </c>
      <c r="AQ41" s="273" t="str">
        <f t="shared" ca="1" si="8"/>
        <v>122024</v>
      </c>
    </row>
    <row r="42" spans="1:43" ht="16.5">
      <c r="A42" s="392">
        <v>4</v>
      </c>
      <c r="B42" s="305" t="s">
        <v>1644</v>
      </c>
      <c r="C42" s="276" t="s">
        <v>1645</v>
      </c>
      <c r="D42" s="291" t="s">
        <v>610</v>
      </c>
      <c r="E42" s="521">
        <v>45579</v>
      </c>
      <c r="F42" s="522">
        <v>71</v>
      </c>
      <c r="G42" s="319">
        <v>581900000</v>
      </c>
      <c r="H42" s="299">
        <f>G42*12%</f>
        <v>69828000</v>
      </c>
      <c r="I42" s="523">
        <f>G42+H42</f>
        <v>651728000</v>
      </c>
      <c r="J42" s="523"/>
      <c r="K42" s="524" t="s">
        <v>1646</v>
      </c>
      <c r="L42" s="525" t="s">
        <v>1595</v>
      </c>
      <c r="M42" s="309">
        <v>0.4</v>
      </c>
      <c r="N42" s="526" t="s">
        <v>1593</v>
      </c>
      <c r="O42" s="526" t="s">
        <v>1647</v>
      </c>
      <c r="P42" s="527">
        <v>45680</v>
      </c>
      <c r="Q42" s="528" t="s">
        <v>1650</v>
      </c>
      <c r="R42" s="529">
        <v>182483840</v>
      </c>
      <c r="S42" s="530"/>
      <c r="T42" s="530"/>
      <c r="U42" s="294">
        <v>45714</v>
      </c>
      <c r="V42" s="291">
        <f t="shared" ca="1" si="14"/>
        <v>2</v>
      </c>
      <c r="W42" s="292">
        <f t="shared" ca="1" si="10"/>
        <v>2025</v>
      </c>
      <c r="X42" s="291" t="str">
        <f t="shared" ca="1" si="11"/>
        <v>1 WEEK</v>
      </c>
      <c r="Y42" s="531">
        <v>45689</v>
      </c>
      <c r="Z42" s="532" cm="1">
        <f t="array" aca="1" ref="Z42" ca="1">_xlfn.IFS(AD42&lt;100,Y42,Y42&lt;TODAY(),TODAY(),Y42&gt;TODAY(),Y42,Y42=TODAY(),Y42)</f>
        <v>45689</v>
      </c>
      <c r="AA42" s="530"/>
      <c r="AB42" s="533"/>
      <c r="AC42" s="534"/>
      <c r="AD42" s="298">
        <f t="shared" si="2"/>
        <v>0</v>
      </c>
      <c r="AE42" s="299" t="str">
        <f t="shared" si="3"/>
        <v>Complete</v>
      </c>
      <c r="AF42" s="291"/>
      <c r="AG42" s="299"/>
      <c r="AH42" s="318"/>
      <c r="AI42" s="301">
        <f t="shared" ca="1" si="0"/>
        <v>0</v>
      </c>
      <c r="AJ42" s="302">
        <f t="shared" ca="1" si="1"/>
        <v>0</v>
      </c>
      <c r="AL42" s="303">
        <f t="shared" si="4"/>
        <v>651728000</v>
      </c>
      <c r="AM42" s="303">
        <f t="shared" si="5"/>
        <v>469244160</v>
      </c>
      <c r="AN42" s="303">
        <f t="shared" si="6"/>
        <v>182483840</v>
      </c>
      <c r="AO42" s="304">
        <f t="shared" si="7"/>
        <v>0</v>
      </c>
      <c r="AP42" s="273">
        <f t="shared" si="15"/>
        <v>1</v>
      </c>
      <c r="AQ42" s="273" t="str">
        <f t="shared" ca="1" si="8"/>
        <v>12025</v>
      </c>
    </row>
    <row r="43" spans="1:43" ht="16.5">
      <c r="A43" s="392">
        <v>4</v>
      </c>
      <c r="B43" s="322" t="s">
        <v>1644</v>
      </c>
      <c r="C43" s="332" t="s">
        <v>1645</v>
      </c>
      <c r="D43" s="340" t="s">
        <v>610</v>
      </c>
      <c r="E43" s="506">
        <v>45579</v>
      </c>
      <c r="F43" s="507">
        <v>71</v>
      </c>
      <c r="G43" s="335"/>
      <c r="H43" s="301"/>
      <c r="I43" s="535"/>
      <c r="J43" s="535"/>
      <c r="K43" s="514" t="s">
        <v>1646</v>
      </c>
      <c r="L43" s="392" t="s">
        <v>1595</v>
      </c>
      <c r="M43" s="324">
        <v>0.4</v>
      </c>
      <c r="N43" s="526" t="s">
        <v>1593</v>
      </c>
      <c r="O43" s="515" t="s">
        <v>1647</v>
      </c>
      <c r="P43" s="516">
        <v>45726</v>
      </c>
      <c r="Q43" s="517" t="s">
        <v>1651</v>
      </c>
      <c r="R43" s="417">
        <v>182483840</v>
      </c>
      <c r="S43" s="315"/>
      <c r="T43" s="315"/>
      <c r="U43" s="341">
        <v>45714</v>
      </c>
      <c r="V43" s="340">
        <f t="shared" ca="1" si="14"/>
        <v>2</v>
      </c>
      <c r="W43" s="292">
        <f t="shared" ca="1" si="10"/>
        <v>2025</v>
      </c>
      <c r="X43" s="291" t="str">
        <f t="shared" ca="1" si="11"/>
        <v>3 WEEK</v>
      </c>
      <c r="Y43" s="484">
        <v>45709</v>
      </c>
      <c r="Z43" s="476" cm="1">
        <f t="array" aca="1" ref="Z43" ca="1">_xlfn.IFS(AD43&lt;100,Y43,Y43&lt;TODAY(),TODAY(),Y43&gt;TODAY(),Y43,Y43=TODAY(),Y43)</f>
        <v>45709</v>
      </c>
      <c r="AA43" s="315"/>
      <c r="AB43" s="518"/>
      <c r="AC43" s="519"/>
      <c r="AD43" s="298">
        <f t="shared" si="2"/>
        <v>0</v>
      </c>
      <c r="AE43" s="299" t="str">
        <f t="shared" si="3"/>
        <v>Complete</v>
      </c>
      <c r="AF43" s="340"/>
      <c r="AG43" s="301"/>
      <c r="AH43" s="343"/>
      <c r="AI43" s="301">
        <f t="shared" ca="1" si="0"/>
        <v>0</v>
      </c>
      <c r="AJ43" s="302">
        <f t="shared" ca="1" si="1"/>
        <v>0</v>
      </c>
      <c r="AL43" s="303">
        <f t="shared" si="4"/>
        <v>0</v>
      </c>
      <c r="AM43" s="303">
        <f t="shared" si="5"/>
        <v>-182483840</v>
      </c>
      <c r="AN43" s="303">
        <f t="shared" si="6"/>
        <v>182483840</v>
      </c>
      <c r="AO43" s="304">
        <f t="shared" si="7"/>
        <v>0</v>
      </c>
      <c r="AP43" s="273">
        <f t="shared" si="15"/>
        <v>3</v>
      </c>
      <c r="AQ43" s="273" t="str">
        <f t="shared" ca="1" si="8"/>
        <v>32025</v>
      </c>
    </row>
    <row r="44" spans="1:43" ht="16.5">
      <c r="A44" s="392">
        <v>4</v>
      </c>
      <c r="B44" s="322" t="s">
        <v>1644</v>
      </c>
      <c r="C44" s="332" t="s">
        <v>1645</v>
      </c>
      <c r="D44" s="340" t="s">
        <v>610</v>
      </c>
      <c r="E44" s="506">
        <v>45579</v>
      </c>
      <c r="F44" s="507">
        <v>71</v>
      </c>
      <c r="G44" s="335"/>
      <c r="H44" s="301"/>
      <c r="I44" s="535"/>
      <c r="J44" s="535"/>
      <c r="K44" s="514" t="s">
        <v>1646</v>
      </c>
      <c r="L44" s="392" t="s">
        <v>1595</v>
      </c>
      <c r="M44" s="324">
        <v>0.4</v>
      </c>
      <c r="N44" s="526" t="s">
        <v>1593</v>
      </c>
      <c r="O44" s="515" t="s">
        <v>1647</v>
      </c>
      <c r="P44" s="516">
        <v>45737</v>
      </c>
      <c r="Q44" s="517" t="s">
        <v>1652</v>
      </c>
      <c r="R44" s="417">
        <v>182483840</v>
      </c>
      <c r="S44" s="315"/>
      <c r="T44" s="315"/>
      <c r="U44" s="341">
        <v>45714</v>
      </c>
      <c r="V44" s="340">
        <f t="shared" ca="1" si="14"/>
        <v>2</v>
      </c>
      <c r="W44" s="292">
        <f t="shared" ca="1" si="10"/>
        <v>2025</v>
      </c>
      <c r="X44" s="291" t="str">
        <f t="shared" ca="1" si="11"/>
        <v>4 WEEK</v>
      </c>
      <c r="Y44" s="484">
        <v>45712</v>
      </c>
      <c r="Z44" s="476" cm="1">
        <f t="array" aca="1" ref="Z44" ca="1">_xlfn.IFS(AD44&lt;100,Y44,Y44&lt;TODAY(),TODAY(),Y44&gt;TODAY(),Y44,Y44=TODAY(),Y44)</f>
        <v>45712</v>
      </c>
      <c r="AA44" s="315"/>
      <c r="AB44" s="518"/>
      <c r="AC44" s="519"/>
      <c r="AD44" s="298">
        <f t="shared" si="2"/>
        <v>0</v>
      </c>
      <c r="AE44" s="299" t="str">
        <f t="shared" si="3"/>
        <v>Complete</v>
      </c>
      <c r="AF44" s="340"/>
      <c r="AG44" s="301"/>
      <c r="AH44" s="343"/>
      <c r="AI44" s="301">
        <f t="shared" ca="1" si="0"/>
        <v>0</v>
      </c>
      <c r="AJ44" s="302">
        <f t="shared" ca="1" si="1"/>
        <v>0</v>
      </c>
      <c r="AL44" s="303">
        <f t="shared" si="4"/>
        <v>0</v>
      </c>
      <c r="AM44" s="303">
        <f t="shared" si="5"/>
        <v>-182483840</v>
      </c>
      <c r="AN44" s="303">
        <f t="shared" si="6"/>
        <v>182483840</v>
      </c>
      <c r="AO44" s="304">
        <f t="shared" si="7"/>
        <v>0</v>
      </c>
      <c r="AP44" s="273">
        <f t="shared" si="15"/>
        <v>3</v>
      </c>
      <c r="AQ44" s="273" t="str">
        <f t="shared" ca="1" si="8"/>
        <v>32025</v>
      </c>
    </row>
    <row r="45" spans="1:43" ht="16.5">
      <c r="A45" s="392">
        <v>4</v>
      </c>
      <c r="B45" s="322" t="s">
        <v>1644</v>
      </c>
      <c r="C45" s="332" t="s">
        <v>1645</v>
      </c>
      <c r="D45" s="340" t="s">
        <v>610</v>
      </c>
      <c r="E45" s="506">
        <v>45579</v>
      </c>
      <c r="F45" s="507">
        <v>71</v>
      </c>
      <c r="G45" s="335"/>
      <c r="H45" s="301"/>
      <c r="I45" s="535"/>
      <c r="J45" s="535"/>
      <c r="K45" s="514" t="s">
        <v>1646</v>
      </c>
      <c r="L45" s="392" t="s">
        <v>1595</v>
      </c>
      <c r="M45" s="324">
        <v>0.4</v>
      </c>
      <c r="N45" s="526" t="s">
        <v>1593</v>
      </c>
      <c r="O45" s="515" t="s">
        <v>1647</v>
      </c>
      <c r="P45" s="516">
        <v>45737</v>
      </c>
      <c r="Q45" s="517" t="s">
        <v>1653</v>
      </c>
      <c r="R45" s="417">
        <v>182483840</v>
      </c>
      <c r="S45" s="315"/>
      <c r="T45" s="315"/>
      <c r="U45" s="341">
        <v>45714</v>
      </c>
      <c r="V45" s="340">
        <f t="shared" ca="1" si="14"/>
        <v>3</v>
      </c>
      <c r="W45" s="292">
        <f t="shared" ca="1" si="10"/>
        <v>2025</v>
      </c>
      <c r="X45" s="291" t="str">
        <f t="shared" ca="1" si="11"/>
        <v>3 WEEK</v>
      </c>
      <c r="Y45" s="329">
        <f t="shared" ref="Y45:Y47" si="22">P45+T45</f>
        <v>45737</v>
      </c>
      <c r="Z45" s="341" cm="1">
        <f t="array" aca="1" ref="Z45" ca="1">_xlfn.IFS(AD45&lt;100,Y45,Y45&lt;TODAY(),TODAY(),Y45&gt;TODAY(),Y45,Y45=TODAY(),Y45)</f>
        <v>45737</v>
      </c>
      <c r="AA45" s="315"/>
      <c r="AB45" s="301"/>
      <c r="AC45" s="301"/>
      <c r="AD45" s="298">
        <f t="shared" si="2"/>
        <v>0</v>
      </c>
      <c r="AE45" s="299" t="str">
        <f t="shared" si="3"/>
        <v>Complete</v>
      </c>
      <c r="AF45" s="340"/>
      <c r="AG45" s="301"/>
      <c r="AH45" s="343"/>
      <c r="AI45" s="301">
        <f t="shared" ca="1" si="0"/>
        <v>0</v>
      </c>
      <c r="AJ45" s="302">
        <f t="shared" ca="1" si="1"/>
        <v>0</v>
      </c>
      <c r="AL45" s="303">
        <f t="shared" si="4"/>
        <v>0</v>
      </c>
      <c r="AM45" s="303">
        <f t="shared" si="5"/>
        <v>-182483840</v>
      </c>
      <c r="AN45" s="303">
        <f t="shared" si="6"/>
        <v>182483840</v>
      </c>
      <c r="AO45" s="304">
        <f t="shared" si="7"/>
        <v>0</v>
      </c>
      <c r="AP45" s="273">
        <f t="shared" si="15"/>
        <v>3</v>
      </c>
      <c r="AQ45" s="273" t="str">
        <f t="shared" ca="1" si="8"/>
        <v>32025</v>
      </c>
    </row>
    <row r="46" spans="1:43" ht="16.5">
      <c r="A46" s="392">
        <v>4</v>
      </c>
      <c r="B46" s="322" t="s">
        <v>1644</v>
      </c>
      <c r="C46" s="332" t="s">
        <v>1645</v>
      </c>
      <c r="D46" s="340" t="s">
        <v>610</v>
      </c>
      <c r="E46" s="506">
        <v>45579</v>
      </c>
      <c r="F46" s="507">
        <v>71</v>
      </c>
      <c r="G46" s="335"/>
      <c r="H46" s="301"/>
      <c r="I46" s="535"/>
      <c r="J46" s="535"/>
      <c r="K46" s="514" t="s">
        <v>1646</v>
      </c>
      <c r="L46" s="392" t="s">
        <v>1595</v>
      </c>
      <c r="M46" s="324">
        <v>0.4</v>
      </c>
      <c r="N46" s="526" t="s">
        <v>1593</v>
      </c>
      <c r="O46" s="515" t="s">
        <v>1647</v>
      </c>
      <c r="P46" s="516">
        <v>45744</v>
      </c>
      <c r="Q46" s="517" t="s">
        <v>1654</v>
      </c>
      <c r="R46" s="417">
        <v>208552960</v>
      </c>
      <c r="S46" s="315"/>
      <c r="T46" s="315"/>
      <c r="U46" s="341">
        <v>45714</v>
      </c>
      <c r="V46" s="340">
        <f t="shared" ca="1" si="14"/>
        <v>3</v>
      </c>
      <c r="W46" s="292">
        <f t="shared" ca="1" si="10"/>
        <v>2025</v>
      </c>
      <c r="X46" s="291" t="str">
        <f t="shared" ca="1" si="11"/>
        <v>4 WEEK</v>
      </c>
      <c r="Y46" s="329">
        <f t="shared" si="22"/>
        <v>45744</v>
      </c>
      <c r="Z46" s="341" cm="1">
        <f t="array" aca="1" ref="Z46" ca="1">_xlfn.IFS(AD46&lt;100,Y46,Y46&lt;TODAY(),TODAY(),Y46&gt;TODAY(),Y46,Y46=TODAY(),Y46)</f>
        <v>45744</v>
      </c>
      <c r="AA46" s="315"/>
      <c r="AB46" s="301"/>
      <c r="AC46" s="301"/>
      <c r="AD46" s="298">
        <f t="shared" si="2"/>
        <v>0</v>
      </c>
      <c r="AE46" s="299" t="str">
        <f t="shared" si="3"/>
        <v>Complete</v>
      </c>
      <c r="AF46" s="340"/>
      <c r="AG46" s="301"/>
      <c r="AH46" s="343"/>
      <c r="AI46" s="301">
        <f t="shared" ca="1" si="0"/>
        <v>0</v>
      </c>
      <c r="AJ46" s="302">
        <f t="shared" ca="1" si="1"/>
        <v>0</v>
      </c>
      <c r="AL46" s="303">
        <f t="shared" si="4"/>
        <v>0</v>
      </c>
      <c r="AM46" s="303">
        <f t="shared" si="5"/>
        <v>-208552960</v>
      </c>
      <c r="AN46" s="303">
        <f t="shared" si="6"/>
        <v>208552960</v>
      </c>
      <c r="AO46" s="304">
        <f t="shared" si="7"/>
        <v>0</v>
      </c>
      <c r="AP46" s="273">
        <f t="shared" si="15"/>
        <v>3</v>
      </c>
      <c r="AQ46" s="273" t="str">
        <f t="shared" ca="1" si="8"/>
        <v>32025</v>
      </c>
    </row>
    <row r="47" spans="1:43" ht="16.5">
      <c r="A47" s="392">
        <v>4</v>
      </c>
      <c r="B47" s="322" t="s">
        <v>1644</v>
      </c>
      <c r="C47" s="332" t="s">
        <v>1645</v>
      </c>
      <c r="D47" s="340" t="s">
        <v>610</v>
      </c>
      <c r="E47" s="506">
        <v>45579</v>
      </c>
      <c r="F47" s="507">
        <v>71</v>
      </c>
      <c r="G47" s="335"/>
      <c r="H47" s="301"/>
      <c r="I47" s="535"/>
      <c r="J47" s="535"/>
      <c r="K47" s="392" t="s">
        <v>1646</v>
      </c>
      <c r="L47" s="392" t="s">
        <v>1595</v>
      </c>
      <c r="M47" s="324">
        <v>0.4</v>
      </c>
      <c r="N47" s="526" t="s">
        <v>1593</v>
      </c>
      <c r="O47" s="515" t="s">
        <v>1647</v>
      </c>
      <c r="P47" s="516">
        <v>45720</v>
      </c>
      <c r="Q47" s="517" t="s">
        <v>1655</v>
      </c>
      <c r="R47" s="417">
        <v>182483840</v>
      </c>
      <c r="S47" s="315"/>
      <c r="T47" s="315"/>
      <c r="U47" s="341">
        <v>45714</v>
      </c>
      <c r="V47" s="340">
        <f t="shared" ca="1" si="14"/>
        <v>3</v>
      </c>
      <c r="W47" s="292">
        <f t="shared" ca="1" si="10"/>
        <v>2025</v>
      </c>
      <c r="X47" s="291" t="str">
        <f t="shared" ca="1" si="11"/>
        <v>1 WEEK</v>
      </c>
      <c r="Y47" s="329">
        <f t="shared" si="22"/>
        <v>45720</v>
      </c>
      <c r="Z47" s="341" cm="1">
        <f t="array" aca="1" ref="Z47" ca="1">_xlfn.IFS(AD47&lt;100,Y47,Y47&lt;TODAY(),TODAY(),Y47&gt;TODAY(),Y47,Y47=TODAY(),Y47)</f>
        <v>45720</v>
      </c>
      <c r="AA47" s="315"/>
      <c r="AB47" s="301"/>
      <c r="AC47" s="301"/>
      <c r="AD47" s="298">
        <f t="shared" si="2"/>
        <v>0</v>
      </c>
      <c r="AE47" s="299" t="str">
        <f t="shared" si="3"/>
        <v>Complete</v>
      </c>
      <c r="AF47" s="340"/>
      <c r="AG47" s="301"/>
      <c r="AH47" s="343"/>
      <c r="AI47" s="301">
        <f t="shared" ca="1" si="0"/>
        <v>0</v>
      </c>
      <c r="AJ47" s="302">
        <f t="shared" ca="1" si="1"/>
        <v>0</v>
      </c>
      <c r="AL47" s="303">
        <f t="shared" si="4"/>
        <v>0</v>
      </c>
      <c r="AM47" s="303">
        <f t="shared" si="5"/>
        <v>-182483840</v>
      </c>
      <c r="AN47" s="303">
        <f t="shared" si="6"/>
        <v>182483840</v>
      </c>
      <c r="AO47" s="304">
        <f t="shared" si="7"/>
        <v>0</v>
      </c>
      <c r="AP47" s="273">
        <f t="shared" si="15"/>
        <v>3</v>
      </c>
      <c r="AQ47" s="273" t="str">
        <f t="shared" ca="1" si="8"/>
        <v>32025</v>
      </c>
    </row>
    <row r="48" spans="1:43" ht="16.5">
      <c r="A48" s="392">
        <v>4</v>
      </c>
      <c r="B48" s="322" t="s">
        <v>1644</v>
      </c>
      <c r="C48" s="332" t="s">
        <v>1645</v>
      </c>
      <c r="D48" s="340" t="s">
        <v>610</v>
      </c>
      <c r="E48" s="506">
        <v>45579</v>
      </c>
      <c r="F48" s="507">
        <v>71</v>
      </c>
      <c r="G48" s="519">
        <v>2539200</v>
      </c>
      <c r="H48" s="301">
        <v>457056</v>
      </c>
      <c r="I48" s="536">
        <v>2996256</v>
      </c>
      <c r="J48" s="536"/>
      <c r="K48" s="537" t="s">
        <v>1646</v>
      </c>
      <c r="L48" s="392" t="s">
        <v>1595</v>
      </c>
      <c r="M48" s="324">
        <v>0.4</v>
      </c>
      <c r="N48" s="526" t="s">
        <v>1593</v>
      </c>
      <c r="O48" s="538" t="s">
        <v>1656</v>
      </c>
      <c r="P48" s="539">
        <v>0</v>
      </c>
      <c r="Q48" s="540"/>
      <c r="R48" s="417"/>
      <c r="S48" s="315"/>
      <c r="T48" s="315"/>
      <c r="U48" s="341">
        <v>45714</v>
      </c>
      <c r="V48" s="340">
        <f t="shared" ca="1" si="14"/>
        <v>1</v>
      </c>
      <c r="W48" s="292">
        <f t="shared" ca="1" si="10"/>
        <v>1900</v>
      </c>
      <c r="X48" s="291" t="str">
        <f t="shared" ca="1" si="11"/>
        <v>0 WEEK</v>
      </c>
      <c r="Y48" s="436">
        <f>P48+T48</f>
        <v>0</v>
      </c>
      <c r="Z48" s="541" cm="1">
        <f t="array" aca="1" ref="Z48" ca="1">_xlfn.IFS(AD48&lt;100,Y48,Y48&lt;TODAY(),TODAY(),Y48&gt;TODAY(),Y48,Y48=TODAY(),Y48)</f>
        <v>0</v>
      </c>
      <c r="AA48" s="315"/>
      <c r="AB48" s="301"/>
      <c r="AC48" s="301"/>
      <c r="AD48" s="298">
        <f t="shared" si="2"/>
        <v>0</v>
      </c>
      <c r="AE48" s="299" t="str">
        <f t="shared" si="3"/>
        <v>Complete</v>
      </c>
      <c r="AF48" s="340"/>
      <c r="AG48" s="301"/>
      <c r="AH48" s="343"/>
      <c r="AI48" s="301">
        <f t="shared" ca="1" si="0"/>
        <v>0</v>
      </c>
      <c r="AJ48" s="302">
        <f t="shared" ca="1" si="1"/>
        <v>0</v>
      </c>
      <c r="AL48" s="303">
        <f t="shared" si="4"/>
        <v>2996256</v>
      </c>
      <c r="AM48" s="303">
        <f t="shared" si="5"/>
        <v>2996256</v>
      </c>
      <c r="AN48" s="303">
        <f t="shared" si="6"/>
        <v>0</v>
      </c>
      <c r="AO48" s="304">
        <f t="shared" si="7"/>
        <v>0</v>
      </c>
      <c r="AP48" s="273">
        <f t="shared" si="15"/>
        <v>1</v>
      </c>
      <c r="AQ48" s="273" t="str">
        <f t="shared" ca="1" si="8"/>
        <v>11900</v>
      </c>
    </row>
    <row r="49" spans="1:43" s="545" customFormat="1" ht="16.5">
      <c r="A49" s="392">
        <v>4</v>
      </c>
      <c r="B49" s="322" t="s">
        <v>1644</v>
      </c>
      <c r="C49" s="332" t="s">
        <v>1645</v>
      </c>
      <c r="D49" s="340" t="s">
        <v>610</v>
      </c>
      <c r="E49" s="506">
        <v>45579</v>
      </c>
      <c r="F49" s="507">
        <v>71</v>
      </c>
      <c r="G49" s="542">
        <v>317400000</v>
      </c>
      <c r="H49" s="542">
        <f>G49*12%</f>
        <v>38088000</v>
      </c>
      <c r="I49" s="543">
        <f>G49+H49</f>
        <v>355488000</v>
      </c>
      <c r="J49" s="543"/>
      <c r="K49" s="392" t="s">
        <v>1657</v>
      </c>
      <c r="L49" s="392" t="s">
        <v>1595</v>
      </c>
      <c r="M49" s="324">
        <v>0.08</v>
      </c>
      <c r="N49" s="526" t="s">
        <v>1593</v>
      </c>
      <c r="O49" s="544" t="s">
        <v>1658</v>
      </c>
      <c r="P49" s="516">
        <v>45698</v>
      </c>
      <c r="Q49" s="517" t="s">
        <v>1659</v>
      </c>
      <c r="R49" s="417">
        <v>355488000</v>
      </c>
      <c r="S49" s="315"/>
      <c r="T49" s="315"/>
      <c r="U49" s="341">
        <v>45714</v>
      </c>
      <c r="V49" s="340">
        <f t="shared" ca="1" si="14"/>
        <v>2</v>
      </c>
      <c r="W49" s="292">
        <f t="shared" ca="1" si="10"/>
        <v>2025</v>
      </c>
      <c r="X49" s="291" t="str">
        <f t="shared" ca="1" si="11"/>
        <v>4 WEEK</v>
      </c>
      <c r="Y49" s="484">
        <v>45712</v>
      </c>
      <c r="Z49" s="341" cm="1">
        <f t="array" aca="1" ref="Z49" ca="1">_xlfn.IFS(AD49&lt;100,Y49,Y49&lt;TODAY(),TODAY(),Y49&gt;TODAY(),Y49,Y49=TODAY(),Y49)</f>
        <v>45712</v>
      </c>
      <c r="AA49" s="315">
        <f>SUM(I41:I82)*M49</f>
        <v>192640640</v>
      </c>
      <c r="AB49" s="301">
        <v>192447999</v>
      </c>
      <c r="AC49" s="301">
        <f>AA49*0.1%</f>
        <v>192640.64000000001</v>
      </c>
      <c r="AD49" s="298">
        <f t="shared" si="2"/>
        <v>0</v>
      </c>
      <c r="AE49" s="299" t="str">
        <f t="shared" si="3"/>
        <v>Complete</v>
      </c>
      <c r="AF49" s="340"/>
      <c r="AG49" s="301"/>
      <c r="AH49" s="343"/>
      <c r="AI49" s="301">
        <f t="shared" ca="1" si="0"/>
        <v>0</v>
      </c>
      <c r="AJ49" s="302">
        <f t="shared" ca="1" si="1"/>
        <v>0</v>
      </c>
      <c r="AL49" s="303">
        <f t="shared" si="4"/>
        <v>355488000</v>
      </c>
      <c r="AM49" s="303">
        <f t="shared" si="5"/>
        <v>0</v>
      </c>
      <c r="AN49" s="303">
        <f t="shared" si="6"/>
        <v>355488000</v>
      </c>
      <c r="AO49" s="304">
        <f t="shared" si="7"/>
        <v>0</v>
      </c>
      <c r="AP49" s="273">
        <f t="shared" si="15"/>
        <v>2</v>
      </c>
      <c r="AQ49" s="273" t="str">
        <f t="shared" ca="1" si="8"/>
        <v>22025</v>
      </c>
    </row>
    <row r="50" spans="1:43" ht="16.5">
      <c r="A50" s="392">
        <v>4</v>
      </c>
      <c r="B50" s="322" t="s">
        <v>1644</v>
      </c>
      <c r="C50" s="332" t="s">
        <v>1645</v>
      </c>
      <c r="D50" s="340" t="s">
        <v>610</v>
      </c>
      <c r="E50" s="506">
        <v>45579</v>
      </c>
      <c r="F50" s="507">
        <v>71</v>
      </c>
      <c r="G50" s="519">
        <v>6348000</v>
      </c>
      <c r="H50" s="301">
        <v>1142640</v>
      </c>
      <c r="I50" s="536">
        <v>7490640</v>
      </c>
      <c r="J50" s="536"/>
      <c r="K50" s="392" t="s">
        <v>1657</v>
      </c>
      <c r="L50" s="392" t="s">
        <v>1595</v>
      </c>
      <c r="M50" s="324">
        <v>0.08</v>
      </c>
      <c r="N50" s="526" t="s">
        <v>1593</v>
      </c>
      <c r="O50" s="546" t="s">
        <v>1660</v>
      </c>
      <c r="P50" s="516">
        <v>45720</v>
      </c>
      <c r="Q50" s="517" t="s">
        <v>1661</v>
      </c>
      <c r="R50" s="417">
        <v>7490640</v>
      </c>
      <c r="S50" s="315"/>
      <c r="T50" s="315"/>
      <c r="U50" s="341">
        <v>45714</v>
      </c>
      <c r="V50" s="340">
        <f t="shared" ca="1" si="14"/>
        <v>3</v>
      </c>
      <c r="W50" s="292">
        <f t="shared" ca="1" si="10"/>
        <v>2025</v>
      </c>
      <c r="X50" s="291" t="str">
        <f t="shared" ca="1" si="11"/>
        <v>3 WEEK</v>
      </c>
      <c r="Y50" s="484">
        <v>45737</v>
      </c>
      <c r="Z50" s="341" cm="1">
        <f t="array" aca="1" ref="Z50" ca="1">_xlfn.IFS(AD50&lt;100,Y50,Y50&lt;TODAY(),TODAY(),Y50&gt;TODAY(),Y50,Y50=TODAY(),Y50)</f>
        <v>45737</v>
      </c>
      <c r="AA50" s="315"/>
      <c r="AB50" s="301"/>
      <c r="AC50" s="301"/>
      <c r="AD50" s="298">
        <f t="shared" si="2"/>
        <v>0</v>
      </c>
      <c r="AE50" s="299" t="str">
        <f t="shared" si="3"/>
        <v>Complete</v>
      </c>
      <c r="AF50" s="340"/>
      <c r="AG50" s="301"/>
      <c r="AH50" s="343"/>
      <c r="AI50" s="301">
        <f t="shared" ca="1" si="0"/>
        <v>0</v>
      </c>
      <c r="AJ50" s="302">
        <f t="shared" ca="1" si="1"/>
        <v>0</v>
      </c>
      <c r="AL50" s="303">
        <f t="shared" si="4"/>
        <v>7490640</v>
      </c>
      <c r="AM50" s="303">
        <f t="shared" si="5"/>
        <v>0</v>
      </c>
      <c r="AN50" s="303">
        <f t="shared" si="6"/>
        <v>7490640</v>
      </c>
      <c r="AO50" s="304">
        <f t="shared" si="7"/>
        <v>0</v>
      </c>
      <c r="AP50" s="273">
        <f t="shared" si="15"/>
        <v>3</v>
      </c>
      <c r="AQ50" s="273" t="str">
        <f t="shared" ca="1" si="8"/>
        <v>32025</v>
      </c>
    </row>
    <row r="51" spans="1:43" ht="16.5">
      <c r="A51" s="392">
        <v>4</v>
      </c>
      <c r="B51" s="322" t="s">
        <v>1644</v>
      </c>
      <c r="C51" s="332" t="s">
        <v>1645</v>
      </c>
      <c r="D51" s="340" t="s">
        <v>610</v>
      </c>
      <c r="E51" s="506">
        <v>45579</v>
      </c>
      <c r="F51" s="507">
        <v>71</v>
      </c>
      <c r="G51" s="519">
        <v>3174000</v>
      </c>
      <c r="H51" s="301">
        <v>571320</v>
      </c>
      <c r="I51" s="536">
        <v>3745320</v>
      </c>
      <c r="J51" s="536"/>
      <c r="K51" s="547" t="s">
        <v>1657</v>
      </c>
      <c r="L51" s="392" t="s">
        <v>1595</v>
      </c>
      <c r="M51" s="324">
        <v>0.08</v>
      </c>
      <c r="N51" s="526" t="s">
        <v>1593</v>
      </c>
      <c r="O51" s="538" t="s">
        <v>1662</v>
      </c>
      <c r="P51" s="539">
        <v>0</v>
      </c>
      <c r="Q51" s="540"/>
      <c r="R51" s="417"/>
      <c r="S51" s="315"/>
      <c r="T51" s="315"/>
      <c r="U51" s="341">
        <v>45714</v>
      </c>
      <c r="V51" s="340">
        <f t="shared" ca="1" si="14"/>
        <v>1</v>
      </c>
      <c r="W51" s="292">
        <f t="shared" ca="1" si="10"/>
        <v>1900</v>
      </c>
      <c r="X51" s="291" t="str">
        <f t="shared" ca="1" si="11"/>
        <v>0 WEEK</v>
      </c>
      <c r="Y51" s="436">
        <f>P51+T51</f>
        <v>0</v>
      </c>
      <c r="Z51" s="541" cm="1">
        <f t="array" aca="1" ref="Z51" ca="1">_xlfn.IFS(AD51&lt;100,Y51,Y51&lt;TODAY(),TODAY(),Y51&gt;TODAY(),Y51,Y51=TODAY(),Y51)</f>
        <v>0</v>
      </c>
      <c r="AA51" s="315"/>
      <c r="AB51" s="301"/>
      <c r="AC51" s="301"/>
      <c r="AD51" s="298">
        <f t="shared" si="2"/>
        <v>0</v>
      </c>
      <c r="AE51" s="299" t="str">
        <f t="shared" si="3"/>
        <v>Complete</v>
      </c>
      <c r="AF51" s="340"/>
      <c r="AG51" s="301"/>
      <c r="AH51" s="343"/>
      <c r="AI51" s="301">
        <f t="shared" ca="1" si="0"/>
        <v>0</v>
      </c>
      <c r="AJ51" s="302">
        <f t="shared" ca="1" si="1"/>
        <v>0</v>
      </c>
      <c r="AL51" s="303">
        <f t="shared" si="4"/>
        <v>3745320</v>
      </c>
      <c r="AM51" s="303">
        <f t="shared" si="5"/>
        <v>3745320</v>
      </c>
      <c r="AN51" s="303">
        <f t="shared" si="6"/>
        <v>0</v>
      </c>
      <c r="AO51" s="304">
        <f t="shared" si="7"/>
        <v>0</v>
      </c>
      <c r="AP51" s="273">
        <f t="shared" si="15"/>
        <v>1</v>
      </c>
      <c r="AQ51" s="273" t="str">
        <f t="shared" ca="1" si="8"/>
        <v>11900</v>
      </c>
    </row>
    <row r="52" spans="1:43" ht="16.5">
      <c r="A52" s="392">
        <v>4</v>
      </c>
      <c r="B52" s="322" t="s">
        <v>1644</v>
      </c>
      <c r="C52" s="332" t="s">
        <v>1645</v>
      </c>
      <c r="D52" s="340" t="s">
        <v>610</v>
      </c>
      <c r="E52" s="506">
        <v>45579</v>
      </c>
      <c r="F52" s="507">
        <v>71</v>
      </c>
      <c r="G52" s="519">
        <v>2539200</v>
      </c>
      <c r="H52" s="301">
        <v>457056</v>
      </c>
      <c r="I52" s="536">
        <v>2996256</v>
      </c>
      <c r="J52" s="536"/>
      <c r="K52" s="547" t="s">
        <v>1657</v>
      </c>
      <c r="L52" s="392" t="s">
        <v>1595</v>
      </c>
      <c r="M52" s="324">
        <v>0.08</v>
      </c>
      <c r="N52" s="526" t="s">
        <v>1593</v>
      </c>
      <c r="O52" s="538" t="s">
        <v>1663</v>
      </c>
      <c r="P52" s="539">
        <v>0</v>
      </c>
      <c r="Q52" s="540"/>
      <c r="R52" s="417"/>
      <c r="S52" s="315"/>
      <c r="T52" s="315"/>
      <c r="U52" s="341">
        <v>45714</v>
      </c>
      <c r="V52" s="340">
        <f t="shared" ca="1" si="14"/>
        <v>8</v>
      </c>
      <c r="W52" s="292">
        <f t="shared" ca="1" si="10"/>
        <v>2025</v>
      </c>
      <c r="X52" s="291" t="str">
        <f t="shared" ca="1" si="11"/>
        <v>2 WEEK</v>
      </c>
      <c r="Y52" s="329">
        <v>45879</v>
      </c>
      <c r="Z52" s="341" cm="1">
        <f t="array" aca="1" ref="Z52" ca="1">_xlfn.IFS(AD52&lt;100,Y52,Y52&lt;TODAY(),TODAY(),Y52&gt;TODAY(),Y52,Y52=TODAY(),Y52)</f>
        <v>45879</v>
      </c>
      <c r="AA52" s="315"/>
      <c r="AB52" s="301"/>
      <c r="AC52" s="301"/>
      <c r="AD52" s="298">
        <f t="shared" si="2"/>
        <v>0</v>
      </c>
      <c r="AE52" s="299" t="str">
        <f t="shared" si="3"/>
        <v>Complete</v>
      </c>
      <c r="AF52" s="340"/>
      <c r="AG52" s="301"/>
      <c r="AH52" s="343"/>
      <c r="AI52" s="301">
        <f t="shared" ca="1" si="0"/>
        <v>0</v>
      </c>
      <c r="AJ52" s="302">
        <f t="shared" ca="1" si="1"/>
        <v>0</v>
      </c>
      <c r="AL52" s="303">
        <f t="shared" si="4"/>
        <v>2996256</v>
      </c>
      <c r="AM52" s="303">
        <f t="shared" si="5"/>
        <v>2996256</v>
      </c>
      <c r="AN52" s="303">
        <f t="shared" si="6"/>
        <v>0</v>
      </c>
      <c r="AO52" s="304">
        <f t="shared" si="7"/>
        <v>0</v>
      </c>
      <c r="AP52" s="273">
        <f t="shared" si="15"/>
        <v>1</v>
      </c>
      <c r="AQ52" s="273" t="str">
        <f t="shared" ca="1" si="8"/>
        <v>12025</v>
      </c>
    </row>
    <row r="53" spans="1:43" s="545" customFormat="1" ht="16.5">
      <c r="A53" s="392">
        <v>4</v>
      </c>
      <c r="B53" s="322" t="s">
        <v>1644</v>
      </c>
      <c r="C53" s="332" t="s">
        <v>1645</v>
      </c>
      <c r="D53" s="340" t="s">
        <v>610</v>
      </c>
      <c r="E53" s="506">
        <v>45579</v>
      </c>
      <c r="F53" s="507">
        <v>71</v>
      </c>
      <c r="G53" s="519">
        <v>101568000</v>
      </c>
      <c r="H53" s="301">
        <v>18282240</v>
      </c>
      <c r="I53" s="536">
        <v>119850240</v>
      </c>
      <c r="J53" s="536"/>
      <c r="K53" s="514" t="s">
        <v>1664</v>
      </c>
      <c r="L53" s="392" t="s">
        <v>1595</v>
      </c>
      <c r="M53" s="324">
        <v>0.05</v>
      </c>
      <c r="N53" s="526" t="s">
        <v>1593</v>
      </c>
      <c r="O53" s="546" t="s">
        <v>1665</v>
      </c>
      <c r="P53" s="516">
        <v>45645</v>
      </c>
      <c r="Q53" s="517" t="s">
        <v>1666</v>
      </c>
      <c r="R53" s="417">
        <v>119850240</v>
      </c>
      <c r="S53" s="315"/>
      <c r="T53" s="315"/>
      <c r="U53" s="341">
        <v>45714</v>
      </c>
      <c r="V53" s="340">
        <f t="shared" ca="1" si="14"/>
        <v>3</v>
      </c>
      <c r="W53" s="292">
        <f t="shared" ca="1" si="10"/>
        <v>2025</v>
      </c>
      <c r="X53" s="291" t="str">
        <f t="shared" ca="1" si="11"/>
        <v>3 WEEK</v>
      </c>
      <c r="Y53" s="484">
        <v>45737</v>
      </c>
      <c r="Z53" s="341" cm="1">
        <f t="array" aca="1" ref="Z53" ca="1">_xlfn.IFS(AD53&lt;100,Y53,Y53&lt;TODAY(),TODAY(),Y53&gt;TODAY(),Y53,Y53=TODAY(),Y53)</f>
        <v>45737</v>
      </c>
      <c r="AA53" s="315">
        <f>SUM(I41:I82)*M53</f>
        <v>120400400</v>
      </c>
      <c r="AB53" s="301">
        <v>120280000</v>
      </c>
      <c r="AC53" s="301">
        <f>AA53*0.1%</f>
        <v>120400.40000000001</v>
      </c>
      <c r="AD53" s="298">
        <f t="shared" si="2"/>
        <v>0</v>
      </c>
      <c r="AE53" s="299" t="str">
        <f t="shared" si="3"/>
        <v>Complete</v>
      </c>
      <c r="AF53" s="340"/>
      <c r="AG53" s="301"/>
      <c r="AH53" s="343"/>
      <c r="AI53" s="301">
        <f t="shared" ca="1" si="0"/>
        <v>0</v>
      </c>
      <c r="AJ53" s="302">
        <f t="shared" ca="1" si="1"/>
        <v>0</v>
      </c>
      <c r="AL53" s="303">
        <f t="shared" si="4"/>
        <v>119850240</v>
      </c>
      <c r="AM53" s="303">
        <f t="shared" si="5"/>
        <v>0</v>
      </c>
      <c r="AN53" s="303">
        <f t="shared" si="6"/>
        <v>119850240</v>
      </c>
      <c r="AO53" s="304">
        <f t="shared" si="7"/>
        <v>0</v>
      </c>
      <c r="AP53" s="273">
        <f t="shared" si="15"/>
        <v>12</v>
      </c>
      <c r="AQ53" s="273" t="str">
        <f t="shared" ca="1" si="8"/>
        <v>122025</v>
      </c>
    </row>
    <row r="54" spans="1:43" s="545" customFormat="1" ht="16.5">
      <c r="A54" s="392">
        <v>4</v>
      </c>
      <c r="B54" s="322" t="s">
        <v>1644</v>
      </c>
      <c r="C54" s="332" t="s">
        <v>1645</v>
      </c>
      <c r="D54" s="340" t="s">
        <v>610</v>
      </c>
      <c r="E54" s="506">
        <v>45579</v>
      </c>
      <c r="F54" s="507">
        <v>71</v>
      </c>
      <c r="G54" s="519"/>
      <c r="H54" s="301"/>
      <c r="I54" s="536"/>
      <c r="J54" s="536"/>
      <c r="K54" s="537" t="s">
        <v>1664</v>
      </c>
      <c r="L54" s="392" t="s">
        <v>1595</v>
      </c>
      <c r="M54" s="324">
        <v>0.05</v>
      </c>
      <c r="N54" s="526" t="s">
        <v>1593</v>
      </c>
      <c r="O54" s="546"/>
      <c r="P54" s="548">
        <v>0</v>
      </c>
      <c r="Q54" s="517"/>
      <c r="R54" s="417"/>
      <c r="S54" s="315"/>
      <c r="T54" s="315"/>
      <c r="U54" s="341">
        <v>45714</v>
      </c>
      <c r="V54" s="340">
        <f t="shared" ca="1" si="14"/>
        <v>3</v>
      </c>
      <c r="W54" s="292">
        <f t="shared" ca="1" si="10"/>
        <v>2025</v>
      </c>
      <c r="X54" s="291" t="str">
        <f t="shared" ca="1" si="11"/>
        <v>4 WEEK</v>
      </c>
      <c r="Y54" s="484">
        <v>45742</v>
      </c>
      <c r="Z54" s="341" cm="1">
        <f t="array" aca="1" ref="Z54" ca="1">_xlfn.IFS(AD54&lt;100,Y54,Y54&lt;TODAY(),TODAY(),Y54&gt;TODAY(),Y54,Y54=TODAY(),Y54)</f>
        <v>45742</v>
      </c>
      <c r="AA54" s="315"/>
      <c r="AB54" s="518"/>
      <c r="AC54" s="301"/>
      <c r="AD54" s="298">
        <f t="shared" si="2"/>
        <v>0</v>
      </c>
      <c r="AE54" s="299" t="str">
        <f t="shared" si="3"/>
        <v>Complete</v>
      </c>
      <c r="AF54" s="340"/>
      <c r="AG54" s="301"/>
      <c r="AH54" s="343"/>
      <c r="AI54" s="301">
        <f t="shared" ca="1" si="0"/>
        <v>0</v>
      </c>
      <c r="AJ54" s="302">
        <f t="shared" ca="1" si="1"/>
        <v>0</v>
      </c>
      <c r="AL54" s="303">
        <f t="shared" si="4"/>
        <v>0</v>
      </c>
      <c r="AM54" s="303">
        <f t="shared" si="5"/>
        <v>0</v>
      </c>
      <c r="AN54" s="303">
        <f t="shared" si="6"/>
        <v>0</v>
      </c>
      <c r="AO54" s="304">
        <f t="shared" si="7"/>
        <v>0</v>
      </c>
      <c r="AP54" s="273">
        <f t="shared" si="15"/>
        <v>1</v>
      </c>
      <c r="AQ54" s="273" t="str">
        <f t="shared" ca="1" si="8"/>
        <v>12025</v>
      </c>
    </row>
    <row r="55" spans="1:43" s="545" customFormat="1" ht="16.5">
      <c r="A55" s="392">
        <v>4</v>
      </c>
      <c r="B55" s="322" t="s">
        <v>1644</v>
      </c>
      <c r="C55" s="332" t="s">
        <v>1645</v>
      </c>
      <c r="D55" s="340" t="s">
        <v>610</v>
      </c>
      <c r="E55" s="506">
        <v>45579</v>
      </c>
      <c r="F55" s="507">
        <v>71</v>
      </c>
      <c r="G55" s="519"/>
      <c r="H55" s="301"/>
      <c r="I55" s="536"/>
      <c r="J55" s="536"/>
      <c r="K55" s="537" t="s">
        <v>1664</v>
      </c>
      <c r="L55" s="392" t="s">
        <v>1595</v>
      </c>
      <c r="M55" s="324">
        <v>0.05</v>
      </c>
      <c r="N55" s="526" t="s">
        <v>1593</v>
      </c>
      <c r="O55" s="546"/>
      <c r="P55" s="548">
        <v>0</v>
      </c>
      <c r="Q55" s="517"/>
      <c r="R55" s="417"/>
      <c r="S55" s="315"/>
      <c r="T55" s="315"/>
      <c r="U55" s="341">
        <v>45714</v>
      </c>
      <c r="V55" s="340">
        <f t="shared" ca="1" si="14"/>
        <v>4</v>
      </c>
      <c r="W55" s="292">
        <f t="shared" ca="1" si="10"/>
        <v>2025</v>
      </c>
      <c r="X55" s="291" t="str">
        <f t="shared" ca="1" si="11"/>
        <v>1 WEEK</v>
      </c>
      <c r="Y55" s="484">
        <v>45754</v>
      </c>
      <c r="Z55" s="341" cm="1">
        <f t="array" aca="1" ref="Z55" ca="1">_xlfn.IFS(AD55&lt;100,Y55,Y55&lt;TODAY(),TODAY(),Y55&gt;TODAY(),Y55,Y55=TODAY(),Y55)</f>
        <v>45754</v>
      </c>
      <c r="AA55" s="315"/>
      <c r="AB55" s="301"/>
      <c r="AC55" s="301"/>
      <c r="AD55" s="298">
        <f t="shared" si="2"/>
        <v>0</v>
      </c>
      <c r="AE55" s="299" t="str">
        <f t="shared" si="3"/>
        <v>Complete</v>
      </c>
      <c r="AF55" s="340"/>
      <c r="AG55" s="301"/>
      <c r="AH55" s="343"/>
      <c r="AI55" s="301">
        <f t="shared" ca="1" si="0"/>
        <v>0</v>
      </c>
      <c r="AJ55" s="302">
        <f t="shared" ca="1" si="1"/>
        <v>0</v>
      </c>
      <c r="AL55" s="303">
        <f t="shared" si="4"/>
        <v>0</v>
      </c>
      <c r="AM55" s="303">
        <f t="shared" si="5"/>
        <v>0</v>
      </c>
      <c r="AN55" s="303">
        <f t="shared" si="6"/>
        <v>0</v>
      </c>
      <c r="AO55" s="304">
        <f t="shared" si="7"/>
        <v>0</v>
      </c>
      <c r="AP55" s="273">
        <f t="shared" si="15"/>
        <v>1</v>
      </c>
      <c r="AQ55" s="273" t="str">
        <f t="shared" ca="1" si="8"/>
        <v>12025</v>
      </c>
    </row>
    <row r="56" spans="1:43" s="545" customFormat="1" ht="16.5">
      <c r="A56" s="392">
        <v>4</v>
      </c>
      <c r="B56" s="322" t="s">
        <v>1644</v>
      </c>
      <c r="C56" s="332" t="s">
        <v>1645</v>
      </c>
      <c r="D56" s="340" t="s">
        <v>610</v>
      </c>
      <c r="E56" s="506">
        <v>45579</v>
      </c>
      <c r="F56" s="507">
        <v>71</v>
      </c>
      <c r="G56" s="519">
        <v>69828000</v>
      </c>
      <c r="H56" s="301">
        <v>12569040</v>
      </c>
      <c r="I56" s="536">
        <v>82397040</v>
      </c>
      <c r="J56" s="536"/>
      <c r="K56" s="514" t="s">
        <v>1667</v>
      </c>
      <c r="L56" s="392" t="s">
        <v>1595</v>
      </c>
      <c r="M56" s="324">
        <v>0.2</v>
      </c>
      <c r="N56" s="526" t="s">
        <v>1593</v>
      </c>
      <c r="O56" s="546" t="s">
        <v>1668</v>
      </c>
      <c r="P56" s="516">
        <v>45685</v>
      </c>
      <c r="Q56" s="517" t="s">
        <v>1669</v>
      </c>
      <c r="R56" s="417">
        <v>82397040</v>
      </c>
      <c r="S56" s="315"/>
      <c r="T56" s="315"/>
      <c r="U56" s="341">
        <v>45714</v>
      </c>
      <c r="V56" s="340">
        <f t="shared" ca="1" si="14"/>
        <v>4</v>
      </c>
      <c r="W56" s="292">
        <f t="shared" ca="1" si="10"/>
        <v>2025</v>
      </c>
      <c r="X56" s="291" t="str">
        <f t="shared" ca="1" si="11"/>
        <v>1 WEEK</v>
      </c>
      <c r="Y56" s="484">
        <v>45754</v>
      </c>
      <c r="Z56" s="341" cm="1">
        <f t="array" aca="1" ref="Z56" ca="1">_xlfn.IFS(AD56&lt;100,Y56,Y56&lt;TODAY(),TODAY(),Y56&gt;TODAY(),Y56,Y56=TODAY(),Y56)</f>
        <v>45754</v>
      </c>
      <c r="AA56" s="315">
        <f>SUM(I41:I82)*M56</f>
        <v>481601600</v>
      </c>
      <c r="AB56" s="518">
        <v>481119998</v>
      </c>
      <c r="AC56" s="301">
        <f>AA56*0.1%</f>
        <v>481601.60000000003</v>
      </c>
      <c r="AD56" s="298">
        <f t="shared" si="2"/>
        <v>0</v>
      </c>
      <c r="AE56" s="299" t="str">
        <f t="shared" si="3"/>
        <v>Complete</v>
      </c>
      <c r="AF56" s="340"/>
      <c r="AG56" s="301"/>
      <c r="AH56" s="343"/>
      <c r="AI56" s="301">
        <f t="shared" ca="1" si="0"/>
        <v>0</v>
      </c>
      <c r="AJ56" s="302">
        <f t="shared" ca="1" si="1"/>
        <v>0</v>
      </c>
      <c r="AL56" s="303">
        <f t="shared" si="4"/>
        <v>82397040</v>
      </c>
      <c r="AM56" s="303">
        <f t="shared" si="5"/>
        <v>0</v>
      </c>
      <c r="AN56" s="303">
        <f t="shared" si="6"/>
        <v>82397040</v>
      </c>
      <c r="AO56" s="304">
        <f t="shared" si="7"/>
        <v>0</v>
      </c>
      <c r="AP56" s="273">
        <f t="shared" si="15"/>
        <v>1</v>
      </c>
      <c r="AQ56" s="273" t="str">
        <f t="shared" ca="1" si="8"/>
        <v>12025</v>
      </c>
    </row>
    <row r="57" spans="1:43" ht="16.5">
      <c r="A57" s="392">
        <v>4</v>
      </c>
      <c r="B57" s="322" t="s">
        <v>1644</v>
      </c>
      <c r="C57" s="332" t="s">
        <v>1645</v>
      </c>
      <c r="D57" s="340" t="s">
        <v>610</v>
      </c>
      <c r="E57" s="506">
        <v>45579</v>
      </c>
      <c r="F57" s="507">
        <v>71</v>
      </c>
      <c r="G57" s="519">
        <v>12061200</v>
      </c>
      <c r="H57" s="301">
        <v>2171016</v>
      </c>
      <c r="I57" s="536">
        <v>14232216</v>
      </c>
      <c r="J57" s="536"/>
      <c r="K57" s="514" t="s">
        <v>1667</v>
      </c>
      <c r="L57" s="392" t="s">
        <v>1595</v>
      </c>
      <c r="M57" s="324">
        <v>0.2</v>
      </c>
      <c r="N57" s="526" t="s">
        <v>1593</v>
      </c>
      <c r="O57" s="546" t="s">
        <v>1670</v>
      </c>
      <c r="P57" s="516">
        <v>45708</v>
      </c>
      <c r="Q57" s="517" t="s">
        <v>1671</v>
      </c>
      <c r="R57" s="417">
        <v>14232216</v>
      </c>
      <c r="S57" s="315"/>
      <c r="T57" s="315"/>
      <c r="U57" s="341">
        <v>45714</v>
      </c>
      <c r="V57" s="340">
        <f t="shared" ca="1" si="14"/>
        <v>5</v>
      </c>
      <c r="W57" s="292">
        <f t="shared" ca="1" si="10"/>
        <v>2025</v>
      </c>
      <c r="X57" s="291" t="str">
        <f t="shared" ca="1" si="11"/>
        <v>2 WEEK</v>
      </c>
      <c r="Y57" s="484">
        <v>45785</v>
      </c>
      <c r="Z57" s="341" cm="1">
        <f t="array" aca="1" ref="Z57" ca="1">_xlfn.IFS(AD57&lt;100,Y57,Y57&lt;TODAY(),TODAY(),Y57&gt;TODAY(),Y57,Y57=TODAY(),Y57)</f>
        <v>45785</v>
      </c>
      <c r="AA57" s="315"/>
      <c r="AB57" s="518"/>
      <c r="AC57" s="301"/>
      <c r="AD57" s="298">
        <f t="shared" si="2"/>
        <v>0</v>
      </c>
      <c r="AE57" s="299" t="str">
        <f t="shared" si="3"/>
        <v>Complete</v>
      </c>
      <c r="AF57" s="340"/>
      <c r="AG57" s="301"/>
      <c r="AH57" s="343"/>
      <c r="AI57" s="301">
        <f t="shared" ca="1" si="0"/>
        <v>0</v>
      </c>
      <c r="AJ57" s="302">
        <f t="shared" ca="1" si="1"/>
        <v>0</v>
      </c>
      <c r="AL57" s="303">
        <f t="shared" si="4"/>
        <v>14232216</v>
      </c>
      <c r="AM57" s="303">
        <f t="shared" si="5"/>
        <v>0</v>
      </c>
      <c r="AN57" s="303">
        <f t="shared" si="6"/>
        <v>14232216</v>
      </c>
      <c r="AO57" s="304">
        <f t="shared" si="7"/>
        <v>0</v>
      </c>
      <c r="AP57" s="273">
        <f t="shared" si="15"/>
        <v>2</v>
      </c>
      <c r="AQ57" s="273" t="str">
        <f t="shared" ca="1" si="8"/>
        <v>22025</v>
      </c>
    </row>
    <row r="58" spans="1:43" ht="16.5">
      <c r="A58" s="392">
        <v>4</v>
      </c>
      <c r="B58" s="322" t="s">
        <v>1644</v>
      </c>
      <c r="C58" s="332" t="s">
        <v>1645</v>
      </c>
      <c r="D58" s="340" t="s">
        <v>610</v>
      </c>
      <c r="E58" s="506">
        <v>45579</v>
      </c>
      <c r="F58" s="507">
        <v>71</v>
      </c>
      <c r="G58" s="519">
        <v>15870000</v>
      </c>
      <c r="H58" s="301">
        <v>2856600</v>
      </c>
      <c r="I58" s="549">
        <v>18726600</v>
      </c>
      <c r="J58" s="536"/>
      <c r="K58" s="514" t="s">
        <v>1667</v>
      </c>
      <c r="L58" s="392" t="s">
        <v>1595</v>
      </c>
      <c r="M58" s="324">
        <v>0.2</v>
      </c>
      <c r="N58" s="526" t="s">
        <v>1593</v>
      </c>
      <c r="O58" s="546" t="s">
        <v>1672</v>
      </c>
      <c r="P58" s="516">
        <v>45741</v>
      </c>
      <c r="Q58" s="517" t="s">
        <v>1673</v>
      </c>
      <c r="R58" s="417">
        <v>18726600</v>
      </c>
      <c r="S58" s="315"/>
      <c r="T58" s="315"/>
      <c r="U58" s="341">
        <v>45714</v>
      </c>
      <c r="V58" s="340">
        <f t="shared" ca="1" si="14"/>
        <v>5</v>
      </c>
      <c r="W58" s="292">
        <f t="shared" ca="1" si="10"/>
        <v>2025</v>
      </c>
      <c r="X58" s="291" t="str">
        <f t="shared" ca="1" si="11"/>
        <v>4 WEEK</v>
      </c>
      <c r="Y58" s="484">
        <v>45803</v>
      </c>
      <c r="Z58" s="341" cm="1">
        <f t="array" aca="1" ref="Z58" ca="1">_xlfn.IFS(AD58&lt;100,Y58,Y58&lt;TODAY(),TODAY(),Y58&gt;TODAY(),Y58,Y58=TODAY(),Y58)</f>
        <v>45803</v>
      </c>
      <c r="AA58" s="315"/>
      <c r="AB58" s="518"/>
      <c r="AC58" s="301"/>
      <c r="AD58" s="298">
        <f t="shared" si="2"/>
        <v>0</v>
      </c>
      <c r="AE58" s="299" t="str">
        <f t="shared" si="3"/>
        <v>Complete</v>
      </c>
      <c r="AF58" s="340"/>
      <c r="AG58" s="301"/>
      <c r="AH58" s="343"/>
      <c r="AI58" s="301">
        <f t="shared" ca="1" si="0"/>
        <v>0</v>
      </c>
      <c r="AJ58" s="302">
        <f t="shared" ca="1" si="1"/>
        <v>0</v>
      </c>
      <c r="AL58" s="303">
        <f t="shared" si="4"/>
        <v>18726600</v>
      </c>
      <c r="AM58" s="303">
        <f t="shared" si="5"/>
        <v>0</v>
      </c>
      <c r="AN58" s="303">
        <f t="shared" si="6"/>
        <v>18726600</v>
      </c>
      <c r="AO58" s="304">
        <f t="shared" si="7"/>
        <v>0</v>
      </c>
      <c r="AP58" s="273">
        <f t="shared" si="15"/>
        <v>3</v>
      </c>
      <c r="AQ58" s="273" t="str">
        <f t="shared" ca="1" si="8"/>
        <v>32025</v>
      </c>
    </row>
    <row r="59" spans="1:43" ht="16.5">
      <c r="A59" s="392">
        <v>4</v>
      </c>
      <c r="B59" s="322" t="s">
        <v>1644</v>
      </c>
      <c r="C59" s="332" t="s">
        <v>1645</v>
      </c>
      <c r="D59" s="340" t="s">
        <v>610</v>
      </c>
      <c r="E59" s="506">
        <v>45579</v>
      </c>
      <c r="F59" s="507">
        <v>71</v>
      </c>
      <c r="G59" s="519">
        <v>7617600</v>
      </c>
      <c r="H59" s="301">
        <v>1371168</v>
      </c>
      <c r="I59" s="536">
        <v>8988768</v>
      </c>
      <c r="J59" s="536"/>
      <c r="K59" s="514" t="s">
        <v>1667</v>
      </c>
      <c r="L59" s="392" t="s">
        <v>1595</v>
      </c>
      <c r="M59" s="324">
        <v>0.2</v>
      </c>
      <c r="N59" s="526" t="s">
        <v>1593</v>
      </c>
      <c r="O59" s="546" t="s">
        <v>1674</v>
      </c>
      <c r="P59" s="516">
        <v>45746</v>
      </c>
      <c r="Q59" s="517" t="s">
        <v>1675</v>
      </c>
      <c r="R59" s="417">
        <v>8988768</v>
      </c>
      <c r="S59" s="315"/>
      <c r="T59" s="315"/>
      <c r="U59" s="341">
        <v>45714</v>
      </c>
      <c r="V59" s="340">
        <f t="shared" ca="1" si="14"/>
        <v>6</v>
      </c>
      <c r="W59" s="292">
        <f t="shared" ca="1" si="10"/>
        <v>2025</v>
      </c>
      <c r="X59" s="291" t="str">
        <f t="shared" ca="1" si="11"/>
        <v>5 WEEK</v>
      </c>
      <c r="Y59" s="484">
        <v>45838</v>
      </c>
      <c r="Z59" s="341" cm="1">
        <f t="array" aca="1" ref="Z59" ca="1">_xlfn.IFS(AD59&lt;100,Y59,Y59&lt;TODAY(),TODAY(),Y59&gt;TODAY(),Y59,Y59=TODAY(),Y59)</f>
        <v>45838</v>
      </c>
      <c r="AA59" s="315"/>
      <c r="AB59" s="518"/>
      <c r="AC59" s="301"/>
      <c r="AD59" s="298">
        <f t="shared" si="2"/>
        <v>0</v>
      </c>
      <c r="AE59" s="299" t="str">
        <f t="shared" si="3"/>
        <v>Complete</v>
      </c>
      <c r="AF59" s="340"/>
      <c r="AG59" s="301"/>
      <c r="AH59" s="343"/>
      <c r="AI59" s="301">
        <f t="shared" ca="1" si="0"/>
        <v>0</v>
      </c>
      <c r="AJ59" s="302">
        <f t="shared" ca="1" si="1"/>
        <v>0</v>
      </c>
      <c r="AL59" s="303">
        <f t="shared" si="4"/>
        <v>8988768</v>
      </c>
      <c r="AM59" s="303">
        <f t="shared" si="5"/>
        <v>0</v>
      </c>
      <c r="AN59" s="303">
        <f t="shared" si="6"/>
        <v>8988768</v>
      </c>
      <c r="AO59" s="304">
        <f t="shared" si="7"/>
        <v>0</v>
      </c>
      <c r="AP59" s="273">
        <f t="shared" si="15"/>
        <v>3</v>
      </c>
      <c r="AQ59" s="273" t="str">
        <f t="shared" ca="1" si="8"/>
        <v>32025</v>
      </c>
    </row>
    <row r="60" spans="1:43" ht="16.5">
      <c r="A60" s="392">
        <v>4</v>
      </c>
      <c r="B60" s="322" t="s">
        <v>1644</v>
      </c>
      <c r="C60" s="332" t="s">
        <v>1645</v>
      </c>
      <c r="D60" s="340" t="s">
        <v>610</v>
      </c>
      <c r="E60" s="506">
        <v>45579</v>
      </c>
      <c r="F60" s="507">
        <v>71</v>
      </c>
      <c r="G60" s="519">
        <v>1269600</v>
      </c>
      <c r="H60" s="301">
        <v>228528</v>
      </c>
      <c r="I60" s="536">
        <v>1498128</v>
      </c>
      <c r="J60" s="536"/>
      <c r="K60" s="514" t="s">
        <v>1667</v>
      </c>
      <c r="L60" s="392" t="s">
        <v>1595</v>
      </c>
      <c r="M60" s="324">
        <v>0.2</v>
      </c>
      <c r="N60" s="526" t="s">
        <v>1593</v>
      </c>
      <c r="O60" s="546" t="s">
        <v>1676</v>
      </c>
      <c r="P60" s="516">
        <v>45741</v>
      </c>
      <c r="Q60" s="517" t="s">
        <v>1677</v>
      </c>
      <c r="R60" s="417">
        <v>1498128</v>
      </c>
      <c r="S60" s="315"/>
      <c r="T60" s="315"/>
      <c r="U60" s="341">
        <v>45714</v>
      </c>
      <c r="V60" s="340">
        <f t="shared" ca="1" si="14"/>
        <v>3</v>
      </c>
      <c r="W60" s="292">
        <f t="shared" ca="1" si="10"/>
        <v>2025</v>
      </c>
      <c r="X60" s="291" t="str">
        <f t="shared" ca="1" si="11"/>
        <v>4 WEEK</v>
      </c>
      <c r="Y60" s="329">
        <f t="shared" ref="Y60:Y66" si="23">P60+T60</f>
        <v>45741</v>
      </c>
      <c r="Z60" s="341" cm="1">
        <f t="array" aca="1" ref="Z60" ca="1">_xlfn.IFS(AD60&lt;100,Y60,Y60&lt;TODAY(),TODAY(),Y60&gt;TODAY(),Y60,Y60=TODAY(),Y60)</f>
        <v>45741</v>
      </c>
      <c r="AA60" s="315"/>
      <c r="AB60" s="301"/>
      <c r="AC60" s="301"/>
      <c r="AD60" s="298">
        <f t="shared" si="2"/>
        <v>0</v>
      </c>
      <c r="AE60" s="299" t="str">
        <f t="shared" si="3"/>
        <v>Complete</v>
      </c>
      <c r="AF60" s="340"/>
      <c r="AG60" s="301"/>
      <c r="AH60" s="343"/>
      <c r="AI60" s="301">
        <f t="shared" ca="1" si="0"/>
        <v>0</v>
      </c>
      <c r="AJ60" s="302">
        <f t="shared" ca="1" si="1"/>
        <v>0</v>
      </c>
      <c r="AL60" s="303">
        <f t="shared" si="4"/>
        <v>1498128</v>
      </c>
      <c r="AM60" s="303">
        <f t="shared" si="5"/>
        <v>0</v>
      </c>
      <c r="AN60" s="303">
        <f t="shared" si="6"/>
        <v>1498128</v>
      </c>
      <c r="AO60" s="304">
        <f t="shared" si="7"/>
        <v>0</v>
      </c>
      <c r="AP60" s="273">
        <f t="shared" si="15"/>
        <v>3</v>
      </c>
      <c r="AQ60" s="273" t="str">
        <f t="shared" ca="1" si="8"/>
        <v>32025</v>
      </c>
    </row>
    <row r="61" spans="1:43" ht="16.5">
      <c r="A61" s="392">
        <v>4</v>
      </c>
      <c r="B61" s="322" t="s">
        <v>1644</v>
      </c>
      <c r="C61" s="332" t="s">
        <v>1645</v>
      </c>
      <c r="D61" s="340" t="s">
        <v>610</v>
      </c>
      <c r="E61" s="506">
        <v>45579</v>
      </c>
      <c r="F61" s="507">
        <v>71</v>
      </c>
      <c r="G61" s="519">
        <v>634800</v>
      </c>
      <c r="H61" s="301">
        <v>114264</v>
      </c>
      <c r="I61" s="536">
        <v>749064</v>
      </c>
      <c r="J61" s="536"/>
      <c r="K61" s="514" t="s">
        <v>1667</v>
      </c>
      <c r="L61" s="392" t="s">
        <v>1595</v>
      </c>
      <c r="M61" s="324">
        <v>0.2</v>
      </c>
      <c r="N61" s="526" t="s">
        <v>1593</v>
      </c>
      <c r="O61" s="546" t="s">
        <v>1678</v>
      </c>
      <c r="P61" s="516">
        <v>45744</v>
      </c>
      <c r="Q61" s="517" t="s">
        <v>1679</v>
      </c>
      <c r="R61" s="417">
        <v>749064</v>
      </c>
      <c r="S61" s="315"/>
      <c r="T61" s="315"/>
      <c r="U61" s="341">
        <v>45714</v>
      </c>
      <c r="V61" s="340">
        <f t="shared" ca="1" si="14"/>
        <v>3</v>
      </c>
      <c r="W61" s="292">
        <f t="shared" ca="1" si="10"/>
        <v>2025</v>
      </c>
      <c r="X61" s="291" t="str">
        <f t="shared" ca="1" si="11"/>
        <v>4 WEEK</v>
      </c>
      <c r="Y61" s="329">
        <f t="shared" si="23"/>
        <v>45744</v>
      </c>
      <c r="Z61" s="341" cm="1">
        <f t="array" aca="1" ref="Z61" ca="1">_xlfn.IFS(AD61&lt;100,Y61,Y61&lt;TODAY(),TODAY(),Y61&gt;TODAY(),Y61,Y61=TODAY(),Y61)</f>
        <v>45744</v>
      </c>
      <c r="AA61" s="315"/>
      <c r="AB61" s="301"/>
      <c r="AC61" s="301"/>
      <c r="AD61" s="298">
        <f t="shared" si="2"/>
        <v>0</v>
      </c>
      <c r="AE61" s="299" t="str">
        <f t="shared" si="3"/>
        <v>Complete</v>
      </c>
      <c r="AF61" s="340"/>
      <c r="AG61" s="301"/>
      <c r="AH61" s="343"/>
      <c r="AI61" s="301">
        <f t="shared" ca="1" si="0"/>
        <v>0</v>
      </c>
      <c r="AJ61" s="302">
        <f t="shared" ca="1" si="1"/>
        <v>0</v>
      </c>
      <c r="AL61" s="303">
        <f t="shared" si="4"/>
        <v>749064</v>
      </c>
      <c r="AM61" s="303">
        <f t="shared" si="5"/>
        <v>0</v>
      </c>
      <c r="AN61" s="303">
        <f t="shared" si="6"/>
        <v>749064</v>
      </c>
      <c r="AO61" s="304">
        <f t="shared" si="7"/>
        <v>0</v>
      </c>
      <c r="AP61" s="273">
        <f t="shared" si="15"/>
        <v>3</v>
      </c>
      <c r="AQ61" s="273" t="str">
        <f t="shared" ca="1" si="8"/>
        <v>32025</v>
      </c>
    </row>
    <row r="62" spans="1:43" ht="16.5">
      <c r="A62" s="392">
        <v>4</v>
      </c>
      <c r="B62" s="322" t="s">
        <v>1644</v>
      </c>
      <c r="C62" s="332" t="s">
        <v>1645</v>
      </c>
      <c r="D62" s="340" t="s">
        <v>610</v>
      </c>
      <c r="E62" s="506">
        <v>45579</v>
      </c>
      <c r="F62" s="507">
        <v>71</v>
      </c>
      <c r="G62" s="519">
        <v>76176000</v>
      </c>
      <c r="H62" s="301">
        <v>13711680</v>
      </c>
      <c r="I62" s="536">
        <v>89887680</v>
      </c>
      <c r="J62" s="536"/>
      <c r="K62" s="392" t="s">
        <v>1667</v>
      </c>
      <c r="L62" s="392" t="s">
        <v>1595</v>
      </c>
      <c r="M62" s="324">
        <v>0.2</v>
      </c>
      <c r="N62" s="526" t="s">
        <v>1593</v>
      </c>
      <c r="O62" s="546" t="s">
        <v>1680</v>
      </c>
      <c r="P62" s="516">
        <v>45708</v>
      </c>
      <c r="Q62" s="517" t="s">
        <v>1681</v>
      </c>
      <c r="R62" s="417">
        <v>89887680</v>
      </c>
      <c r="S62" s="315"/>
      <c r="T62" s="315"/>
      <c r="U62" s="341">
        <v>45714</v>
      </c>
      <c r="V62" s="340">
        <f t="shared" ca="1" si="14"/>
        <v>2</v>
      </c>
      <c r="W62" s="292">
        <f t="shared" ca="1" si="10"/>
        <v>2025</v>
      </c>
      <c r="X62" s="291" t="str">
        <f t="shared" ca="1" si="11"/>
        <v>3 WEEK</v>
      </c>
      <c r="Y62" s="329">
        <f t="shared" si="23"/>
        <v>45708</v>
      </c>
      <c r="Z62" s="341" cm="1">
        <f t="array" aca="1" ref="Z62" ca="1">_xlfn.IFS(AD62&lt;100,Y62,Y62&lt;TODAY(),TODAY(),Y62&gt;TODAY(),Y62,Y62=TODAY(),Y62)</f>
        <v>45708</v>
      </c>
      <c r="AA62" s="315"/>
      <c r="AB62" s="301"/>
      <c r="AC62" s="301"/>
      <c r="AD62" s="298">
        <f t="shared" si="2"/>
        <v>0</v>
      </c>
      <c r="AE62" s="299" t="str">
        <f t="shared" si="3"/>
        <v>Complete</v>
      </c>
      <c r="AF62" s="340"/>
      <c r="AG62" s="301"/>
      <c r="AH62" s="343"/>
      <c r="AI62" s="301">
        <f t="shared" ca="1" si="0"/>
        <v>0</v>
      </c>
      <c r="AJ62" s="302">
        <f t="shared" ca="1" si="1"/>
        <v>0</v>
      </c>
      <c r="AL62" s="303">
        <f t="shared" si="4"/>
        <v>89887680</v>
      </c>
      <c r="AM62" s="303">
        <f t="shared" si="5"/>
        <v>0</v>
      </c>
      <c r="AN62" s="303">
        <f t="shared" si="6"/>
        <v>89887680</v>
      </c>
      <c r="AO62" s="304">
        <f t="shared" si="7"/>
        <v>0</v>
      </c>
      <c r="AP62" s="273">
        <f t="shared" si="15"/>
        <v>2</v>
      </c>
      <c r="AQ62" s="273" t="str">
        <f t="shared" ca="1" si="8"/>
        <v>22025</v>
      </c>
    </row>
    <row r="63" spans="1:43" ht="16.5">
      <c r="A63" s="392">
        <v>4</v>
      </c>
      <c r="B63" s="322" t="s">
        <v>1644</v>
      </c>
      <c r="C63" s="332" t="s">
        <v>1645</v>
      </c>
      <c r="D63" s="340" t="s">
        <v>610</v>
      </c>
      <c r="E63" s="506">
        <v>45579</v>
      </c>
      <c r="F63" s="507">
        <v>71</v>
      </c>
      <c r="G63" s="519">
        <v>3174000</v>
      </c>
      <c r="H63" s="301">
        <v>571320</v>
      </c>
      <c r="I63" s="536">
        <v>3745320</v>
      </c>
      <c r="J63" s="536"/>
      <c r="K63" s="514" t="s">
        <v>1667</v>
      </c>
      <c r="L63" s="392" t="s">
        <v>1595</v>
      </c>
      <c r="M63" s="324">
        <v>0.2</v>
      </c>
      <c r="N63" s="526" t="s">
        <v>1593</v>
      </c>
      <c r="O63" s="546" t="s">
        <v>1682</v>
      </c>
      <c r="P63" s="516">
        <v>45746</v>
      </c>
      <c r="Q63" s="517" t="s">
        <v>1683</v>
      </c>
      <c r="R63" s="417">
        <v>3745320</v>
      </c>
      <c r="S63" s="315"/>
      <c r="T63" s="315"/>
      <c r="U63" s="341">
        <v>45714</v>
      </c>
      <c r="V63" s="340">
        <f t="shared" ca="1" si="14"/>
        <v>3</v>
      </c>
      <c r="W63" s="292">
        <f t="shared" ca="1" si="10"/>
        <v>2025</v>
      </c>
      <c r="X63" s="291" t="str">
        <f t="shared" ca="1" si="11"/>
        <v>5 WEEK</v>
      </c>
      <c r="Y63" s="329">
        <f t="shared" si="23"/>
        <v>45746</v>
      </c>
      <c r="Z63" s="341" cm="1">
        <f t="array" aca="1" ref="Z63" ca="1">_xlfn.IFS(AD63&lt;100,Y63,Y63&lt;TODAY(),TODAY(),Y63&gt;TODAY(),Y63,Y63=TODAY(),Y63)</f>
        <v>45746</v>
      </c>
      <c r="AA63" s="315"/>
      <c r="AB63" s="301"/>
      <c r="AC63" s="301"/>
      <c r="AD63" s="298">
        <f t="shared" si="2"/>
        <v>0</v>
      </c>
      <c r="AE63" s="299" t="str">
        <f t="shared" si="3"/>
        <v>Complete</v>
      </c>
      <c r="AF63" s="340"/>
      <c r="AG63" s="301"/>
      <c r="AH63" s="343"/>
      <c r="AI63" s="301">
        <f t="shared" ca="1" si="0"/>
        <v>0</v>
      </c>
      <c r="AJ63" s="302">
        <f t="shared" ca="1" si="1"/>
        <v>0</v>
      </c>
      <c r="AL63" s="303">
        <f t="shared" si="4"/>
        <v>3745320</v>
      </c>
      <c r="AM63" s="303">
        <f t="shared" si="5"/>
        <v>0</v>
      </c>
      <c r="AN63" s="303">
        <f t="shared" si="6"/>
        <v>3745320</v>
      </c>
      <c r="AO63" s="304">
        <f t="shared" si="7"/>
        <v>0</v>
      </c>
      <c r="AP63" s="273">
        <f t="shared" si="15"/>
        <v>3</v>
      </c>
      <c r="AQ63" s="273" t="str">
        <f t="shared" ca="1" si="8"/>
        <v>32025</v>
      </c>
    </row>
    <row r="64" spans="1:43" ht="16.5">
      <c r="A64" s="392">
        <v>4</v>
      </c>
      <c r="B64" s="322" t="s">
        <v>1644</v>
      </c>
      <c r="C64" s="332" t="s">
        <v>1645</v>
      </c>
      <c r="D64" s="340" t="s">
        <v>610</v>
      </c>
      <c r="E64" s="506">
        <v>45579</v>
      </c>
      <c r="F64" s="507">
        <v>71</v>
      </c>
      <c r="G64" s="519">
        <v>5078400</v>
      </c>
      <c r="H64" s="301">
        <v>914112</v>
      </c>
      <c r="I64" s="536">
        <v>5992512</v>
      </c>
      <c r="J64" s="536"/>
      <c r="K64" s="514" t="s">
        <v>1667</v>
      </c>
      <c r="L64" s="392" t="s">
        <v>1595</v>
      </c>
      <c r="M64" s="324">
        <v>0.2</v>
      </c>
      <c r="N64" s="526" t="s">
        <v>1593</v>
      </c>
      <c r="O64" s="546" t="s">
        <v>1684</v>
      </c>
      <c r="P64" s="550">
        <v>45737</v>
      </c>
      <c r="Q64" s="517" t="s">
        <v>1685</v>
      </c>
      <c r="R64" s="417">
        <v>5992512</v>
      </c>
      <c r="S64" s="315"/>
      <c r="T64" s="315"/>
      <c r="U64" s="341">
        <v>45714</v>
      </c>
      <c r="V64" s="340">
        <f t="shared" ca="1" si="14"/>
        <v>3</v>
      </c>
      <c r="W64" s="292">
        <f t="shared" ca="1" si="10"/>
        <v>2025</v>
      </c>
      <c r="X64" s="291" t="str">
        <f t="shared" ca="1" si="11"/>
        <v>3 WEEK</v>
      </c>
      <c r="Y64" s="329">
        <f t="shared" si="23"/>
        <v>45737</v>
      </c>
      <c r="Z64" s="341" cm="1">
        <f t="array" aca="1" ref="Z64" ca="1">_xlfn.IFS(AD64&lt;100,Y64,Y64&lt;TODAY(),TODAY(),Y64&gt;TODAY(),Y64,Y64=TODAY(),Y64)</f>
        <v>45737</v>
      </c>
      <c r="AA64" s="315"/>
      <c r="AB64" s="301"/>
      <c r="AC64" s="301"/>
      <c r="AD64" s="298">
        <f t="shared" si="2"/>
        <v>0</v>
      </c>
      <c r="AE64" s="299" t="str">
        <f t="shared" si="3"/>
        <v>Complete</v>
      </c>
      <c r="AF64" s="340"/>
      <c r="AG64" s="301"/>
      <c r="AH64" s="343"/>
      <c r="AI64" s="301">
        <f t="shared" ca="1" si="0"/>
        <v>0</v>
      </c>
      <c r="AJ64" s="302">
        <f t="shared" ca="1" si="1"/>
        <v>0</v>
      </c>
      <c r="AL64" s="303">
        <f t="shared" si="4"/>
        <v>5992512</v>
      </c>
      <c r="AM64" s="303">
        <f t="shared" si="5"/>
        <v>0</v>
      </c>
      <c r="AN64" s="303">
        <f t="shared" si="6"/>
        <v>5992512</v>
      </c>
      <c r="AO64" s="304">
        <f t="shared" si="7"/>
        <v>0</v>
      </c>
      <c r="AP64" s="273">
        <f t="shared" si="15"/>
        <v>3</v>
      </c>
      <c r="AQ64" s="273" t="str">
        <f t="shared" ca="1" si="8"/>
        <v>32025</v>
      </c>
    </row>
    <row r="65" spans="1:43" ht="16.5">
      <c r="A65" s="392">
        <v>4</v>
      </c>
      <c r="B65" s="322" t="s">
        <v>1644</v>
      </c>
      <c r="C65" s="332" t="s">
        <v>1645</v>
      </c>
      <c r="D65" s="340" t="s">
        <v>610</v>
      </c>
      <c r="E65" s="506">
        <v>45579</v>
      </c>
      <c r="F65" s="507">
        <v>71</v>
      </c>
      <c r="G65" s="519">
        <v>12696000</v>
      </c>
      <c r="H65" s="301">
        <v>2285280</v>
      </c>
      <c r="I65" s="536">
        <v>14981280</v>
      </c>
      <c r="J65" s="536"/>
      <c r="K65" s="514" t="s">
        <v>1667</v>
      </c>
      <c r="L65" s="392" t="s">
        <v>1595</v>
      </c>
      <c r="M65" s="324">
        <v>0.2</v>
      </c>
      <c r="N65" s="526" t="s">
        <v>1593</v>
      </c>
      <c r="O65" s="546" t="s">
        <v>1686</v>
      </c>
      <c r="P65" s="516">
        <v>45744</v>
      </c>
      <c r="Q65" s="517" t="s">
        <v>1687</v>
      </c>
      <c r="R65" s="417">
        <v>14981280</v>
      </c>
      <c r="S65" s="315"/>
      <c r="T65" s="315"/>
      <c r="U65" s="341">
        <v>45714</v>
      </c>
      <c r="V65" s="340">
        <f t="shared" ca="1" si="14"/>
        <v>3</v>
      </c>
      <c r="W65" s="292">
        <f t="shared" ca="1" si="10"/>
        <v>2025</v>
      </c>
      <c r="X65" s="291" t="str">
        <f t="shared" ca="1" si="11"/>
        <v>4 WEEK</v>
      </c>
      <c r="Y65" s="329">
        <f t="shared" si="23"/>
        <v>45744</v>
      </c>
      <c r="Z65" s="341" cm="1">
        <f t="array" aca="1" ref="Z65" ca="1">_xlfn.IFS(AD65&lt;100,Y65,Y65&lt;TODAY(),TODAY(),Y65&gt;TODAY(),Y65,Y65=TODAY(),Y65)</f>
        <v>45744</v>
      </c>
      <c r="AA65" s="315"/>
      <c r="AB65" s="301"/>
      <c r="AC65" s="301"/>
      <c r="AD65" s="298">
        <f t="shared" si="2"/>
        <v>0</v>
      </c>
      <c r="AE65" s="299" t="str">
        <f t="shared" si="3"/>
        <v>Complete</v>
      </c>
      <c r="AF65" s="340"/>
      <c r="AG65" s="301"/>
      <c r="AH65" s="343"/>
      <c r="AI65" s="301">
        <f t="shared" ca="1" si="0"/>
        <v>0</v>
      </c>
      <c r="AJ65" s="302">
        <f t="shared" ca="1" si="1"/>
        <v>0</v>
      </c>
      <c r="AL65" s="303">
        <f t="shared" si="4"/>
        <v>14981280</v>
      </c>
      <c r="AM65" s="303">
        <f t="shared" si="5"/>
        <v>0</v>
      </c>
      <c r="AN65" s="303">
        <f t="shared" si="6"/>
        <v>14981280</v>
      </c>
      <c r="AO65" s="304">
        <f t="shared" si="7"/>
        <v>0</v>
      </c>
      <c r="AP65" s="273">
        <f t="shared" si="15"/>
        <v>3</v>
      </c>
      <c r="AQ65" s="273" t="str">
        <f t="shared" ca="1" si="8"/>
        <v>32025</v>
      </c>
    </row>
    <row r="66" spans="1:43" ht="16.5">
      <c r="A66" s="392">
        <v>4</v>
      </c>
      <c r="B66" s="322" t="s">
        <v>1644</v>
      </c>
      <c r="C66" s="332" t="s">
        <v>1645</v>
      </c>
      <c r="D66" s="340" t="s">
        <v>610</v>
      </c>
      <c r="E66" s="506">
        <v>45579</v>
      </c>
      <c r="F66" s="507">
        <v>71</v>
      </c>
      <c r="G66" s="519">
        <v>8887200</v>
      </c>
      <c r="H66" s="301">
        <v>1599696</v>
      </c>
      <c r="I66" s="536">
        <v>10486896</v>
      </c>
      <c r="J66" s="536"/>
      <c r="K66" s="392" t="s">
        <v>1667</v>
      </c>
      <c r="L66" s="392" t="s">
        <v>1595</v>
      </c>
      <c r="M66" s="324">
        <v>0.2</v>
      </c>
      <c r="N66" s="526" t="s">
        <v>1593</v>
      </c>
      <c r="O66" s="546" t="s">
        <v>1688</v>
      </c>
      <c r="P66" s="550">
        <v>45740</v>
      </c>
      <c r="Q66" s="517" t="s">
        <v>1689</v>
      </c>
      <c r="R66" s="417">
        <v>10486896</v>
      </c>
      <c r="S66" s="315"/>
      <c r="T66" s="315"/>
      <c r="U66" s="341">
        <v>45714</v>
      </c>
      <c r="V66" s="340">
        <f t="shared" ca="1" si="14"/>
        <v>3</v>
      </c>
      <c r="W66" s="292">
        <f t="shared" ca="1" si="10"/>
        <v>2025</v>
      </c>
      <c r="X66" s="291" t="str">
        <f t="shared" ca="1" si="11"/>
        <v>4 WEEK</v>
      </c>
      <c r="Y66" s="329">
        <f t="shared" si="23"/>
        <v>45740</v>
      </c>
      <c r="Z66" s="341" cm="1">
        <f t="array" aca="1" ref="Z66" ca="1">_xlfn.IFS(AD66&lt;100,Y66,Y66&lt;TODAY(),TODAY(),Y66&gt;TODAY(),Y66,Y66=TODAY(),Y66)</f>
        <v>45740</v>
      </c>
      <c r="AA66" s="315"/>
      <c r="AB66" s="301"/>
      <c r="AC66" s="301"/>
      <c r="AD66" s="298">
        <f t="shared" si="2"/>
        <v>0</v>
      </c>
      <c r="AE66" s="299" t="str">
        <f t="shared" si="3"/>
        <v>Complete</v>
      </c>
      <c r="AF66" s="340"/>
      <c r="AG66" s="301"/>
      <c r="AH66" s="343"/>
      <c r="AI66" s="301">
        <f t="shared" ref="AI66:AI129" ca="1" si="24">Z66-Y66</f>
        <v>0</v>
      </c>
      <c r="AJ66" s="302">
        <f t="shared" ref="AJ66:AJ129" ca="1" si="25">IF(AI66&gt;1,"Delayed",0)</f>
        <v>0</v>
      </c>
      <c r="AL66" s="303">
        <f t="shared" si="4"/>
        <v>10486896</v>
      </c>
      <c r="AM66" s="303">
        <f t="shared" si="5"/>
        <v>0</v>
      </c>
      <c r="AN66" s="303">
        <f t="shared" si="6"/>
        <v>10486896</v>
      </c>
      <c r="AO66" s="304">
        <f t="shared" si="7"/>
        <v>0</v>
      </c>
      <c r="AP66" s="273">
        <f t="shared" si="15"/>
        <v>3</v>
      </c>
      <c r="AQ66" s="273" t="str">
        <f t="shared" ca="1" si="8"/>
        <v>32025</v>
      </c>
    </row>
    <row r="67" spans="1:43" ht="16.5">
      <c r="A67" s="392">
        <v>4</v>
      </c>
      <c r="B67" s="322" t="s">
        <v>1644</v>
      </c>
      <c r="C67" s="332" t="s">
        <v>1645</v>
      </c>
      <c r="D67" s="340" t="s">
        <v>610</v>
      </c>
      <c r="E67" s="506">
        <v>45579</v>
      </c>
      <c r="F67" s="507">
        <v>71</v>
      </c>
      <c r="G67" s="519">
        <v>3808800</v>
      </c>
      <c r="H67" s="301">
        <v>685584</v>
      </c>
      <c r="I67" s="536">
        <v>4494384</v>
      </c>
      <c r="J67" s="536"/>
      <c r="K67" s="551" t="s">
        <v>1667</v>
      </c>
      <c r="L67" s="392" t="s">
        <v>1595</v>
      </c>
      <c r="M67" s="324">
        <v>0.2</v>
      </c>
      <c r="N67" s="526" t="s">
        <v>1593</v>
      </c>
      <c r="O67" s="552" t="s">
        <v>1690</v>
      </c>
      <c r="P67" s="553">
        <v>45873</v>
      </c>
      <c r="Q67" s="554" t="s">
        <v>1691</v>
      </c>
      <c r="R67" s="417">
        <v>4494384</v>
      </c>
      <c r="S67" s="315"/>
      <c r="T67" s="315"/>
      <c r="U67" s="341">
        <v>45714</v>
      </c>
      <c r="V67" s="340">
        <f t="shared" ca="1" si="14"/>
        <v>8</v>
      </c>
      <c r="W67" s="292">
        <f t="shared" ca="1" si="10"/>
        <v>2025</v>
      </c>
      <c r="X67" s="291" t="str">
        <f t="shared" ca="1" si="11"/>
        <v>1 WEEK</v>
      </c>
      <c r="Y67" s="436">
        <f>P67+T67</f>
        <v>45873</v>
      </c>
      <c r="Z67" s="541" cm="1">
        <f t="array" aca="1" ref="Z67" ca="1">_xlfn.IFS(AD67&lt;100,Y67,Y67&lt;TODAY(),TODAY(),Y67&gt;TODAY(),Y67,Y67=TODAY(),Y67)</f>
        <v>45873</v>
      </c>
      <c r="AA67" s="315"/>
      <c r="AB67" s="301"/>
      <c r="AC67" s="301"/>
      <c r="AD67" s="298">
        <f t="shared" ref="AD67:AD130" si="26">ROUND(AA67-AB67-AC67,0)</f>
        <v>0</v>
      </c>
      <c r="AE67" s="299" t="str">
        <f t="shared" ref="AE67:AE130" si="27">IF(AD67&lt;100,"Complete","Incomplete")</f>
        <v>Complete</v>
      </c>
      <c r="AF67" s="340"/>
      <c r="AG67" s="301"/>
      <c r="AH67" s="343"/>
      <c r="AI67" s="301">
        <f t="shared" ca="1" si="24"/>
        <v>0</v>
      </c>
      <c r="AJ67" s="302">
        <f t="shared" ca="1" si="25"/>
        <v>0</v>
      </c>
      <c r="AL67" s="303">
        <f t="shared" ref="AL67:AL130" si="28">I67-J67</f>
        <v>4494384</v>
      </c>
      <c r="AM67" s="303">
        <f t="shared" ref="AM67:AM130" si="29">IFERROR(I67-R67,0)</f>
        <v>0</v>
      </c>
      <c r="AN67" s="303">
        <f t="shared" ref="AN67:AN130" si="30">IFERROR(R67-J67,0)</f>
        <v>4494384</v>
      </c>
      <c r="AO67" s="304">
        <f t="shared" ref="AO67:AO130" si="31">IFERROR(P67/J67,0)</f>
        <v>0</v>
      </c>
      <c r="AP67" s="273">
        <f t="shared" si="15"/>
        <v>8</v>
      </c>
      <c r="AQ67" s="273" t="str">
        <f t="shared" ref="AQ67:AQ130" ca="1" si="32">AP67&amp;W67</f>
        <v>82025</v>
      </c>
    </row>
    <row r="68" spans="1:43" ht="16.5">
      <c r="A68" s="392">
        <v>4</v>
      </c>
      <c r="B68" s="322" t="s">
        <v>1644</v>
      </c>
      <c r="C68" s="332" t="s">
        <v>1645</v>
      </c>
      <c r="D68" s="340" t="s">
        <v>610</v>
      </c>
      <c r="E68" s="506">
        <v>45579</v>
      </c>
      <c r="F68" s="507">
        <v>71</v>
      </c>
      <c r="G68" s="519">
        <v>8887200</v>
      </c>
      <c r="H68" s="301">
        <v>1599696</v>
      </c>
      <c r="I68" s="536">
        <v>10486896</v>
      </c>
      <c r="J68" s="536"/>
      <c r="K68" s="551" t="s">
        <v>1667</v>
      </c>
      <c r="L68" s="392" t="s">
        <v>1595</v>
      </c>
      <c r="M68" s="324">
        <v>0.2</v>
      </c>
      <c r="N68" s="526" t="s">
        <v>1593</v>
      </c>
      <c r="O68" s="552" t="s">
        <v>1692</v>
      </c>
      <c r="P68" s="553">
        <v>45873</v>
      </c>
      <c r="Q68" s="554" t="s">
        <v>1693</v>
      </c>
      <c r="R68" s="417">
        <v>10486896</v>
      </c>
      <c r="S68" s="315"/>
      <c r="T68" s="315"/>
      <c r="U68" s="341">
        <v>45714</v>
      </c>
      <c r="V68" s="340">
        <f t="shared" ca="1" si="14"/>
        <v>8</v>
      </c>
      <c r="W68" s="292">
        <f t="shared" ref="W68:W131" ca="1" si="33">YEAR(Z68)</f>
        <v>2025</v>
      </c>
      <c r="X68" s="291" t="str">
        <f t="shared" ref="X68:X131" ca="1" si="34">INT((DAY(Z68)-1)/7)+1&amp;" WEEK"</f>
        <v>1 WEEK</v>
      </c>
      <c r="Y68" s="436">
        <f>P68+T68</f>
        <v>45873</v>
      </c>
      <c r="Z68" s="541" cm="1">
        <f t="array" aca="1" ref="Z68" ca="1">_xlfn.IFS(AD68&lt;100,Y68,Y68&lt;TODAY(),TODAY(),Y68&gt;TODAY(),Y68,Y68=TODAY(),Y68)</f>
        <v>45873</v>
      </c>
      <c r="AA68" s="315"/>
      <c r="AB68" s="301"/>
      <c r="AC68" s="301"/>
      <c r="AD68" s="298">
        <f t="shared" si="26"/>
        <v>0</v>
      </c>
      <c r="AE68" s="299" t="str">
        <f t="shared" si="27"/>
        <v>Complete</v>
      </c>
      <c r="AF68" s="340"/>
      <c r="AG68" s="301"/>
      <c r="AH68" s="343"/>
      <c r="AI68" s="301">
        <f t="shared" ca="1" si="24"/>
        <v>0</v>
      </c>
      <c r="AJ68" s="302">
        <f t="shared" ca="1" si="25"/>
        <v>0</v>
      </c>
      <c r="AL68" s="303">
        <f t="shared" si="28"/>
        <v>10486896</v>
      </c>
      <c r="AM68" s="303">
        <f t="shared" si="29"/>
        <v>0</v>
      </c>
      <c r="AN68" s="303">
        <f t="shared" si="30"/>
        <v>10486896</v>
      </c>
      <c r="AO68" s="304">
        <f t="shared" si="31"/>
        <v>0</v>
      </c>
      <c r="AP68" s="273">
        <f t="shared" si="15"/>
        <v>8</v>
      </c>
      <c r="AQ68" s="273" t="str">
        <f t="shared" ca="1" si="32"/>
        <v>82025</v>
      </c>
    </row>
    <row r="69" spans="1:43" ht="16.5">
      <c r="A69" s="392">
        <v>4</v>
      </c>
      <c r="B69" s="322" t="s">
        <v>1644</v>
      </c>
      <c r="C69" s="332" t="s">
        <v>1645</v>
      </c>
      <c r="D69" s="340" t="s">
        <v>610</v>
      </c>
      <c r="E69" s="506">
        <v>45579</v>
      </c>
      <c r="F69" s="507">
        <v>71</v>
      </c>
      <c r="G69" s="519">
        <v>9522000</v>
      </c>
      <c r="H69" s="301">
        <v>1713960</v>
      </c>
      <c r="I69" s="536">
        <v>11235960</v>
      </c>
      <c r="J69" s="536"/>
      <c r="K69" s="551" t="s">
        <v>1667</v>
      </c>
      <c r="L69" s="392" t="s">
        <v>1595</v>
      </c>
      <c r="M69" s="324">
        <v>0.2</v>
      </c>
      <c r="N69" s="526" t="s">
        <v>1593</v>
      </c>
      <c r="O69" s="552" t="s">
        <v>1694</v>
      </c>
      <c r="P69" s="555">
        <v>45873</v>
      </c>
      <c r="Q69" s="556" t="s">
        <v>1695</v>
      </c>
      <c r="R69" s="417">
        <v>11235960</v>
      </c>
      <c r="S69" s="315"/>
      <c r="T69" s="315"/>
      <c r="U69" s="341">
        <v>45714</v>
      </c>
      <c r="V69" s="340">
        <f t="shared" ref="V69:V132" ca="1" si="35">MONTH(Z69)</f>
        <v>8</v>
      </c>
      <c r="W69" s="292">
        <f t="shared" ca="1" si="33"/>
        <v>2025</v>
      </c>
      <c r="X69" s="291" t="str">
        <f t="shared" ca="1" si="34"/>
        <v>1 WEEK</v>
      </c>
      <c r="Y69" s="436">
        <f>P69+T69</f>
        <v>45873</v>
      </c>
      <c r="Z69" s="541" cm="1">
        <f t="array" aca="1" ref="Z69" ca="1">_xlfn.IFS(AD69&lt;100,Y69,Y69&lt;TODAY(),TODAY(),Y69&gt;TODAY(),Y69,Y69=TODAY(),Y69)</f>
        <v>45873</v>
      </c>
      <c r="AA69" s="315"/>
      <c r="AB69" s="301"/>
      <c r="AC69" s="301"/>
      <c r="AD69" s="298">
        <f t="shared" si="26"/>
        <v>0</v>
      </c>
      <c r="AE69" s="299" t="str">
        <f t="shared" si="27"/>
        <v>Complete</v>
      </c>
      <c r="AF69" s="340"/>
      <c r="AG69" s="301"/>
      <c r="AH69" s="343"/>
      <c r="AI69" s="301">
        <f t="shared" ca="1" si="24"/>
        <v>0</v>
      </c>
      <c r="AJ69" s="302">
        <f t="shared" ca="1" si="25"/>
        <v>0</v>
      </c>
      <c r="AL69" s="303">
        <f t="shared" si="28"/>
        <v>11235960</v>
      </c>
      <c r="AM69" s="303">
        <f t="shared" si="29"/>
        <v>0</v>
      </c>
      <c r="AN69" s="303">
        <f t="shared" si="30"/>
        <v>11235960</v>
      </c>
      <c r="AO69" s="304">
        <f t="shared" si="31"/>
        <v>0</v>
      </c>
      <c r="AP69" s="273">
        <f t="shared" ref="AP69:AP132" si="36">MONTH(P69)</f>
        <v>8</v>
      </c>
      <c r="AQ69" s="273" t="str">
        <f t="shared" ca="1" si="32"/>
        <v>82025</v>
      </c>
    </row>
    <row r="70" spans="1:43" ht="16.5">
      <c r="A70" s="392">
        <v>4</v>
      </c>
      <c r="B70" s="322" t="s">
        <v>1644</v>
      </c>
      <c r="C70" s="332" t="s">
        <v>1645</v>
      </c>
      <c r="D70" s="340" t="s">
        <v>610</v>
      </c>
      <c r="E70" s="506">
        <v>45579</v>
      </c>
      <c r="F70" s="507">
        <v>71</v>
      </c>
      <c r="G70" s="519">
        <v>9522000</v>
      </c>
      <c r="H70" s="301">
        <v>1713960</v>
      </c>
      <c r="I70" s="536">
        <v>11235960</v>
      </c>
      <c r="J70" s="536"/>
      <c r="K70" s="514" t="s">
        <v>1667</v>
      </c>
      <c r="L70" s="392" t="s">
        <v>1595</v>
      </c>
      <c r="M70" s="324">
        <v>0.2</v>
      </c>
      <c r="N70" s="526" t="s">
        <v>1593</v>
      </c>
      <c r="O70" s="546" t="s">
        <v>1696</v>
      </c>
      <c r="P70" s="557">
        <v>45737</v>
      </c>
      <c r="Q70" s="392" t="s">
        <v>1697</v>
      </c>
      <c r="R70" s="417">
        <v>11235960</v>
      </c>
      <c r="S70" s="315"/>
      <c r="T70" s="315"/>
      <c r="U70" s="341">
        <v>45714</v>
      </c>
      <c r="V70" s="340">
        <f t="shared" ca="1" si="35"/>
        <v>3</v>
      </c>
      <c r="W70" s="292">
        <f t="shared" ca="1" si="33"/>
        <v>2025</v>
      </c>
      <c r="X70" s="291" t="str">
        <f t="shared" ca="1" si="34"/>
        <v>3 WEEK</v>
      </c>
      <c r="Y70" s="329">
        <f t="shared" ref="Y70:Y71" si="37">P70+T70</f>
        <v>45737</v>
      </c>
      <c r="Z70" s="341" cm="1">
        <f t="array" aca="1" ref="Z70" ca="1">_xlfn.IFS(AD70&lt;100,Y70,Y70&lt;TODAY(),TODAY(),Y70&gt;TODAY(),Y70,Y70=TODAY(),Y70)</f>
        <v>45737</v>
      </c>
      <c r="AA70" s="315"/>
      <c r="AB70" s="301"/>
      <c r="AC70" s="301"/>
      <c r="AD70" s="298">
        <f t="shared" si="26"/>
        <v>0</v>
      </c>
      <c r="AE70" s="299" t="str">
        <f t="shared" si="27"/>
        <v>Complete</v>
      </c>
      <c r="AF70" s="340"/>
      <c r="AG70" s="301"/>
      <c r="AH70" s="343"/>
      <c r="AI70" s="301">
        <f t="shared" ca="1" si="24"/>
        <v>0</v>
      </c>
      <c r="AJ70" s="302">
        <f t="shared" ca="1" si="25"/>
        <v>0</v>
      </c>
      <c r="AL70" s="303">
        <f t="shared" si="28"/>
        <v>11235960</v>
      </c>
      <c r="AM70" s="303">
        <f t="shared" si="29"/>
        <v>0</v>
      </c>
      <c r="AN70" s="303">
        <f t="shared" si="30"/>
        <v>11235960</v>
      </c>
      <c r="AO70" s="304">
        <f t="shared" si="31"/>
        <v>0</v>
      </c>
      <c r="AP70" s="273">
        <f t="shared" si="36"/>
        <v>3</v>
      </c>
      <c r="AQ70" s="273" t="str">
        <f t="shared" ca="1" si="32"/>
        <v>32025</v>
      </c>
    </row>
    <row r="71" spans="1:43" ht="16.5">
      <c r="A71" s="392">
        <v>4</v>
      </c>
      <c r="B71" s="322" t="s">
        <v>1644</v>
      </c>
      <c r="C71" s="332" t="s">
        <v>1645</v>
      </c>
      <c r="D71" s="340" t="s">
        <v>610</v>
      </c>
      <c r="E71" s="506">
        <v>45579</v>
      </c>
      <c r="F71" s="507">
        <v>71</v>
      </c>
      <c r="G71" s="519">
        <v>1269600</v>
      </c>
      <c r="H71" s="301">
        <v>228528</v>
      </c>
      <c r="I71" s="536">
        <v>1498128</v>
      </c>
      <c r="J71" s="536"/>
      <c r="K71" s="514" t="s">
        <v>1667</v>
      </c>
      <c r="L71" s="392" t="s">
        <v>1595</v>
      </c>
      <c r="M71" s="324">
        <v>0.2</v>
      </c>
      <c r="N71" s="526" t="s">
        <v>1593</v>
      </c>
      <c r="O71" s="546" t="s">
        <v>1698</v>
      </c>
      <c r="P71" s="557">
        <v>45737</v>
      </c>
      <c r="Q71" s="392" t="s">
        <v>1699</v>
      </c>
      <c r="R71" s="417">
        <v>1498128</v>
      </c>
      <c r="S71" s="315"/>
      <c r="T71" s="315"/>
      <c r="U71" s="341">
        <v>45714</v>
      </c>
      <c r="V71" s="340">
        <f t="shared" ca="1" si="35"/>
        <v>3</v>
      </c>
      <c r="W71" s="292">
        <f t="shared" ca="1" si="33"/>
        <v>2025</v>
      </c>
      <c r="X71" s="291" t="str">
        <f t="shared" ca="1" si="34"/>
        <v>3 WEEK</v>
      </c>
      <c r="Y71" s="329">
        <f t="shared" si="37"/>
        <v>45737</v>
      </c>
      <c r="Z71" s="341" cm="1">
        <f t="array" aca="1" ref="Z71" ca="1">_xlfn.IFS(AD71&lt;100,Y71,Y71&lt;TODAY(),TODAY(),Y71&gt;TODAY(),Y71,Y71=TODAY(),Y71)</f>
        <v>45737</v>
      </c>
      <c r="AA71" s="315"/>
      <c r="AB71" s="301"/>
      <c r="AC71" s="301"/>
      <c r="AD71" s="298">
        <f t="shared" si="26"/>
        <v>0</v>
      </c>
      <c r="AE71" s="299" t="str">
        <f t="shared" si="27"/>
        <v>Complete</v>
      </c>
      <c r="AF71" s="340"/>
      <c r="AG71" s="301"/>
      <c r="AH71" s="343"/>
      <c r="AI71" s="301">
        <f t="shared" ca="1" si="24"/>
        <v>0</v>
      </c>
      <c r="AJ71" s="302">
        <f t="shared" ca="1" si="25"/>
        <v>0</v>
      </c>
      <c r="AL71" s="303">
        <f t="shared" si="28"/>
        <v>1498128</v>
      </c>
      <c r="AM71" s="303">
        <f t="shared" si="29"/>
        <v>0</v>
      </c>
      <c r="AN71" s="303">
        <f t="shared" si="30"/>
        <v>1498128</v>
      </c>
      <c r="AO71" s="304">
        <f t="shared" si="31"/>
        <v>0</v>
      </c>
      <c r="AP71" s="273">
        <f t="shared" si="36"/>
        <v>3</v>
      </c>
      <c r="AQ71" s="273" t="str">
        <f t="shared" ca="1" si="32"/>
        <v>32025</v>
      </c>
    </row>
    <row r="72" spans="1:43" ht="16.5">
      <c r="A72" s="392">
        <v>4</v>
      </c>
      <c r="B72" s="322" t="s">
        <v>1644</v>
      </c>
      <c r="C72" s="332" t="s">
        <v>1645</v>
      </c>
      <c r="D72" s="340" t="s">
        <v>610</v>
      </c>
      <c r="E72" s="506">
        <v>45579</v>
      </c>
      <c r="F72" s="507">
        <v>71</v>
      </c>
      <c r="G72" s="519">
        <v>2539200</v>
      </c>
      <c r="H72" s="301">
        <v>457056</v>
      </c>
      <c r="I72" s="536">
        <v>2996256</v>
      </c>
      <c r="J72" s="536"/>
      <c r="K72" s="551" t="s">
        <v>1667</v>
      </c>
      <c r="L72" s="392" t="s">
        <v>1595</v>
      </c>
      <c r="M72" s="324">
        <v>0.2</v>
      </c>
      <c r="N72" s="526" t="s">
        <v>1593</v>
      </c>
      <c r="O72" s="552" t="s">
        <v>1700</v>
      </c>
      <c r="P72" s="553">
        <v>45889</v>
      </c>
      <c r="Q72" s="540"/>
      <c r="R72" s="417"/>
      <c r="S72" s="315"/>
      <c r="T72" s="315"/>
      <c r="U72" s="341">
        <v>45714</v>
      </c>
      <c r="V72" s="340">
        <f t="shared" ca="1" si="35"/>
        <v>8</v>
      </c>
      <c r="W72" s="292">
        <f t="shared" ca="1" si="33"/>
        <v>2025</v>
      </c>
      <c r="X72" s="291" t="str">
        <f t="shared" ca="1" si="34"/>
        <v>3 WEEK</v>
      </c>
      <c r="Y72" s="436">
        <f>P72+T72</f>
        <v>45889</v>
      </c>
      <c r="Z72" s="541" cm="1">
        <f t="array" aca="1" ref="Z72" ca="1">_xlfn.IFS(AD72&lt;100,Y72,Y72&lt;TODAY(),TODAY(),Y72&gt;TODAY(),Y72,Y72=TODAY(),Y72)</f>
        <v>45889</v>
      </c>
      <c r="AA72" s="315"/>
      <c r="AB72" s="301"/>
      <c r="AC72" s="301"/>
      <c r="AD72" s="298">
        <f t="shared" si="26"/>
        <v>0</v>
      </c>
      <c r="AE72" s="299" t="str">
        <f t="shared" si="27"/>
        <v>Complete</v>
      </c>
      <c r="AF72" s="340"/>
      <c r="AG72" s="301"/>
      <c r="AH72" s="343"/>
      <c r="AI72" s="301">
        <f t="shared" ca="1" si="24"/>
        <v>0</v>
      </c>
      <c r="AJ72" s="302">
        <f t="shared" ca="1" si="25"/>
        <v>0</v>
      </c>
      <c r="AL72" s="303">
        <f t="shared" si="28"/>
        <v>2996256</v>
      </c>
      <c r="AM72" s="303">
        <f t="shared" si="29"/>
        <v>2996256</v>
      </c>
      <c r="AN72" s="303">
        <f t="shared" si="30"/>
        <v>0</v>
      </c>
      <c r="AO72" s="304">
        <f t="shared" si="31"/>
        <v>0</v>
      </c>
      <c r="AP72" s="273">
        <f t="shared" si="36"/>
        <v>8</v>
      </c>
      <c r="AQ72" s="273" t="str">
        <f t="shared" ca="1" si="32"/>
        <v>82025</v>
      </c>
    </row>
    <row r="73" spans="1:43" ht="16.5">
      <c r="A73" s="392">
        <v>4</v>
      </c>
      <c r="B73" s="322" t="s">
        <v>1644</v>
      </c>
      <c r="C73" s="332" t="s">
        <v>1645</v>
      </c>
      <c r="D73" s="340" t="s">
        <v>610</v>
      </c>
      <c r="E73" s="506">
        <v>45579</v>
      </c>
      <c r="F73" s="507">
        <v>71</v>
      </c>
      <c r="G73" s="519">
        <v>87602400</v>
      </c>
      <c r="H73" s="301">
        <v>15768432</v>
      </c>
      <c r="I73" s="536">
        <v>103370832</v>
      </c>
      <c r="J73" s="536"/>
      <c r="K73" s="514" t="s">
        <v>1701</v>
      </c>
      <c r="L73" s="392" t="s">
        <v>1595</v>
      </c>
      <c r="M73" s="324">
        <v>7.0000000000000007E-2</v>
      </c>
      <c r="N73" s="526" t="s">
        <v>1593</v>
      </c>
      <c r="O73" s="546" t="s">
        <v>1702</v>
      </c>
      <c r="P73" s="516">
        <v>45740</v>
      </c>
      <c r="Q73" s="517" t="s">
        <v>1703</v>
      </c>
      <c r="R73" s="417">
        <v>103370832</v>
      </c>
      <c r="S73" s="315"/>
      <c r="T73" s="315"/>
      <c r="U73" s="341">
        <v>45714</v>
      </c>
      <c r="V73" s="340">
        <f t="shared" si="35"/>
        <v>8</v>
      </c>
      <c r="W73" s="292">
        <f t="shared" si="33"/>
        <v>2025</v>
      </c>
      <c r="X73" s="291" t="str">
        <f t="shared" si="34"/>
        <v>5 WEEK</v>
      </c>
      <c r="Y73" s="329">
        <v>45838</v>
      </c>
      <c r="Z73" s="341">
        <v>45899</v>
      </c>
      <c r="AA73" s="315">
        <f>SUM(I41:I82)*M73</f>
        <v>168560560.00000003</v>
      </c>
      <c r="AB73" s="518">
        <v>39245490.900000095</v>
      </c>
      <c r="AC73" s="301">
        <f>AB73/99.9%*0.1%</f>
        <v>39284.775675675766</v>
      </c>
      <c r="AD73" s="530">
        <f t="shared" si="26"/>
        <v>129275784</v>
      </c>
      <c r="AE73" s="299" t="str">
        <f t="shared" si="27"/>
        <v>Incomplete</v>
      </c>
      <c r="AF73" s="340"/>
      <c r="AG73" s="301"/>
      <c r="AH73" s="343"/>
      <c r="AI73" s="301">
        <f t="shared" si="24"/>
        <v>61</v>
      </c>
      <c r="AJ73" s="302" t="str">
        <f t="shared" si="25"/>
        <v>Delayed</v>
      </c>
      <c r="AL73" s="303">
        <f t="shared" si="28"/>
        <v>103370832</v>
      </c>
      <c r="AM73" s="303">
        <f t="shared" si="29"/>
        <v>0</v>
      </c>
      <c r="AN73" s="303">
        <f t="shared" si="30"/>
        <v>103370832</v>
      </c>
      <c r="AO73" s="304">
        <f t="shared" si="31"/>
        <v>0</v>
      </c>
      <c r="AP73" s="273">
        <f t="shared" si="36"/>
        <v>3</v>
      </c>
      <c r="AQ73" s="273" t="str">
        <f t="shared" si="32"/>
        <v>32025</v>
      </c>
    </row>
    <row r="74" spans="1:43" ht="16.5">
      <c r="A74" s="392">
        <v>4</v>
      </c>
      <c r="B74" s="322" t="s">
        <v>1644</v>
      </c>
      <c r="C74" s="332" t="s">
        <v>1645</v>
      </c>
      <c r="D74" s="340" t="s">
        <v>610</v>
      </c>
      <c r="E74" s="506">
        <v>45579</v>
      </c>
      <c r="F74" s="507">
        <v>71</v>
      </c>
      <c r="G74" s="519">
        <v>82524000</v>
      </c>
      <c r="H74" s="301">
        <v>14854320</v>
      </c>
      <c r="I74" s="536">
        <v>97378320</v>
      </c>
      <c r="J74" s="536"/>
      <c r="K74" s="514" t="s">
        <v>1701</v>
      </c>
      <c r="L74" s="392" t="s">
        <v>1595</v>
      </c>
      <c r="M74" s="324">
        <v>7.0000000000000007E-2</v>
      </c>
      <c r="N74" s="526" t="s">
        <v>1593</v>
      </c>
      <c r="O74" s="546" t="s">
        <v>1704</v>
      </c>
      <c r="P74" s="516">
        <v>45694</v>
      </c>
      <c r="Q74" s="517" t="s">
        <v>1705</v>
      </c>
      <c r="R74" s="417">
        <v>97378320</v>
      </c>
      <c r="S74" s="315"/>
      <c r="T74" s="315"/>
      <c r="U74" s="341">
        <v>45714</v>
      </c>
      <c r="V74" s="340">
        <f t="shared" ca="1" si="35"/>
        <v>2</v>
      </c>
      <c r="W74" s="292">
        <f t="shared" ca="1" si="33"/>
        <v>2025</v>
      </c>
      <c r="X74" s="291" t="str">
        <f t="shared" ca="1" si="34"/>
        <v>1 WEEK</v>
      </c>
      <c r="Y74" s="329">
        <f t="shared" ref="Y74:Y122" si="38">P74+T74</f>
        <v>45694</v>
      </c>
      <c r="Z74" s="341" cm="1">
        <f t="array" aca="1" ref="Z74" ca="1">_xlfn.IFS(AD74&lt;100,Y74,Y74&lt;TODAY(),TODAY(),Y74&gt;TODAY(),Y74,Y74=TODAY(),Y74)</f>
        <v>45694</v>
      </c>
      <c r="AA74" s="315"/>
      <c r="AB74" s="301"/>
      <c r="AC74" s="301"/>
      <c r="AD74" s="530">
        <f t="shared" si="26"/>
        <v>0</v>
      </c>
      <c r="AE74" s="299" t="str">
        <f t="shared" si="27"/>
        <v>Complete</v>
      </c>
      <c r="AF74" s="340"/>
      <c r="AG74" s="301"/>
      <c r="AH74" s="343"/>
      <c r="AI74" s="301">
        <f t="shared" ca="1" si="24"/>
        <v>0</v>
      </c>
      <c r="AJ74" s="302">
        <f t="shared" ca="1" si="25"/>
        <v>0</v>
      </c>
      <c r="AL74" s="303">
        <f t="shared" si="28"/>
        <v>97378320</v>
      </c>
      <c r="AM74" s="303">
        <f t="shared" si="29"/>
        <v>0</v>
      </c>
      <c r="AN74" s="303">
        <f t="shared" si="30"/>
        <v>97378320</v>
      </c>
      <c r="AO74" s="304">
        <f t="shared" si="31"/>
        <v>0</v>
      </c>
      <c r="AP74" s="273">
        <f t="shared" si="36"/>
        <v>2</v>
      </c>
      <c r="AQ74" s="273" t="str">
        <f t="shared" ca="1" si="32"/>
        <v>22025</v>
      </c>
    </row>
    <row r="75" spans="1:43" ht="16.5">
      <c r="A75" s="392">
        <v>4</v>
      </c>
      <c r="B75" s="322" t="s">
        <v>1644</v>
      </c>
      <c r="C75" s="332" t="s">
        <v>1645</v>
      </c>
      <c r="D75" s="340" t="s">
        <v>610</v>
      </c>
      <c r="E75" s="506">
        <v>45579</v>
      </c>
      <c r="F75" s="507">
        <v>71</v>
      </c>
      <c r="G75" s="519">
        <v>634800</v>
      </c>
      <c r="H75" s="301">
        <v>114264</v>
      </c>
      <c r="I75" s="536">
        <v>749064</v>
      </c>
      <c r="J75" s="536"/>
      <c r="K75" s="551" t="s">
        <v>1701</v>
      </c>
      <c r="L75" s="392" t="s">
        <v>1595</v>
      </c>
      <c r="M75" s="324">
        <v>7.0000000000000007E-2</v>
      </c>
      <c r="N75" s="526" t="s">
        <v>1593</v>
      </c>
      <c r="O75" s="552" t="s">
        <v>1706</v>
      </c>
      <c r="P75" s="555">
        <v>45873</v>
      </c>
      <c r="Q75" s="554" t="s">
        <v>1707</v>
      </c>
      <c r="R75" s="417">
        <v>749064</v>
      </c>
      <c r="S75" s="315"/>
      <c r="T75" s="315"/>
      <c r="U75" s="341">
        <v>45714</v>
      </c>
      <c r="V75" s="340">
        <f t="shared" ca="1" si="35"/>
        <v>8</v>
      </c>
      <c r="W75" s="292">
        <f t="shared" ca="1" si="33"/>
        <v>2025</v>
      </c>
      <c r="X75" s="291" t="str">
        <f t="shared" ca="1" si="34"/>
        <v>1 WEEK</v>
      </c>
      <c r="Y75" s="436">
        <f t="shared" si="38"/>
        <v>45873</v>
      </c>
      <c r="Z75" s="541" cm="1">
        <f t="array" aca="1" ref="Z75" ca="1">_xlfn.IFS(AD75&lt;100,Y75,Y75&lt;TODAY(),TODAY(),Y75&gt;TODAY(),Y75,Y75=TODAY(),Y75)</f>
        <v>45873</v>
      </c>
      <c r="AA75" s="315"/>
      <c r="AB75" s="301"/>
      <c r="AC75" s="301"/>
      <c r="AD75" s="530">
        <f t="shared" si="26"/>
        <v>0</v>
      </c>
      <c r="AE75" s="299" t="str">
        <f t="shared" si="27"/>
        <v>Complete</v>
      </c>
      <c r="AF75" s="340"/>
      <c r="AG75" s="301"/>
      <c r="AH75" s="343"/>
      <c r="AI75" s="301">
        <f t="shared" ca="1" si="24"/>
        <v>0</v>
      </c>
      <c r="AJ75" s="302">
        <f t="shared" ca="1" si="25"/>
        <v>0</v>
      </c>
      <c r="AL75" s="303">
        <f t="shared" si="28"/>
        <v>749064</v>
      </c>
      <c r="AM75" s="303">
        <f t="shared" si="29"/>
        <v>0</v>
      </c>
      <c r="AN75" s="303">
        <f t="shared" si="30"/>
        <v>749064</v>
      </c>
      <c r="AO75" s="304">
        <f t="shared" si="31"/>
        <v>0</v>
      </c>
      <c r="AP75" s="273">
        <f t="shared" si="36"/>
        <v>8</v>
      </c>
      <c r="AQ75" s="273" t="str">
        <f t="shared" ca="1" si="32"/>
        <v>82025</v>
      </c>
    </row>
    <row r="76" spans="1:43" ht="18">
      <c r="A76" s="392">
        <v>4</v>
      </c>
      <c r="B76" s="322" t="s">
        <v>1644</v>
      </c>
      <c r="C76" s="332" t="s">
        <v>1645</v>
      </c>
      <c r="D76" s="340" t="s">
        <v>610</v>
      </c>
      <c r="E76" s="506">
        <v>45579</v>
      </c>
      <c r="F76" s="507">
        <v>71</v>
      </c>
      <c r="G76" s="519">
        <v>50784000</v>
      </c>
      <c r="H76" s="301">
        <v>9141120</v>
      </c>
      <c r="I76" s="536">
        <v>59925120</v>
      </c>
      <c r="J76" s="536"/>
      <c r="K76" s="514" t="s">
        <v>1701</v>
      </c>
      <c r="L76" s="392" t="s">
        <v>1595</v>
      </c>
      <c r="M76" s="324">
        <v>7.0000000000000007E-2</v>
      </c>
      <c r="N76" s="526" t="s">
        <v>1593</v>
      </c>
      <c r="O76" s="546" t="s">
        <v>1708</v>
      </c>
      <c r="P76" s="557">
        <v>45724</v>
      </c>
      <c r="Q76" s="479" t="s">
        <v>1709</v>
      </c>
      <c r="R76" s="558">
        <v>59925120</v>
      </c>
      <c r="S76" s="559"/>
      <c r="T76" s="315"/>
      <c r="U76" s="341">
        <v>45714</v>
      </c>
      <c r="V76" s="340">
        <f t="shared" ca="1" si="35"/>
        <v>3</v>
      </c>
      <c r="W76" s="292">
        <f t="shared" ca="1" si="33"/>
        <v>2025</v>
      </c>
      <c r="X76" s="291" t="str">
        <f t="shared" ca="1" si="34"/>
        <v>2 WEEK</v>
      </c>
      <c r="Y76" s="329">
        <f t="shared" si="38"/>
        <v>45724</v>
      </c>
      <c r="Z76" s="341" cm="1">
        <f t="array" aca="1" ref="Z76" ca="1">_xlfn.IFS(AD76&lt;100,Y76,Y76&lt;TODAY(),TODAY(),Y76&gt;TODAY(),Y76,Y76=TODAY(),Y76)</f>
        <v>45724</v>
      </c>
      <c r="AA76" s="315"/>
      <c r="AB76" s="301"/>
      <c r="AC76" s="301"/>
      <c r="AD76" s="530">
        <f t="shared" si="26"/>
        <v>0</v>
      </c>
      <c r="AE76" s="299" t="str">
        <f t="shared" si="27"/>
        <v>Complete</v>
      </c>
      <c r="AF76" s="340"/>
      <c r="AG76" s="301"/>
      <c r="AH76" s="343"/>
      <c r="AI76" s="301">
        <f t="shared" ca="1" si="24"/>
        <v>0</v>
      </c>
      <c r="AJ76" s="302">
        <f t="shared" ca="1" si="25"/>
        <v>0</v>
      </c>
      <c r="AL76" s="303">
        <f t="shared" si="28"/>
        <v>59925120</v>
      </c>
      <c r="AM76" s="303">
        <f t="shared" si="29"/>
        <v>0</v>
      </c>
      <c r="AN76" s="303">
        <f t="shared" si="30"/>
        <v>59925120</v>
      </c>
      <c r="AO76" s="304">
        <f t="shared" si="31"/>
        <v>0</v>
      </c>
      <c r="AP76" s="273">
        <f t="shared" si="36"/>
        <v>3</v>
      </c>
      <c r="AQ76" s="273" t="str">
        <f t="shared" ca="1" si="32"/>
        <v>32025</v>
      </c>
    </row>
    <row r="77" spans="1:43" ht="16.5">
      <c r="A77" s="392">
        <v>4</v>
      </c>
      <c r="B77" s="322" t="s">
        <v>1644</v>
      </c>
      <c r="C77" s="332" t="s">
        <v>1645</v>
      </c>
      <c r="D77" s="340" t="s">
        <v>610</v>
      </c>
      <c r="E77" s="506">
        <v>45579</v>
      </c>
      <c r="F77" s="507">
        <v>71</v>
      </c>
      <c r="G77" s="519">
        <v>22218000</v>
      </c>
      <c r="H77" s="301">
        <v>3999240</v>
      </c>
      <c r="I77" s="536">
        <v>26217240</v>
      </c>
      <c r="J77" s="536"/>
      <c r="K77" s="551" t="s">
        <v>1701</v>
      </c>
      <c r="L77" s="392" t="s">
        <v>1595</v>
      </c>
      <c r="M77" s="324">
        <v>7.0000000000000007E-2</v>
      </c>
      <c r="N77" s="526" t="s">
        <v>1593</v>
      </c>
      <c r="O77" s="552" t="s">
        <v>1710</v>
      </c>
      <c r="P77" s="553">
        <v>45873</v>
      </c>
      <c r="Q77" s="554" t="s">
        <v>1711</v>
      </c>
      <c r="R77" s="560">
        <v>26217240</v>
      </c>
      <c r="S77" s="315"/>
      <c r="T77" s="315"/>
      <c r="U77" s="341">
        <v>45714</v>
      </c>
      <c r="V77" s="340">
        <f t="shared" ca="1" si="35"/>
        <v>8</v>
      </c>
      <c r="W77" s="292">
        <f t="shared" ca="1" si="33"/>
        <v>2025</v>
      </c>
      <c r="X77" s="291" t="str">
        <f t="shared" ca="1" si="34"/>
        <v>1 WEEK</v>
      </c>
      <c r="Y77" s="436">
        <f t="shared" si="38"/>
        <v>45873</v>
      </c>
      <c r="Z77" s="541" cm="1">
        <f t="array" aca="1" ref="Z77" ca="1">_xlfn.IFS(AD77&lt;100,Y77,Y77&lt;TODAY(),TODAY(),Y77&gt;TODAY(),Y77,Y77=TODAY(),Y77)</f>
        <v>45873</v>
      </c>
      <c r="AA77" s="315"/>
      <c r="AB77" s="301"/>
      <c r="AC77" s="301"/>
      <c r="AD77" s="530">
        <f t="shared" si="26"/>
        <v>0</v>
      </c>
      <c r="AE77" s="299" t="str">
        <f t="shared" si="27"/>
        <v>Complete</v>
      </c>
      <c r="AF77" s="340"/>
      <c r="AG77" s="301"/>
      <c r="AH77" s="343"/>
      <c r="AI77" s="301">
        <f t="shared" ca="1" si="24"/>
        <v>0</v>
      </c>
      <c r="AJ77" s="302">
        <f t="shared" ca="1" si="25"/>
        <v>0</v>
      </c>
      <c r="AL77" s="303">
        <f t="shared" si="28"/>
        <v>26217240</v>
      </c>
      <c r="AM77" s="303">
        <f t="shared" si="29"/>
        <v>0</v>
      </c>
      <c r="AN77" s="303">
        <f t="shared" si="30"/>
        <v>26217240</v>
      </c>
      <c r="AO77" s="304">
        <f t="shared" si="31"/>
        <v>0</v>
      </c>
      <c r="AP77" s="273">
        <f t="shared" si="36"/>
        <v>8</v>
      </c>
      <c r="AQ77" s="273" t="str">
        <f t="shared" ca="1" si="32"/>
        <v>82025</v>
      </c>
    </row>
    <row r="78" spans="1:43" ht="16.5">
      <c r="A78" s="392">
        <v>4</v>
      </c>
      <c r="B78" s="322" t="s">
        <v>1644</v>
      </c>
      <c r="C78" s="332" t="s">
        <v>1645</v>
      </c>
      <c r="D78" s="340" t="s">
        <v>610</v>
      </c>
      <c r="E78" s="506">
        <v>45579</v>
      </c>
      <c r="F78" s="507">
        <v>71</v>
      </c>
      <c r="G78" s="519">
        <v>19044000</v>
      </c>
      <c r="H78" s="301">
        <v>3427920</v>
      </c>
      <c r="I78" s="536">
        <v>22471920</v>
      </c>
      <c r="J78" s="536"/>
      <c r="K78" s="514" t="s">
        <v>1701</v>
      </c>
      <c r="L78" s="392" t="s">
        <v>1595</v>
      </c>
      <c r="M78" s="324">
        <v>7.0000000000000007E-2</v>
      </c>
      <c r="N78" s="526" t="s">
        <v>1593</v>
      </c>
      <c r="O78" s="546" t="s">
        <v>1712</v>
      </c>
      <c r="P78" s="557">
        <v>45741</v>
      </c>
      <c r="Q78" s="479" t="s">
        <v>1713</v>
      </c>
      <c r="R78" s="417">
        <v>22471920</v>
      </c>
      <c r="S78" s="315"/>
      <c r="T78" s="315"/>
      <c r="U78" s="341">
        <v>45714</v>
      </c>
      <c r="V78" s="340">
        <f t="shared" ca="1" si="35"/>
        <v>3</v>
      </c>
      <c r="W78" s="292">
        <f t="shared" ca="1" si="33"/>
        <v>2025</v>
      </c>
      <c r="X78" s="291" t="str">
        <f t="shared" ca="1" si="34"/>
        <v>4 WEEK</v>
      </c>
      <c r="Y78" s="329">
        <f t="shared" si="38"/>
        <v>45741</v>
      </c>
      <c r="Z78" s="341" cm="1">
        <f t="array" aca="1" ref="Z78" ca="1">_xlfn.IFS(AD78&lt;100,Y78,Y78&lt;TODAY(),TODAY(),Y78&gt;TODAY(),Y78,Y78=TODAY(),Y78)</f>
        <v>45741</v>
      </c>
      <c r="AA78" s="315"/>
      <c r="AB78" s="301"/>
      <c r="AC78" s="301"/>
      <c r="AD78" s="530">
        <f t="shared" si="26"/>
        <v>0</v>
      </c>
      <c r="AE78" s="299" t="str">
        <f t="shared" si="27"/>
        <v>Complete</v>
      </c>
      <c r="AF78" s="340"/>
      <c r="AG78" s="301"/>
      <c r="AH78" s="343"/>
      <c r="AI78" s="301">
        <f t="shared" ca="1" si="24"/>
        <v>0</v>
      </c>
      <c r="AJ78" s="302">
        <f t="shared" ca="1" si="25"/>
        <v>0</v>
      </c>
      <c r="AL78" s="303">
        <f t="shared" si="28"/>
        <v>22471920</v>
      </c>
      <c r="AM78" s="303">
        <f t="shared" si="29"/>
        <v>0</v>
      </c>
      <c r="AN78" s="303">
        <f t="shared" si="30"/>
        <v>22471920</v>
      </c>
      <c r="AO78" s="304">
        <f t="shared" si="31"/>
        <v>0</v>
      </c>
      <c r="AP78" s="273">
        <f t="shared" si="36"/>
        <v>3</v>
      </c>
      <c r="AQ78" s="273" t="str">
        <f t="shared" ca="1" si="32"/>
        <v>32025</v>
      </c>
    </row>
    <row r="79" spans="1:43" ht="16.5">
      <c r="A79" s="392">
        <v>4</v>
      </c>
      <c r="B79" s="322" t="s">
        <v>1644</v>
      </c>
      <c r="C79" s="332" t="s">
        <v>1645</v>
      </c>
      <c r="D79" s="340" t="s">
        <v>610</v>
      </c>
      <c r="E79" s="506">
        <v>45579</v>
      </c>
      <c r="F79" s="507">
        <v>71</v>
      </c>
      <c r="G79" s="519">
        <v>1269600</v>
      </c>
      <c r="H79" s="301">
        <v>228528</v>
      </c>
      <c r="I79" s="536">
        <v>1498128</v>
      </c>
      <c r="J79" s="536"/>
      <c r="K79" s="551" t="s">
        <v>1701</v>
      </c>
      <c r="L79" s="392" t="s">
        <v>1595</v>
      </c>
      <c r="M79" s="324">
        <v>7.0000000000000007E-2</v>
      </c>
      <c r="N79" s="526" t="s">
        <v>1593</v>
      </c>
      <c r="O79" s="552" t="s">
        <v>1714</v>
      </c>
      <c r="P79" s="553">
        <v>45889</v>
      </c>
      <c r="Q79" s="540"/>
      <c r="R79" s="417"/>
      <c r="S79" s="315"/>
      <c r="T79" s="315"/>
      <c r="U79" s="341">
        <v>45714</v>
      </c>
      <c r="V79" s="340">
        <f t="shared" ca="1" si="35"/>
        <v>8</v>
      </c>
      <c r="W79" s="292">
        <f t="shared" ca="1" si="33"/>
        <v>2025</v>
      </c>
      <c r="X79" s="291" t="str">
        <f t="shared" ca="1" si="34"/>
        <v>3 WEEK</v>
      </c>
      <c r="Y79" s="329">
        <f t="shared" si="38"/>
        <v>45889</v>
      </c>
      <c r="Z79" s="341" cm="1">
        <f t="array" aca="1" ref="Z79" ca="1">_xlfn.IFS(AD79&lt;100,Y79,Y79&lt;TODAY(),TODAY(),Y79&gt;TODAY(),Y79,Y79=TODAY(),Y79)</f>
        <v>45889</v>
      </c>
      <c r="AA79" s="315"/>
      <c r="AB79" s="301"/>
      <c r="AC79" s="301"/>
      <c r="AD79" s="530">
        <f t="shared" si="26"/>
        <v>0</v>
      </c>
      <c r="AE79" s="299" t="str">
        <f t="shared" si="27"/>
        <v>Complete</v>
      </c>
      <c r="AF79" s="340"/>
      <c r="AG79" s="301"/>
      <c r="AH79" s="343"/>
      <c r="AI79" s="301">
        <f t="shared" ca="1" si="24"/>
        <v>0</v>
      </c>
      <c r="AJ79" s="302">
        <f t="shared" ca="1" si="25"/>
        <v>0</v>
      </c>
      <c r="AL79" s="303">
        <f t="shared" si="28"/>
        <v>1498128</v>
      </c>
      <c r="AM79" s="303">
        <f t="shared" si="29"/>
        <v>1498128</v>
      </c>
      <c r="AN79" s="303">
        <f t="shared" si="30"/>
        <v>0</v>
      </c>
      <c r="AO79" s="304">
        <f t="shared" si="31"/>
        <v>0</v>
      </c>
      <c r="AP79" s="273">
        <f t="shared" si="36"/>
        <v>8</v>
      </c>
      <c r="AQ79" s="273" t="str">
        <f t="shared" ca="1" si="32"/>
        <v>82025</v>
      </c>
    </row>
    <row r="80" spans="1:43" ht="16.5">
      <c r="A80" s="392">
        <v>4</v>
      </c>
      <c r="B80" s="322" t="s">
        <v>1644</v>
      </c>
      <c r="C80" s="332" t="s">
        <v>1645</v>
      </c>
      <c r="D80" s="340" t="s">
        <v>610</v>
      </c>
      <c r="E80" s="506">
        <v>45579</v>
      </c>
      <c r="F80" s="507">
        <v>71</v>
      </c>
      <c r="G80" s="519">
        <v>2539200</v>
      </c>
      <c r="H80" s="301">
        <v>457056</v>
      </c>
      <c r="I80" s="536">
        <v>2996256</v>
      </c>
      <c r="J80" s="536"/>
      <c r="K80" s="551" t="s">
        <v>1701</v>
      </c>
      <c r="L80" s="392" t="s">
        <v>1595</v>
      </c>
      <c r="M80" s="324">
        <v>7.0000000000000007E-2</v>
      </c>
      <c r="N80" s="526" t="s">
        <v>1593</v>
      </c>
      <c r="O80" s="552" t="s">
        <v>1715</v>
      </c>
      <c r="P80" s="553">
        <v>45889</v>
      </c>
      <c r="Q80" s="540"/>
      <c r="R80" s="561"/>
      <c r="S80" s="315"/>
      <c r="T80" s="315"/>
      <c r="U80" s="341">
        <v>45714</v>
      </c>
      <c r="V80" s="340">
        <f t="shared" ca="1" si="35"/>
        <v>8</v>
      </c>
      <c r="W80" s="292">
        <f t="shared" ca="1" si="33"/>
        <v>2025</v>
      </c>
      <c r="X80" s="291" t="str">
        <f t="shared" ca="1" si="34"/>
        <v>3 WEEK</v>
      </c>
      <c r="Y80" s="329">
        <f t="shared" si="38"/>
        <v>45889</v>
      </c>
      <c r="Z80" s="341" cm="1">
        <f t="array" aca="1" ref="Z80" ca="1">_xlfn.IFS(AD80&lt;100,Y80,Y80&lt;TODAY(),TODAY(),Y80&gt;TODAY(),Y80,Y80=TODAY(),Y80)</f>
        <v>45889</v>
      </c>
      <c r="AA80" s="315"/>
      <c r="AB80" s="301"/>
      <c r="AC80" s="301"/>
      <c r="AD80" s="530">
        <f t="shared" si="26"/>
        <v>0</v>
      </c>
      <c r="AE80" s="299" t="str">
        <f t="shared" si="27"/>
        <v>Complete</v>
      </c>
      <c r="AF80" s="340"/>
      <c r="AG80" s="301"/>
      <c r="AH80" s="343"/>
      <c r="AI80" s="301">
        <f t="shared" ca="1" si="24"/>
        <v>0</v>
      </c>
      <c r="AJ80" s="302">
        <f t="shared" ca="1" si="25"/>
        <v>0</v>
      </c>
      <c r="AL80" s="303">
        <f t="shared" si="28"/>
        <v>2996256</v>
      </c>
      <c r="AM80" s="303">
        <f t="shared" si="29"/>
        <v>2996256</v>
      </c>
      <c r="AN80" s="303">
        <f t="shared" si="30"/>
        <v>0</v>
      </c>
      <c r="AO80" s="304">
        <f t="shared" si="31"/>
        <v>0</v>
      </c>
      <c r="AP80" s="273">
        <f t="shared" si="36"/>
        <v>8</v>
      </c>
      <c r="AQ80" s="273" t="str">
        <f t="shared" ca="1" si="32"/>
        <v>82025</v>
      </c>
    </row>
    <row r="81" spans="1:43" s="545" customFormat="1" ht="16.5">
      <c r="A81" s="392">
        <v>4</v>
      </c>
      <c r="B81" s="322" t="s">
        <v>1644</v>
      </c>
      <c r="C81" s="332" t="s">
        <v>1645</v>
      </c>
      <c r="D81" s="340" t="s">
        <v>610</v>
      </c>
      <c r="E81" s="506">
        <v>45579</v>
      </c>
      <c r="F81" s="507">
        <v>71</v>
      </c>
      <c r="G81" s="519">
        <v>1904400</v>
      </c>
      <c r="H81" s="301">
        <v>342792</v>
      </c>
      <c r="I81" s="536">
        <v>2247192</v>
      </c>
      <c r="J81" s="536"/>
      <c r="K81" s="562" t="s">
        <v>1716</v>
      </c>
      <c r="L81" s="392" t="s">
        <v>1620</v>
      </c>
      <c r="M81" s="324">
        <v>0.1</v>
      </c>
      <c r="N81" s="526" t="s">
        <v>1593</v>
      </c>
      <c r="O81" s="546" t="s">
        <v>1717</v>
      </c>
      <c r="P81" s="553">
        <v>45889</v>
      </c>
      <c r="Q81" s="540"/>
      <c r="R81" s="417"/>
      <c r="S81" s="315"/>
      <c r="T81" s="315"/>
      <c r="U81" s="341">
        <v>45714</v>
      </c>
      <c r="V81" s="340">
        <f t="shared" si="35"/>
        <v>8</v>
      </c>
      <c r="W81" s="292">
        <f t="shared" si="33"/>
        <v>2025</v>
      </c>
      <c r="X81" s="291" t="str">
        <f t="shared" si="34"/>
        <v>5 WEEK</v>
      </c>
      <c r="Y81" s="329">
        <f t="shared" si="38"/>
        <v>45889</v>
      </c>
      <c r="Z81" s="341">
        <v>45899</v>
      </c>
      <c r="AA81" s="315">
        <f>SUM(I41:I82)*M81</f>
        <v>240800800</v>
      </c>
      <c r="AB81" s="301"/>
      <c r="AC81" s="301"/>
      <c r="AD81" s="530">
        <f t="shared" si="26"/>
        <v>240800800</v>
      </c>
      <c r="AE81" s="299" t="str">
        <f t="shared" si="27"/>
        <v>Incomplete</v>
      </c>
      <c r="AF81" s="340"/>
      <c r="AG81" s="476"/>
      <c r="AH81" s="563">
        <v>45443</v>
      </c>
      <c r="AI81" s="301">
        <f t="shared" si="24"/>
        <v>10</v>
      </c>
      <c r="AJ81" s="302" t="str">
        <f t="shared" si="25"/>
        <v>Delayed</v>
      </c>
      <c r="AL81" s="303">
        <f t="shared" si="28"/>
        <v>2247192</v>
      </c>
      <c r="AM81" s="303">
        <f t="shared" si="29"/>
        <v>2247192</v>
      </c>
      <c r="AN81" s="303">
        <f t="shared" si="30"/>
        <v>0</v>
      </c>
      <c r="AO81" s="304">
        <f t="shared" si="31"/>
        <v>0</v>
      </c>
      <c r="AP81" s="273">
        <f t="shared" si="36"/>
        <v>8</v>
      </c>
      <c r="AQ81" s="273" t="str">
        <f t="shared" si="32"/>
        <v>82025</v>
      </c>
    </row>
    <row r="82" spans="1:43" s="545" customFormat="1" ht="16.5">
      <c r="A82" s="392">
        <v>4</v>
      </c>
      <c r="B82" s="322" t="s">
        <v>1644</v>
      </c>
      <c r="C82" s="332" t="s">
        <v>1645</v>
      </c>
      <c r="D82" s="340" t="s">
        <v>610</v>
      </c>
      <c r="E82" s="506">
        <v>45579</v>
      </c>
      <c r="F82" s="507">
        <v>71</v>
      </c>
      <c r="G82" s="519">
        <v>1269600</v>
      </c>
      <c r="H82" s="301">
        <v>228528</v>
      </c>
      <c r="I82" s="536">
        <v>1498128</v>
      </c>
      <c r="J82" s="564"/>
      <c r="K82" s="565" t="s">
        <v>1718</v>
      </c>
      <c r="L82" s="392" t="s">
        <v>1719</v>
      </c>
      <c r="M82" s="324">
        <v>0.1</v>
      </c>
      <c r="N82" s="526" t="s">
        <v>1593</v>
      </c>
      <c r="O82" s="546" t="s">
        <v>1720</v>
      </c>
      <c r="P82" s="553">
        <v>45889</v>
      </c>
      <c r="Q82" s="540"/>
      <c r="R82" s="417"/>
      <c r="S82" s="315"/>
      <c r="T82" s="315"/>
      <c r="U82" s="341">
        <v>45714</v>
      </c>
      <c r="V82" s="340">
        <f t="shared" si="35"/>
        <v>8</v>
      </c>
      <c r="W82" s="292">
        <f t="shared" si="33"/>
        <v>2025</v>
      </c>
      <c r="X82" s="291" t="str">
        <f t="shared" si="34"/>
        <v>5 WEEK</v>
      </c>
      <c r="Y82" s="329">
        <f t="shared" si="38"/>
        <v>45889</v>
      </c>
      <c r="Z82" s="341">
        <v>45899</v>
      </c>
      <c r="AA82" s="315">
        <f>SUM(I41:I82)*M82</f>
        <v>240800800</v>
      </c>
      <c r="AB82" s="301"/>
      <c r="AC82" s="301"/>
      <c r="AD82" s="530">
        <f t="shared" si="26"/>
        <v>240800800</v>
      </c>
      <c r="AE82" s="299" t="str">
        <f t="shared" si="27"/>
        <v>Incomplete</v>
      </c>
      <c r="AF82" s="340"/>
      <c r="AG82" s="301"/>
      <c r="AH82" s="343"/>
      <c r="AI82" s="301">
        <f t="shared" si="24"/>
        <v>10</v>
      </c>
      <c r="AJ82" s="302" t="str">
        <f t="shared" si="25"/>
        <v>Delayed</v>
      </c>
      <c r="AL82" s="303">
        <f t="shared" si="28"/>
        <v>1498128</v>
      </c>
      <c r="AM82" s="303">
        <f t="shared" si="29"/>
        <v>1498128</v>
      </c>
      <c r="AN82" s="303">
        <f t="shared" si="30"/>
        <v>0</v>
      </c>
      <c r="AO82" s="304">
        <f t="shared" si="31"/>
        <v>0</v>
      </c>
      <c r="AP82" s="273">
        <f t="shared" si="36"/>
        <v>8</v>
      </c>
      <c r="AQ82" s="273" t="str">
        <f t="shared" si="32"/>
        <v>82025</v>
      </c>
    </row>
    <row r="83" spans="1:43" ht="16.5">
      <c r="A83" s="383"/>
      <c r="B83" s="387"/>
      <c r="C83" s="425"/>
      <c r="E83" s="566"/>
      <c r="F83" s="567"/>
      <c r="G83" s="568"/>
      <c r="H83" s="389"/>
      <c r="I83" s="564"/>
      <c r="J83" s="564"/>
      <c r="K83" s="569"/>
      <c r="L83" s="570"/>
      <c r="M83" s="388"/>
      <c r="N83" s="571"/>
      <c r="O83" s="572"/>
      <c r="P83" s="573">
        <v>0</v>
      </c>
      <c r="Q83" s="574"/>
      <c r="R83" s="433"/>
      <c r="S83" s="434"/>
      <c r="T83" s="434"/>
      <c r="U83" s="575"/>
      <c r="V83" s="340">
        <f t="shared" ca="1" si="35"/>
        <v>1</v>
      </c>
      <c r="W83" s="292">
        <f t="shared" ca="1" si="33"/>
        <v>1900</v>
      </c>
      <c r="X83" s="291" t="str">
        <f t="shared" ca="1" si="34"/>
        <v>0 WEEK</v>
      </c>
      <c r="Y83" s="436">
        <f t="shared" si="38"/>
        <v>0</v>
      </c>
      <c r="Z83" s="541" cm="1">
        <f t="array" aca="1" ref="Z83" ca="1">_xlfn.IFS(AD83&lt;100,Y83,Y83&lt;TODAY(),TODAY(),Y83&gt;TODAY(),Y83,Y83=TODAY(),Y83)</f>
        <v>0</v>
      </c>
      <c r="AA83" s="434"/>
      <c r="AB83" s="389"/>
      <c r="AC83" s="389"/>
      <c r="AD83" s="298">
        <f t="shared" si="26"/>
        <v>0</v>
      </c>
      <c r="AE83" s="299" t="str">
        <f t="shared" si="27"/>
        <v>Complete</v>
      </c>
      <c r="AF83" s="390"/>
      <c r="AG83" s="389"/>
      <c r="AH83" s="391"/>
      <c r="AI83" s="301">
        <f t="shared" ca="1" si="24"/>
        <v>0</v>
      </c>
      <c r="AJ83" s="302">
        <f t="shared" ca="1" si="25"/>
        <v>0</v>
      </c>
      <c r="AL83" s="303">
        <f t="shared" si="28"/>
        <v>0</v>
      </c>
      <c r="AM83" s="303">
        <f t="shared" si="29"/>
        <v>0</v>
      </c>
      <c r="AN83" s="303">
        <f t="shared" si="30"/>
        <v>0</v>
      </c>
      <c r="AO83" s="304">
        <f t="shared" si="31"/>
        <v>0</v>
      </c>
      <c r="AP83" s="273">
        <f t="shared" si="36"/>
        <v>1</v>
      </c>
      <c r="AQ83" s="273" t="str">
        <f t="shared" ca="1" si="32"/>
        <v>11900</v>
      </c>
    </row>
    <row r="84" spans="1:43" s="340" customFormat="1" ht="18">
      <c r="A84" s="392">
        <v>5</v>
      </c>
      <c r="B84" s="340" t="s">
        <v>1721</v>
      </c>
      <c r="C84" s="276" t="s">
        <v>1722</v>
      </c>
      <c r="D84" s="277" t="s">
        <v>1723</v>
      </c>
      <c r="E84" s="576">
        <v>45785</v>
      </c>
      <c r="F84" s="522">
        <v>4</v>
      </c>
      <c r="G84" s="519"/>
      <c r="H84" s="301"/>
      <c r="I84" s="536"/>
      <c r="J84" s="536"/>
      <c r="K84" s="577"/>
      <c r="L84" s="392"/>
      <c r="M84" s="324"/>
      <c r="N84" s="515"/>
      <c r="O84" s="546"/>
      <c r="P84" s="578">
        <v>0</v>
      </c>
      <c r="Q84" s="392"/>
      <c r="R84" s="508" t="e">
        <v>#VALUE!</v>
      </c>
      <c r="S84" s="315"/>
      <c r="T84" s="315"/>
      <c r="U84" s="341"/>
      <c r="V84" s="340">
        <f t="shared" ca="1" si="35"/>
        <v>1</v>
      </c>
      <c r="W84" s="292">
        <f t="shared" ca="1" si="33"/>
        <v>1900</v>
      </c>
      <c r="X84" s="291" t="str">
        <f t="shared" ca="1" si="34"/>
        <v>0 WEEK</v>
      </c>
      <c r="Y84" s="436">
        <f t="shared" si="38"/>
        <v>0</v>
      </c>
      <c r="Z84" s="541" cm="1">
        <f t="array" aca="1" ref="Z84" ca="1">_xlfn.IFS(AD84&lt;100,Y84,Y84&lt;TODAY(),TODAY(),Y84&gt;TODAY(),Y84,Y84=TODAY(),Y84)</f>
        <v>0</v>
      </c>
      <c r="AA84" s="315"/>
      <c r="AB84" s="579"/>
      <c r="AC84" s="301"/>
      <c r="AD84" s="298">
        <f t="shared" si="26"/>
        <v>0</v>
      </c>
      <c r="AE84" s="299" t="str">
        <f t="shared" si="27"/>
        <v>Complete</v>
      </c>
      <c r="AG84" s="301"/>
      <c r="AH84" s="301"/>
      <c r="AI84" s="301">
        <f t="shared" ca="1" si="24"/>
        <v>0</v>
      </c>
      <c r="AJ84" s="302">
        <f t="shared" ca="1" si="25"/>
        <v>0</v>
      </c>
      <c r="AL84" s="303">
        <f t="shared" si="28"/>
        <v>0</v>
      </c>
      <c r="AM84" s="303">
        <f t="shared" si="29"/>
        <v>0</v>
      </c>
      <c r="AN84" s="303">
        <f t="shared" si="30"/>
        <v>0</v>
      </c>
      <c r="AO84" s="304">
        <f t="shared" si="31"/>
        <v>0</v>
      </c>
      <c r="AP84" s="273">
        <f t="shared" si="36"/>
        <v>1</v>
      </c>
      <c r="AQ84" s="273" t="str">
        <f t="shared" ca="1" si="32"/>
        <v>11900</v>
      </c>
    </row>
    <row r="85" spans="1:43" ht="16.5">
      <c r="A85" s="274">
        <v>5</v>
      </c>
      <c r="B85" s="291" t="s">
        <v>1721</v>
      </c>
      <c r="C85" s="276" t="s">
        <v>1722</v>
      </c>
      <c r="D85" s="277" t="s">
        <v>1723</v>
      </c>
      <c r="E85" s="576">
        <v>45785</v>
      </c>
      <c r="F85" s="522">
        <v>4</v>
      </c>
      <c r="G85" s="580">
        <v>69825000</v>
      </c>
      <c r="H85" s="580">
        <f t="shared" ref="H85:H86" si="39">G85*12%</f>
        <v>8379000</v>
      </c>
      <c r="I85" s="580">
        <f t="shared" ref="I85:I119" si="40">MROUND(G85+H85,1)</f>
        <v>78204000</v>
      </c>
      <c r="J85" s="580"/>
      <c r="K85" s="581" t="s">
        <v>1724</v>
      </c>
      <c r="L85" s="582" t="s">
        <v>1595</v>
      </c>
      <c r="M85" s="583">
        <v>0.75</v>
      </c>
      <c r="N85" s="291" t="s">
        <v>1593</v>
      </c>
      <c r="O85" s="584" t="s">
        <v>1725</v>
      </c>
      <c r="P85" s="585">
        <v>45968</v>
      </c>
      <c r="Q85" s="586"/>
      <c r="R85" s="530"/>
      <c r="S85" s="530"/>
      <c r="T85" s="530"/>
      <c r="U85" s="294">
        <v>46057</v>
      </c>
      <c r="V85" s="340">
        <f t="shared" ca="1" si="35"/>
        <v>11</v>
      </c>
      <c r="W85" s="292">
        <f t="shared" ca="1" si="33"/>
        <v>2025</v>
      </c>
      <c r="X85" s="291" t="str">
        <f t="shared" ca="1" si="34"/>
        <v>1 WEEK</v>
      </c>
      <c r="Y85" s="293">
        <f t="shared" si="38"/>
        <v>45968</v>
      </c>
      <c r="Z85" s="294" cm="1">
        <f t="array" aca="1" ref="Z85" ca="1">_xlfn.IFS(AD85&lt;100,Y85,Y85&lt;TODAY(),TODAY(),Y85&gt;TODAY(),Y85,Y85=TODAY(),Y85)</f>
        <v>45968</v>
      </c>
      <c r="AA85" s="530">
        <f>SUM(I85:I119)*M85</f>
        <v>156421601.25</v>
      </c>
      <c r="AB85" s="299">
        <v>0</v>
      </c>
      <c r="AC85" s="299"/>
      <c r="AD85" s="298">
        <f t="shared" si="26"/>
        <v>156421601</v>
      </c>
      <c r="AE85" s="299" t="str">
        <f t="shared" si="27"/>
        <v>Incomplete</v>
      </c>
      <c r="AF85" s="317">
        <v>45769</v>
      </c>
      <c r="AG85" s="299"/>
      <c r="AH85" s="318"/>
      <c r="AI85" s="301">
        <f t="shared" ca="1" si="24"/>
        <v>0</v>
      </c>
      <c r="AJ85" s="302">
        <f t="shared" ca="1" si="25"/>
        <v>0</v>
      </c>
      <c r="AL85" s="303">
        <f t="shared" si="28"/>
        <v>78204000</v>
      </c>
      <c r="AM85" s="303">
        <f t="shared" si="29"/>
        <v>78204000</v>
      </c>
      <c r="AN85" s="303">
        <f t="shared" si="30"/>
        <v>0</v>
      </c>
      <c r="AO85" s="304">
        <f t="shared" si="31"/>
        <v>0</v>
      </c>
      <c r="AP85" s="273">
        <f t="shared" si="36"/>
        <v>11</v>
      </c>
      <c r="AQ85" s="273" t="str">
        <f t="shared" ca="1" si="32"/>
        <v>112025</v>
      </c>
    </row>
    <row r="86" spans="1:43" ht="16.5">
      <c r="A86" s="587">
        <v>5</v>
      </c>
      <c r="B86" s="340" t="s">
        <v>1721</v>
      </c>
      <c r="C86" s="332" t="s">
        <v>1722</v>
      </c>
      <c r="D86" s="277" t="s">
        <v>1723</v>
      </c>
      <c r="E86" s="588">
        <v>45785</v>
      </c>
      <c r="F86" s="507">
        <v>4</v>
      </c>
      <c r="G86" s="589">
        <v>12219375</v>
      </c>
      <c r="H86" s="589">
        <f t="shared" si="39"/>
        <v>1466325</v>
      </c>
      <c r="I86" s="589">
        <f t="shared" si="40"/>
        <v>13685700</v>
      </c>
      <c r="J86" s="589"/>
      <c r="K86" s="590" t="s">
        <v>1724</v>
      </c>
      <c r="L86" s="591" t="s">
        <v>1595</v>
      </c>
      <c r="M86" s="592">
        <v>0.75</v>
      </c>
      <c r="N86" s="340" t="s">
        <v>1593</v>
      </c>
      <c r="O86" s="593" t="s">
        <v>1726</v>
      </c>
      <c r="P86" s="436">
        <v>45968</v>
      </c>
      <c r="Q86" s="340"/>
      <c r="R86" s="315"/>
      <c r="S86" s="315"/>
      <c r="T86" s="315"/>
      <c r="U86" s="294">
        <v>46057</v>
      </c>
      <c r="V86" s="340">
        <f t="shared" ca="1" si="35"/>
        <v>11</v>
      </c>
      <c r="W86" s="292">
        <f t="shared" ca="1" si="33"/>
        <v>2025</v>
      </c>
      <c r="X86" s="291" t="str">
        <f t="shared" ca="1" si="34"/>
        <v>1 WEEK</v>
      </c>
      <c r="Y86" s="329">
        <f t="shared" si="38"/>
        <v>45968</v>
      </c>
      <c r="Z86" s="341" cm="1">
        <f t="array" aca="1" ref="Z86" ca="1">_xlfn.IFS(AD86&lt;100,Y86,Y86&lt;TODAY(),TODAY(),Y86&gt;TODAY(),Y86,Y86=TODAY(),Y86)</f>
        <v>45968</v>
      </c>
      <c r="AA86" s="594"/>
      <c r="AB86" s="301"/>
      <c r="AC86" s="301"/>
      <c r="AD86" s="298">
        <f t="shared" si="26"/>
        <v>0</v>
      </c>
      <c r="AE86" s="299" t="str">
        <f t="shared" si="27"/>
        <v>Complete</v>
      </c>
      <c r="AF86" s="340"/>
      <c r="AG86" s="301"/>
      <c r="AH86" s="343"/>
      <c r="AI86" s="301">
        <f t="shared" ca="1" si="24"/>
        <v>0</v>
      </c>
      <c r="AJ86" s="302">
        <f t="shared" ca="1" si="25"/>
        <v>0</v>
      </c>
      <c r="AL86" s="303">
        <f t="shared" si="28"/>
        <v>13685700</v>
      </c>
      <c r="AM86" s="303">
        <f t="shared" si="29"/>
        <v>13685700</v>
      </c>
      <c r="AN86" s="303">
        <f t="shared" si="30"/>
        <v>0</v>
      </c>
      <c r="AO86" s="304">
        <f t="shared" si="31"/>
        <v>0</v>
      </c>
      <c r="AP86" s="273">
        <f t="shared" si="36"/>
        <v>11</v>
      </c>
      <c r="AQ86" s="273" t="str">
        <f t="shared" ca="1" si="32"/>
        <v>112025</v>
      </c>
    </row>
    <row r="87" spans="1:43" ht="16.5">
      <c r="A87" s="587">
        <v>5</v>
      </c>
      <c r="B87" s="340" t="s">
        <v>1721</v>
      </c>
      <c r="C87" s="332" t="s">
        <v>1722</v>
      </c>
      <c r="D87" s="277" t="s">
        <v>1723</v>
      </c>
      <c r="E87" s="588">
        <v>45785</v>
      </c>
      <c r="F87" s="507">
        <v>4</v>
      </c>
      <c r="G87" s="589">
        <v>2393610.7999999998</v>
      </c>
      <c r="H87" s="589">
        <f t="shared" ref="H87:H119" si="41">G87*18%</f>
        <v>430849.94399999996</v>
      </c>
      <c r="I87" s="589">
        <f t="shared" si="40"/>
        <v>2824461</v>
      </c>
      <c r="J87" s="589"/>
      <c r="K87" s="590" t="s">
        <v>1724</v>
      </c>
      <c r="L87" s="591" t="s">
        <v>1595</v>
      </c>
      <c r="M87" s="592">
        <v>0.75</v>
      </c>
      <c r="N87" s="340" t="s">
        <v>1593</v>
      </c>
      <c r="O87" s="593" t="s">
        <v>1727</v>
      </c>
      <c r="P87" s="436">
        <v>45968</v>
      </c>
      <c r="Q87" s="340"/>
      <c r="R87" s="315"/>
      <c r="S87" s="315"/>
      <c r="T87" s="315"/>
      <c r="U87" s="294">
        <v>46057</v>
      </c>
      <c r="V87" s="340">
        <f t="shared" ca="1" si="35"/>
        <v>11</v>
      </c>
      <c r="W87" s="292">
        <f t="shared" ca="1" si="33"/>
        <v>2025</v>
      </c>
      <c r="X87" s="291" t="str">
        <f t="shared" ca="1" si="34"/>
        <v>1 WEEK</v>
      </c>
      <c r="Y87" s="329">
        <f t="shared" si="38"/>
        <v>45968</v>
      </c>
      <c r="Z87" s="341" cm="1">
        <f t="array" aca="1" ref="Z87" ca="1">_xlfn.IFS(AD87&lt;100,Y87,Y87&lt;TODAY(),TODAY(),Y87&gt;TODAY(),Y87,Y87=TODAY(),Y87)</f>
        <v>45968</v>
      </c>
      <c r="AA87" s="594"/>
      <c r="AB87" s="301"/>
      <c r="AC87" s="301"/>
      <c r="AD87" s="298">
        <f t="shared" si="26"/>
        <v>0</v>
      </c>
      <c r="AE87" s="299" t="str">
        <f t="shared" si="27"/>
        <v>Complete</v>
      </c>
      <c r="AF87" s="340"/>
      <c r="AG87" s="301"/>
      <c r="AH87" s="343"/>
      <c r="AI87" s="301">
        <f t="shared" ca="1" si="24"/>
        <v>0</v>
      </c>
      <c r="AJ87" s="302">
        <f t="shared" ca="1" si="25"/>
        <v>0</v>
      </c>
      <c r="AL87" s="303">
        <f t="shared" si="28"/>
        <v>2824461</v>
      </c>
      <c r="AM87" s="303">
        <f t="shared" si="29"/>
        <v>2824461</v>
      </c>
      <c r="AN87" s="303">
        <f t="shared" si="30"/>
        <v>0</v>
      </c>
      <c r="AO87" s="304">
        <f t="shared" si="31"/>
        <v>0</v>
      </c>
      <c r="AP87" s="273">
        <f t="shared" si="36"/>
        <v>11</v>
      </c>
      <c r="AQ87" s="273" t="str">
        <f t="shared" ca="1" si="32"/>
        <v>112025</v>
      </c>
    </row>
    <row r="88" spans="1:43" ht="16.5">
      <c r="A88" s="587">
        <v>5</v>
      </c>
      <c r="B88" s="340" t="s">
        <v>1721</v>
      </c>
      <c r="C88" s="332" t="s">
        <v>1722</v>
      </c>
      <c r="D88" s="277" t="s">
        <v>1723</v>
      </c>
      <c r="E88" s="588">
        <v>45785</v>
      </c>
      <c r="F88" s="507">
        <v>4</v>
      </c>
      <c r="G88" s="589">
        <v>5700248.4000000004</v>
      </c>
      <c r="H88" s="589">
        <f t="shared" si="41"/>
        <v>1026044.7120000001</v>
      </c>
      <c r="I88" s="589">
        <f t="shared" si="40"/>
        <v>6726293</v>
      </c>
      <c r="J88" s="589"/>
      <c r="K88" s="590" t="s">
        <v>1724</v>
      </c>
      <c r="L88" s="591" t="s">
        <v>1595</v>
      </c>
      <c r="M88" s="592">
        <v>0.75</v>
      </c>
      <c r="N88" s="340" t="s">
        <v>1593</v>
      </c>
      <c r="O88" s="593" t="s">
        <v>1728</v>
      </c>
      <c r="P88" s="436">
        <v>45968</v>
      </c>
      <c r="Q88" s="340"/>
      <c r="R88" s="315"/>
      <c r="S88" s="315"/>
      <c r="T88" s="315"/>
      <c r="U88" s="294">
        <v>46057</v>
      </c>
      <c r="V88" s="340">
        <f t="shared" ca="1" si="35"/>
        <v>11</v>
      </c>
      <c r="W88" s="292">
        <f t="shared" ca="1" si="33"/>
        <v>2025</v>
      </c>
      <c r="X88" s="291" t="str">
        <f t="shared" ca="1" si="34"/>
        <v>1 WEEK</v>
      </c>
      <c r="Y88" s="329">
        <f t="shared" si="38"/>
        <v>45968</v>
      </c>
      <c r="Z88" s="341" cm="1">
        <f t="array" aca="1" ref="Z88" ca="1">_xlfn.IFS(AD88&lt;100,Y88,Y88&lt;TODAY(),TODAY(),Y88&gt;TODAY(),Y88,Y88=TODAY(),Y88)</f>
        <v>45968</v>
      </c>
      <c r="AA88" s="594"/>
      <c r="AB88" s="301"/>
      <c r="AC88" s="301"/>
      <c r="AD88" s="298">
        <f t="shared" si="26"/>
        <v>0</v>
      </c>
      <c r="AE88" s="299" t="str">
        <f t="shared" si="27"/>
        <v>Complete</v>
      </c>
      <c r="AF88" s="340"/>
      <c r="AG88" s="301"/>
      <c r="AH88" s="343"/>
      <c r="AI88" s="301">
        <f t="shared" ca="1" si="24"/>
        <v>0</v>
      </c>
      <c r="AJ88" s="302">
        <f t="shared" ca="1" si="25"/>
        <v>0</v>
      </c>
      <c r="AL88" s="303">
        <f t="shared" si="28"/>
        <v>6726293</v>
      </c>
      <c r="AM88" s="303">
        <f t="shared" si="29"/>
        <v>6726293</v>
      </c>
      <c r="AN88" s="303">
        <f t="shared" si="30"/>
        <v>0</v>
      </c>
      <c r="AO88" s="304">
        <f t="shared" si="31"/>
        <v>0</v>
      </c>
      <c r="AP88" s="273">
        <f t="shared" si="36"/>
        <v>11</v>
      </c>
      <c r="AQ88" s="273" t="str">
        <f t="shared" ca="1" si="32"/>
        <v>112025</v>
      </c>
    </row>
    <row r="89" spans="1:43" ht="16.5">
      <c r="A89" s="587">
        <v>5</v>
      </c>
      <c r="B89" s="340" t="s">
        <v>1721</v>
      </c>
      <c r="C89" s="332" t="s">
        <v>1722</v>
      </c>
      <c r="D89" s="277" t="s">
        <v>1723</v>
      </c>
      <c r="E89" s="588">
        <v>45785</v>
      </c>
      <c r="F89" s="507">
        <v>4</v>
      </c>
      <c r="G89" s="589">
        <v>7550978.4000000004</v>
      </c>
      <c r="H89" s="589">
        <f t="shared" si="41"/>
        <v>1359176.112</v>
      </c>
      <c r="I89" s="589">
        <f t="shared" si="40"/>
        <v>8910155</v>
      </c>
      <c r="J89" s="589"/>
      <c r="K89" s="590" t="s">
        <v>1724</v>
      </c>
      <c r="L89" s="591" t="s">
        <v>1595</v>
      </c>
      <c r="M89" s="592">
        <v>0.75</v>
      </c>
      <c r="N89" s="340" t="s">
        <v>1593</v>
      </c>
      <c r="O89" s="593" t="s">
        <v>1729</v>
      </c>
      <c r="P89" s="436">
        <v>45968</v>
      </c>
      <c r="Q89" s="340"/>
      <c r="R89" s="315"/>
      <c r="S89" s="315"/>
      <c r="T89" s="315"/>
      <c r="U89" s="294">
        <v>46057</v>
      </c>
      <c r="V89" s="340">
        <f t="shared" ca="1" si="35"/>
        <v>11</v>
      </c>
      <c r="W89" s="292">
        <f t="shared" ca="1" si="33"/>
        <v>2025</v>
      </c>
      <c r="X89" s="291" t="str">
        <f t="shared" ca="1" si="34"/>
        <v>1 WEEK</v>
      </c>
      <c r="Y89" s="329">
        <f t="shared" si="38"/>
        <v>45968</v>
      </c>
      <c r="Z89" s="341" cm="1">
        <f t="array" aca="1" ref="Z89" ca="1">_xlfn.IFS(AD89&lt;100,Y89,Y89&lt;TODAY(),TODAY(),Y89&gt;TODAY(),Y89,Y89=TODAY(),Y89)</f>
        <v>45968</v>
      </c>
      <c r="AA89" s="594"/>
      <c r="AB89" s="301"/>
      <c r="AC89" s="301"/>
      <c r="AD89" s="298">
        <f t="shared" si="26"/>
        <v>0</v>
      </c>
      <c r="AE89" s="299" t="str">
        <f t="shared" si="27"/>
        <v>Complete</v>
      </c>
      <c r="AF89" s="340"/>
      <c r="AG89" s="301"/>
      <c r="AH89" s="343"/>
      <c r="AI89" s="301">
        <f t="shared" ca="1" si="24"/>
        <v>0</v>
      </c>
      <c r="AJ89" s="302">
        <f t="shared" ca="1" si="25"/>
        <v>0</v>
      </c>
      <c r="AL89" s="303">
        <f t="shared" si="28"/>
        <v>8910155</v>
      </c>
      <c r="AM89" s="303">
        <f t="shared" si="29"/>
        <v>8910155</v>
      </c>
      <c r="AN89" s="303">
        <f t="shared" si="30"/>
        <v>0</v>
      </c>
      <c r="AO89" s="304">
        <f t="shared" si="31"/>
        <v>0</v>
      </c>
      <c r="AP89" s="273">
        <f t="shared" si="36"/>
        <v>11</v>
      </c>
      <c r="AQ89" s="273" t="str">
        <f t="shared" ca="1" si="32"/>
        <v>112025</v>
      </c>
    </row>
    <row r="90" spans="1:43" ht="16.5">
      <c r="A90" s="587">
        <v>5</v>
      </c>
      <c r="B90" s="340" t="s">
        <v>1721</v>
      </c>
      <c r="C90" s="332" t="s">
        <v>1722</v>
      </c>
      <c r="D90" s="277" t="s">
        <v>1723</v>
      </c>
      <c r="E90" s="588">
        <v>45785</v>
      </c>
      <c r="F90" s="507">
        <v>4</v>
      </c>
      <c r="G90" s="589">
        <v>6847344</v>
      </c>
      <c r="H90" s="589">
        <f t="shared" si="41"/>
        <v>1232521.92</v>
      </c>
      <c r="I90" s="589">
        <f t="shared" si="40"/>
        <v>8079866</v>
      </c>
      <c r="J90" s="589"/>
      <c r="K90" s="590" t="s">
        <v>1724</v>
      </c>
      <c r="L90" s="591" t="s">
        <v>1595</v>
      </c>
      <c r="M90" s="592">
        <v>0.75</v>
      </c>
      <c r="N90" s="340" t="s">
        <v>1593</v>
      </c>
      <c r="O90" s="593" t="s">
        <v>1730</v>
      </c>
      <c r="P90" s="436">
        <v>45968</v>
      </c>
      <c r="Q90" s="340"/>
      <c r="R90" s="315"/>
      <c r="S90" s="315"/>
      <c r="T90" s="315"/>
      <c r="U90" s="294">
        <v>46057</v>
      </c>
      <c r="V90" s="340">
        <f t="shared" ca="1" si="35"/>
        <v>11</v>
      </c>
      <c r="W90" s="292">
        <f t="shared" ca="1" si="33"/>
        <v>2025</v>
      </c>
      <c r="X90" s="291" t="str">
        <f t="shared" ca="1" si="34"/>
        <v>1 WEEK</v>
      </c>
      <c r="Y90" s="329">
        <f t="shared" si="38"/>
        <v>45968</v>
      </c>
      <c r="Z90" s="341" cm="1">
        <f t="array" aca="1" ref="Z90" ca="1">_xlfn.IFS(AD90&lt;100,Y90,Y90&lt;TODAY(),TODAY(),Y90&gt;TODAY(),Y90,Y90=TODAY(),Y90)</f>
        <v>45968</v>
      </c>
      <c r="AA90" s="594"/>
      <c r="AB90" s="301"/>
      <c r="AC90" s="301"/>
      <c r="AD90" s="298">
        <f t="shared" si="26"/>
        <v>0</v>
      </c>
      <c r="AE90" s="299" t="str">
        <f t="shared" si="27"/>
        <v>Complete</v>
      </c>
      <c r="AF90" s="340"/>
      <c r="AG90" s="301"/>
      <c r="AH90" s="343"/>
      <c r="AI90" s="301">
        <f t="shared" ca="1" si="24"/>
        <v>0</v>
      </c>
      <c r="AJ90" s="302">
        <f t="shared" ca="1" si="25"/>
        <v>0</v>
      </c>
      <c r="AL90" s="303">
        <f t="shared" si="28"/>
        <v>8079866</v>
      </c>
      <c r="AM90" s="303">
        <f t="shared" si="29"/>
        <v>8079866</v>
      </c>
      <c r="AN90" s="303">
        <f t="shared" si="30"/>
        <v>0</v>
      </c>
      <c r="AO90" s="304">
        <f t="shared" si="31"/>
        <v>0</v>
      </c>
      <c r="AP90" s="273">
        <f t="shared" si="36"/>
        <v>11</v>
      </c>
      <c r="AQ90" s="273" t="str">
        <f t="shared" ca="1" si="32"/>
        <v>112025</v>
      </c>
    </row>
    <row r="91" spans="1:43" ht="16.5">
      <c r="A91" s="587">
        <v>5</v>
      </c>
      <c r="B91" s="340" t="s">
        <v>1721</v>
      </c>
      <c r="C91" s="332" t="s">
        <v>1722</v>
      </c>
      <c r="D91" s="277" t="s">
        <v>1723</v>
      </c>
      <c r="E91" s="588">
        <v>45785</v>
      </c>
      <c r="F91" s="507">
        <v>4</v>
      </c>
      <c r="G91" s="589">
        <v>902090</v>
      </c>
      <c r="H91" s="589">
        <f t="shared" si="41"/>
        <v>162376.19999999998</v>
      </c>
      <c r="I91" s="589">
        <f t="shared" si="40"/>
        <v>1064466</v>
      </c>
      <c r="J91" s="589"/>
      <c r="K91" s="590" t="s">
        <v>1724</v>
      </c>
      <c r="L91" s="591" t="s">
        <v>1595</v>
      </c>
      <c r="M91" s="592">
        <v>0.75</v>
      </c>
      <c r="N91" s="340" t="s">
        <v>1593</v>
      </c>
      <c r="O91" s="593" t="s">
        <v>1731</v>
      </c>
      <c r="P91" s="436">
        <v>45968</v>
      </c>
      <c r="Q91" s="340"/>
      <c r="R91" s="315"/>
      <c r="S91" s="315"/>
      <c r="T91" s="315"/>
      <c r="U91" s="294">
        <v>46057</v>
      </c>
      <c r="V91" s="340">
        <f t="shared" ca="1" si="35"/>
        <v>11</v>
      </c>
      <c r="W91" s="292">
        <f t="shared" ca="1" si="33"/>
        <v>2025</v>
      </c>
      <c r="X91" s="291" t="str">
        <f t="shared" ca="1" si="34"/>
        <v>1 WEEK</v>
      </c>
      <c r="Y91" s="329">
        <f t="shared" si="38"/>
        <v>45968</v>
      </c>
      <c r="Z91" s="341" cm="1">
        <f t="array" aca="1" ref="Z91" ca="1">_xlfn.IFS(AD91&lt;100,Y91,Y91&lt;TODAY(),TODAY(),Y91&gt;TODAY(),Y91,Y91=TODAY(),Y91)</f>
        <v>45968</v>
      </c>
      <c r="AA91" s="594"/>
      <c r="AB91" s="301"/>
      <c r="AC91" s="301"/>
      <c r="AD91" s="298">
        <f t="shared" si="26"/>
        <v>0</v>
      </c>
      <c r="AE91" s="299" t="str">
        <f t="shared" si="27"/>
        <v>Complete</v>
      </c>
      <c r="AF91" s="340"/>
      <c r="AG91" s="301"/>
      <c r="AH91" s="343"/>
      <c r="AI91" s="301">
        <f t="shared" ca="1" si="24"/>
        <v>0</v>
      </c>
      <c r="AJ91" s="302">
        <f t="shared" ca="1" si="25"/>
        <v>0</v>
      </c>
      <c r="AL91" s="303">
        <f t="shared" si="28"/>
        <v>1064466</v>
      </c>
      <c r="AM91" s="303">
        <f t="shared" si="29"/>
        <v>1064466</v>
      </c>
      <c r="AN91" s="303">
        <f t="shared" si="30"/>
        <v>0</v>
      </c>
      <c r="AO91" s="304">
        <f t="shared" si="31"/>
        <v>0</v>
      </c>
      <c r="AP91" s="273">
        <f t="shared" si="36"/>
        <v>11</v>
      </c>
      <c r="AQ91" s="273" t="str">
        <f t="shared" ca="1" si="32"/>
        <v>112025</v>
      </c>
    </row>
    <row r="92" spans="1:43" ht="16.5">
      <c r="A92" s="587">
        <v>5</v>
      </c>
      <c r="B92" s="340" t="s">
        <v>1721</v>
      </c>
      <c r="C92" s="332" t="s">
        <v>1722</v>
      </c>
      <c r="D92" s="277" t="s">
        <v>1723</v>
      </c>
      <c r="E92" s="588">
        <v>45785</v>
      </c>
      <c r="F92" s="507">
        <v>4</v>
      </c>
      <c r="G92" s="589">
        <v>512078</v>
      </c>
      <c r="H92" s="589">
        <f t="shared" si="41"/>
        <v>92174.04</v>
      </c>
      <c r="I92" s="589">
        <f t="shared" si="40"/>
        <v>604252</v>
      </c>
      <c r="J92" s="589"/>
      <c r="K92" s="590" t="s">
        <v>1724</v>
      </c>
      <c r="L92" s="591" t="s">
        <v>1595</v>
      </c>
      <c r="M92" s="592">
        <v>0.75</v>
      </c>
      <c r="N92" s="340" t="s">
        <v>1593</v>
      </c>
      <c r="O92" s="593" t="s">
        <v>1732</v>
      </c>
      <c r="P92" s="436">
        <v>45968</v>
      </c>
      <c r="Q92" s="340"/>
      <c r="R92" s="315"/>
      <c r="S92" s="315"/>
      <c r="T92" s="315"/>
      <c r="U92" s="294">
        <v>46057</v>
      </c>
      <c r="V92" s="340">
        <f t="shared" ca="1" si="35"/>
        <v>11</v>
      </c>
      <c r="W92" s="292">
        <f t="shared" ca="1" si="33"/>
        <v>2025</v>
      </c>
      <c r="X92" s="291" t="str">
        <f t="shared" ca="1" si="34"/>
        <v>1 WEEK</v>
      </c>
      <c r="Y92" s="329">
        <f t="shared" si="38"/>
        <v>45968</v>
      </c>
      <c r="Z92" s="341" cm="1">
        <f t="array" aca="1" ref="Z92" ca="1">_xlfn.IFS(AD92&lt;100,Y92,Y92&lt;TODAY(),TODAY(),Y92&gt;TODAY(),Y92,Y92=TODAY(),Y92)</f>
        <v>45968</v>
      </c>
      <c r="AA92" s="594"/>
      <c r="AB92" s="301"/>
      <c r="AC92" s="301"/>
      <c r="AD92" s="298">
        <f t="shared" si="26"/>
        <v>0</v>
      </c>
      <c r="AE92" s="299" t="str">
        <f t="shared" si="27"/>
        <v>Complete</v>
      </c>
      <c r="AF92" s="340"/>
      <c r="AG92" s="301"/>
      <c r="AH92" s="343"/>
      <c r="AI92" s="301">
        <f t="shared" ca="1" si="24"/>
        <v>0</v>
      </c>
      <c r="AJ92" s="302">
        <f t="shared" ca="1" si="25"/>
        <v>0</v>
      </c>
      <c r="AL92" s="303">
        <f t="shared" si="28"/>
        <v>604252</v>
      </c>
      <c r="AM92" s="303">
        <f t="shared" si="29"/>
        <v>604252</v>
      </c>
      <c r="AN92" s="303">
        <f t="shared" si="30"/>
        <v>0</v>
      </c>
      <c r="AO92" s="304">
        <f t="shared" si="31"/>
        <v>0</v>
      </c>
      <c r="AP92" s="273">
        <f t="shared" si="36"/>
        <v>11</v>
      </c>
      <c r="AQ92" s="273" t="str">
        <f t="shared" ca="1" si="32"/>
        <v>112025</v>
      </c>
    </row>
    <row r="93" spans="1:43" ht="16.5">
      <c r="A93" s="587">
        <v>5</v>
      </c>
      <c r="B93" s="340" t="s">
        <v>1721</v>
      </c>
      <c r="C93" s="332" t="s">
        <v>1722</v>
      </c>
      <c r="D93" s="277" t="s">
        <v>1723</v>
      </c>
      <c r="E93" s="588">
        <v>45785</v>
      </c>
      <c r="F93" s="507">
        <v>4</v>
      </c>
      <c r="G93" s="589">
        <v>5041460</v>
      </c>
      <c r="H93" s="589">
        <f t="shared" si="41"/>
        <v>907462.79999999993</v>
      </c>
      <c r="I93" s="589">
        <f t="shared" si="40"/>
        <v>5948923</v>
      </c>
      <c r="J93" s="589"/>
      <c r="K93" s="590" t="s">
        <v>1724</v>
      </c>
      <c r="L93" s="591" t="s">
        <v>1595</v>
      </c>
      <c r="M93" s="592">
        <v>0.75</v>
      </c>
      <c r="N93" s="340" t="s">
        <v>1593</v>
      </c>
      <c r="O93" s="593" t="s">
        <v>1733</v>
      </c>
      <c r="P93" s="436">
        <v>45968</v>
      </c>
      <c r="Q93" s="340"/>
      <c r="R93" s="315"/>
      <c r="S93" s="315"/>
      <c r="T93" s="315"/>
      <c r="U93" s="294">
        <v>46057</v>
      </c>
      <c r="V93" s="340">
        <f t="shared" ca="1" si="35"/>
        <v>11</v>
      </c>
      <c r="W93" s="292">
        <f t="shared" ca="1" si="33"/>
        <v>2025</v>
      </c>
      <c r="X93" s="291" t="str">
        <f t="shared" ca="1" si="34"/>
        <v>1 WEEK</v>
      </c>
      <c r="Y93" s="329">
        <f t="shared" si="38"/>
        <v>45968</v>
      </c>
      <c r="Z93" s="341" cm="1">
        <f t="array" aca="1" ref="Z93" ca="1">_xlfn.IFS(AD93&lt;100,Y93,Y93&lt;TODAY(),TODAY(),Y93&gt;TODAY(),Y93,Y93=TODAY(),Y93)</f>
        <v>45968</v>
      </c>
      <c r="AA93" s="594"/>
      <c r="AB93" s="301"/>
      <c r="AC93" s="301"/>
      <c r="AD93" s="298">
        <f t="shared" si="26"/>
        <v>0</v>
      </c>
      <c r="AE93" s="299" t="str">
        <f t="shared" si="27"/>
        <v>Complete</v>
      </c>
      <c r="AF93" s="340"/>
      <c r="AG93" s="301"/>
      <c r="AH93" s="343"/>
      <c r="AI93" s="301">
        <f t="shared" ca="1" si="24"/>
        <v>0</v>
      </c>
      <c r="AJ93" s="302">
        <f t="shared" ca="1" si="25"/>
        <v>0</v>
      </c>
      <c r="AL93" s="303">
        <f t="shared" si="28"/>
        <v>5948923</v>
      </c>
      <c r="AM93" s="303">
        <f t="shared" si="29"/>
        <v>5948923</v>
      </c>
      <c r="AN93" s="303">
        <f t="shared" si="30"/>
        <v>0</v>
      </c>
      <c r="AO93" s="304">
        <f t="shared" si="31"/>
        <v>0</v>
      </c>
      <c r="AP93" s="273">
        <f t="shared" si="36"/>
        <v>11</v>
      </c>
      <c r="AQ93" s="273" t="str">
        <f t="shared" ca="1" si="32"/>
        <v>112025</v>
      </c>
    </row>
    <row r="94" spans="1:43" ht="16.5">
      <c r="A94" s="587">
        <v>5</v>
      </c>
      <c r="B94" s="340" t="s">
        <v>1721</v>
      </c>
      <c r="C94" s="332" t="s">
        <v>1722</v>
      </c>
      <c r="D94" s="277" t="s">
        <v>1723</v>
      </c>
      <c r="E94" s="588">
        <v>45785</v>
      </c>
      <c r="F94" s="507">
        <v>4</v>
      </c>
      <c r="G94" s="589">
        <v>756219</v>
      </c>
      <c r="H94" s="589">
        <f t="shared" si="41"/>
        <v>136119.41999999998</v>
      </c>
      <c r="I94" s="589">
        <f t="shared" si="40"/>
        <v>892338</v>
      </c>
      <c r="J94" s="589"/>
      <c r="K94" s="590" t="s">
        <v>1724</v>
      </c>
      <c r="L94" s="591" t="s">
        <v>1595</v>
      </c>
      <c r="M94" s="592">
        <v>0.75</v>
      </c>
      <c r="N94" s="340" t="s">
        <v>1593</v>
      </c>
      <c r="O94" s="593" t="s">
        <v>1734</v>
      </c>
      <c r="P94" s="436">
        <v>45968</v>
      </c>
      <c r="Q94" s="340"/>
      <c r="R94" s="315"/>
      <c r="S94" s="315"/>
      <c r="T94" s="315"/>
      <c r="U94" s="294">
        <v>46057</v>
      </c>
      <c r="V94" s="340">
        <f t="shared" ca="1" si="35"/>
        <v>11</v>
      </c>
      <c r="W94" s="292">
        <f t="shared" ca="1" si="33"/>
        <v>2025</v>
      </c>
      <c r="X94" s="291" t="str">
        <f t="shared" ca="1" si="34"/>
        <v>1 WEEK</v>
      </c>
      <c r="Y94" s="329">
        <f t="shared" si="38"/>
        <v>45968</v>
      </c>
      <c r="Z94" s="341" cm="1">
        <f t="array" aca="1" ref="Z94" ca="1">_xlfn.IFS(AD94&lt;100,Y94,Y94&lt;TODAY(),TODAY(),Y94&gt;TODAY(),Y94,Y94=TODAY(),Y94)</f>
        <v>45968</v>
      </c>
      <c r="AA94" s="594"/>
      <c r="AB94" s="301"/>
      <c r="AC94" s="301"/>
      <c r="AD94" s="298">
        <f t="shared" si="26"/>
        <v>0</v>
      </c>
      <c r="AE94" s="299" t="str">
        <f t="shared" si="27"/>
        <v>Complete</v>
      </c>
      <c r="AF94" s="340"/>
      <c r="AG94" s="301"/>
      <c r="AH94" s="343"/>
      <c r="AI94" s="301">
        <f t="shared" ca="1" si="24"/>
        <v>0</v>
      </c>
      <c r="AJ94" s="302">
        <f t="shared" ca="1" si="25"/>
        <v>0</v>
      </c>
      <c r="AL94" s="303">
        <f t="shared" si="28"/>
        <v>892338</v>
      </c>
      <c r="AM94" s="303">
        <f t="shared" si="29"/>
        <v>892338</v>
      </c>
      <c r="AN94" s="303">
        <f t="shared" si="30"/>
        <v>0</v>
      </c>
      <c r="AO94" s="304">
        <f t="shared" si="31"/>
        <v>0</v>
      </c>
      <c r="AP94" s="273">
        <f t="shared" si="36"/>
        <v>11</v>
      </c>
      <c r="AQ94" s="273" t="str">
        <f t="shared" ca="1" si="32"/>
        <v>112025</v>
      </c>
    </row>
    <row r="95" spans="1:43" ht="16.5">
      <c r="A95" s="587">
        <v>5</v>
      </c>
      <c r="B95" s="340" t="s">
        <v>1721</v>
      </c>
      <c r="C95" s="332" t="s">
        <v>1722</v>
      </c>
      <c r="D95" s="277" t="s">
        <v>1723</v>
      </c>
      <c r="E95" s="588">
        <v>45785</v>
      </c>
      <c r="F95" s="507">
        <v>4</v>
      </c>
      <c r="G95" s="589">
        <v>997504</v>
      </c>
      <c r="H95" s="589">
        <f t="shared" si="41"/>
        <v>179550.72</v>
      </c>
      <c r="I95" s="589">
        <f t="shared" si="40"/>
        <v>1177055</v>
      </c>
      <c r="J95" s="589"/>
      <c r="K95" s="590" t="s">
        <v>1724</v>
      </c>
      <c r="L95" s="591" t="s">
        <v>1595</v>
      </c>
      <c r="M95" s="592">
        <v>0.75</v>
      </c>
      <c r="N95" s="340" t="s">
        <v>1593</v>
      </c>
      <c r="O95" s="593" t="s">
        <v>1735</v>
      </c>
      <c r="P95" s="436">
        <v>45968</v>
      </c>
      <c r="Q95" s="340"/>
      <c r="R95" s="315"/>
      <c r="S95" s="315"/>
      <c r="T95" s="315"/>
      <c r="U95" s="294">
        <v>46057</v>
      </c>
      <c r="V95" s="340">
        <f t="shared" ca="1" si="35"/>
        <v>11</v>
      </c>
      <c r="W95" s="292">
        <f t="shared" ca="1" si="33"/>
        <v>2025</v>
      </c>
      <c r="X95" s="291" t="str">
        <f t="shared" ca="1" si="34"/>
        <v>1 WEEK</v>
      </c>
      <c r="Y95" s="329">
        <f t="shared" si="38"/>
        <v>45968</v>
      </c>
      <c r="Z95" s="341" cm="1">
        <f t="array" aca="1" ref="Z95" ca="1">_xlfn.IFS(AD95&lt;100,Y95,Y95&lt;TODAY(),TODAY(),Y95&gt;TODAY(),Y95,Y95=TODAY(),Y95)</f>
        <v>45968</v>
      </c>
      <c r="AA95" s="594"/>
      <c r="AB95" s="301"/>
      <c r="AC95" s="301"/>
      <c r="AD95" s="298">
        <f t="shared" si="26"/>
        <v>0</v>
      </c>
      <c r="AE95" s="299" t="str">
        <f t="shared" si="27"/>
        <v>Complete</v>
      </c>
      <c r="AF95" s="340"/>
      <c r="AG95" s="301"/>
      <c r="AH95" s="343"/>
      <c r="AI95" s="301">
        <f t="shared" ca="1" si="24"/>
        <v>0</v>
      </c>
      <c r="AJ95" s="302">
        <f t="shared" ca="1" si="25"/>
        <v>0</v>
      </c>
      <c r="AL95" s="303">
        <f t="shared" si="28"/>
        <v>1177055</v>
      </c>
      <c r="AM95" s="303">
        <f t="shared" si="29"/>
        <v>1177055</v>
      </c>
      <c r="AN95" s="303">
        <f t="shared" si="30"/>
        <v>0</v>
      </c>
      <c r="AO95" s="304">
        <f t="shared" si="31"/>
        <v>0</v>
      </c>
      <c r="AP95" s="273">
        <f t="shared" si="36"/>
        <v>11</v>
      </c>
      <c r="AQ95" s="273" t="str">
        <f t="shared" ca="1" si="32"/>
        <v>112025</v>
      </c>
    </row>
    <row r="96" spans="1:43" ht="16.5">
      <c r="A96" s="587">
        <v>5</v>
      </c>
      <c r="B96" s="340" t="s">
        <v>1721</v>
      </c>
      <c r="C96" s="332" t="s">
        <v>1722</v>
      </c>
      <c r="D96" s="277" t="s">
        <v>1723</v>
      </c>
      <c r="E96" s="588">
        <v>45785</v>
      </c>
      <c r="F96" s="507">
        <v>4</v>
      </c>
      <c r="G96" s="589">
        <v>1995000</v>
      </c>
      <c r="H96" s="589">
        <f t="shared" si="41"/>
        <v>359100</v>
      </c>
      <c r="I96" s="589">
        <f t="shared" si="40"/>
        <v>2354100</v>
      </c>
      <c r="J96" s="589"/>
      <c r="K96" s="590" t="s">
        <v>1724</v>
      </c>
      <c r="L96" s="591" t="s">
        <v>1595</v>
      </c>
      <c r="M96" s="592">
        <v>0.75</v>
      </c>
      <c r="N96" s="340" t="s">
        <v>1593</v>
      </c>
      <c r="O96" s="593" t="s">
        <v>1736</v>
      </c>
      <c r="P96" s="436">
        <v>45968</v>
      </c>
      <c r="Q96" s="340"/>
      <c r="R96" s="315"/>
      <c r="S96" s="315"/>
      <c r="T96" s="315"/>
      <c r="U96" s="294">
        <v>46057</v>
      </c>
      <c r="V96" s="340">
        <f t="shared" ca="1" si="35"/>
        <v>11</v>
      </c>
      <c r="W96" s="292">
        <f t="shared" ca="1" si="33"/>
        <v>2025</v>
      </c>
      <c r="X96" s="291" t="str">
        <f t="shared" ca="1" si="34"/>
        <v>1 WEEK</v>
      </c>
      <c r="Y96" s="329">
        <f t="shared" si="38"/>
        <v>45968</v>
      </c>
      <c r="Z96" s="341" cm="1">
        <f t="array" aca="1" ref="Z96" ca="1">_xlfn.IFS(AD96&lt;100,Y96,Y96&lt;TODAY(),TODAY(),Y96&gt;TODAY(),Y96,Y96=TODAY(),Y96)</f>
        <v>45968</v>
      </c>
      <c r="AA96" s="594"/>
      <c r="AB96" s="301"/>
      <c r="AC96" s="301"/>
      <c r="AD96" s="298">
        <f t="shared" si="26"/>
        <v>0</v>
      </c>
      <c r="AE96" s="299" t="str">
        <f t="shared" si="27"/>
        <v>Complete</v>
      </c>
      <c r="AF96" s="340"/>
      <c r="AG96" s="301"/>
      <c r="AH96" s="343"/>
      <c r="AI96" s="301">
        <f t="shared" ca="1" si="24"/>
        <v>0</v>
      </c>
      <c r="AJ96" s="302">
        <f t="shared" ca="1" si="25"/>
        <v>0</v>
      </c>
      <c r="AL96" s="303">
        <f t="shared" si="28"/>
        <v>2354100</v>
      </c>
      <c r="AM96" s="303">
        <f t="shared" si="29"/>
        <v>2354100</v>
      </c>
      <c r="AN96" s="303">
        <f t="shared" si="30"/>
        <v>0</v>
      </c>
      <c r="AO96" s="304">
        <f t="shared" si="31"/>
        <v>0</v>
      </c>
      <c r="AP96" s="273">
        <f t="shared" si="36"/>
        <v>11</v>
      </c>
      <c r="AQ96" s="273" t="str">
        <f t="shared" ca="1" si="32"/>
        <v>112025</v>
      </c>
    </row>
    <row r="97" spans="1:43" ht="16.5">
      <c r="A97" s="587">
        <v>5</v>
      </c>
      <c r="B97" s="340" t="s">
        <v>1721</v>
      </c>
      <c r="C97" s="332" t="s">
        <v>1722</v>
      </c>
      <c r="D97" s="277" t="s">
        <v>1723</v>
      </c>
      <c r="E97" s="588">
        <v>45785</v>
      </c>
      <c r="F97" s="507">
        <v>4</v>
      </c>
      <c r="G97" s="589">
        <v>9975000</v>
      </c>
      <c r="H97" s="589">
        <f t="shared" si="41"/>
        <v>1795500</v>
      </c>
      <c r="I97" s="589">
        <f t="shared" si="40"/>
        <v>11770500</v>
      </c>
      <c r="J97" s="589"/>
      <c r="K97" s="590" t="s">
        <v>1724</v>
      </c>
      <c r="L97" s="591" t="s">
        <v>1595</v>
      </c>
      <c r="M97" s="592">
        <v>0.75</v>
      </c>
      <c r="N97" s="340" t="s">
        <v>1593</v>
      </c>
      <c r="O97" s="593" t="s">
        <v>1737</v>
      </c>
      <c r="P97" s="436">
        <v>45968</v>
      </c>
      <c r="Q97" s="340"/>
      <c r="R97" s="315"/>
      <c r="S97" s="315"/>
      <c r="T97" s="315"/>
      <c r="U97" s="294">
        <v>46057</v>
      </c>
      <c r="V97" s="340">
        <f t="shared" ca="1" si="35"/>
        <v>11</v>
      </c>
      <c r="W97" s="292">
        <f t="shared" ca="1" si="33"/>
        <v>2025</v>
      </c>
      <c r="X97" s="291" t="str">
        <f t="shared" ca="1" si="34"/>
        <v>1 WEEK</v>
      </c>
      <c r="Y97" s="329">
        <f t="shared" si="38"/>
        <v>45968</v>
      </c>
      <c r="Z97" s="341" cm="1">
        <f t="array" aca="1" ref="Z97" ca="1">_xlfn.IFS(AD97&lt;100,Y97,Y97&lt;TODAY(),TODAY(),Y97&gt;TODAY(),Y97,Y97=TODAY(),Y97)</f>
        <v>45968</v>
      </c>
      <c r="AA97" s="594"/>
      <c r="AB97" s="301"/>
      <c r="AC97" s="301"/>
      <c r="AD97" s="298">
        <f t="shared" si="26"/>
        <v>0</v>
      </c>
      <c r="AE97" s="299" t="str">
        <f t="shared" si="27"/>
        <v>Complete</v>
      </c>
      <c r="AF97" s="340"/>
      <c r="AG97" s="301"/>
      <c r="AH97" s="343"/>
      <c r="AI97" s="301">
        <f t="shared" ca="1" si="24"/>
        <v>0</v>
      </c>
      <c r="AJ97" s="302">
        <f t="shared" ca="1" si="25"/>
        <v>0</v>
      </c>
      <c r="AL97" s="303">
        <f t="shared" si="28"/>
        <v>11770500</v>
      </c>
      <c r="AM97" s="303">
        <f t="shared" si="29"/>
        <v>11770500</v>
      </c>
      <c r="AN97" s="303">
        <f t="shared" si="30"/>
        <v>0</v>
      </c>
      <c r="AO97" s="304">
        <f t="shared" si="31"/>
        <v>0</v>
      </c>
      <c r="AP97" s="273">
        <f t="shared" si="36"/>
        <v>11</v>
      </c>
      <c r="AQ97" s="273" t="str">
        <f t="shared" ca="1" si="32"/>
        <v>112025</v>
      </c>
    </row>
    <row r="98" spans="1:43" ht="16.5">
      <c r="A98" s="587">
        <v>5</v>
      </c>
      <c r="B98" s="340" t="s">
        <v>1721</v>
      </c>
      <c r="C98" s="332" t="s">
        <v>1722</v>
      </c>
      <c r="D98" s="277" t="s">
        <v>1723</v>
      </c>
      <c r="E98" s="588">
        <v>45785</v>
      </c>
      <c r="F98" s="507">
        <v>4</v>
      </c>
      <c r="G98" s="589">
        <v>3591000</v>
      </c>
      <c r="H98" s="589">
        <f t="shared" si="41"/>
        <v>646380</v>
      </c>
      <c r="I98" s="589">
        <f t="shared" si="40"/>
        <v>4237380</v>
      </c>
      <c r="J98" s="589"/>
      <c r="K98" s="590" t="s">
        <v>1724</v>
      </c>
      <c r="L98" s="591" t="s">
        <v>1595</v>
      </c>
      <c r="M98" s="592">
        <v>0.75</v>
      </c>
      <c r="N98" s="340" t="s">
        <v>1593</v>
      </c>
      <c r="O98" s="593" t="s">
        <v>1738</v>
      </c>
      <c r="P98" s="436">
        <v>45968</v>
      </c>
      <c r="Q98" s="340"/>
      <c r="R98" s="315"/>
      <c r="S98" s="315"/>
      <c r="T98" s="315"/>
      <c r="U98" s="294">
        <v>46057</v>
      </c>
      <c r="V98" s="340">
        <f t="shared" ca="1" si="35"/>
        <v>11</v>
      </c>
      <c r="W98" s="292">
        <f t="shared" ca="1" si="33"/>
        <v>2025</v>
      </c>
      <c r="X98" s="291" t="str">
        <f t="shared" ca="1" si="34"/>
        <v>1 WEEK</v>
      </c>
      <c r="Y98" s="329">
        <f t="shared" si="38"/>
        <v>45968</v>
      </c>
      <c r="Z98" s="341" cm="1">
        <f t="array" aca="1" ref="Z98" ca="1">_xlfn.IFS(AD98&lt;100,Y98,Y98&lt;TODAY(),TODAY(),Y98&gt;TODAY(),Y98,Y98=TODAY(),Y98)</f>
        <v>45968</v>
      </c>
      <c r="AA98" s="594"/>
      <c r="AB98" s="301"/>
      <c r="AC98" s="301"/>
      <c r="AD98" s="298">
        <f t="shared" si="26"/>
        <v>0</v>
      </c>
      <c r="AE98" s="299" t="str">
        <f t="shared" si="27"/>
        <v>Complete</v>
      </c>
      <c r="AF98" s="340"/>
      <c r="AG98" s="301"/>
      <c r="AH98" s="343"/>
      <c r="AI98" s="301">
        <f t="shared" ca="1" si="24"/>
        <v>0</v>
      </c>
      <c r="AJ98" s="302">
        <f t="shared" ca="1" si="25"/>
        <v>0</v>
      </c>
      <c r="AL98" s="303">
        <f t="shared" si="28"/>
        <v>4237380</v>
      </c>
      <c r="AM98" s="303">
        <f t="shared" si="29"/>
        <v>4237380</v>
      </c>
      <c r="AN98" s="303">
        <f t="shared" si="30"/>
        <v>0</v>
      </c>
      <c r="AO98" s="304">
        <f t="shared" si="31"/>
        <v>0</v>
      </c>
      <c r="AP98" s="273">
        <f t="shared" si="36"/>
        <v>11</v>
      </c>
      <c r="AQ98" s="273" t="str">
        <f t="shared" ca="1" si="32"/>
        <v>112025</v>
      </c>
    </row>
    <row r="99" spans="1:43" ht="16.5">
      <c r="A99" s="587">
        <v>5</v>
      </c>
      <c r="B99" s="340" t="s">
        <v>1721</v>
      </c>
      <c r="C99" s="332" t="s">
        <v>1722</v>
      </c>
      <c r="D99" s="277" t="s">
        <v>1723</v>
      </c>
      <c r="E99" s="588">
        <v>45785</v>
      </c>
      <c r="F99" s="507">
        <v>4</v>
      </c>
      <c r="G99" s="589">
        <v>7481250</v>
      </c>
      <c r="H99" s="589">
        <f t="shared" si="41"/>
        <v>1346625</v>
      </c>
      <c r="I99" s="589">
        <f t="shared" si="40"/>
        <v>8827875</v>
      </c>
      <c r="J99" s="589"/>
      <c r="K99" s="590" t="s">
        <v>1724</v>
      </c>
      <c r="L99" s="591" t="s">
        <v>1595</v>
      </c>
      <c r="M99" s="592">
        <v>0.75</v>
      </c>
      <c r="N99" s="340" t="s">
        <v>1593</v>
      </c>
      <c r="O99" s="593" t="s">
        <v>1739</v>
      </c>
      <c r="P99" s="436">
        <v>45968</v>
      </c>
      <c r="Q99" s="340"/>
      <c r="R99" s="315"/>
      <c r="S99" s="315"/>
      <c r="T99" s="315"/>
      <c r="U99" s="294">
        <v>46057</v>
      </c>
      <c r="V99" s="340">
        <f t="shared" ca="1" si="35"/>
        <v>11</v>
      </c>
      <c r="W99" s="292">
        <f t="shared" ca="1" si="33"/>
        <v>2025</v>
      </c>
      <c r="X99" s="291" t="str">
        <f t="shared" ca="1" si="34"/>
        <v>1 WEEK</v>
      </c>
      <c r="Y99" s="329">
        <f t="shared" si="38"/>
        <v>45968</v>
      </c>
      <c r="Z99" s="341" cm="1">
        <f t="array" aca="1" ref="Z99" ca="1">_xlfn.IFS(AD99&lt;100,Y99,Y99&lt;TODAY(),TODAY(),Y99&gt;TODAY(),Y99,Y99=TODAY(),Y99)</f>
        <v>45968</v>
      </c>
      <c r="AA99" s="594"/>
      <c r="AB99" s="301"/>
      <c r="AC99" s="301"/>
      <c r="AD99" s="298">
        <f t="shared" si="26"/>
        <v>0</v>
      </c>
      <c r="AE99" s="299" t="str">
        <f t="shared" si="27"/>
        <v>Complete</v>
      </c>
      <c r="AF99" s="340"/>
      <c r="AG99" s="301"/>
      <c r="AH99" s="343"/>
      <c r="AI99" s="301">
        <f t="shared" ca="1" si="24"/>
        <v>0</v>
      </c>
      <c r="AJ99" s="302">
        <f t="shared" ca="1" si="25"/>
        <v>0</v>
      </c>
      <c r="AL99" s="303">
        <f t="shared" si="28"/>
        <v>8827875</v>
      </c>
      <c r="AM99" s="303">
        <f t="shared" si="29"/>
        <v>8827875</v>
      </c>
      <c r="AN99" s="303">
        <f t="shared" si="30"/>
        <v>0</v>
      </c>
      <c r="AO99" s="304">
        <f t="shared" si="31"/>
        <v>0</v>
      </c>
      <c r="AP99" s="273">
        <f t="shared" si="36"/>
        <v>11</v>
      </c>
      <c r="AQ99" s="273" t="str">
        <f t="shared" ca="1" si="32"/>
        <v>112025</v>
      </c>
    </row>
    <row r="100" spans="1:43" ht="16.5">
      <c r="A100" s="587">
        <v>5</v>
      </c>
      <c r="B100" s="340" t="s">
        <v>1721</v>
      </c>
      <c r="C100" s="332" t="s">
        <v>1722</v>
      </c>
      <c r="D100" s="277" t="s">
        <v>1723</v>
      </c>
      <c r="E100" s="588">
        <v>45785</v>
      </c>
      <c r="F100" s="507">
        <v>4</v>
      </c>
      <c r="G100" s="589">
        <v>3192000</v>
      </c>
      <c r="H100" s="589">
        <f t="shared" si="41"/>
        <v>574560</v>
      </c>
      <c r="I100" s="589">
        <f t="shared" si="40"/>
        <v>3766560</v>
      </c>
      <c r="J100" s="589"/>
      <c r="K100" s="590" t="s">
        <v>1724</v>
      </c>
      <c r="L100" s="591" t="s">
        <v>1595</v>
      </c>
      <c r="M100" s="592">
        <v>0.75</v>
      </c>
      <c r="N100" s="340" t="s">
        <v>1593</v>
      </c>
      <c r="O100" s="593" t="s">
        <v>1740</v>
      </c>
      <c r="P100" s="436">
        <v>45968</v>
      </c>
      <c r="Q100" s="340"/>
      <c r="R100" s="315"/>
      <c r="S100" s="315"/>
      <c r="T100" s="315"/>
      <c r="U100" s="294">
        <v>46057</v>
      </c>
      <c r="V100" s="340">
        <f t="shared" ca="1" si="35"/>
        <v>11</v>
      </c>
      <c r="W100" s="292">
        <f t="shared" ca="1" si="33"/>
        <v>2025</v>
      </c>
      <c r="X100" s="291" t="str">
        <f t="shared" ca="1" si="34"/>
        <v>1 WEEK</v>
      </c>
      <c r="Y100" s="329">
        <f t="shared" si="38"/>
        <v>45968</v>
      </c>
      <c r="Z100" s="341" cm="1">
        <f t="array" aca="1" ref="Z100" ca="1">_xlfn.IFS(AD100&lt;100,Y100,Y100&lt;TODAY(),TODAY(),Y100&gt;TODAY(),Y100,Y100=TODAY(),Y100)</f>
        <v>45968</v>
      </c>
      <c r="AA100" s="594"/>
      <c r="AB100" s="301"/>
      <c r="AC100" s="301"/>
      <c r="AD100" s="298">
        <f t="shared" si="26"/>
        <v>0</v>
      </c>
      <c r="AE100" s="299" t="str">
        <f t="shared" si="27"/>
        <v>Complete</v>
      </c>
      <c r="AF100" s="340"/>
      <c r="AG100" s="301"/>
      <c r="AH100" s="343"/>
      <c r="AI100" s="301">
        <f t="shared" ca="1" si="24"/>
        <v>0</v>
      </c>
      <c r="AJ100" s="302">
        <f t="shared" ca="1" si="25"/>
        <v>0</v>
      </c>
      <c r="AL100" s="303">
        <f t="shared" si="28"/>
        <v>3766560</v>
      </c>
      <c r="AM100" s="303">
        <f t="shared" si="29"/>
        <v>3766560</v>
      </c>
      <c r="AN100" s="303">
        <f t="shared" si="30"/>
        <v>0</v>
      </c>
      <c r="AO100" s="304">
        <f t="shared" si="31"/>
        <v>0</v>
      </c>
      <c r="AP100" s="273">
        <f t="shared" si="36"/>
        <v>11</v>
      </c>
      <c r="AQ100" s="273" t="str">
        <f t="shared" ca="1" si="32"/>
        <v>112025</v>
      </c>
    </row>
    <row r="101" spans="1:43" ht="16.5">
      <c r="A101" s="587">
        <v>5</v>
      </c>
      <c r="B101" s="340" t="s">
        <v>1721</v>
      </c>
      <c r="C101" s="332" t="s">
        <v>1722</v>
      </c>
      <c r="D101" s="277" t="s">
        <v>1723</v>
      </c>
      <c r="E101" s="588">
        <v>45785</v>
      </c>
      <c r="F101" s="507">
        <v>4</v>
      </c>
      <c r="G101" s="589">
        <v>5985000</v>
      </c>
      <c r="H101" s="589">
        <f t="shared" si="41"/>
        <v>1077300</v>
      </c>
      <c r="I101" s="589">
        <f t="shared" si="40"/>
        <v>7062300</v>
      </c>
      <c r="J101" s="589"/>
      <c r="K101" s="590" t="s">
        <v>1724</v>
      </c>
      <c r="L101" s="591" t="s">
        <v>1595</v>
      </c>
      <c r="M101" s="592">
        <v>0.75</v>
      </c>
      <c r="N101" s="340" t="s">
        <v>1593</v>
      </c>
      <c r="O101" s="593" t="s">
        <v>1741</v>
      </c>
      <c r="P101" s="436">
        <v>45968</v>
      </c>
      <c r="Q101" s="340"/>
      <c r="R101" s="315"/>
      <c r="S101" s="315"/>
      <c r="T101" s="315"/>
      <c r="U101" s="294">
        <v>46057</v>
      </c>
      <c r="V101" s="340">
        <f t="shared" ca="1" si="35"/>
        <v>11</v>
      </c>
      <c r="W101" s="292">
        <f t="shared" ca="1" si="33"/>
        <v>2025</v>
      </c>
      <c r="X101" s="291" t="str">
        <f t="shared" ca="1" si="34"/>
        <v>1 WEEK</v>
      </c>
      <c r="Y101" s="329">
        <f t="shared" si="38"/>
        <v>45968</v>
      </c>
      <c r="Z101" s="341" cm="1">
        <f t="array" aca="1" ref="Z101" ca="1">_xlfn.IFS(AD101&lt;100,Y101,Y101&lt;TODAY(),TODAY(),Y101&gt;TODAY(),Y101,Y101=TODAY(),Y101)</f>
        <v>45968</v>
      </c>
      <c r="AA101" s="594"/>
      <c r="AB101" s="301"/>
      <c r="AC101" s="301"/>
      <c r="AD101" s="298">
        <f t="shared" si="26"/>
        <v>0</v>
      </c>
      <c r="AE101" s="299" t="str">
        <f t="shared" si="27"/>
        <v>Complete</v>
      </c>
      <c r="AF101" s="340"/>
      <c r="AG101" s="301"/>
      <c r="AH101" s="343"/>
      <c r="AI101" s="301">
        <f t="shared" ca="1" si="24"/>
        <v>0</v>
      </c>
      <c r="AJ101" s="302">
        <f t="shared" ca="1" si="25"/>
        <v>0</v>
      </c>
      <c r="AL101" s="303">
        <f t="shared" si="28"/>
        <v>7062300</v>
      </c>
      <c r="AM101" s="303">
        <f t="shared" si="29"/>
        <v>7062300</v>
      </c>
      <c r="AN101" s="303">
        <f t="shared" si="30"/>
        <v>0</v>
      </c>
      <c r="AO101" s="304">
        <f t="shared" si="31"/>
        <v>0</v>
      </c>
      <c r="AP101" s="273">
        <f t="shared" si="36"/>
        <v>11</v>
      </c>
      <c r="AQ101" s="273" t="str">
        <f t="shared" ca="1" si="32"/>
        <v>112025</v>
      </c>
    </row>
    <row r="102" spans="1:43" ht="16.5">
      <c r="A102" s="587">
        <v>5</v>
      </c>
      <c r="B102" s="340" t="s">
        <v>1721</v>
      </c>
      <c r="C102" s="332" t="s">
        <v>1722</v>
      </c>
      <c r="D102" s="277" t="s">
        <v>1723</v>
      </c>
      <c r="E102" s="588">
        <v>45785</v>
      </c>
      <c r="F102" s="507">
        <v>4</v>
      </c>
      <c r="G102" s="589">
        <v>1496250</v>
      </c>
      <c r="H102" s="589">
        <f t="shared" si="41"/>
        <v>269325</v>
      </c>
      <c r="I102" s="589">
        <f t="shared" si="40"/>
        <v>1765575</v>
      </c>
      <c r="J102" s="589"/>
      <c r="K102" s="590" t="s">
        <v>1724</v>
      </c>
      <c r="L102" s="591" t="s">
        <v>1595</v>
      </c>
      <c r="M102" s="592">
        <v>0.75</v>
      </c>
      <c r="N102" s="340" t="s">
        <v>1593</v>
      </c>
      <c r="O102" s="593" t="s">
        <v>1742</v>
      </c>
      <c r="P102" s="436">
        <v>45968</v>
      </c>
      <c r="Q102" s="340"/>
      <c r="R102" s="315"/>
      <c r="S102" s="315"/>
      <c r="T102" s="315"/>
      <c r="U102" s="294">
        <v>46057</v>
      </c>
      <c r="V102" s="340">
        <f t="shared" ca="1" si="35"/>
        <v>11</v>
      </c>
      <c r="W102" s="292">
        <f t="shared" ca="1" si="33"/>
        <v>2025</v>
      </c>
      <c r="X102" s="291" t="str">
        <f t="shared" ca="1" si="34"/>
        <v>1 WEEK</v>
      </c>
      <c r="Y102" s="329">
        <f t="shared" si="38"/>
        <v>45968</v>
      </c>
      <c r="Z102" s="341" cm="1">
        <f t="array" aca="1" ref="Z102" ca="1">_xlfn.IFS(AD102&lt;100,Y102,Y102&lt;TODAY(),TODAY(),Y102&gt;TODAY(),Y102,Y102=TODAY(),Y102)</f>
        <v>45968</v>
      </c>
      <c r="AA102" s="594"/>
      <c r="AB102" s="301"/>
      <c r="AC102" s="301"/>
      <c r="AD102" s="298">
        <f t="shared" si="26"/>
        <v>0</v>
      </c>
      <c r="AE102" s="299" t="str">
        <f t="shared" si="27"/>
        <v>Complete</v>
      </c>
      <c r="AF102" s="340"/>
      <c r="AG102" s="301"/>
      <c r="AH102" s="343"/>
      <c r="AI102" s="301">
        <f t="shared" ca="1" si="24"/>
        <v>0</v>
      </c>
      <c r="AJ102" s="302">
        <f t="shared" ca="1" si="25"/>
        <v>0</v>
      </c>
      <c r="AL102" s="303">
        <f t="shared" si="28"/>
        <v>1765575</v>
      </c>
      <c r="AM102" s="303">
        <f t="shared" si="29"/>
        <v>1765575</v>
      </c>
      <c r="AN102" s="303">
        <f t="shared" si="30"/>
        <v>0</v>
      </c>
      <c r="AO102" s="304">
        <f t="shared" si="31"/>
        <v>0</v>
      </c>
      <c r="AP102" s="273">
        <f t="shared" si="36"/>
        <v>11</v>
      </c>
      <c r="AQ102" s="273" t="str">
        <f t="shared" ca="1" si="32"/>
        <v>112025</v>
      </c>
    </row>
    <row r="103" spans="1:43" ht="16.5">
      <c r="A103" s="587">
        <v>5</v>
      </c>
      <c r="B103" s="340" t="s">
        <v>1721</v>
      </c>
      <c r="C103" s="332" t="s">
        <v>1722</v>
      </c>
      <c r="D103" s="277" t="s">
        <v>1723</v>
      </c>
      <c r="E103" s="588">
        <v>45785</v>
      </c>
      <c r="F103" s="507">
        <v>4</v>
      </c>
      <c r="G103" s="589">
        <v>3890250</v>
      </c>
      <c r="H103" s="589">
        <f t="shared" si="41"/>
        <v>700245</v>
      </c>
      <c r="I103" s="589">
        <f t="shared" si="40"/>
        <v>4590495</v>
      </c>
      <c r="J103" s="589"/>
      <c r="K103" s="590" t="s">
        <v>1724</v>
      </c>
      <c r="L103" s="591" t="s">
        <v>1595</v>
      </c>
      <c r="M103" s="592">
        <v>0.75</v>
      </c>
      <c r="N103" s="340" t="s">
        <v>1593</v>
      </c>
      <c r="O103" s="593" t="s">
        <v>1743</v>
      </c>
      <c r="P103" s="436">
        <v>45968</v>
      </c>
      <c r="Q103" s="340"/>
      <c r="R103" s="315"/>
      <c r="S103" s="315"/>
      <c r="T103" s="315"/>
      <c r="U103" s="294">
        <v>46057</v>
      </c>
      <c r="V103" s="340">
        <f t="shared" ca="1" si="35"/>
        <v>11</v>
      </c>
      <c r="W103" s="292">
        <f t="shared" ca="1" si="33"/>
        <v>2025</v>
      </c>
      <c r="X103" s="291" t="str">
        <f t="shared" ca="1" si="34"/>
        <v>1 WEEK</v>
      </c>
      <c r="Y103" s="329">
        <f t="shared" si="38"/>
        <v>45968</v>
      </c>
      <c r="Z103" s="341" cm="1">
        <f t="array" aca="1" ref="Z103" ca="1">_xlfn.IFS(AD103&lt;100,Y103,Y103&lt;TODAY(),TODAY(),Y103&gt;TODAY(),Y103,Y103=TODAY(),Y103)</f>
        <v>45968</v>
      </c>
      <c r="AA103" s="594"/>
      <c r="AB103" s="301"/>
      <c r="AC103" s="301"/>
      <c r="AD103" s="298">
        <f t="shared" si="26"/>
        <v>0</v>
      </c>
      <c r="AE103" s="299" t="str">
        <f t="shared" si="27"/>
        <v>Complete</v>
      </c>
      <c r="AF103" s="340"/>
      <c r="AG103" s="301"/>
      <c r="AH103" s="343"/>
      <c r="AI103" s="301">
        <f t="shared" ca="1" si="24"/>
        <v>0</v>
      </c>
      <c r="AJ103" s="302">
        <f t="shared" ca="1" si="25"/>
        <v>0</v>
      </c>
      <c r="AL103" s="303">
        <f t="shared" si="28"/>
        <v>4590495</v>
      </c>
      <c r="AM103" s="303">
        <f t="shared" si="29"/>
        <v>4590495</v>
      </c>
      <c r="AN103" s="303">
        <f t="shared" si="30"/>
        <v>0</v>
      </c>
      <c r="AO103" s="304">
        <f t="shared" si="31"/>
        <v>0</v>
      </c>
      <c r="AP103" s="273">
        <f t="shared" si="36"/>
        <v>11</v>
      </c>
      <c r="AQ103" s="273" t="str">
        <f t="shared" ca="1" si="32"/>
        <v>112025</v>
      </c>
    </row>
    <row r="104" spans="1:43" ht="16.5">
      <c r="A104" s="587">
        <v>5</v>
      </c>
      <c r="B104" s="340" t="s">
        <v>1721</v>
      </c>
      <c r="C104" s="332" t="s">
        <v>1722</v>
      </c>
      <c r="D104" s="277" t="s">
        <v>1723</v>
      </c>
      <c r="E104" s="588">
        <v>45785</v>
      </c>
      <c r="F104" s="507">
        <v>4</v>
      </c>
      <c r="G104" s="589">
        <v>997500</v>
      </c>
      <c r="H104" s="589">
        <f t="shared" si="41"/>
        <v>179550</v>
      </c>
      <c r="I104" s="589">
        <f t="shared" si="40"/>
        <v>1177050</v>
      </c>
      <c r="J104" s="589"/>
      <c r="K104" s="590" t="s">
        <v>1724</v>
      </c>
      <c r="L104" s="591" t="s">
        <v>1595</v>
      </c>
      <c r="M104" s="592">
        <v>0.75</v>
      </c>
      <c r="N104" s="340" t="s">
        <v>1593</v>
      </c>
      <c r="O104" s="593" t="s">
        <v>1744</v>
      </c>
      <c r="P104" s="436">
        <v>45968</v>
      </c>
      <c r="Q104" s="340"/>
      <c r="R104" s="315"/>
      <c r="S104" s="315"/>
      <c r="T104" s="315"/>
      <c r="U104" s="294">
        <v>46057</v>
      </c>
      <c r="V104" s="340">
        <f t="shared" ca="1" si="35"/>
        <v>11</v>
      </c>
      <c r="W104" s="292">
        <f t="shared" ca="1" si="33"/>
        <v>2025</v>
      </c>
      <c r="X104" s="291" t="str">
        <f t="shared" ca="1" si="34"/>
        <v>1 WEEK</v>
      </c>
      <c r="Y104" s="329">
        <f t="shared" si="38"/>
        <v>45968</v>
      </c>
      <c r="Z104" s="341" cm="1">
        <f t="array" aca="1" ref="Z104" ca="1">_xlfn.IFS(AD104&lt;100,Y104,Y104&lt;TODAY(),TODAY(),Y104&gt;TODAY(),Y104,Y104=TODAY(),Y104)</f>
        <v>45968</v>
      </c>
      <c r="AA104" s="594"/>
      <c r="AB104" s="301"/>
      <c r="AC104" s="301"/>
      <c r="AD104" s="298">
        <f t="shared" si="26"/>
        <v>0</v>
      </c>
      <c r="AE104" s="299" t="str">
        <f t="shared" si="27"/>
        <v>Complete</v>
      </c>
      <c r="AF104" s="340"/>
      <c r="AG104" s="301"/>
      <c r="AH104" s="343"/>
      <c r="AI104" s="301">
        <f t="shared" ca="1" si="24"/>
        <v>0</v>
      </c>
      <c r="AJ104" s="302">
        <f t="shared" ca="1" si="25"/>
        <v>0</v>
      </c>
      <c r="AL104" s="303">
        <f t="shared" si="28"/>
        <v>1177050</v>
      </c>
      <c r="AM104" s="303">
        <f t="shared" si="29"/>
        <v>1177050</v>
      </c>
      <c r="AN104" s="303">
        <f t="shared" si="30"/>
        <v>0</v>
      </c>
      <c r="AO104" s="304">
        <f t="shared" si="31"/>
        <v>0</v>
      </c>
      <c r="AP104" s="273">
        <f t="shared" si="36"/>
        <v>11</v>
      </c>
      <c r="AQ104" s="273" t="str">
        <f t="shared" ca="1" si="32"/>
        <v>112025</v>
      </c>
    </row>
    <row r="105" spans="1:43" ht="16.5">
      <c r="A105" s="587">
        <v>5</v>
      </c>
      <c r="B105" s="340" t="s">
        <v>1721</v>
      </c>
      <c r="C105" s="332" t="s">
        <v>1722</v>
      </c>
      <c r="D105" s="277" t="s">
        <v>1723</v>
      </c>
      <c r="E105" s="588">
        <v>45785</v>
      </c>
      <c r="F105" s="507">
        <v>4</v>
      </c>
      <c r="G105" s="589">
        <v>798000</v>
      </c>
      <c r="H105" s="589">
        <f t="shared" si="41"/>
        <v>143640</v>
      </c>
      <c r="I105" s="589">
        <f t="shared" si="40"/>
        <v>941640</v>
      </c>
      <c r="J105" s="589"/>
      <c r="K105" s="590" t="s">
        <v>1724</v>
      </c>
      <c r="L105" s="591" t="s">
        <v>1595</v>
      </c>
      <c r="M105" s="592">
        <v>0.75</v>
      </c>
      <c r="N105" s="340" t="s">
        <v>1593</v>
      </c>
      <c r="O105" s="593" t="s">
        <v>1745</v>
      </c>
      <c r="P105" s="436">
        <v>45968</v>
      </c>
      <c r="Q105" s="340"/>
      <c r="R105" s="315"/>
      <c r="S105" s="315"/>
      <c r="T105" s="315"/>
      <c r="U105" s="294">
        <v>46057</v>
      </c>
      <c r="V105" s="340">
        <f t="shared" ca="1" si="35"/>
        <v>11</v>
      </c>
      <c r="W105" s="292">
        <f t="shared" ca="1" si="33"/>
        <v>2025</v>
      </c>
      <c r="X105" s="291" t="str">
        <f t="shared" ca="1" si="34"/>
        <v>1 WEEK</v>
      </c>
      <c r="Y105" s="329">
        <f t="shared" si="38"/>
        <v>45968</v>
      </c>
      <c r="Z105" s="341" cm="1">
        <f t="array" aca="1" ref="Z105" ca="1">_xlfn.IFS(AD105&lt;100,Y105,Y105&lt;TODAY(),TODAY(),Y105&gt;TODAY(),Y105,Y105=TODAY(),Y105)</f>
        <v>45968</v>
      </c>
      <c r="AA105" s="594"/>
      <c r="AB105" s="301"/>
      <c r="AC105" s="301"/>
      <c r="AD105" s="298">
        <f t="shared" si="26"/>
        <v>0</v>
      </c>
      <c r="AE105" s="299" t="str">
        <f t="shared" si="27"/>
        <v>Complete</v>
      </c>
      <c r="AF105" s="340"/>
      <c r="AG105" s="301"/>
      <c r="AH105" s="343"/>
      <c r="AI105" s="301">
        <f t="shared" ca="1" si="24"/>
        <v>0</v>
      </c>
      <c r="AJ105" s="302">
        <f t="shared" ca="1" si="25"/>
        <v>0</v>
      </c>
      <c r="AL105" s="303">
        <f t="shared" si="28"/>
        <v>941640</v>
      </c>
      <c r="AM105" s="303">
        <f t="shared" si="29"/>
        <v>941640</v>
      </c>
      <c r="AN105" s="303">
        <f t="shared" si="30"/>
        <v>0</v>
      </c>
      <c r="AO105" s="304">
        <f t="shared" si="31"/>
        <v>0</v>
      </c>
      <c r="AP105" s="273">
        <f t="shared" si="36"/>
        <v>11</v>
      </c>
      <c r="AQ105" s="273" t="str">
        <f t="shared" ca="1" si="32"/>
        <v>112025</v>
      </c>
    </row>
    <row r="106" spans="1:43" ht="16.5">
      <c r="A106" s="587">
        <v>5</v>
      </c>
      <c r="B106" s="340" t="s">
        <v>1721</v>
      </c>
      <c r="C106" s="332" t="s">
        <v>1722</v>
      </c>
      <c r="D106" s="277" t="s">
        <v>1723</v>
      </c>
      <c r="E106" s="588">
        <v>45785</v>
      </c>
      <c r="F106" s="507">
        <v>4</v>
      </c>
      <c r="G106" s="589">
        <v>1995000</v>
      </c>
      <c r="H106" s="589">
        <f t="shared" si="41"/>
        <v>359100</v>
      </c>
      <c r="I106" s="589">
        <f t="shared" si="40"/>
        <v>2354100</v>
      </c>
      <c r="J106" s="589"/>
      <c r="K106" s="590" t="s">
        <v>1724</v>
      </c>
      <c r="L106" s="591" t="s">
        <v>1595</v>
      </c>
      <c r="M106" s="592">
        <v>0.75</v>
      </c>
      <c r="N106" s="340" t="s">
        <v>1593</v>
      </c>
      <c r="O106" s="593" t="s">
        <v>1746</v>
      </c>
      <c r="P106" s="595">
        <v>45968</v>
      </c>
      <c r="Q106" s="511"/>
      <c r="R106" s="315"/>
      <c r="S106" s="315"/>
      <c r="T106" s="315"/>
      <c r="U106" s="294">
        <v>46057</v>
      </c>
      <c r="V106" s="340">
        <f t="shared" ca="1" si="35"/>
        <v>11</v>
      </c>
      <c r="W106" s="292">
        <f t="shared" ca="1" si="33"/>
        <v>2025</v>
      </c>
      <c r="X106" s="291" t="str">
        <f t="shared" ca="1" si="34"/>
        <v>1 WEEK</v>
      </c>
      <c r="Y106" s="329">
        <f t="shared" si="38"/>
        <v>45968</v>
      </c>
      <c r="Z106" s="341" cm="1">
        <f t="array" aca="1" ref="Z106" ca="1">_xlfn.IFS(AD106&lt;100,Y106,Y106&lt;TODAY(),TODAY(),Y106&gt;TODAY(),Y106,Y106=TODAY(),Y106)</f>
        <v>45968</v>
      </c>
      <c r="AA106" s="594"/>
      <c r="AB106" s="301"/>
      <c r="AC106" s="301"/>
      <c r="AD106" s="298">
        <f t="shared" si="26"/>
        <v>0</v>
      </c>
      <c r="AE106" s="299" t="str">
        <f t="shared" si="27"/>
        <v>Complete</v>
      </c>
      <c r="AF106" s="340"/>
      <c r="AG106" s="301"/>
      <c r="AH106" s="343"/>
      <c r="AI106" s="301">
        <f t="shared" ca="1" si="24"/>
        <v>0</v>
      </c>
      <c r="AJ106" s="302">
        <f t="shared" ca="1" si="25"/>
        <v>0</v>
      </c>
      <c r="AL106" s="303">
        <f t="shared" si="28"/>
        <v>2354100</v>
      </c>
      <c r="AM106" s="303">
        <f t="shared" si="29"/>
        <v>2354100</v>
      </c>
      <c r="AN106" s="303">
        <f t="shared" si="30"/>
        <v>0</v>
      </c>
      <c r="AO106" s="304">
        <f t="shared" si="31"/>
        <v>0</v>
      </c>
      <c r="AP106" s="273">
        <f t="shared" si="36"/>
        <v>11</v>
      </c>
      <c r="AQ106" s="273" t="str">
        <f t="shared" ca="1" si="32"/>
        <v>112025</v>
      </c>
    </row>
    <row r="107" spans="1:43" ht="16.5">
      <c r="A107" s="587">
        <v>5</v>
      </c>
      <c r="B107" s="340" t="s">
        <v>1721</v>
      </c>
      <c r="C107" s="332" t="s">
        <v>1722</v>
      </c>
      <c r="D107" s="277" t="s">
        <v>1723</v>
      </c>
      <c r="E107" s="588">
        <v>45785</v>
      </c>
      <c r="F107" s="507">
        <v>4</v>
      </c>
      <c r="G107" s="589">
        <v>129182.59</v>
      </c>
      <c r="H107" s="589">
        <f t="shared" si="41"/>
        <v>23252.866199999997</v>
      </c>
      <c r="I107" s="589">
        <f t="shared" si="40"/>
        <v>152435</v>
      </c>
      <c r="J107" s="589"/>
      <c r="K107" s="590" t="s">
        <v>1747</v>
      </c>
      <c r="L107" s="340" t="s">
        <v>1617</v>
      </c>
      <c r="M107" s="592">
        <v>0.15</v>
      </c>
      <c r="N107" s="340" t="s">
        <v>1618</v>
      </c>
      <c r="O107" s="593" t="s">
        <v>1748</v>
      </c>
      <c r="P107" s="553">
        <v>46053</v>
      </c>
      <c r="Q107" s="596"/>
      <c r="R107" s="315"/>
      <c r="S107" s="315"/>
      <c r="T107" s="315"/>
      <c r="U107" s="294">
        <v>46057</v>
      </c>
      <c r="V107" s="340">
        <f t="shared" ca="1" si="35"/>
        <v>1</v>
      </c>
      <c r="W107" s="292">
        <f t="shared" ca="1" si="33"/>
        <v>2026</v>
      </c>
      <c r="X107" s="291" t="str">
        <f t="shared" ca="1" si="34"/>
        <v>5 WEEK</v>
      </c>
      <c r="Y107" s="329">
        <f t="shared" si="38"/>
        <v>46053</v>
      </c>
      <c r="Z107" s="341" cm="1">
        <f t="array" aca="1" ref="Z107" ca="1">_xlfn.IFS(AD107&lt;100,Y107,Y107&lt;TODAY(),TODAY(),Y107&gt;TODAY(),Y107,Y107=TODAY(),Y107)</f>
        <v>46053</v>
      </c>
      <c r="AA107" s="597">
        <f>SUM(I85:I119)*M107</f>
        <v>31284320.25</v>
      </c>
      <c r="AB107" s="301"/>
      <c r="AC107" s="301"/>
      <c r="AD107" s="298">
        <f t="shared" si="26"/>
        <v>31284320</v>
      </c>
      <c r="AE107" s="299" t="str">
        <f t="shared" si="27"/>
        <v>Incomplete</v>
      </c>
      <c r="AF107" s="340"/>
      <c r="AG107" s="301"/>
      <c r="AH107" s="343"/>
      <c r="AI107" s="301">
        <f t="shared" ca="1" si="24"/>
        <v>0</v>
      </c>
      <c r="AJ107" s="302">
        <f t="shared" ca="1" si="25"/>
        <v>0</v>
      </c>
      <c r="AL107" s="303">
        <f t="shared" si="28"/>
        <v>152435</v>
      </c>
      <c r="AM107" s="303">
        <f t="shared" si="29"/>
        <v>152435</v>
      </c>
      <c r="AN107" s="303">
        <f t="shared" si="30"/>
        <v>0</v>
      </c>
      <c r="AO107" s="304">
        <f t="shared" si="31"/>
        <v>0</v>
      </c>
      <c r="AP107" s="273">
        <f t="shared" si="36"/>
        <v>1</v>
      </c>
      <c r="AQ107" s="273" t="str">
        <f t="shared" ca="1" si="32"/>
        <v>12026</v>
      </c>
    </row>
    <row r="108" spans="1:43" ht="16.5">
      <c r="A108" s="587">
        <v>5</v>
      </c>
      <c r="B108" s="340" t="s">
        <v>1721</v>
      </c>
      <c r="C108" s="332" t="s">
        <v>1722</v>
      </c>
      <c r="D108" s="277" t="s">
        <v>1723</v>
      </c>
      <c r="E108" s="588">
        <v>45785</v>
      </c>
      <c r="F108" s="507">
        <v>4</v>
      </c>
      <c r="G108" s="589">
        <v>259203.93</v>
      </c>
      <c r="H108" s="589">
        <f t="shared" si="41"/>
        <v>46656.707399999999</v>
      </c>
      <c r="I108" s="589">
        <f t="shared" si="40"/>
        <v>305861</v>
      </c>
      <c r="J108" s="589"/>
      <c r="K108" s="590" t="s">
        <v>1747</v>
      </c>
      <c r="L108" s="340" t="s">
        <v>1617</v>
      </c>
      <c r="M108" s="592">
        <v>0.15</v>
      </c>
      <c r="N108" s="340" t="s">
        <v>1618</v>
      </c>
      <c r="O108" s="593" t="s">
        <v>1749</v>
      </c>
      <c r="P108" s="436">
        <v>46053</v>
      </c>
      <c r="Q108" s="340"/>
      <c r="R108" s="315"/>
      <c r="S108" s="315"/>
      <c r="T108" s="315"/>
      <c r="U108" s="294">
        <v>46057</v>
      </c>
      <c r="V108" s="340">
        <f t="shared" ca="1" si="35"/>
        <v>1</v>
      </c>
      <c r="W108" s="292">
        <f t="shared" ca="1" si="33"/>
        <v>2026</v>
      </c>
      <c r="X108" s="291" t="str">
        <f t="shared" ca="1" si="34"/>
        <v>5 WEEK</v>
      </c>
      <c r="Y108" s="329">
        <f t="shared" si="38"/>
        <v>46053</v>
      </c>
      <c r="Z108" s="341" cm="1">
        <f t="array" aca="1" ref="Z108" ca="1">_xlfn.IFS(AD108&lt;100,Y108,Y108&lt;TODAY(),TODAY(),Y108&gt;TODAY(),Y108,Y108=TODAY(),Y108)</f>
        <v>46053</v>
      </c>
      <c r="AA108" s="594"/>
      <c r="AB108" s="301"/>
      <c r="AC108" s="301"/>
      <c r="AD108" s="298">
        <f t="shared" si="26"/>
        <v>0</v>
      </c>
      <c r="AE108" s="299" t="str">
        <f t="shared" si="27"/>
        <v>Complete</v>
      </c>
      <c r="AF108" s="340"/>
      <c r="AG108" s="301"/>
      <c r="AH108" s="343"/>
      <c r="AI108" s="301">
        <f t="shared" ca="1" si="24"/>
        <v>0</v>
      </c>
      <c r="AJ108" s="302">
        <f t="shared" ca="1" si="25"/>
        <v>0</v>
      </c>
      <c r="AL108" s="303">
        <f t="shared" si="28"/>
        <v>305861</v>
      </c>
      <c r="AM108" s="303">
        <f t="shared" si="29"/>
        <v>305861</v>
      </c>
      <c r="AN108" s="303">
        <f t="shared" si="30"/>
        <v>0</v>
      </c>
      <c r="AO108" s="304">
        <f t="shared" si="31"/>
        <v>0</v>
      </c>
      <c r="AP108" s="273">
        <f t="shared" si="36"/>
        <v>1</v>
      </c>
      <c r="AQ108" s="273" t="str">
        <f t="shared" ca="1" si="32"/>
        <v>12026</v>
      </c>
    </row>
    <row r="109" spans="1:43" ht="16.5">
      <c r="A109" s="587">
        <v>5</v>
      </c>
      <c r="B109" s="340" t="s">
        <v>1721</v>
      </c>
      <c r="C109" s="332" t="s">
        <v>1722</v>
      </c>
      <c r="D109" s="277" t="s">
        <v>1723</v>
      </c>
      <c r="E109" s="588">
        <v>45785</v>
      </c>
      <c r="F109" s="507">
        <v>4</v>
      </c>
      <c r="G109" s="589">
        <v>1933649.75</v>
      </c>
      <c r="H109" s="589">
        <f t="shared" si="41"/>
        <v>348056.95499999996</v>
      </c>
      <c r="I109" s="589">
        <f t="shared" si="40"/>
        <v>2281707</v>
      </c>
      <c r="J109" s="589"/>
      <c r="K109" s="590" t="s">
        <v>1747</v>
      </c>
      <c r="L109" s="340" t="s">
        <v>1617</v>
      </c>
      <c r="M109" s="592">
        <v>0.15</v>
      </c>
      <c r="N109" s="340" t="s">
        <v>1618</v>
      </c>
      <c r="O109" s="593" t="s">
        <v>1750</v>
      </c>
      <c r="P109" s="436">
        <v>46053</v>
      </c>
      <c r="Q109" s="340"/>
      <c r="R109" s="315"/>
      <c r="S109" s="315"/>
      <c r="T109" s="315"/>
      <c r="U109" s="294">
        <v>46057</v>
      </c>
      <c r="V109" s="340">
        <f t="shared" ca="1" si="35"/>
        <v>1</v>
      </c>
      <c r="W109" s="292">
        <f t="shared" ca="1" si="33"/>
        <v>2026</v>
      </c>
      <c r="X109" s="291" t="str">
        <f t="shared" ca="1" si="34"/>
        <v>5 WEEK</v>
      </c>
      <c r="Y109" s="329">
        <f t="shared" si="38"/>
        <v>46053</v>
      </c>
      <c r="Z109" s="341" cm="1">
        <f t="array" aca="1" ref="Z109" ca="1">_xlfn.IFS(AD109&lt;100,Y109,Y109&lt;TODAY(),TODAY(),Y109&gt;TODAY(),Y109,Y109=TODAY(),Y109)</f>
        <v>46053</v>
      </c>
      <c r="AA109" s="594"/>
      <c r="AB109" s="301"/>
      <c r="AC109" s="301"/>
      <c r="AD109" s="298">
        <f t="shared" si="26"/>
        <v>0</v>
      </c>
      <c r="AE109" s="299" t="str">
        <f t="shared" si="27"/>
        <v>Complete</v>
      </c>
      <c r="AF109" s="340"/>
      <c r="AG109" s="301"/>
      <c r="AH109" s="343"/>
      <c r="AI109" s="301">
        <f t="shared" ca="1" si="24"/>
        <v>0</v>
      </c>
      <c r="AJ109" s="302">
        <f t="shared" ca="1" si="25"/>
        <v>0</v>
      </c>
      <c r="AL109" s="303">
        <f t="shared" si="28"/>
        <v>2281707</v>
      </c>
      <c r="AM109" s="303">
        <f t="shared" si="29"/>
        <v>2281707</v>
      </c>
      <c r="AN109" s="303">
        <f t="shared" si="30"/>
        <v>0</v>
      </c>
      <c r="AO109" s="304">
        <f t="shared" si="31"/>
        <v>0</v>
      </c>
      <c r="AP109" s="273">
        <f t="shared" si="36"/>
        <v>1</v>
      </c>
      <c r="AQ109" s="273" t="str">
        <f t="shared" ca="1" si="32"/>
        <v>12026</v>
      </c>
    </row>
    <row r="110" spans="1:43" ht="16.5">
      <c r="A110" s="587">
        <v>5</v>
      </c>
      <c r="B110" s="340" t="s">
        <v>1721</v>
      </c>
      <c r="C110" s="332" t="s">
        <v>1722</v>
      </c>
      <c r="D110" s="277" t="s">
        <v>1723</v>
      </c>
      <c r="E110" s="588">
        <v>45785</v>
      </c>
      <c r="F110" s="507">
        <v>4</v>
      </c>
      <c r="G110" s="589">
        <v>1400476.8</v>
      </c>
      <c r="H110" s="589">
        <f t="shared" si="41"/>
        <v>252085.82399999999</v>
      </c>
      <c r="I110" s="589">
        <f t="shared" si="40"/>
        <v>1652563</v>
      </c>
      <c r="J110" s="589"/>
      <c r="K110" s="590" t="s">
        <v>1747</v>
      </c>
      <c r="L110" s="340" t="s">
        <v>1617</v>
      </c>
      <c r="M110" s="592">
        <v>0.15</v>
      </c>
      <c r="N110" s="340" t="s">
        <v>1618</v>
      </c>
      <c r="O110" s="593" t="s">
        <v>1751</v>
      </c>
      <c r="P110" s="436">
        <v>46053</v>
      </c>
      <c r="Q110" s="340"/>
      <c r="R110" s="315"/>
      <c r="S110" s="315"/>
      <c r="T110" s="315"/>
      <c r="U110" s="294">
        <v>46057</v>
      </c>
      <c r="V110" s="340">
        <f t="shared" ca="1" si="35"/>
        <v>1</v>
      </c>
      <c r="W110" s="292">
        <f t="shared" ca="1" si="33"/>
        <v>2026</v>
      </c>
      <c r="X110" s="291" t="str">
        <f t="shared" ca="1" si="34"/>
        <v>5 WEEK</v>
      </c>
      <c r="Y110" s="329">
        <f t="shared" si="38"/>
        <v>46053</v>
      </c>
      <c r="Z110" s="341" cm="1">
        <f t="array" aca="1" ref="Z110" ca="1">_xlfn.IFS(AD110&lt;100,Y110,Y110&lt;TODAY(),TODAY(),Y110&gt;TODAY(),Y110,Y110=TODAY(),Y110)</f>
        <v>46053</v>
      </c>
      <c r="AA110" s="594"/>
      <c r="AB110" s="301"/>
      <c r="AC110" s="301"/>
      <c r="AD110" s="298">
        <f t="shared" si="26"/>
        <v>0</v>
      </c>
      <c r="AE110" s="299" t="str">
        <f t="shared" si="27"/>
        <v>Complete</v>
      </c>
      <c r="AF110" s="340"/>
      <c r="AG110" s="301"/>
      <c r="AH110" s="343"/>
      <c r="AI110" s="301">
        <f t="shared" ca="1" si="24"/>
        <v>0</v>
      </c>
      <c r="AJ110" s="302">
        <f t="shared" ca="1" si="25"/>
        <v>0</v>
      </c>
      <c r="AL110" s="303">
        <f t="shared" si="28"/>
        <v>1652563</v>
      </c>
      <c r="AM110" s="303">
        <f t="shared" si="29"/>
        <v>1652563</v>
      </c>
      <c r="AN110" s="303">
        <f t="shared" si="30"/>
        <v>0</v>
      </c>
      <c r="AO110" s="304">
        <f t="shared" si="31"/>
        <v>0</v>
      </c>
      <c r="AP110" s="273">
        <f t="shared" si="36"/>
        <v>1</v>
      </c>
      <c r="AQ110" s="273" t="str">
        <f t="shared" ca="1" si="32"/>
        <v>12026</v>
      </c>
    </row>
    <row r="111" spans="1:43" ht="16.5">
      <c r="A111" s="587">
        <v>5</v>
      </c>
      <c r="B111" s="340" t="s">
        <v>1721</v>
      </c>
      <c r="C111" s="332" t="s">
        <v>1722</v>
      </c>
      <c r="D111" s="277" t="s">
        <v>1723</v>
      </c>
      <c r="E111" s="588">
        <v>45785</v>
      </c>
      <c r="F111" s="507">
        <v>4</v>
      </c>
      <c r="G111" s="589">
        <v>215635.65</v>
      </c>
      <c r="H111" s="589">
        <f t="shared" si="41"/>
        <v>38814.416999999994</v>
      </c>
      <c r="I111" s="589">
        <f t="shared" si="40"/>
        <v>254450</v>
      </c>
      <c r="J111" s="589"/>
      <c r="K111" s="590" t="s">
        <v>1747</v>
      </c>
      <c r="L111" s="340" t="s">
        <v>1617</v>
      </c>
      <c r="M111" s="592">
        <v>0.15</v>
      </c>
      <c r="N111" s="340" t="s">
        <v>1618</v>
      </c>
      <c r="O111" s="593" t="s">
        <v>1752</v>
      </c>
      <c r="P111" s="436">
        <v>46053</v>
      </c>
      <c r="Q111" s="340"/>
      <c r="R111" s="315"/>
      <c r="S111" s="315"/>
      <c r="T111" s="315"/>
      <c r="U111" s="294">
        <v>46057</v>
      </c>
      <c r="V111" s="340">
        <f t="shared" ca="1" si="35"/>
        <v>1</v>
      </c>
      <c r="W111" s="292">
        <f t="shared" ca="1" si="33"/>
        <v>2026</v>
      </c>
      <c r="X111" s="291" t="str">
        <f t="shared" ca="1" si="34"/>
        <v>5 WEEK</v>
      </c>
      <c r="Y111" s="329">
        <f t="shared" si="38"/>
        <v>46053</v>
      </c>
      <c r="Z111" s="341" cm="1">
        <f t="array" aca="1" ref="Z111" ca="1">_xlfn.IFS(AD111&lt;100,Y111,Y111&lt;TODAY(),TODAY(),Y111&gt;TODAY(),Y111,Y111=TODAY(),Y111)</f>
        <v>46053</v>
      </c>
      <c r="AA111" s="594"/>
      <c r="AB111" s="301"/>
      <c r="AC111" s="301"/>
      <c r="AD111" s="298">
        <f t="shared" si="26"/>
        <v>0</v>
      </c>
      <c r="AE111" s="299" t="str">
        <f t="shared" si="27"/>
        <v>Complete</v>
      </c>
      <c r="AF111" s="340"/>
      <c r="AG111" s="301"/>
      <c r="AH111" s="343"/>
      <c r="AI111" s="301">
        <f t="shared" ca="1" si="24"/>
        <v>0</v>
      </c>
      <c r="AJ111" s="302">
        <f t="shared" ca="1" si="25"/>
        <v>0</v>
      </c>
      <c r="AL111" s="303">
        <f t="shared" si="28"/>
        <v>254450</v>
      </c>
      <c r="AM111" s="303">
        <f t="shared" si="29"/>
        <v>254450</v>
      </c>
      <c r="AN111" s="303">
        <f t="shared" si="30"/>
        <v>0</v>
      </c>
      <c r="AO111" s="304">
        <f t="shared" si="31"/>
        <v>0</v>
      </c>
      <c r="AP111" s="273">
        <f t="shared" si="36"/>
        <v>1</v>
      </c>
      <c r="AQ111" s="273" t="str">
        <f t="shared" ca="1" si="32"/>
        <v>12026</v>
      </c>
    </row>
    <row r="112" spans="1:43" ht="16.5">
      <c r="A112" s="587">
        <v>5</v>
      </c>
      <c r="B112" s="340" t="s">
        <v>1721</v>
      </c>
      <c r="C112" s="332" t="s">
        <v>1722</v>
      </c>
      <c r="D112" s="277" t="s">
        <v>1723</v>
      </c>
      <c r="E112" s="588">
        <v>45785</v>
      </c>
      <c r="F112" s="507">
        <v>4</v>
      </c>
      <c r="G112" s="589">
        <v>4061075</v>
      </c>
      <c r="H112" s="589">
        <f t="shared" si="41"/>
        <v>730993.5</v>
      </c>
      <c r="I112" s="589">
        <f t="shared" si="40"/>
        <v>4792069</v>
      </c>
      <c r="J112" s="589"/>
      <c r="K112" s="590" t="s">
        <v>1747</v>
      </c>
      <c r="L112" s="340" t="s">
        <v>1617</v>
      </c>
      <c r="M112" s="592">
        <v>0.15</v>
      </c>
      <c r="N112" s="340" t="s">
        <v>1618</v>
      </c>
      <c r="O112" s="593" t="s">
        <v>1753</v>
      </c>
      <c r="P112" s="436">
        <v>46053</v>
      </c>
      <c r="Q112" s="340"/>
      <c r="R112" s="315"/>
      <c r="S112" s="315"/>
      <c r="T112" s="315"/>
      <c r="U112" s="294">
        <v>46057</v>
      </c>
      <c r="V112" s="340">
        <f t="shared" ca="1" si="35"/>
        <v>1</v>
      </c>
      <c r="W112" s="292">
        <f t="shared" ca="1" si="33"/>
        <v>2026</v>
      </c>
      <c r="X112" s="291" t="str">
        <f t="shared" ca="1" si="34"/>
        <v>5 WEEK</v>
      </c>
      <c r="Y112" s="329">
        <f t="shared" si="38"/>
        <v>46053</v>
      </c>
      <c r="Z112" s="341" cm="1">
        <f t="array" aca="1" ref="Z112" ca="1">_xlfn.IFS(AD112&lt;100,Y112,Y112&lt;TODAY(),TODAY(),Y112&gt;TODAY(),Y112,Y112=TODAY(),Y112)</f>
        <v>46053</v>
      </c>
      <c r="AA112" s="594"/>
      <c r="AB112" s="301"/>
      <c r="AC112" s="301"/>
      <c r="AD112" s="298">
        <f t="shared" si="26"/>
        <v>0</v>
      </c>
      <c r="AE112" s="299" t="str">
        <f t="shared" si="27"/>
        <v>Complete</v>
      </c>
      <c r="AF112" s="340"/>
      <c r="AG112" s="301"/>
      <c r="AH112" s="343"/>
      <c r="AI112" s="301">
        <f t="shared" ca="1" si="24"/>
        <v>0</v>
      </c>
      <c r="AJ112" s="302">
        <f t="shared" ca="1" si="25"/>
        <v>0</v>
      </c>
      <c r="AL112" s="303">
        <f t="shared" si="28"/>
        <v>4792069</v>
      </c>
      <c r="AM112" s="303">
        <f t="shared" si="29"/>
        <v>4792069</v>
      </c>
      <c r="AN112" s="303">
        <f t="shared" si="30"/>
        <v>0</v>
      </c>
      <c r="AO112" s="304">
        <f t="shared" si="31"/>
        <v>0</v>
      </c>
      <c r="AP112" s="273">
        <f t="shared" si="36"/>
        <v>1</v>
      </c>
      <c r="AQ112" s="273" t="str">
        <f t="shared" ca="1" si="32"/>
        <v>12026</v>
      </c>
    </row>
    <row r="113" spans="1:43" ht="16.5">
      <c r="A113" s="587">
        <v>5</v>
      </c>
      <c r="B113" s="340" t="s">
        <v>1721</v>
      </c>
      <c r="C113" s="332" t="s">
        <v>1722</v>
      </c>
      <c r="D113" s="277" t="s">
        <v>1723</v>
      </c>
      <c r="E113" s="588">
        <v>45785</v>
      </c>
      <c r="F113" s="507">
        <v>4</v>
      </c>
      <c r="G113" s="589">
        <v>798000</v>
      </c>
      <c r="H113" s="589">
        <f t="shared" si="41"/>
        <v>143640</v>
      </c>
      <c r="I113" s="589">
        <f t="shared" si="40"/>
        <v>941640</v>
      </c>
      <c r="J113" s="589"/>
      <c r="K113" s="590" t="s">
        <v>1747</v>
      </c>
      <c r="L113" s="340" t="s">
        <v>1617</v>
      </c>
      <c r="M113" s="592">
        <v>0.15</v>
      </c>
      <c r="N113" s="340" t="s">
        <v>1618</v>
      </c>
      <c r="O113" s="593" t="s">
        <v>1754</v>
      </c>
      <c r="P113" s="436">
        <v>46053</v>
      </c>
      <c r="Q113" s="340"/>
      <c r="R113" s="315"/>
      <c r="S113" s="315"/>
      <c r="T113" s="315"/>
      <c r="U113" s="294">
        <v>46057</v>
      </c>
      <c r="V113" s="340">
        <f t="shared" ca="1" si="35"/>
        <v>1</v>
      </c>
      <c r="W113" s="292">
        <f t="shared" ca="1" si="33"/>
        <v>2026</v>
      </c>
      <c r="X113" s="291" t="str">
        <f t="shared" ca="1" si="34"/>
        <v>5 WEEK</v>
      </c>
      <c r="Y113" s="329">
        <f t="shared" si="38"/>
        <v>46053</v>
      </c>
      <c r="Z113" s="341" cm="1">
        <f t="array" aca="1" ref="Z113" ca="1">_xlfn.IFS(AD113&lt;100,Y113,Y113&lt;TODAY(),TODAY(),Y113&gt;TODAY(),Y113,Y113=TODAY(),Y113)</f>
        <v>46053</v>
      </c>
      <c r="AA113" s="594"/>
      <c r="AB113" s="301"/>
      <c r="AC113" s="301"/>
      <c r="AD113" s="298">
        <f t="shared" si="26"/>
        <v>0</v>
      </c>
      <c r="AE113" s="299" t="str">
        <f t="shared" si="27"/>
        <v>Complete</v>
      </c>
      <c r="AF113" s="340"/>
      <c r="AG113" s="301"/>
      <c r="AH113" s="343"/>
      <c r="AI113" s="301">
        <f t="shared" ca="1" si="24"/>
        <v>0</v>
      </c>
      <c r="AJ113" s="302">
        <f t="shared" ca="1" si="25"/>
        <v>0</v>
      </c>
      <c r="AL113" s="303">
        <f t="shared" si="28"/>
        <v>941640</v>
      </c>
      <c r="AM113" s="303">
        <f t="shared" si="29"/>
        <v>941640</v>
      </c>
      <c r="AN113" s="303">
        <f t="shared" si="30"/>
        <v>0</v>
      </c>
      <c r="AO113" s="304">
        <f t="shared" si="31"/>
        <v>0</v>
      </c>
      <c r="AP113" s="273">
        <f t="shared" si="36"/>
        <v>1</v>
      </c>
      <c r="AQ113" s="273" t="str">
        <f t="shared" ca="1" si="32"/>
        <v>12026</v>
      </c>
    </row>
    <row r="114" spans="1:43" ht="16.5">
      <c r="A114" s="587">
        <v>5</v>
      </c>
      <c r="B114" s="340" t="s">
        <v>1721</v>
      </c>
      <c r="C114" s="332" t="s">
        <v>1722</v>
      </c>
      <c r="D114" s="277" t="s">
        <v>1723</v>
      </c>
      <c r="E114" s="588">
        <v>45785</v>
      </c>
      <c r="F114" s="507">
        <v>4</v>
      </c>
      <c r="G114" s="589">
        <v>399000</v>
      </c>
      <c r="H114" s="589">
        <f t="shared" si="41"/>
        <v>71820</v>
      </c>
      <c r="I114" s="589">
        <f t="shared" si="40"/>
        <v>470820</v>
      </c>
      <c r="J114" s="589"/>
      <c r="K114" s="590" t="s">
        <v>1747</v>
      </c>
      <c r="L114" s="340" t="s">
        <v>1617</v>
      </c>
      <c r="M114" s="592">
        <v>0.15</v>
      </c>
      <c r="N114" s="340" t="s">
        <v>1618</v>
      </c>
      <c r="O114" s="593" t="s">
        <v>1755</v>
      </c>
      <c r="P114" s="436">
        <v>46053</v>
      </c>
      <c r="Q114" s="340"/>
      <c r="R114" s="315"/>
      <c r="S114" s="315"/>
      <c r="T114" s="315"/>
      <c r="U114" s="294">
        <v>46057</v>
      </c>
      <c r="V114" s="340">
        <f t="shared" ca="1" si="35"/>
        <v>1</v>
      </c>
      <c r="W114" s="292">
        <f t="shared" ca="1" si="33"/>
        <v>2026</v>
      </c>
      <c r="X114" s="291" t="str">
        <f t="shared" ca="1" si="34"/>
        <v>5 WEEK</v>
      </c>
      <c r="Y114" s="329">
        <f t="shared" si="38"/>
        <v>46053</v>
      </c>
      <c r="Z114" s="341" cm="1">
        <f t="array" aca="1" ref="Z114" ca="1">_xlfn.IFS(AD114&lt;100,Y114,Y114&lt;TODAY(),TODAY(),Y114&gt;TODAY(),Y114,Y114=TODAY(),Y114)</f>
        <v>46053</v>
      </c>
      <c r="AA114" s="594"/>
      <c r="AB114" s="301"/>
      <c r="AC114" s="301"/>
      <c r="AD114" s="298">
        <f t="shared" si="26"/>
        <v>0</v>
      </c>
      <c r="AE114" s="299" t="str">
        <f t="shared" si="27"/>
        <v>Complete</v>
      </c>
      <c r="AF114" s="340"/>
      <c r="AG114" s="301"/>
      <c r="AH114" s="343"/>
      <c r="AI114" s="301">
        <f t="shared" ca="1" si="24"/>
        <v>0</v>
      </c>
      <c r="AJ114" s="302">
        <f t="shared" ca="1" si="25"/>
        <v>0</v>
      </c>
      <c r="AL114" s="303">
        <f t="shared" si="28"/>
        <v>470820</v>
      </c>
      <c r="AM114" s="303">
        <f t="shared" si="29"/>
        <v>470820</v>
      </c>
      <c r="AN114" s="303">
        <f t="shared" si="30"/>
        <v>0</v>
      </c>
      <c r="AO114" s="304">
        <f t="shared" si="31"/>
        <v>0</v>
      </c>
      <c r="AP114" s="273">
        <f t="shared" si="36"/>
        <v>1</v>
      </c>
      <c r="AQ114" s="273" t="str">
        <f t="shared" ca="1" si="32"/>
        <v>12026</v>
      </c>
    </row>
    <row r="115" spans="1:43" ht="16.5">
      <c r="A115" s="587">
        <v>5</v>
      </c>
      <c r="B115" s="340" t="s">
        <v>1721</v>
      </c>
      <c r="C115" s="332" t="s">
        <v>1722</v>
      </c>
      <c r="D115" s="277" t="s">
        <v>1723</v>
      </c>
      <c r="E115" s="588">
        <v>45785</v>
      </c>
      <c r="F115" s="507">
        <v>4</v>
      </c>
      <c r="G115" s="589">
        <v>997500</v>
      </c>
      <c r="H115" s="589">
        <f t="shared" si="41"/>
        <v>179550</v>
      </c>
      <c r="I115" s="589">
        <f t="shared" si="40"/>
        <v>1177050</v>
      </c>
      <c r="J115" s="589"/>
      <c r="K115" s="590" t="s">
        <v>1747</v>
      </c>
      <c r="L115" s="340" t="s">
        <v>1617</v>
      </c>
      <c r="M115" s="592">
        <v>0.15</v>
      </c>
      <c r="N115" s="340" t="s">
        <v>1618</v>
      </c>
      <c r="O115" s="593" t="s">
        <v>1756</v>
      </c>
      <c r="P115" s="436">
        <v>46053</v>
      </c>
      <c r="Q115" s="340"/>
      <c r="R115" s="315"/>
      <c r="S115" s="315"/>
      <c r="T115" s="315"/>
      <c r="U115" s="294">
        <v>46057</v>
      </c>
      <c r="V115" s="340">
        <f t="shared" ca="1" si="35"/>
        <v>1</v>
      </c>
      <c r="W115" s="292">
        <f t="shared" ca="1" si="33"/>
        <v>2026</v>
      </c>
      <c r="X115" s="291" t="str">
        <f t="shared" ca="1" si="34"/>
        <v>5 WEEK</v>
      </c>
      <c r="Y115" s="329">
        <f t="shared" si="38"/>
        <v>46053</v>
      </c>
      <c r="Z115" s="341" cm="1">
        <f t="array" aca="1" ref="Z115" ca="1">_xlfn.IFS(AD115&lt;100,Y115,Y115&lt;TODAY(),TODAY(),Y115&gt;TODAY(),Y115,Y115=TODAY(),Y115)</f>
        <v>46053</v>
      </c>
      <c r="AA115" s="594"/>
      <c r="AB115" s="301"/>
      <c r="AC115" s="301"/>
      <c r="AD115" s="298">
        <f t="shared" si="26"/>
        <v>0</v>
      </c>
      <c r="AE115" s="299" t="str">
        <f t="shared" si="27"/>
        <v>Complete</v>
      </c>
      <c r="AF115" s="340"/>
      <c r="AG115" s="301"/>
      <c r="AH115" s="343"/>
      <c r="AI115" s="301">
        <f t="shared" ca="1" si="24"/>
        <v>0</v>
      </c>
      <c r="AJ115" s="302">
        <f t="shared" ca="1" si="25"/>
        <v>0</v>
      </c>
      <c r="AL115" s="303">
        <f t="shared" si="28"/>
        <v>1177050</v>
      </c>
      <c r="AM115" s="303">
        <f t="shared" si="29"/>
        <v>1177050</v>
      </c>
      <c r="AN115" s="303">
        <f t="shared" si="30"/>
        <v>0</v>
      </c>
      <c r="AO115" s="304">
        <f t="shared" si="31"/>
        <v>0</v>
      </c>
      <c r="AP115" s="273">
        <f t="shared" si="36"/>
        <v>1</v>
      </c>
      <c r="AQ115" s="273" t="str">
        <f t="shared" ca="1" si="32"/>
        <v>12026</v>
      </c>
    </row>
    <row r="116" spans="1:43" ht="16.5">
      <c r="A116" s="587">
        <v>5</v>
      </c>
      <c r="B116" s="340" t="s">
        <v>1721</v>
      </c>
      <c r="C116" s="332" t="s">
        <v>1722</v>
      </c>
      <c r="D116" s="277" t="s">
        <v>1723</v>
      </c>
      <c r="E116" s="588">
        <v>45785</v>
      </c>
      <c r="F116" s="507">
        <v>4</v>
      </c>
      <c r="G116" s="589">
        <v>2493750</v>
      </c>
      <c r="H116" s="589">
        <f t="shared" si="41"/>
        <v>448875</v>
      </c>
      <c r="I116" s="589">
        <f t="shared" si="40"/>
        <v>2942625</v>
      </c>
      <c r="J116" s="589"/>
      <c r="K116" s="590" t="s">
        <v>1747</v>
      </c>
      <c r="L116" s="340" t="s">
        <v>1617</v>
      </c>
      <c r="M116" s="592">
        <v>0.15</v>
      </c>
      <c r="N116" s="340" t="s">
        <v>1618</v>
      </c>
      <c r="O116" s="593" t="s">
        <v>1757</v>
      </c>
      <c r="P116" s="436">
        <v>46053</v>
      </c>
      <c r="Q116" s="340"/>
      <c r="R116" s="315"/>
      <c r="S116" s="315"/>
      <c r="T116" s="315"/>
      <c r="U116" s="294">
        <v>46057</v>
      </c>
      <c r="V116" s="340">
        <f t="shared" ca="1" si="35"/>
        <v>1</v>
      </c>
      <c r="W116" s="292">
        <f t="shared" ca="1" si="33"/>
        <v>2026</v>
      </c>
      <c r="X116" s="291" t="str">
        <f t="shared" ca="1" si="34"/>
        <v>5 WEEK</v>
      </c>
      <c r="Y116" s="329">
        <f t="shared" si="38"/>
        <v>46053</v>
      </c>
      <c r="Z116" s="341" cm="1">
        <f t="array" aca="1" ref="Z116" ca="1">_xlfn.IFS(AD116&lt;100,Y116,Y116&lt;TODAY(),TODAY(),Y116&gt;TODAY(),Y116,Y116=TODAY(),Y116)</f>
        <v>46053</v>
      </c>
      <c r="AA116" s="594"/>
      <c r="AB116" s="301"/>
      <c r="AC116" s="301"/>
      <c r="AD116" s="298">
        <f t="shared" si="26"/>
        <v>0</v>
      </c>
      <c r="AE116" s="299" t="str">
        <f t="shared" si="27"/>
        <v>Complete</v>
      </c>
      <c r="AF116" s="340"/>
      <c r="AG116" s="301"/>
      <c r="AH116" s="343"/>
      <c r="AI116" s="301">
        <f t="shared" ca="1" si="24"/>
        <v>0</v>
      </c>
      <c r="AJ116" s="302">
        <f t="shared" ca="1" si="25"/>
        <v>0</v>
      </c>
      <c r="AL116" s="303">
        <f t="shared" si="28"/>
        <v>2942625</v>
      </c>
      <c r="AM116" s="303">
        <f t="shared" si="29"/>
        <v>2942625</v>
      </c>
      <c r="AN116" s="303">
        <f t="shared" si="30"/>
        <v>0</v>
      </c>
      <c r="AO116" s="304">
        <f t="shared" si="31"/>
        <v>0</v>
      </c>
      <c r="AP116" s="273">
        <f t="shared" si="36"/>
        <v>1</v>
      </c>
      <c r="AQ116" s="273" t="str">
        <f t="shared" ca="1" si="32"/>
        <v>12026</v>
      </c>
    </row>
    <row r="117" spans="1:43" ht="16.5">
      <c r="A117" s="587">
        <v>5</v>
      </c>
      <c r="B117" s="340" t="s">
        <v>1721</v>
      </c>
      <c r="C117" s="332" t="s">
        <v>1722</v>
      </c>
      <c r="D117" s="277" t="s">
        <v>1723</v>
      </c>
      <c r="E117" s="588">
        <v>45785</v>
      </c>
      <c r="F117" s="507">
        <v>4</v>
      </c>
      <c r="G117" s="589">
        <v>1496250</v>
      </c>
      <c r="H117" s="589">
        <f t="shared" si="41"/>
        <v>269325</v>
      </c>
      <c r="I117" s="589">
        <f t="shared" si="40"/>
        <v>1765575</v>
      </c>
      <c r="J117" s="589"/>
      <c r="K117" s="590" t="s">
        <v>1747</v>
      </c>
      <c r="L117" s="340" t="s">
        <v>1617</v>
      </c>
      <c r="M117" s="592">
        <v>0.15</v>
      </c>
      <c r="N117" s="340" t="s">
        <v>1618</v>
      </c>
      <c r="O117" s="593" t="s">
        <v>1758</v>
      </c>
      <c r="P117" s="436">
        <v>46053</v>
      </c>
      <c r="Q117" s="340"/>
      <c r="R117" s="315"/>
      <c r="S117" s="315"/>
      <c r="T117" s="315"/>
      <c r="U117" s="294">
        <v>46057</v>
      </c>
      <c r="V117" s="340">
        <f t="shared" ca="1" si="35"/>
        <v>1</v>
      </c>
      <c r="W117" s="292">
        <f t="shared" ca="1" si="33"/>
        <v>2026</v>
      </c>
      <c r="X117" s="291" t="str">
        <f t="shared" ca="1" si="34"/>
        <v>5 WEEK</v>
      </c>
      <c r="Y117" s="329">
        <f t="shared" si="38"/>
        <v>46053</v>
      </c>
      <c r="Z117" s="341" cm="1">
        <f t="array" aca="1" ref="Z117" ca="1">_xlfn.IFS(AD117&lt;100,Y117,Y117&lt;TODAY(),TODAY(),Y117&gt;TODAY(),Y117,Y117=TODAY(),Y117)</f>
        <v>46053</v>
      </c>
      <c r="AA117" s="594"/>
      <c r="AB117" s="301"/>
      <c r="AC117" s="301"/>
      <c r="AD117" s="298">
        <f t="shared" si="26"/>
        <v>0</v>
      </c>
      <c r="AE117" s="299" t="str">
        <f t="shared" si="27"/>
        <v>Complete</v>
      </c>
      <c r="AF117" s="340"/>
      <c r="AG117" s="301"/>
      <c r="AH117" s="343"/>
      <c r="AI117" s="301">
        <f t="shared" ca="1" si="24"/>
        <v>0</v>
      </c>
      <c r="AJ117" s="302">
        <f t="shared" ca="1" si="25"/>
        <v>0</v>
      </c>
      <c r="AL117" s="303">
        <f t="shared" si="28"/>
        <v>1765575</v>
      </c>
      <c r="AM117" s="303">
        <f t="shared" si="29"/>
        <v>1765575</v>
      </c>
      <c r="AN117" s="303">
        <f t="shared" si="30"/>
        <v>0</v>
      </c>
      <c r="AO117" s="304">
        <f t="shared" si="31"/>
        <v>0</v>
      </c>
      <c r="AP117" s="273">
        <f t="shared" si="36"/>
        <v>1</v>
      </c>
      <c r="AQ117" s="273" t="str">
        <f t="shared" ca="1" si="32"/>
        <v>12026</v>
      </c>
    </row>
    <row r="118" spans="1:43" ht="16.5">
      <c r="A118" s="587">
        <v>5</v>
      </c>
      <c r="B118" s="340" t="s">
        <v>1721</v>
      </c>
      <c r="C118" s="332" t="s">
        <v>1722</v>
      </c>
      <c r="D118" s="277" t="s">
        <v>1723</v>
      </c>
      <c r="E118" s="588">
        <v>45785</v>
      </c>
      <c r="F118" s="507">
        <v>4</v>
      </c>
      <c r="G118" s="589">
        <v>623437.5</v>
      </c>
      <c r="H118" s="589">
        <f t="shared" si="41"/>
        <v>112218.75</v>
      </c>
      <c r="I118" s="589">
        <f t="shared" si="40"/>
        <v>735656</v>
      </c>
      <c r="J118" s="589"/>
      <c r="K118" s="590" t="s">
        <v>1747</v>
      </c>
      <c r="L118" s="340" t="s">
        <v>1617</v>
      </c>
      <c r="M118" s="592">
        <v>0.15</v>
      </c>
      <c r="N118" s="340" t="s">
        <v>1618</v>
      </c>
      <c r="O118" s="593" t="s">
        <v>1759</v>
      </c>
      <c r="P118" s="436">
        <v>46053</v>
      </c>
      <c r="Q118" s="340"/>
      <c r="R118" s="315"/>
      <c r="S118" s="315"/>
      <c r="T118" s="315"/>
      <c r="U118" s="294">
        <v>46057</v>
      </c>
      <c r="V118" s="340">
        <f t="shared" ca="1" si="35"/>
        <v>1</v>
      </c>
      <c r="W118" s="292">
        <f t="shared" ca="1" si="33"/>
        <v>2026</v>
      </c>
      <c r="X118" s="291" t="str">
        <f t="shared" ca="1" si="34"/>
        <v>5 WEEK</v>
      </c>
      <c r="Y118" s="553">
        <f t="shared" si="38"/>
        <v>46053</v>
      </c>
      <c r="Z118" s="341" cm="1">
        <f t="array" aca="1" ref="Z118" ca="1">_xlfn.IFS(AD118&lt;100,Y118,Y118&lt;TODAY(),TODAY(),Y118&gt;TODAY(),Y118,Y118=TODAY(),Y118)</f>
        <v>46053</v>
      </c>
      <c r="AA118" s="594"/>
      <c r="AB118" s="301"/>
      <c r="AC118" s="301"/>
      <c r="AD118" s="298">
        <f t="shared" si="26"/>
        <v>0</v>
      </c>
      <c r="AE118" s="299" t="str">
        <f t="shared" si="27"/>
        <v>Complete</v>
      </c>
      <c r="AF118" s="340"/>
      <c r="AG118" s="301"/>
      <c r="AH118" s="343"/>
      <c r="AI118" s="301">
        <f t="shared" ca="1" si="24"/>
        <v>0</v>
      </c>
      <c r="AJ118" s="302">
        <f t="shared" ca="1" si="25"/>
        <v>0</v>
      </c>
      <c r="AL118" s="303">
        <f t="shared" si="28"/>
        <v>735656</v>
      </c>
      <c r="AM118" s="303">
        <f t="shared" si="29"/>
        <v>735656</v>
      </c>
      <c r="AN118" s="303">
        <f t="shared" si="30"/>
        <v>0</v>
      </c>
      <c r="AO118" s="304">
        <f t="shared" si="31"/>
        <v>0</v>
      </c>
      <c r="AP118" s="273">
        <f t="shared" si="36"/>
        <v>1</v>
      </c>
      <c r="AQ118" s="273" t="str">
        <f t="shared" ca="1" si="32"/>
        <v>12026</v>
      </c>
    </row>
    <row r="119" spans="1:43" ht="16.5">
      <c r="A119" s="587">
        <v>5</v>
      </c>
      <c r="B119" s="340" t="s">
        <v>1721</v>
      </c>
      <c r="C119" s="332" t="s">
        <v>1722</v>
      </c>
      <c r="D119" s="277" t="s">
        <v>1723</v>
      </c>
      <c r="E119" s="588">
        <v>45785</v>
      </c>
      <c r="F119" s="507">
        <v>4</v>
      </c>
      <c r="G119" s="589">
        <v>11970000</v>
      </c>
      <c r="H119" s="589">
        <f t="shared" si="41"/>
        <v>2154600</v>
      </c>
      <c r="I119" s="589">
        <f t="shared" si="40"/>
        <v>14124600</v>
      </c>
      <c r="J119" s="589"/>
      <c r="K119" s="590" t="s">
        <v>1760</v>
      </c>
      <c r="L119" s="340" t="s">
        <v>1617</v>
      </c>
      <c r="M119" s="592">
        <v>0.1</v>
      </c>
      <c r="N119" s="340" t="s">
        <v>1618</v>
      </c>
      <c r="O119" s="593" t="s">
        <v>1761</v>
      </c>
      <c r="P119" s="553">
        <v>46053</v>
      </c>
      <c r="Q119" s="596"/>
      <c r="R119" s="423"/>
      <c r="S119" s="315"/>
      <c r="T119" s="423"/>
      <c r="U119" s="294">
        <v>46057</v>
      </c>
      <c r="V119" s="340">
        <f t="shared" ca="1" si="35"/>
        <v>1</v>
      </c>
      <c r="W119" s="292">
        <f t="shared" ca="1" si="33"/>
        <v>2026</v>
      </c>
      <c r="X119" s="291" t="str">
        <f t="shared" ca="1" si="34"/>
        <v>5 WEEK</v>
      </c>
      <c r="Y119" s="329">
        <f t="shared" si="38"/>
        <v>46053</v>
      </c>
      <c r="Z119" s="341" cm="1">
        <f t="array" aca="1" ref="Z119" ca="1">_xlfn.IFS(AD119&lt;100,Y119,Y119&lt;TODAY(),TODAY(),Y119&gt;TODAY(),Y119,Y119=TODAY(),Y119)</f>
        <v>46053</v>
      </c>
      <c r="AA119" s="315">
        <f>SUM(I85:I119)*M119</f>
        <v>20856213.5</v>
      </c>
      <c r="AB119" s="301"/>
      <c r="AC119" s="301"/>
      <c r="AD119" s="298">
        <f t="shared" si="26"/>
        <v>20856214</v>
      </c>
      <c r="AE119" s="299" t="str">
        <f t="shared" si="27"/>
        <v>Incomplete</v>
      </c>
      <c r="AF119" s="340"/>
      <c r="AG119" s="301"/>
      <c r="AH119" s="343"/>
      <c r="AI119" s="301">
        <f t="shared" ca="1" si="24"/>
        <v>0</v>
      </c>
      <c r="AJ119" s="302">
        <f t="shared" ca="1" si="25"/>
        <v>0</v>
      </c>
      <c r="AL119" s="303">
        <f t="shared" si="28"/>
        <v>14124600</v>
      </c>
      <c r="AM119" s="303">
        <f t="shared" si="29"/>
        <v>14124600</v>
      </c>
      <c r="AN119" s="303">
        <f t="shared" si="30"/>
        <v>0</v>
      </c>
      <c r="AO119" s="304">
        <f t="shared" si="31"/>
        <v>0</v>
      </c>
      <c r="AP119" s="273">
        <f t="shared" si="36"/>
        <v>1</v>
      </c>
      <c r="AQ119" s="273" t="str">
        <f t="shared" ca="1" si="32"/>
        <v>12026</v>
      </c>
    </row>
    <row r="120" spans="1:43" ht="17.25" thickBot="1">
      <c r="A120" s="274"/>
      <c r="B120" s="390"/>
      <c r="C120" s="276"/>
      <c r="D120" s="277"/>
      <c r="E120" s="588"/>
      <c r="F120" s="522"/>
      <c r="G120" s="580"/>
      <c r="H120" s="580"/>
      <c r="I120" s="580"/>
      <c r="J120" s="580"/>
      <c r="K120" s="581"/>
      <c r="L120" s="291"/>
      <c r="M120" s="583"/>
      <c r="N120" s="340"/>
      <c r="O120" s="584"/>
      <c r="P120" s="598">
        <v>0</v>
      </c>
      <c r="Q120" s="390"/>
      <c r="R120" s="434"/>
      <c r="S120" s="530"/>
      <c r="T120" s="423"/>
      <c r="U120" s="294"/>
      <c r="V120" s="340">
        <f t="shared" ca="1" si="35"/>
        <v>1</v>
      </c>
      <c r="W120" s="292">
        <f t="shared" ca="1" si="33"/>
        <v>1900</v>
      </c>
      <c r="X120" s="291" t="str">
        <f t="shared" ca="1" si="34"/>
        <v>0 WEEK</v>
      </c>
      <c r="Y120" s="595">
        <f t="shared" si="38"/>
        <v>0</v>
      </c>
      <c r="Z120" s="476" cm="1">
        <f t="array" aca="1" ref="Z120" ca="1">_xlfn.IFS(AD120&lt;100,Y120,Y120&lt;TODAY(),TODAY(),Y120&gt;TODAY(),Y120,Y120=TODAY(),Y120)</f>
        <v>0</v>
      </c>
      <c r="AA120" s="530"/>
      <c r="AB120" s="301"/>
      <c r="AC120" s="301"/>
      <c r="AD120" s="298">
        <f t="shared" si="26"/>
        <v>0</v>
      </c>
      <c r="AE120" s="299" t="str">
        <f t="shared" si="27"/>
        <v>Complete</v>
      </c>
      <c r="AF120" s="291"/>
      <c r="AG120" s="299"/>
      <c r="AH120" s="318"/>
      <c r="AI120" s="301">
        <f t="shared" ca="1" si="24"/>
        <v>0</v>
      </c>
      <c r="AJ120" s="302">
        <f t="shared" ca="1" si="25"/>
        <v>0</v>
      </c>
      <c r="AL120" s="303">
        <f t="shared" si="28"/>
        <v>0</v>
      </c>
      <c r="AM120" s="303">
        <f t="shared" si="29"/>
        <v>0</v>
      </c>
      <c r="AN120" s="303">
        <f t="shared" si="30"/>
        <v>0</v>
      </c>
      <c r="AO120" s="304">
        <f t="shared" si="31"/>
        <v>0</v>
      </c>
      <c r="AP120" s="273">
        <f t="shared" si="36"/>
        <v>1</v>
      </c>
      <c r="AQ120" s="273" t="str">
        <f t="shared" ca="1" si="32"/>
        <v>11900</v>
      </c>
    </row>
    <row r="121" spans="1:43" ht="18.75" thickBot="1">
      <c r="A121" s="599">
        <v>6</v>
      </c>
      <c r="B121" s="600" t="s">
        <v>1762</v>
      </c>
      <c r="C121" s="394" t="s">
        <v>1763</v>
      </c>
      <c r="D121" s="277" t="s">
        <v>605</v>
      </c>
      <c r="E121" s="341">
        <v>45435</v>
      </c>
      <c r="F121" s="396">
        <v>4</v>
      </c>
      <c r="G121" s="580"/>
      <c r="H121" s="580"/>
      <c r="I121" s="580"/>
      <c r="J121" s="580"/>
      <c r="K121" s="581"/>
      <c r="L121" s="291"/>
      <c r="M121" s="583"/>
      <c r="N121" s="340"/>
      <c r="O121" s="584"/>
      <c r="P121" s="598">
        <v>0</v>
      </c>
      <c r="Q121" s="390"/>
      <c r="R121" s="508" t="e">
        <v>#VALUE!</v>
      </c>
      <c r="S121" s="530"/>
      <c r="T121" s="423"/>
      <c r="U121" s="341"/>
      <c r="V121" s="340">
        <f t="shared" ca="1" si="35"/>
        <v>1</v>
      </c>
      <c r="W121" s="292">
        <f t="shared" ca="1" si="33"/>
        <v>1900</v>
      </c>
      <c r="X121" s="291" t="str">
        <f t="shared" ca="1" si="34"/>
        <v>0 WEEK</v>
      </c>
      <c r="Y121" s="595">
        <f t="shared" si="38"/>
        <v>0</v>
      </c>
      <c r="Z121" s="476" cm="1">
        <f t="array" aca="1" ref="Z121" ca="1">_xlfn.IFS(AD121&lt;100,Y121,Y121&lt;TODAY(),TODAY(),Y121&gt;TODAY(),Y121,Y121=TODAY(),Y121)</f>
        <v>0</v>
      </c>
      <c r="AA121" s="530"/>
      <c r="AB121" s="579"/>
      <c r="AC121" s="301"/>
      <c r="AD121" s="298">
        <f t="shared" si="26"/>
        <v>0</v>
      </c>
      <c r="AE121" s="299" t="str">
        <f t="shared" si="27"/>
        <v>Complete</v>
      </c>
      <c r="AF121" s="291"/>
      <c r="AG121" s="299"/>
      <c r="AH121" s="318"/>
      <c r="AI121" s="301">
        <f t="shared" ca="1" si="24"/>
        <v>0</v>
      </c>
      <c r="AJ121" s="302">
        <f t="shared" ca="1" si="25"/>
        <v>0</v>
      </c>
      <c r="AL121" s="303">
        <f t="shared" si="28"/>
        <v>0</v>
      </c>
      <c r="AM121" s="303">
        <f t="shared" si="29"/>
        <v>0</v>
      </c>
      <c r="AN121" s="303">
        <f t="shared" si="30"/>
        <v>0</v>
      </c>
      <c r="AO121" s="304">
        <f t="shared" si="31"/>
        <v>0</v>
      </c>
      <c r="AP121" s="273">
        <f t="shared" si="36"/>
        <v>1</v>
      </c>
      <c r="AQ121" s="273" t="str">
        <f t="shared" ca="1" si="32"/>
        <v>11900</v>
      </c>
    </row>
    <row r="122" spans="1:43" ht="16.5">
      <c r="A122" s="312">
        <v>6</v>
      </c>
      <c r="B122" s="601" t="s">
        <v>1762</v>
      </c>
      <c r="C122" s="394" t="s">
        <v>1763</v>
      </c>
      <c r="D122" s="277" t="s">
        <v>605</v>
      </c>
      <c r="E122" s="341">
        <v>45435</v>
      </c>
      <c r="F122" s="396">
        <v>4</v>
      </c>
      <c r="G122" s="602"/>
      <c r="H122" s="602"/>
      <c r="I122" s="602"/>
      <c r="J122" s="602"/>
      <c r="K122" s="603" t="s">
        <v>1764</v>
      </c>
      <c r="L122" s="604" t="s">
        <v>1765</v>
      </c>
      <c r="M122" s="605">
        <v>0.1</v>
      </c>
      <c r="N122" s="340" t="s">
        <v>1766</v>
      </c>
      <c r="O122" s="606"/>
      <c r="P122" s="607">
        <v>0</v>
      </c>
      <c r="Q122" s="407"/>
      <c r="R122" s="404"/>
      <c r="S122" s="404"/>
      <c r="T122" s="315">
        <v>30</v>
      </c>
      <c r="U122" s="406">
        <v>45555</v>
      </c>
      <c r="V122" s="340">
        <f t="shared" ca="1" si="35"/>
        <v>1</v>
      </c>
      <c r="W122" s="292">
        <f t="shared" ca="1" si="33"/>
        <v>1900</v>
      </c>
      <c r="X122" s="291" t="str">
        <f t="shared" ca="1" si="34"/>
        <v>5 WEEK</v>
      </c>
      <c r="Y122" s="595">
        <f t="shared" si="38"/>
        <v>30</v>
      </c>
      <c r="Z122" s="476" cm="1">
        <f t="array" aca="1" ref="Z122" ca="1">_xlfn.IFS(AD122&lt;100,Y122,Y122&lt;TODAY(),TODAY(),Y122&gt;TODAY(),Y122,Y122=TODAY(),Y122)</f>
        <v>30</v>
      </c>
      <c r="AA122" s="608">
        <f>SUM(G122:G155)*M122</f>
        <v>10675713.4</v>
      </c>
      <c r="AB122" s="301">
        <v>10665027.000200201</v>
      </c>
      <c r="AC122" s="301">
        <f>AA122/99.9%*0.1%</f>
        <v>10686.399799799799</v>
      </c>
      <c r="AD122" s="298">
        <f t="shared" si="26"/>
        <v>0</v>
      </c>
      <c r="AE122" s="299" t="str">
        <f t="shared" si="27"/>
        <v>Complete</v>
      </c>
      <c r="AF122" s="407"/>
      <c r="AG122" s="405"/>
      <c r="AH122" s="411"/>
      <c r="AI122" s="301">
        <f t="shared" ca="1" si="24"/>
        <v>0</v>
      </c>
      <c r="AJ122" s="302">
        <f t="shared" ca="1" si="25"/>
        <v>0</v>
      </c>
      <c r="AL122" s="303">
        <f t="shared" si="28"/>
        <v>0</v>
      </c>
      <c r="AM122" s="303">
        <f t="shared" si="29"/>
        <v>0</v>
      </c>
      <c r="AN122" s="303">
        <f t="shared" si="30"/>
        <v>0</v>
      </c>
      <c r="AO122" s="304">
        <f t="shared" si="31"/>
        <v>0</v>
      </c>
      <c r="AP122" s="273">
        <f t="shared" si="36"/>
        <v>1</v>
      </c>
      <c r="AQ122" s="273" t="str">
        <f t="shared" ca="1" si="32"/>
        <v>11900</v>
      </c>
    </row>
    <row r="123" spans="1:43" s="340" customFormat="1" ht="16.5">
      <c r="A123" s="587">
        <v>6</v>
      </c>
      <c r="B123" s="609" t="s">
        <v>1762</v>
      </c>
      <c r="C123" s="332" t="s">
        <v>1763</v>
      </c>
      <c r="D123" s="277" t="s">
        <v>605</v>
      </c>
      <c r="E123" s="341">
        <v>45435</v>
      </c>
      <c r="F123" s="334">
        <v>4</v>
      </c>
      <c r="G123" s="348">
        <v>71356468</v>
      </c>
      <c r="H123" s="301">
        <v>8562776.1600000001</v>
      </c>
      <c r="I123" s="349">
        <v>79919244</v>
      </c>
      <c r="J123" s="349"/>
      <c r="K123" s="246" t="s">
        <v>1767</v>
      </c>
      <c r="L123" s="593" t="s">
        <v>1595</v>
      </c>
      <c r="M123" s="592">
        <v>0.8</v>
      </c>
      <c r="N123" s="340" t="s">
        <v>1766</v>
      </c>
      <c r="O123" s="610" t="s">
        <v>1768</v>
      </c>
      <c r="P123" s="611">
        <v>45516</v>
      </c>
      <c r="Q123" s="481" t="s">
        <v>1769</v>
      </c>
      <c r="R123" s="315">
        <v>79919244</v>
      </c>
      <c r="S123" s="612">
        <f>R123/SUM($R$123:$R$149)</f>
        <v>0.67782761677923387</v>
      </c>
      <c r="T123" s="315">
        <v>30</v>
      </c>
      <c r="U123" s="406">
        <v>45555</v>
      </c>
      <c r="V123" s="378">
        <f t="shared" ca="1" si="35"/>
        <v>9</v>
      </c>
      <c r="W123" s="292">
        <f t="shared" ca="1" si="33"/>
        <v>2024</v>
      </c>
      <c r="X123" s="340" t="str">
        <f t="shared" ca="1" si="34"/>
        <v>2 WEEK</v>
      </c>
      <c r="Y123" s="329">
        <f>P123+T123</f>
        <v>45546</v>
      </c>
      <c r="Z123" s="476" cm="1">
        <f t="array" aca="1" ref="Z123" ca="1">_xlfn.IFS(AD123&lt;100,Y123,Y123&lt;TODAY(),TODAY(),Y123&gt;TODAY(),Y123,Y123=TODAY(),Y123)</f>
        <v>45546</v>
      </c>
      <c r="AA123" s="315">
        <f t="shared" ref="AA123:AA149" si="42">SUM($I$122:$I$155)*M123*S123</f>
        <v>65815303.03329464</v>
      </c>
      <c r="AB123" s="301">
        <v>65749421.849077128</v>
      </c>
      <c r="AC123" s="301">
        <f t="shared" ref="AC123:AC138" si="43">AA123/99.9%*0.1%</f>
        <v>65881.184217512142</v>
      </c>
      <c r="AD123" s="298">
        <f t="shared" si="26"/>
        <v>0</v>
      </c>
      <c r="AE123" s="299" t="str">
        <f t="shared" si="27"/>
        <v>Complete</v>
      </c>
      <c r="AF123" s="613">
        <v>45807</v>
      </c>
      <c r="AG123" s="301"/>
      <c r="AH123" s="343"/>
      <c r="AI123" s="301">
        <f t="shared" ca="1" si="24"/>
        <v>0</v>
      </c>
      <c r="AJ123" s="302">
        <f t="shared" ca="1" si="25"/>
        <v>0</v>
      </c>
      <c r="AK123" s="614"/>
      <c r="AL123" s="303">
        <f t="shared" si="28"/>
        <v>79919244</v>
      </c>
      <c r="AM123" s="303">
        <f t="shared" si="29"/>
        <v>0</v>
      </c>
      <c r="AN123" s="303">
        <f t="shared" si="30"/>
        <v>79919244</v>
      </c>
      <c r="AO123" s="304">
        <f t="shared" si="31"/>
        <v>0</v>
      </c>
      <c r="AP123" s="273">
        <f t="shared" si="36"/>
        <v>8</v>
      </c>
      <c r="AQ123" s="273" t="str">
        <f t="shared" ca="1" si="32"/>
        <v>82024</v>
      </c>
    </row>
    <row r="124" spans="1:43" ht="16.5">
      <c r="A124" s="587">
        <v>6</v>
      </c>
      <c r="B124" s="609" t="s">
        <v>1762</v>
      </c>
      <c r="C124" s="332" t="s">
        <v>1763</v>
      </c>
      <c r="D124" s="277" t="s">
        <v>605</v>
      </c>
      <c r="E124" s="341">
        <v>45435</v>
      </c>
      <c r="F124" s="334">
        <v>4</v>
      </c>
      <c r="G124" s="348">
        <v>5337860</v>
      </c>
      <c r="H124" s="301">
        <v>640543.19999999995</v>
      </c>
      <c r="I124" s="349">
        <v>5978403</v>
      </c>
      <c r="J124" s="349"/>
      <c r="K124" s="246" t="s">
        <v>1767</v>
      </c>
      <c r="L124" s="593" t="s">
        <v>1595</v>
      </c>
      <c r="M124" s="592">
        <v>0.8</v>
      </c>
      <c r="N124" s="340" t="s">
        <v>1766</v>
      </c>
      <c r="O124" s="610" t="s">
        <v>1770</v>
      </c>
      <c r="P124" s="611">
        <v>45509</v>
      </c>
      <c r="Q124" s="481" t="s">
        <v>1771</v>
      </c>
      <c r="R124" s="315">
        <v>5978403</v>
      </c>
      <c r="S124" s="612">
        <f t="shared" ref="S124:S149" si="44">R124/SUM($R$123:$R$149)</f>
        <v>5.0705267652879978E-2</v>
      </c>
      <c r="T124" s="315">
        <v>30</v>
      </c>
      <c r="U124" s="406">
        <v>45555</v>
      </c>
      <c r="V124" s="378">
        <f t="shared" ca="1" si="35"/>
        <v>9</v>
      </c>
      <c r="W124" s="292">
        <f t="shared" ca="1" si="33"/>
        <v>2024</v>
      </c>
      <c r="X124" s="340" t="str">
        <f t="shared" ca="1" si="34"/>
        <v>1 WEEK</v>
      </c>
      <c r="Y124" s="329">
        <f t="shared" ref="Y124:Y150" si="45">P124+T124</f>
        <v>45539</v>
      </c>
      <c r="Z124" s="476" cm="1">
        <f t="array" aca="1" ref="Z124" ca="1">_xlfn.IFS(AD124&lt;100,Y124,Y124&lt;TODAY(),TODAY(),Y124&gt;TODAY(),Y124,Y124=TODAY(),Y124)</f>
        <v>45539</v>
      </c>
      <c r="AA124" s="315">
        <f t="shared" si="42"/>
        <v>4923349.9393482478</v>
      </c>
      <c r="AB124" s="301">
        <v>4918421.6611306816</v>
      </c>
      <c r="AC124" s="301">
        <f t="shared" si="43"/>
        <v>4928.2782175658131</v>
      </c>
      <c r="AD124" s="298">
        <f t="shared" si="26"/>
        <v>0</v>
      </c>
      <c r="AE124" s="299" t="str">
        <f t="shared" si="27"/>
        <v>Complete</v>
      </c>
      <c r="AF124" s="613"/>
      <c r="AG124" s="301"/>
      <c r="AH124" s="343"/>
      <c r="AI124" s="301">
        <f t="shared" ca="1" si="24"/>
        <v>0</v>
      </c>
      <c r="AJ124" s="302">
        <f t="shared" ca="1" si="25"/>
        <v>0</v>
      </c>
      <c r="AL124" s="303">
        <f t="shared" si="28"/>
        <v>5978403</v>
      </c>
      <c r="AM124" s="303">
        <f t="shared" si="29"/>
        <v>0</v>
      </c>
      <c r="AN124" s="303">
        <f t="shared" si="30"/>
        <v>5978403</v>
      </c>
      <c r="AO124" s="304">
        <f t="shared" si="31"/>
        <v>0</v>
      </c>
      <c r="AP124" s="273">
        <f t="shared" si="36"/>
        <v>8</v>
      </c>
      <c r="AQ124" s="273" t="str">
        <f t="shared" ca="1" si="32"/>
        <v>82024</v>
      </c>
    </row>
    <row r="125" spans="1:43" ht="16.5">
      <c r="A125" s="587">
        <v>6</v>
      </c>
      <c r="B125" s="609" t="s">
        <v>1762</v>
      </c>
      <c r="C125" s="332" t="s">
        <v>1763</v>
      </c>
      <c r="D125" s="277" t="s">
        <v>605</v>
      </c>
      <c r="E125" s="341">
        <v>45435</v>
      </c>
      <c r="F125" s="334">
        <v>4</v>
      </c>
      <c r="G125" s="348">
        <v>3672445</v>
      </c>
      <c r="H125" s="301">
        <v>661040.1</v>
      </c>
      <c r="I125" s="349">
        <v>4333485</v>
      </c>
      <c r="J125" s="349"/>
      <c r="K125" s="246" t="s">
        <v>1767</v>
      </c>
      <c r="L125" s="593" t="s">
        <v>1595</v>
      </c>
      <c r="M125" s="592">
        <v>0.8</v>
      </c>
      <c r="N125" s="340" t="s">
        <v>1766</v>
      </c>
      <c r="O125" s="610" t="s">
        <v>1772</v>
      </c>
      <c r="P125" s="611">
        <v>45548</v>
      </c>
      <c r="Q125" s="481" t="s">
        <v>1773</v>
      </c>
      <c r="R125" s="315">
        <v>4333485</v>
      </c>
      <c r="S125" s="612">
        <f t="shared" si="44"/>
        <v>3.6754048998493508E-2</v>
      </c>
      <c r="T125" s="315">
        <v>30</v>
      </c>
      <c r="U125" s="406">
        <v>45555</v>
      </c>
      <c r="V125" s="378">
        <f t="shared" ca="1" si="35"/>
        <v>10</v>
      </c>
      <c r="W125" s="292">
        <f t="shared" ca="1" si="33"/>
        <v>2024</v>
      </c>
      <c r="X125" s="340" t="str">
        <f t="shared" ca="1" si="34"/>
        <v>2 WEEK</v>
      </c>
      <c r="Y125" s="329">
        <f t="shared" si="45"/>
        <v>45578</v>
      </c>
      <c r="Z125" s="476" cm="1">
        <f t="array" aca="1" ref="Z125" ca="1">_xlfn.IFS(AD125&lt;100,Y125,Y125&lt;TODAY(),TODAY(),Y125&gt;TODAY(),Y125,Y125=TODAY(),Y125)</f>
        <v>45578</v>
      </c>
      <c r="AA125" s="315">
        <f t="shared" si="42"/>
        <v>3568722.8030489981</v>
      </c>
      <c r="AB125" s="301">
        <v>3565150.5079508508</v>
      </c>
      <c r="AC125" s="301">
        <f t="shared" si="43"/>
        <v>3572.2950981471449</v>
      </c>
      <c r="AD125" s="298">
        <f t="shared" si="26"/>
        <v>0</v>
      </c>
      <c r="AE125" s="299" t="str">
        <f t="shared" si="27"/>
        <v>Complete</v>
      </c>
      <c r="AF125" s="613"/>
      <c r="AG125" s="301"/>
      <c r="AH125" s="343"/>
      <c r="AI125" s="301">
        <f t="shared" ca="1" si="24"/>
        <v>0</v>
      </c>
      <c r="AJ125" s="302">
        <f t="shared" ca="1" si="25"/>
        <v>0</v>
      </c>
      <c r="AL125" s="303">
        <f t="shared" si="28"/>
        <v>4333485</v>
      </c>
      <c r="AM125" s="303">
        <f t="shared" si="29"/>
        <v>0</v>
      </c>
      <c r="AN125" s="303">
        <f t="shared" si="30"/>
        <v>4333485</v>
      </c>
      <c r="AO125" s="304">
        <f t="shared" si="31"/>
        <v>0</v>
      </c>
      <c r="AP125" s="273">
        <f t="shared" si="36"/>
        <v>9</v>
      </c>
      <c r="AQ125" s="273" t="str">
        <f t="shared" ca="1" si="32"/>
        <v>92024</v>
      </c>
    </row>
    <row r="126" spans="1:43" ht="16.5">
      <c r="A126" s="587">
        <v>6</v>
      </c>
      <c r="B126" s="609" t="s">
        <v>1762</v>
      </c>
      <c r="C126" s="332" t="s">
        <v>1763</v>
      </c>
      <c r="D126" s="277" t="s">
        <v>605</v>
      </c>
      <c r="E126" s="341">
        <v>45435</v>
      </c>
      <c r="F126" s="334">
        <v>4</v>
      </c>
      <c r="G126" s="348">
        <v>3587040</v>
      </c>
      <c r="H126" s="301">
        <v>645667.19999999995</v>
      </c>
      <c r="I126" s="349">
        <v>4232707</v>
      </c>
      <c r="J126" s="349"/>
      <c r="K126" s="246" t="s">
        <v>1767</v>
      </c>
      <c r="L126" s="593" t="s">
        <v>1595</v>
      </c>
      <c r="M126" s="592">
        <v>0.8</v>
      </c>
      <c r="N126" s="340" t="s">
        <v>1766</v>
      </c>
      <c r="O126" s="610" t="s">
        <v>1774</v>
      </c>
      <c r="P126" s="611">
        <v>45526</v>
      </c>
      <c r="Q126" s="481" t="s">
        <v>1775</v>
      </c>
      <c r="R126" s="315">
        <v>4232707</v>
      </c>
      <c r="S126" s="612">
        <f t="shared" si="44"/>
        <v>3.58993097874497E-2</v>
      </c>
      <c r="T126" s="315">
        <v>30</v>
      </c>
      <c r="U126" s="406">
        <v>45555</v>
      </c>
      <c r="V126" s="378">
        <f t="shared" ca="1" si="35"/>
        <v>9</v>
      </c>
      <c r="W126" s="292">
        <f t="shared" ca="1" si="33"/>
        <v>2024</v>
      </c>
      <c r="X126" s="340" t="str">
        <f t="shared" ca="1" si="34"/>
        <v>3 WEEK</v>
      </c>
      <c r="Y126" s="329">
        <f t="shared" si="45"/>
        <v>45556</v>
      </c>
      <c r="Z126" s="476" cm="1">
        <f t="array" aca="1" ref="Z126" ca="1">_xlfn.IFS(AD126&lt;100,Y126,Y126&lt;TODAY(),TODAY(),Y126&gt;TODAY(),Y126,Y126=TODAY(),Y126)</f>
        <v>45556</v>
      </c>
      <c r="AA126" s="315">
        <f t="shared" si="42"/>
        <v>3485729.8431920535</v>
      </c>
      <c r="AB126" s="301">
        <v>3482240.6241297992</v>
      </c>
      <c r="AC126" s="301">
        <f t="shared" si="43"/>
        <v>3489.2190622543076</v>
      </c>
      <c r="AD126" s="298">
        <f t="shared" si="26"/>
        <v>0</v>
      </c>
      <c r="AE126" s="299" t="str">
        <f t="shared" si="27"/>
        <v>Complete</v>
      </c>
      <c r="AF126" s="613"/>
      <c r="AG126" s="301"/>
      <c r="AH126" s="343"/>
      <c r="AI126" s="301">
        <f t="shared" ca="1" si="24"/>
        <v>0</v>
      </c>
      <c r="AJ126" s="302">
        <f t="shared" ca="1" si="25"/>
        <v>0</v>
      </c>
      <c r="AL126" s="303">
        <f t="shared" si="28"/>
        <v>4232707</v>
      </c>
      <c r="AM126" s="303">
        <f t="shared" si="29"/>
        <v>0</v>
      </c>
      <c r="AN126" s="303">
        <f t="shared" si="30"/>
        <v>4232707</v>
      </c>
      <c r="AO126" s="304">
        <f t="shared" si="31"/>
        <v>0</v>
      </c>
      <c r="AP126" s="273">
        <f t="shared" si="36"/>
        <v>8</v>
      </c>
      <c r="AQ126" s="273" t="str">
        <f t="shared" ca="1" si="32"/>
        <v>82024</v>
      </c>
    </row>
    <row r="127" spans="1:43" ht="15" customHeight="1">
      <c r="A127" s="587">
        <v>6</v>
      </c>
      <c r="B127" s="609" t="s">
        <v>1762</v>
      </c>
      <c r="C127" s="332" t="s">
        <v>1763</v>
      </c>
      <c r="D127" s="277" t="s">
        <v>605</v>
      </c>
      <c r="E127" s="341">
        <v>45435</v>
      </c>
      <c r="F127" s="334">
        <v>4</v>
      </c>
      <c r="G127" s="348">
        <v>2049737</v>
      </c>
      <c r="H127" s="301">
        <v>368952.66</v>
      </c>
      <c r="I127" s="349">
        <v>2418690</v>
      </c>
      <c r="J127" s="349"/>
      <c r="K127" s="246" t="s">
        <v>1767</v>
      </c>
      <c r="L127" s="593" t="s">
        <v>1595</v>
      </c>
      <c r="M127" s="592">
        <v>0.8</v>
      </c>
      <c r="N127" s="340" t="s">
        <v>1766</v>
      </c>
      <c r="O127" s="610" t="s">
        <v>1776</v>
      </c>
      <c r="P127" s="611">
        <v>45531</v>
      </c>
      <c r="Q127" s="481" t="s">
        <v>1777</v>
      </c>
      <c r="R127" s="315">
        <v>2418690</v>
      </c>
      <c r="S127" s="612">
        <f t="shared" si="44"/>
        <v>2.0513893730373191E-2</v>
      </c>
      <c r="T127" s="315">
        <v>30</v>
      </c>
      <c r="U127" s="406">
        <v>45555</v>
      </c>
      <c r="V127" s="378">
        <f t="shared" ca="1" si="35"/>
        <v>9</v>
      </c>
      <c r="W127" s="292">
        <f t="shared" ca="1" si="33"/>
        <v>2024</v>
      </c>
      <c r="X127" s="340" t="str">
        <f t="shared" ca="1" si="34"/>
        <v>4 WEEK</v>
      </c>
      <c r="Y127" s="329">
        <f t="shared" si="45"/>
        <v>45561</v>
      </c>
      <c r="Z127" s="476" cm="1">
        <f t="array" aca="1" ref="Z127" ca="1">_xlfn.IFS(AD127&lt;100,Y127,Y127&lt;TODAY(),TODAY(),Y127&gt;TODAY(),Y127,Y127=TODAY(),Y127)</f>
        <v>45561</v>
      </c>
      <c r="AA127" s="315">
        <f t="shared" si="42"/>
        <v>1991845.8599733429</v>
      </c>
      <c r="AB127" s="301">
        <v>1989852.0202736699</v>
      </c>
      <c r="AC127" s="301">
        <f t="shared" si="43"/>
        <v>1993.8396996730157</v>
      </c>
      <c r="AD127" s="298">
        <f t="shared" si="26"/>
        <v>0</v>
      </c>
      <c r="AE127" s="299" t="str">
        <f t="shared" si="27"/>
        <v>Complete</v>
      </c>
      <c r="AF127" s="613"/>
      <c r="AG127" s="301"/>
      <c r="AH127" s="343"/>
      <c r="AI127" s="301">
        <f t="shared" ca="1" si="24"/>
        <v>0</v>
      </c>
      <c r="AJ127" s="302">
        <f t="shared" ca="1" si="25"/>
        <v>0</v>
      </c>
      <c r="AL127" s="303">
        <f t="shared" si="28"/>
        <v>2418690</v>
      </c>
      <c r="AM127" s="303">
        <f t="shared" si="29"/>
        <v>0</v>
      </c>
      <c r="AN127" s="303">
        <f t="shared" si="30"/>
        <v>2418690</v>
      </c>
      <c r="AO127" s="304">
        <f t="shared" si="31"/>
        <v>0</v>
      </c>
      <c r="AP127" s="273">
        <f t="shared" si="36"/>
        <v>8</v>
      </c>
      <c r="AQ127" s="273" t="str">
        <f t="shared" ca="1" si="32"/>
        <v>82024</v>
      </c>
    </row>
    <row r="128" spans="1:43" ht="16.5">
      <c r="A128" s="587">
        <v>6</v>
      </c>
      <c r="B128" s="609" t="s">
        <v>1762</v>
      </c>
      <c r="C128" s="332" t="s">
        <v>1763</v>
      </c>
      <c r="D128" s="277" t="s">
        <v>605</v>
      </c>
      <c r="E128" s="341">
        <v>45435</v>
      </c>
      <c r="F128" s="334">
        <v>4</v>
      </c>
      <c r="G128" s="348">
        <v>1878926</v>
      </c>
      <c r="H128" s="301">
        <v>338206.68</v>
      </c>
      <c r="I128" s="349">
        <v>2217133</v>
      </c>
      <c r="J128" s="349"/>
      <c r="K128" s="246" t="s">
        <v>1767</v>
      </c>
      <c r="L128" s="593" t="s">
        <v>1595</v>
      </c>
      <c r="M128" s="592">
        <v>0.8</v>
      </c>
      <c r="N128" s="340" t="s">
        <v>1766</v>
      </c>
      <c r="O128" s="610" t="s">
        <v>1778</v>
      </c>
      <c r="P128" s="611">
        <v>45553</v>
      </c>
      <c r="Q128" s="481" t="s">
        <v>1779</v>
      </c>
      <c r="R128" s="315">
        <v>2217133</v>
      </c>
      <c r="S128" s="612">
        <f t="shared" si="44"/>
        <v>1.8804406826878808E-2</v>
      </c>
      <c r="T128" s="315">
        <v>30</v>
      </c>
      <c r="U128" s="406">
        <v>45555</v>
      </c>
      <c r="V128" s="378">
        <f t="shared" ca="1" si="35"/>
        <v>10</v>
      </c>
      <c r="W128" s="292">
        <f t="shared" ca="1" si="33"/>
        <v>2024</v>
      </c>
      <c r="X128" s="340" t="str">
        <f t="shared" ca="1" si="34"/>
        <v>3 WEEK</v>
      </c>
      <c r="Y128" s="329">
        <f t="shared" si="45"/>
        <v>45583</v>
      </c>
      <c r="Z128" s="476" cm="1">
        <f t="array" aca="1" ref="Z128" ca="1">_xlfn.IFS(AD128&lt;100,Y128,Y128&lt;TODAY(),TODAY(),Y128&gt;TODAY(),Y128,Y128=TODAY(),Y128)</f>
        <v>45583</v>
      </c>
      <c r="AA128" s="315">
        <f t="shared" si="42"/>
        <v>1825859.1167368607</v>
      </c>
      <c r="AB128" s="301">
        <v>1824031.4299333203</v>
      </c>
      <c r="AC128" s="301">
        <f t="shared" si="43"/>
        <v>1827.6868035404009</v>
      </c>
      <c r="AD128" s="298">
        <f t="shared" si="26"/>
        <v>0</v>
      </c>
      <c r="AE128" s="299" t="str">
        <f t="shared" si="27"/>
        <v>Complete</v>
      </c>
      <c r="AF128" s="613"/>
      <c r="AG128" s="301"/>
      <c r="AH128" s="343"/>
      <c r="AI128" s="301">
        <f t="shared" ca="1" si="24"/>
        <v>0</v>
      </c>
      <c r="AJ128" s="302">
        <f t="shared" ca="1" si="25"/>
        <v>0</v>
      </c>
      <c r="AL128" s="303">
        <f t="shared" si="28"/>
        <v>2217133</v>
      </c>
      <c r="AM128" s="303">
        <f t="shared" si="29"/>
        <v>0</v>
      </c>
      <c r="AN128" s="303">
        <f t="shared" si="30"/>
        <v>2217133</v>
      </c>
      <c r="AO128" s="304">
        <f t="shared" si="31"/>
        <v>0</v>
      </c>
      <c r="AP128" s="273">
        <f t="shared" si="36"/>
        <v>9</v>
      </c>
      <c r="AQ128" s="273" t="str">
        <f t="shared" ca="1" si="32"/>
        <v>92024</v>
      </c>
    </row>
    <row r="129" spans="1:43" ht="16.5">
      <c r="A129" s="587">
        <v>6</v>
      </c>
      <c r="B129" s="609" t="s">
        <v>1762</v>
      </c>
      <c r="C129" s="332" t="s">
        <v>1763</v>
      </c>
      <c r="D129" s="277" t="s">
        <v>605</v>
      </c>
      <c r="E129" s="341">
        <v>45435</v>
      </c>
      <c r="F129" s="334">
        <v>4</v>
      </c>
      <c r="G129" s="348">
        <v>1110274</v>
      </c>
      <c r="H129" s="301">
        <v>199849.32</v>
      </c>
      <c r="I129" s="349">
        <v>1310123</v>
      </c>
      <c r="J129" s="349"/>
      <c r="K129" s="246" t="s">
        <v>1767</v>
      </c>
      <c r="L129" s="593" t="s">
        <v>1595</v>
      </c>
      <c r="M129" s="592">
        <v>0.8</v>
      </c>
      <c r="N129" s="340" t="s">
        <v>1766</v>
      </c>
      <c r="O129" s="610" t="s">
        <v>1780</v>
      </c>
      <c r="P129" s="611">
        <v>45553</v>
      </c>
      <c r="Q129" s="481" t="s">
        <v>1779</v>
      </c>
      <c r="R129" s="315">
        <v>1310123</v>
      </c>
      <c r="S129" s="612">
        <f t="shared" si="44"/>
        <v>1.1111686076230405E-2</v>
      </c>
      <c r="T129" s="315">
        <v>30</v>
      </c>
      <c r="U129" s="406">
        <v>45555</v>
      </c>
      <c r="V129" s="378">
        <f t="shared" ca="1" si="35"/>
        <v>10</v>
      </c>
      <c r="W129" s="292">
        <f t="shared" ca="1" si="33"/>
        <v>2024</v>
      </c>
      <c r="X129" s="340" t="str">
        <f t="shared" ca="1" si="34"/>
        <v>3 WEEK</v>
      </c>
      <c r="Y129" s="329">
        <f t="shared" si="45"/>
        <v>45583</v>
      </c>
      <c r="Z129" s="476" cm="1">
        <f t="array" aca="1" ref="Z129" ca="1">_xlfn.IFS(AD129&lt;100,Y129,Y129&lt;TODAY(),TODAY(),Y129&gt;TODAY(),Y129,Y129=TODAY(),Y129)</f>
        <v>45583</v>
      </c>
      <c r="AA129" s="315">
        <f t="shared" si="42"/>
        <v>1078915.8898436162</v>
      </c>
      <c r="AB129" s="301">
        <v>1077835.8939578868</v>
      </c>
      <c r="AC129" s="301">
        <f t="shared" si="43"/>
        <v>1079.9958857293454</v>
      </c>
      <c r="AD129" s="298">
        <f t="shared" si="26"/>
        <v>0</v>
      </c>
      <c r="AE129" s="299" t="str">
        <f t="shared" si="27"/>
        <v>Complete</v>
      </c>
      <c r="AF129" s="613"/>
      <c r="AG129" s="301"/>
      <c r="AH129" s="343"/>
      <c r="AI129" s="301">
        <f t="shared" ca="1" si="24"/>
        <v>0</v>
      </c>
      <c r="AJ129" s="302">
        <f t="shared" ca="1" si="25"/>
        <v>0</v>
      </c>
      <c r="AL129" s="303">
        <f t="shared" si="28"/>
        <v>1310123</v>
      </c>
      <c r="AM129" s="303">
        <f t="shared" si="29"/>
        <v>0</v>
      </c>
      <c r="AN129" s="303">
        <f t="shared" si="30"/>
        <v>1310123</v>
      </c>
      <c r="AO129" s="304">
        <f t="shared" si="31"/>
        <v>0</v>
      </c>
      <c r="AP129" s="273">
        <f t="shared" si="36"/>
        <v>9</v>
      </c>
      <c r="AQ129" s="273" t="str">
        <f t="shared" ca="1" si="32"/>
        <v>92024</v>
      </c>
    </row>
    <row r="130" spans="1:43" ht="16.5">
      <c r="A130" s="587">
        <v>6</v>
      </c>
      <c r="B130" s="609" t="s">
        <v>1762</v>
      </c>
      <c r="C130" s="332" t="s">
        <v>1763</v>
      </c>
      <c r="D130" s="277" t="s">
        <v>605</v>
      </c>
      <c r="E130" s="341">
        <v>45435</v>
      </c>
      <c r="F130" s="334">
        <v>4</v>
      </c>
      <c r="G130" s="348">
        <v>1024868</v>
      </c>
      <c r="H130" s="301">
        <v>184476.24</v>
      </c>
      <c r="I130" s="349">
        <v>1209344</v>
      </c>
      <c r="J130" s="349"/>
      <c r="K130" s="246" t="s">
        <v>1767</v>
      </c>
      <c r="L130" s="593" t="s">
        <v>1595</v>
      </c>
      <c r="M130" s="592">
        <v>0.8</v>
      </c>
      <c r="N130" s="340" t="s">
        <v>1766</v>
      </c>
      <c r="O130" s="615" t="s">
        <v>1781</v>
      </c>
      <c r="P130" s="611">
        <v>45526</v>
      </c>
      <c r="Q130" s="481" t="s">
        <v>1782</v>
      </c>
      <c r="R130" s="315">
        <v>846541</v>
      </c>
      <c r="S130" s="612">
        <f t="shared" si="44"/>
        <v>7.1798585649272342E-3</v>
      </c>
      <c r="T130" s="315">
        <v>30</v>
      </c>
      <c r="U130" s="406">
        <v>45555</v>
      </c>
      <c r="V130" s="378">
        <f t="shared" ca="1" si="35"/>
        <v>9</v>
      </c>
      <c r="W130" s="292">
        <f t="shared" ca="1" si="33"/>
        <v>2024</v>
      </c>
      <c r="X130" s="340" t="str">
        <f t="shared" ca="1" si="34"/>
        <v>3 WEEK</v>
      </c>
      <c r="Y130" s="329">
        <f t="shared" si="45"/>
        <v>45556</v>
      </c>
      <c r="Z130" s="476" cm="1">
        <f t="array" aca="1" ref="Z130" ca="1">_xlfn.IFS(AD130&lt;100,Y130,Y130&lt;TODAY(),TODAY(),Y130&gt;TODAY(),Y130,Y130=TODAY(),Y130)</f>
        <v>45556</v>
      </c>
      <c r="AA130" s="315">
        <f t="shared" si="42"/>
        <v>697145.63922937366</v>
      </c>
      <c r="AB130" s="301">
        <v>696447.79574666161</v>
      </c>
      <c r="AC130" s="301">
        <f t="shared" si="43"/>
        <v>697.84348271208569</v>
      </c>
      <c r="AD130" s="298">
        <f t="shared" si="26"/>
        <v>0</v>
      </c>
      <c r="AE130" s="299" t="str">
        <f t="shared" si="27"/>
        <v>Complete</v>
      </c>
      <c r="AF130" s="613"/>
      <c r="AG130" s="301"/>
      <c r="AH130" s="343"/>
      <c r="AI130" s="301">
        <f t="shared" ref="AI130:AI193" ca="1" si="46">Z130-Y130</f>
        <v>0</v>
      </c>
      <c r="AJ130" s="302">
        <f t="shared" ref="AJ130:AJ193" ca="1" si="47">IF(AI130&gt;1,"Delayed",0)</f>
        <v>0</v>
      </c>
      <c r="AL130" s="303">
        <f t="shared" si="28"/>
        <v>1209344</v>
      </c>
      <c r="AM130" s="303">
        <f t="shared" si="29"/>
        <v>362803</v>
      </c>
      <c r="AN130" s="303">
        <f t="shared" si="30"/>
        <v>846541</v>
      </c>
      <c r="AO130" s="304">
        <f t="shared" si="31"/>
        <v>0</v>
      </c>
      <c r="AP130" s="273">
        <f t="shared" si="36"/>
        <v>8</v>
      </c>
      <c r="AQ130" s="273" t="str">
        <f t="shared" ca="1" si="32"/>
        <v>82024</v>
      </c>
    </row>
    <row r="131" spans="1:43" ht="16.5">
      <c r="A131" s="587">
        <v>6</v>
      </c>
      <c r="B131" s="609" t="s">
        <v>1762</v>
      </c>
      <c r="C131" s="332" t="s">
        <v>1763</v>
      </c>
      <c r="D131" s="277" t="s">
        <v>605</v>
      </c>
      <c r="E131" s="341">
        <v>45435</v>
      </c>
      <c r="F131" s="334">
        <v>4</v>
      </c>
      <c r="G131" s="348"/>
      <c r="H131" s="301"/>
      <c r="I131" s="349"/>
      <c r="J131" s="349"/>
      <c r="K131" s="246" t="s">
        <v>1767</v>
      </c>
      <c r="L131" s="593" t="s">
        <v>1595</v>
      </c>
      <c r="M131" s="592">
        <v>0.8</v>
      </c>
      <c r="N131" s="340" t="s">
        <v>1766</v>
      </c>
      <c r="O131" s="615" t="s">
        <v>1781</v>
      </c>
      <c r="P131" s="611">
        <v>45532</v>
      </c>
      <c r="Q131" s="481" t="s">
        <v>1783</v>
      </c>
      <c r="R131" s="315">
        <v>362803</v>
      </c>
      <c r="S131" s="612">
        <f t="shared" si="44"/>
        <v>3.0770798188525959E-3</v>
      </c>
      <c r="T131" s="315">
        <v>30</v>
      </c>
      <c r="U131" s="406">
        <v>45555</v>
      </c>
      <c r="V131" s="378">
        <f t="shared" ca="1" si="35"/>
        <v>9</v>
      </c>
      <c r="W131" s="292">
        <f t="shared" ca="1" si="33"/>
        <v>2024</v>
      </c>
      <c r="X131" s="340" t="str">
        <f t="shared" ca="1" si="34"/>
        <v>4 WEEK</v>
      </c>
      <c r="Y131" s="329">
        <f t="shared" si="45"/>
        <v>45562</v>
      </c>
      <c r="Z131" s="476" cm="1">
        <f t="array" aca="1" ref="Z131" ca="1">_xlfn.IFS(AD131&lt;100,Y131,Y131&lt;TODAY(),TODAY(),Y131&gt;TODAY(),Y131,Y131=TODAY(),Y131)</f>
        <v>45562</v>
      </c>
      <c r="AA131" s="315">
        <f t="shared" si="42"/>
        <v>298776.46723470505</v>
      </c>
      <c r="AB131" s="301">
        <v>298477.39169192757</v>
      </c>
      <c r="AC131" s="301">
        <f t="shared" si="43"/>
        <v>299.0755427774825</v>
      </c>
      <c r="AD131" s="298">
        <f t="shared" ref="AD131:AD194" si="48">ROUND(AA131-AB131-AC131,0)</f>
        <v>0</v>
      </c>
      <c r="AE131" s="299" t="str">
        <f t="shared" ref="AE131:AE194" si="49">IF(AD131&lt;100,"Complete","Incomplete")</f>
        <v>Complete</v>
      </c>
      <c r="AF131" s="613"/>
      <c r="AG131" s="301"/>
      <c r="AH131" s="343"/>
      <c r="AI131" s="301">
        <f t="shared" ca="1" si="46"/>
        <v>0</v>
      </c>
      <c r="AJ131" s="302">
        <f t="shared" ca="1" si="47"/>
        <v>0</v>
      </c>
      <c r="AL131" s="303">
        <f t="shared" ref="AL131:AL194" si="50">I131-J131</f>
        <v>0</v>
      </c>
      <c r="AM131" s="303">
        <f t="shared" ref="AM131:AM194" si="51">IFERROR(I131-R131,0)</f>
        <v>-362803</v>
      </c>
      <c r="AN131" s="303">
        <f t="shared" ref="AN131:AN194" si="52">IFERROR(R131-J131,0)</f>
        <v>362803</v>
      </c>
      <c r="AO131" s="304">
        <f t="shared" ref="AO131:AO194" si="53">IFERROR(P131/J131,0)</f>
        <v>0</v>
      </c>
      <c r="AP131" s="273">
        <f t="shared" si="36"/>
        <v>8</v>
      </c>
      <c r="AQ131" s="273" t="str">
        <f t="shared" ref="AQ131:AQ194" ca="1" si="54">AP131&amp;W131</f>
        <v>82024</v>
      </c>
    </row>
    <row r="132" spans="1:43" ht="15" customHeight="1">
      <c r="A132" s="587">
        <v>6</v>
      </c>
      <c r="B132" s="609" t="s">
        <v>1762</v>
      </c>
      <c r="C132" s="332" t="s">
        <v>1763</v>
      </c>
      <c r="D132" s="277" t="s">
        <v>605</v>
      </c>
      <c r="E132" s="341">
        <v>45435</v>
      </c>
      <c r="F132" s="334">
        <v>4</v>
      </c>
      <c r="G132" s="348"/>
      <c r="H132" s="301"/>
      <c r="I132" s="349"/>
      <c r="J132" s="349"/>
      <c r="K132" s="246" t="s">
        <v>1767</v>
      </c>
      <c r="L132" s="593" t="s">
        <v>1595</v>
      </c>
      <c r="M132" s="592">
        <v>0.8</v>
      </c>
      <c r="N132" s="340" t="s">
        <v>1766</v>
      </c>
      <c r="O132" s="615" t="s">
        <v>1781</v>
      </c>
      <c r="P132" s="611">
        <v>45583</v>
      </c>
      <c r="Q132" s="481" t="s">
        <v>1784</v>
      </c>
      <c r="R132" s="315">
        <v>60467</v>
      </c>
      <c r="S132" s="612">
        <f t="shared" si="44"/>
        <v>5.1284522290763837E-4</v>
      </c>
      <c r="T132" s="315">
        <v>30</v>
      </c>
      <c r="U132" s="406">
        <v>45555</v>
      </c>
      <c r="V132" s="378">
        <f t="shared" ca="1" si="35"/>
        <v>11</v>
      </c>
      <c r="W132" s="292">
        <f t="shared" ref="W132:W195" ca="1" si="55">YEAR(Z132)</f>
        <v>2024</v>
      </c>
      <c r="X132" s="340" t="str">
        <f t="shared" ref="X132:X195" ca="1" si="56">INT((DAY(Z132)-1)/7)+1&amp;" WEEK"</f>
        <v>3 WEEK</v>
      </c>
      <c r="Y132" s="329">
        <f t="shared" si="45"/>
        <v>45613</v>
      </c>
      <c r="Z132" s="476" cm="1">
        <f t="array" aca="1" ref="Z132" ca="1">_xlfn.IFS(AD132&lt;100,Y132,Y132&lt;TODAY(),TODAY(),Y132&gt;TODAY(),Y132,Y132=TODAY(),Y132)</f>
        <v>45613</v>
      </c>
      <c r="AA132" s="315">
        <f t="shared" si="42"/>
        <v>49795.940618685381</v>
      </c>
      <c r="AB132" s="301">
        <v>49746.094832280294</v>
      </c>
      <c r="AC132" s="301">
        <f t="shared" si="43"/>
        <v>49.845786405090472</v>
      </c>
      <c r="AD132" s="298">
        <f t="shared" si="48"/>
        <v>0</v>
      </c>
      <c r="AE132" s="299" t="str">
        <f t="shared" si="49"/>
        <v>Complete</v>
      </c>
      <c r="AF132" s="613"/>
      <c r="AG132" s="301"/>
      <c r="AH132" s="343"/>
      <c r="AI132" s="301">
        <f t="shared" ca="1" si="46"/>
        <v>0</v>
      </c>
      <c r="AJ132" s="302">
        <f t="shared" ca="1" si="47"/>
        <v>0</v>
      </c>
      <c r="AL132" s="303">
        <f t="shared" si="50"/>
        <v>0</v>
      </c>
      <c r="AM132" s="303">
        <f t="shared" si="51"/>
        <v>-60467</v>
      </c>
      <c r="AN132" s="303">
        <f t="shared" si="52"/>
        <v>60467</v>
      </c>
      <c r="AO132" s="304">
        <f t="shared" si="53"/>
        <v>0</v>
      </c>
      <c r="AP132" s="273">
        <f t="shared" si="36"/>
        <v>10</v>
      </c>
      <c r="AQ132" s="273" t="str">
        <f t="shared" ca="1" si="54"/>
        <v>102024</v>
      </c>
    </row>
    <row r="133" spans="1:43" ht="16.5">
      <c r="A133" s="587">
        <v>6</v>
      </c>
      <c r="B133" s="609" t="s">
        <v>1762</v>
      </c>
      <c r="C133" s="332" t="s">
        <v>1763</v>
      </c>
      <c r="D133" s="277" t="s">
        <v>605</v>
      </c>
      <c r="E133" s="341">
        <v>45435</v>
      </c>
      <c r="F133" s="334">
        <v>4</v>
      </c>
      <c r="G133" s="348"/>
      <c r="H133" s="301"/>
      <c r="I133" s="349"/>
      <c r="J133" s="349"/>
      <c r="K133" s="246" t="s">
        <v>1767</v>
      </c>
      <c r="L133" s="593" t="s">
        <v>1595</v>
      </c>
      <c r="M133" s="592">
        <v>0.8</v>
      </c>
      <c r="N133" s="340" t="s">
        <v>1766</v>
      </c>
      <c r="O133" s="615" t="s">
        <v>1781</v>
      </c>
      <c r="P133" s="611">
        <v>45623</v>
      </c>
      <c r="Q133" s="481" t="s">
        <v>1785</v>
      </c>
      <c r="R133" s="315">
        <v>-60467.212</v>
      </c>
      <c r="S133" s="612">
        <f t="shared" si="44"/>
        <v>-5.1284702096587268E-4</v>
      </c>
      <c r="T133" s="315">
        <v>30</v>
      </c>
      <c r="U133" s="406">
        <v>45555</v>
      </c>
      <c r="V133" s="378">
        <f t="shared" ref="V133:V196" ca="1" si="57">MONTH(Z133)</f>
        <v>12</v>
      </c>
      <c r="W133" s="292">
        <f t="shared" ca="1" si="55"/>
        <v>2024</v>
      </c>
      <c r="X133" s="340" t="str">
        <f t="shared" ca="1" si="56"/>
        <v>4 WEEK</v>
      </c>
      <c r="Y133" s="329">
        <f t="shared" si="45"/>
        <v>45653</v>
      </c>
      <c r="Z133" s="476" cm="1">
        <f t="array" aca="1" ref="Z133" ca="1">_xlfn.IFS(AD133&lt;100,Y133,Y133&lt;TODAY(),TODAY(),Y133&gt;TODAY(),Y133,Y133=TODAY(),Y133)</f>
        <v>45653</v>
      </c>
      <c r="AA133" s="315">
        <f t="shared" si="42"/>
        <v>-49796.115205475049</v>
      </c>
      <c r="AB133" s="301">
        <v>-49746.269244308409</v>
      </c>
      <c r="AC133" s="301">
        <f t="shared" si="43"/>
        <v>-49.845961166641686</v>
      </c>
      <c r="AD133" s="298">
        <f t="shared" si="48"/>
        <v>0</v>
      </c>
      <c r="AE133" s="299" t="str">
        <f t="shared" si="49"/>
        <v>Complete</v>
      </c>
      <c r="AF133" s="613"/>
      <c r="AG133" s="301"/>
      <c r="AH133" s="343"/>
      <c r="AI133" s="301">
        <f t="shared" ca="1" si="46"/>
        <v>0</v>
      </c>
      <c r="AJ133" s="302">
        <f t="shared" ca="1" si="47"/>
        <v>0</v>
      </c>
      <c r="AL133" s="303">
        <f t="shared" si="50"/>
        <v>0</v>
      </c>
      <c r="AM133" s="303">
        <f t="shared" si="51"/>
        <v>60467.212</v>
      </c>
      <c r="AN133" s="303">
        <f t="shared" si="52"/>
        <v>-60467.212</v>
      </c>
      <c r="AO133" s="304">
        <f t="shared" si="53"/>
        <v>0</v>
      </c>
      <c r="AP133" s="273">
        <f t="shared" ref="AP133:AP196" si="58">MONTH(P133)</f>
        <v>11</v>
      </c>
      <c r="AQ133" s="273" t="str">
        <f t="shared" ca="1" si="54"/>
        <v>112024</v>
      </c>
    </row>
    <row r="134" spans="1:43" ht="16.5">
      <c r="A134" s="587">
        <v>6</v>
      </c>
      <c r="B134" s="609" t="s">
        <v>1762</v>
      </c>
      <c r="C134" s="332" t="s">
        <v>1763</v>
      </c>
      <c r="D134" s="277" t="s">
        <v>605</v>
      </c>
      <c r="E134" s="341">
        <v>45435</v>
      </c>
      <c r="F134" s="334">
        <v>4</v>
      </c>
      <c r="G134" s="348">
        <v>256217</v>
      </c>
      <c r="H134" s="301">
        <v>46119.06</v>
      </c>
      <c r="I134" s="349">
        <v>302336</v>
      </c>
      <c r="J134" s="349"/>
      <c r="K134" s="246" t="s">
        <v>1767</v>
      </c>
      <c r="L134" s="593" t="s">
        <v>1595</v>
      </c>
      <c r="M134" s="592">
        <v>0.8</v>
      </c>
      <c r="N134" s="340" t="s">
        <v>1766</v>
      </c>
      <c r="O134" s="610" t="s">
        <v>1786</v>
      </c>
      <c r="P134" s="611">
        <v>45532</v>
      </c>
      <c r="Q134" s="481" t="s">
        <v>1783</v>
      </c>
      <c r="R134" s="315">
        <v>302336</v>
      </c>
      <c r="S134" s="612">
        <f t="shared" si="44"/>
        <v>2.5642345959449573E-3</v>
      </c>
      <c r="T134" s="315">
        <v>30</v>
      </c>
      <c r="U134" s="406">
        <v>45555</v>
      </c>
      <c r="V134" s="378">
        <f t="shared" ca="1" si="57"/>
        <v>9</v>
      </c>
      <c r="W134" s="292">
        <f t="shared" ca="1" si="55"/>
        <v>2024</v>
      </c>
      <c r="X134" s="340" t="str">
        <f t="shared" ca="1" si="56"/>
        <v>4 WEEK</v>
      </c>
      <c r="Y134" s="329">
        <f t="shared" si="45"/>
        <v>45562</v>
      </c>
      <c r="Z134" s="476" cm="1">
        <f t="array" aca="1" ref="Z134" ca="1">_xlfn.IFS(AD134&lt;100,Y134,Y134&lt;TODAY(),TODAY(),Y134&gt;TODAY(),Y134,Y134=TODAY(),Y134)</f>
        <v>45562</v>
      </c>
      <c r="AA134" s="315">
        <f t="shared" si="42"/>
        <v>248980.52661601966</v>
      </c>
      <c r="AB134" s="301">
        <v>248731.29685964726</v>
      </c>
      <c r="AC134" s="301">
        <f t="shared" si="43"/>
        <v>249.22975637239205</v>
      </c>
      <c r="AD134" s="298">
        <f t="shared" si="48"/>
        <v>0</v>
      </c>
      <c r="AE134" s="299" t="str">
        <f t="shared" si="49"/>
        <v>Complete</v>
      </c>
      <c r="AF134" s="613"/>
      <c r="AG134" s="301"/>
      <c r="AH134" s="343"/>
      <c r="AI134" s="301">
        <f t="shared" ca="1" si="46"/>
        <v>0</v>
      </c>
      <c r="AJ134" s="302">
        <f t="shared" ca="1" si="47"/>
        <v>0</v>
      </c>
      <c r="AL134" s="303">
        <f t="shared" si="50"/>
        <v>302336</v>
      </c>
      <c r="AM134" s="303">
        <f t="shared" si="51"/>
        <v>0</v>
      </c>
      <c r="AN134" s="303">
        <f t="shared" si="52"/>
        <v>302336</v>
      </c>
      <c r="AO134" s="304">
        <f t="shared" si="53"/>
        <v>0</v>
      </c>
      <c r="AP134" s="273">
        <f t="shared" si="58"/>
        <v>8</v>
      </c>
      <c r="AQ134" s="273" t="str">
        <f t="shared" ca="1" si="54"/>
        <v>82024</v>
      </c>
    </row>
    <row r="135" spans="1:43" ht="16.5">
      <c r="A135" s="587">
        <v>6</v>
      </c>
      <c r="B135" s="609" t="s">
        <v>1762</v>
      </c>
      <c r="C135" s="332" t="s">
        <v>1763</v>
      </c>
      <c r="D135" s="277" t="s">
        <v>605</v>
      </c>
      <c r="E135" s="341">
        <v>45435</v>
      </c>
      <c r="F135" s="334">
        <v>4</v>
      </c>
      <c r="G135" s="348">
        <v>512434</v>
      </c>
      <c r="H135" s="301">
        <v>92238.12</v>
      </c>
      <c r="I135" s="349">
        <v>604672</v>
      </c>
      <c r="J135" s="349"/>
      <c r="K135" s="246" t="s">
        <v>1767</v>
      </c>
      <c r="L135" s="593" t="s">
        <v>1595</v>
      </c>
      <c r="M135" s="592">
        <v>0.8</v>
      </c>
      <c r="N135" s="340" t="s">
        <v>1766</v>
      </c>
      <c r="O135" s="615" t="s">
        <v>1787</v>
      </c>
      <c r="P135" s="611">
        <v>45532</v>
      </c>
      <c r="Q135" s="481" t="s">
        <v>1783</v>
      </c>
      <c r="R135" s="315">
        <v>544205</v>
      </c>
      <c r="S135" s="612">
        <f t="shared" si="44"/>
        <v>4.6156239689822765E-3</v>
      </c>
      <c r="T135" s="315">
        <v>30</v>
      </c>
      <c r="U135" s="406">
        <v>45555</v>
      </c>
      <c r="V135" s="378">
        <f t="shared" ca="1" si="57"/>
        <v>9</v>
      </c>
      <c r="W135" s="292">
        <f t="shared" ca="1" si="55"/>
        <v>2024</v>
      </c>
      <c r="X135" s="340" t="str">
        <f t="shared" ca="1" si="56"/>
        <v>4 WEEK</v>
      </c>
      <c r="Y135" s="329">
        <f t="shared" si="45"/>
        <v>45562</v>
      </c>
      <c r="Z135" s="476" cm="1">
        <f t="array" aca="1" ref="Z135" ca="1">_xlfn.IFS(AD135&lt;100,Y135,Y135&lt;TODAY(),TODAY(),Y135&gt;TODAY(),Y135,Y135=TODAY(),Y135)</f>
        <v>45562</v>
      </c>
      <c r="AA135" s="315">
        <f t="shared" si="42"/>
        <v>448165.11261335394</v>
      </c>
      <c r="AB135" s="301">
        <v>447716.49888701423</v>
      </c>
      <c r="AC135" s="301">
        <f t="shared" si="43"/>
        <v>448.61372633969359</v>
      </c>
      <c r="AD135" s="298">
        <f t="shared" si="48"/>
        <v>0</v>
      </c>
      <c r="AE135" s="299" t="str">
        <f t="shared" si="49"/>
        <v>Complete</v>
      </c>
      <c r="AF135" s="613"/>
      <c r="AG135" s="301"/>
      <c r="AH135" s="343"/>
      <c r="AI135" s="301">
        <f t="shared" ca="1" si="46"/>
        <v>0</v>
      </c>
      <c r="AJ135" s="302">
        <f t="shared" ca="1" si="47"/>
        <v>0</v>
      </c>
      <c r="AL135" s="303">
        <f t="shared" si="50"/>
        <v>604672</v>
      </c>
      <c r="AM135" s="303">
        <f t="shared" si="51"/>
        <v>60467</v>
      </c>
      <c r="AN135" s="303">
        <f t="shared" si="52"/>
        <v>544205</v>
      </c>
      <c r="AO135" s="304">
        <f t="shared" si="53"/>
        <v>0</v>
      </c>
      <c r="AP135" s="273">
        <f t="shared" si="58"/>
        <v>8</v>
      </c>
      <c r="AQ135" s="273" t="str">
        <f t="shared" ca="1" si="54"/>
        <v>82024</v>
      </c>
    </row>
    <row r="136" spans="1:43" ht="16.5">
      <c r="A136" s="587">
        <v>6</v>
      </c>
      <c r="B136" s="609" t="s">
        <v>1762</v>
      </c>
      <c r="C136" s="332" t="s">
        <v>1763</v>
      </c>
      <c r="D136" s="277" t="s">
        <v>605</v>
      </c>
      <c r="E136" s="341">
        <v>45435</v>
      </c>
      <c r="F136" s="334">
        <v>4</v>
      </c>
      <c r="G136" s="348"/>
      <c r="H136" s="301"/>
      <c r="I136" s="349"/>
      <c r="J136" s="349"/>
      <c r="K136" s="246" t="s">
        <v>1767</v>
      </c>
      <c r="L136" s="593" t="s">
        <v>1595</v>
      </c>
      <c r="M136" s="592">
        <v>0.8</v>
      </c>
      <c r="N136" s="340" t="s">
        <v>1766</v>
      </c>
      <c r="O136" s="615" t="s">
        <v>1787</v>
      </c>
      <c r="P136" s="611">
        <v>45549</v>
      </c>
      <c r="Q136" s="481" t="s">
        <v>1788</v>
      </c>
      <c r="R136" s="315">
        <v>60467</v>
      </c>
      <c r="S136" s="612">
        <f t="shared" si="44"/>
        <v>5.1284522290763837E-4</v>
      </c>
      <c r="T136" s="315">
        <v>30</v>
      </c>
      <c r="U136" s="406">
        <v>45555</v>
      </c>
      <c r="V136" s="378">
        <f t="shared" ca="1" si="57"/>
        <v>10</v>
      </c>
      <c r="W136" s="292">
        <f t="shared" ca="1" si="55"/>
        <v>2024</v>
      </c>
      <c r="X136" s="340" t="str">
        <f t="shared" ca="1" si="56"/>
        <v>2 WEEK</v>
      </c>
      <c r="Y136" s="329">
        <f t="shared" si="45"/>
        <v>45579</v>
      </c>
      <c r="Z136" s="476" cm="1">
        <f t="array" aca="1" ref="Z136" ca="1">_xlfn.IFS(AD136&lt;100,Y136,Y136&lt;TODAY(),TODAY(),Y136&gt;TODAY(),Y136,Y136=TODAY(),Y136)</f>
        <v>45579</v>
      </c>
      <c r="AA136" s="315">
        <f t="shared" si="42"/>
        <v>49795.940618685381</v>
      </c>
      <c r="AB136" s="301">
        <v>49746.094832280294</v>
      </c>
      <c r="AC136" s="301">
        <f t="shared" si="43"/>
        <v>49.845786405090472</v>
      </c>
      <c r="AD136" s="298">
        <f t="shared" si="48"/>
        <v>0</v>
      </c>
      <c r="AE136" s="299" t="str">
        <f t="shared" si="49"/>
        <v>Complete</v>
      </c>
      <c r="AF136" s="613"/>
      <c r="AG136" s="301"/>
      <c r="AH136" s="343"/>
      <c r="AI136" s="301">
        <f t="shared" ca="1" si="46"/>
        <v>0</v>
      </c>
      <c r="AJ136" s="302">
        <f t="shared" ca="1" si="47"/>
        <v>0</v>
      </c>
      <c r="AL136" s="303">
        <f t="shared" si="50"/>
        <v>0</v>
      </c>
      <c r="AM136" s="303">
        <f t="shared" si="51"/>
        <v>-60467</v>
      </c>
      <c r="AN136" s="303">
        <f t="shared" si="52"/>
        <v>60467</v>
      </c>
      <c r="AO136" s="304">
        <f t="shared" si="53"/>
        <v>0</v>
      </c>
      <c r="AP136" s="273">
        <f t="shared" si="58"/>
        <v>9</v>
      </c>
      <c r="AQ136" s="273" t="str">
        <f t="shared" ca="1" si="54"/>
        <v>92024</v>
      </c>
    </row>
    <row r="137" spans="1:43" ht="16.5">
      <c r="A137" s="587">
        <v>6</v>
      </c>
      <c r="B137" s="609" t="s">
        <v>1762</v>
      </c>
      <c r="C137" s="332" t="s">
        <v>1763</v>
      </c>
      <c r="D137" s="277" t="s">
        <v>605</v>
      </c>
      <c r="E137" s="341">
        <v>45435</v>
      </c>
      <c r="F137" s="334">
        <v>4</v>
      </c>
      <c r="G137" s="348">
        <v>1024868</v>
      </c>
      <c r="H137" s="301">
        <v>184476.24</v>
      </c>
      <c r="I137" s="349">
        <v>1209344</v>
      </c>
      <c r="J137" s="349"/>
      <c r="K137" s="246" t="s">
        <v>1767</v>
      </c>
      <c r="L137" s="593" t="s">
        <v>1595</v>
      </c>
      <c r="M137" s="592">
        <v>0.8</v>
      </c>
      <c r="N137" s="340" t="s">
        <v>1766</v>
      </c>
      <c r="O137" s="610" t="s">
        <v>1789</v>
      </c>
      <c r="P137" s="611">
        <v>45609</v>
      </c>
      <c r="Q137" s="481" t="s">
        <v>1790</v>
      </c>
      <c r="R137" s="315">
        <v>1209344</v>
      </c>
      <c r="S137" s="612">
        <f t="shared" si="44"/>
        <v>1.0256938383779829E-2</v>
      </c>
      <c r="T137" s="315">
        <v>30</v>
      </c>
      <c r="U137" s="406">
        <v>45555</v>
      </c>
      <c r="V137" s="378">
        <f t="shared" ca="1" si="57"/>
        <v>12</v>
      </c>
      <c r="W137" s="292">
        <f t="shared" ca="1" si="55"/>
        <v>2024</v>
      </c>
      <c r="X137" s="340" t="str">
        <f t="shared" ca="1" si="56"/>
        <v>2 WEEK</v>
      </c>
      <c r="Y137" s="329">
        <f t="shared" si="45"/>
        <v>45639</v>
      </c>
      <c r="Z137" s="476" cm="1">
        <f t="array" aca="1" ref="Z137" ca="1">_xlfn.IFS(AD137&lt;100,Y137,Y137&lt;TODAY(),TODAY(),Y137&gt;TODAY(),Y137,Y137=TODAY(),Y137)</f>
        <v>45639</v>
      </c>
      <c r="AA137" s="315">
        <f t="shared" si="42"/>
        <v>995922.10646407865</v>
      </c>
      <c r="AB137" s="301">
        <v>994925.18743858906</v>
      </c>
      <c r="AC137" s="301">
        <f t="shared" si="43"/>
        <v>996.91902548956818</v>
      </c>
      <c r="AD137" s="298">
        <f t="shared" si="48"/>
        <v>0</v>
      </c>
      <c r="AE137" s="299" t="str">
        <f t="shared" si="49"/>
        <v>Complete</v>
      </c>
      <c r="AF137" s="613"/>
      <c r="AG137" s="301"/>
      <c r="AH137" s="343"/>
      <c r="AI137" s="301">
        <f t="shared" ca="1" si="46"/>
        <v>0</v>
      </c>
      <c r="AJ137" s="302">
        <f t="shared" ca="1" si="47"/>
        <v>0</v>
      </c>
      <c r="AL137" s="303">
        <f t="shared" si="50"/>
        <v>1209344</v>
      </c>
      <c r="AM137" s="303">
        <f t="shared" si="51"/>
        <v>0</v>
      </c>
      <c r="AN137" s="303">
        <f t="shared" si="52"/>
        <v>1209344</v>
      </c>
      <c r="AO137" s="304">
        <f t="shared" si="53"/>
        <v>0</v>
      </c>
      <c r="AP137" s="273">
        <f t="shared" si="58"/>
        <v>11</v>
      </c>
      <c r="AQ137" s="273" t="str">
        <f t="shared" ca="1" si="54"/>
        <v>112024</v>
      </c>
    </row>
    <row r="138" spans="1:43" ht="16.5">
      <c r="A138" s="587">
        <v>6</v>
      </c>
      <c r="B138" s="609" t="s">
        <v>1762</v>
      </c>
      <c r="C138" s="332" t="s">
        <v>1763</v>
      </c>
      <c r="D138" s="277" t="s">
        <v>605</v>
      </c>
      <c r="E138" s="341">
        <v>45435</v>
      </c>
      <c r="F138" s="334">
        <v>4</v>
      </c>
      <c r="G138" s="348">
        <v>512434</v>
      </c>
      <c r="H138" s="301">
        <v>92238.12</v>
      </c>
      <c r="I138" s="349">
        <v>604672</v>
      </c>
      <c r="J138" s="349"/>
      <c r="K138" s="246" t="s">
        <v>1767</v>
      </c>
      <c r="L138" s="593" t="s">
        <v>1595</v>
      </c>
      <c r="M138" s="592">
        <v>0.8</v>
      </c>
      <c r="N138" s="340" t="s">
        <v>1766</v>
      </c>
      <c r="O138" s="610" t="s">
        <v>1791</v>
      </c>
      <c r="P138" s="611">
        <v>45609</v>
      </c>
      <c r="Q138" s="481" t="s">
        <v>1790</v>
      </c>
      <c r="R138" s="315">
        <v>604672</v>
      </c>
      <c r="S138" s="612">
        <f t="shared" si="44"/>
        <v>5.1284691918899146E-3</v>
      </c>
      <c r="T138" s="315">
        <v>30</v>
      </c>
      <c r="U138" s="406">
        <v>45555</v>
      </c>
      <c r="V138" s="378">
        <f t="shared" ca="1" si="57"/>
        <v>12</v>
      </c>
      <c r="W138" s="292">
        <f t="shared" ca="1" si="55"/>
        <v>2024</v>
      </c>
      <c r="X138" s="340" t="str">
        <f t="shared" ca="1" si="56"/>
        <v>2 WEEK</v>
      </c>
      <c r="Y138" s="329">
        <f t="shared" si="45"/>
        <v>45639</v>
      </c>
      <c r="Z138" s="476" cm="1">
        <f t="array" aca="1" ref="Z138" ca="1">_xlfn.IFS(AD138&lt;100,Y138,Y138&lt;TODAY(),TODAY(),Y138&gt;TODAY(),Y138,Y138=TODAY(),Y138)</f>
        <v>45639</v>
      </c>
      <c r="AA138" s="315">
        <f t="shared" si="42"/>
        <v>497961.05323203932</v>
      </c>
      <c r="AB138" s="301">
        <v>497462.59371929453</v>
      </c>
      <c r="AC138" s="301">
        <f t="shared" si="43"/>
        <v>498.45951274478409</v>
      </c>
      <c r="AD138" s="298">
        <f t="shared" si="48"/>
        <v>0</v>
      </c>
      <c r="AE138" s="299" t="str">
        <f t="shared" si="49"/>
        <v>Complete</v>
      </c>
      <c r="AF138" s="613"/>
      <c r="AG138" s="301"/>
      <c r="AH138" s="343"/>
      <c r="AI138" s="301">
        <f t="shared" ca="1" si="46"/>
        <v>0</v>
      </c>
      <c r="AJ138" s="302">
        <f t="shared" ca="1" si="47"/>
        <v>0</v>
      </c>
      <c r="AL138" s="303">
        <f t="shared" si="50"/>
        <v>604672</v>
      </c>
      <c r="AM138" s="303">
        <f t="shared" si="51"/>
        <v>0</v>
      </c>
      <c r="AN138" s="303">
        <f t="shared" si="52"/>
        <v>604672</v>
      </c>
      <c r="AO138" s="304">
        <f t="shared" si="53"/>
        <v>0</v>
      </c>
      <c r="AP138" s="273">
        <f t="shared" si="58"/>
        <v>11</v>
      </c>
      <c r="AQ138" s="273" t="str">
        <f t="shared" ca="1" si="54"/>
        <v>112024</v>
      </c>
    </row>
    <row r="139" spans="1:43" ht="16.5">
      <c r="A139" s="587">
        <v>6</v>
      </c>
      <c r="B139" s="609" t="s">
        <v>1762</v>
      </c>
      <c r="C139" s="332" t="s">
        <v>1763</v>
      </c>
      <c r="D139" s="277" t="s">
        <v>605</v>
      </c>
      <c r="E139" s="341">
        <v>45435</v>
      </c>
      <c r="F139" s="334">
        <v>4</v>
      </c>
      <c r="G139" s="348">
        <v>854057</v>
      </c>
      <c r="H139" s="301">
        <v>153730.25999999998</v>
      </c>
      <c r="I139" s="349">
        <v>1007787</v>
      </c>
      <c r="J139" s="349"/>
      <c r="K139" s="246" t="s">
        <v>1767</v>
      </c>
      <c r="L139" s="593" t="s">
        <v>1595</v>
      </c>
      <c r="M139" s="592">
        <v>0.8</v>
      </c>
      <c r="N139" s="340" t="s">
        <v>1766</v>
      </c>
      <c r="O139" s="610" t="s">
        <v>1792</v>
      </c>
      <c r="P139" s="611">
        <v>45609</v>
      </c>
      <c r="Q139" s="481" t="s">
        <v>1790</v>
      </c>
      <c r="R139" s="315">
        <v>1007787</v>
      </c>
      <c r="S139" s="612">
        <f t="shared" si="44"/>
        <v>8.5474514802854461E-3</v>
      </c>
      <c r="T139" s="315">
        <v>30</v>
      </c>
      <c r="U139" s="406">
        <v>45555</v>
      </c>
      <c r="V139" s="378">
        <f t="shared" ca="1" si="57"/>
        <v>12</v>
      </c>
      <c r="W139" s="292">
        <f t="shared" ca="1" si="55"/>
        <v>2024</v>
      </c>
      <c r="X139" s="340" t="str">
        <f t="shared" ca="1" si="56"/>
        <v>2 WEEK</v>
      </c>
      <c r="Y139" s="329">
        <f t="shared" si="45"/>
        <v>45639</v>
      </c>
      <c r="Z139" s="476" cm="1">
        <f t="array" aca="1" ref="Z139" ca="1">_xlfn.IFS(AD139&lt;100,Y139,Y139&lt;TODAY(),TODAY(),Y139&gt;TODAY(),Y139,Y139=TODAY(),Y139)</f>
        <v>45639</v>
      </c>
      <c r="AA139" s="315">
        <f t="shared" si="42"/>
        <v>829935.36322759639</v>
      </c>
      <c r="AB139" s="301">
        <f>AA139-AC139</f>
        <v>829105.42786436877</v>
      </c>
      <c r="AC139" s="301">
        <f>AA139*0.1%</f>
        <v>829.93536322759644</v>
      </c>
      <c r="AD139" s="298">
        <f t="shared" si="48"/>
        <v>0</v>
      </c>
      <c r="AE139" s="299" t="str">
        <f t="shared" si="49"/>
        <v>Complete</v>
      </c>
      <c r="AF139" s="613"/>
      <c r="AG139" s="301"/>
      <c r="AH139" s="343"/>
      <c r="AI139" s="301">
        <f t="shared" ca="1" si="46"/>
        <v>0</v>
      </c>
      <c r="AJ139" s="302">
        <f t="shared" ca="1" si="47"/>
        <v>0</v>
      </c>
      <c r="AL139" s="303">
        <f t="shared" si="50"/>
        <v>1007787</v>
      </c>
      <c r="AM139" s="303">
        <f t="shared" si="51"/>
        <v>0</v>
      </c>
      <c r="AN139" s="303">
        <f t="shared" si="52"/>
        <v>1007787</v>
      </c>
      <c r="AO139" s="304">
        <f t="shared" si="53"/>
        <v>0</v>
      </c>
      <c r="AP139" s="273">
        <f t="shared" si="58"/>
        <v>11</v>
      </c>
      <c r="AQ139" s="273" t="str">
        <f t="shared" ca="1" si="54"/>
        <v>112024</v>
      </c>
    </row>
    <row r="140" spans="1:43" ht="16.5">
      <c r="A140" s="587">
        <v>6</v>
      </c>
      <c r="B140" s="609" t="s">
        <v>1762</v>
      </c>
      <c r="C140" s="332" t="s">
        <v>1763</v>
      </c>
      <c r="D140" s="277" t="s">
        <v>605</v>
      </c>
      <c r="E140" s="341">
        <v>45435</v>
      </c>
      <c r="F140" s="334">
        <v>4</v>
      </c>
      <c r="G140" s="348">
        <v>2562171</v>
      </c>
      <c r="H140" s="301">
        <v>461190.77999999997</v>
      </c>
      <c r="I140" s="349">
        <v>3023362</v>
      </c>
      <c r="J140" s="349"/>
      <c r="K140" s="246" t="s">
        <v>1767</v>
      </c>
      <c r="L140" s="593" t="s">
        <v>1595</v>
      </c>
      <c r="M140" s="592">
        <v>0.8</v>
      </c>
      <c r="N140" s="340" t="s">
        <v>1766</v>
      </c>
      <c r="O140" s="610" t="s">
        <v>1793</v>
      </c>
      <c r="P140" s="611">
        <v>45609</v>
      </c>
      <c r="Q140" s="481" t="s">
        <v>1790</v>
      </c>
      <c r="R140" s="315">
        <v>3023362</v>
      </c>
      <c r="S140" s="612">
        <f t="shared" si="44"/>
        <v>2.5642362922263105E-2</v>
      </c>
      <c r="T140" s="315">
        <v>30</v>
      </c>
      <c r="U140" s="406">
        <v>45555</v>
      </c>
      <c r="V140" s="378">
        <f t="shared" ca="1" si="57"/>
        <v>10</v>
      </c>
      <c r="W140" s="292">
        <f t="shared" ca="1" si="55"/>
        <v>2025</v>
      </c>
      <c r="X140" s="340" t="str">
        <f t="shared" ca="1" si="56"/>
        <v>1 WEEK</v>
      </c>
      <c r="Y140" s="329">
        <f t="shared" si="45"/>
        <v>45639</v>
      </c>
      <c r="Z140" s="476" cm="1">
        <f t="array" aca="1" ref="Z140" ca="1">_xlfn.IFS(AD140&lt;100,Y140,Y140&lt;TODAY(),TODAY(),Y140&gt;TODAY(),Y140,Y140=TODAY(),Y140)</f>
        <v>45935</v>
      </c>
      <c r="AA140" s="315">
        <f t="shared" si="42"/>
        <v>2489806.9132053819</v>
      </c>
      <c r="AB140" s="301">
        <v>1112262.8407186901</v>
      </c>
      <c r="AC140" s="301">
        <f>AB140/99.9%*0.1%</f>
        <v>1113.3762169356255</v>
      </c>
      <c r="AD140" s="298">
        <f t="shared" si="48"/>
        <v>1376431</v>
      </c>
      <c r="AE140" s="299" t="str">
        <f t="shared" si="49"/>
        <v>Incomplete</v>
      </c>
      <c r="AF140" s="613"/>
      <c r="AG140" s="301"/>
      <c r="AH140" s="343"/>
      <c r="AI140" s="301">
        <f t="shared" ca="1" si="46"/>
        <v>296</v>
      </c>
      <c r="AJ140" s="302" t="str">
        <f t="shared" ca="1" si="47"/>
        <v>Delayed</v>
      </c>
      <c r="AL140" s="303">
        <f t="shared" si="50"/>
        <v>3023362</v>
      </c>
      <c r="AM140" s="303">
        <f t="shared" si="51"/>
        <v>0</v>
      </c>
      <c r="AN140" s="303">
        <f t="shared" si="52"/>
        <v>3023362</v>
      </c>
      <c r="AO140" s="304">
        <f t="shared" si="53"/>
        <v>0</v>
      </c>
      <c r="AP140" s="273">
        <f t="shared" si="58"/>
        <v>11</v>
      </c>
      <c r="AQ140" s="273" t="str">
        <f t="shared" ca="1" si="54"/>
        <v>112025</v>
      </c>
    </row>
    <row r="141" spans="1:43" ht="16.5">
      <c r="A141" s="587">
        <v>6</v>
      </c>
      <c r="B141" s="609" t="s">
        <v>1762</v>
      </c>
      <c r="C141" s="332" t="s">
        <v>1763</v>
      </c>
      <c r="D141" s="277" t="s">
        <v>605</v>
      </c>
      <c r="E141" s="341">
        <v>45435</v>
      </c>
      <c r="F141" s="334">
        <v>4</v>
      </c>
      <c r="G141" s="348">
        <v>1281086</v>
      </c>
      <c r="H141" s="301">
        <v>230595.47999999998</v>
      </c>
      <c r="I141" s="349">
        <v>1511681</v>
      </c>
      <c r="J141" s="349"/>
      <c r="K141" s="246" t="s">
        <v>1767</v>
      </c>
      <c r="L141" s="593" t="s">
        <v>1595</v>
      </c>
      <c r="M141" s="592">
        <v>0.8</v>
      </c>
      <c r="N141" s="340" t="s">
        <v>1766</v>
      </c>
      <c r="O141" s="610" t="s">
        <v>1794</v>
      </c>
      <c r="P141" s="611">
        <v>45652</v>
      </c>
      <c r="Q141" s="481" t="s">
        <v>1795</v>
      </c>
      <c r="R141" s="315">
        <v>1511681</v>
      </c>
      <c r="S141" s="612">
        <f t="shared" si="44"/>
        <v>1.2821181461131552E-2</v>
      </c>
      <c r="T141" s="315">
        <v>30</v>
      </c>
      <c r="U141" s="406">
        <v>45555</v>
      </c>
      <c r="V141" s="378">
        <f t="shared" ca="1" si="57"/>
        <v>10</v>
      </c>
      <c r="W141" s="292">
        <f t="shared" ca="1" si="55"/>
        <v>2025</v>
      </c>
      <c r="X141" s="340" t="str">
        <f t="shared" ca="1" si="56"/>
        <v>1 WEEK</v>
      </c>
      <c r="Y141" s="329">
        <f t="shared" si="45"/>
        <v>45682</v>
      </c>
      <c r="Z141" s="476" cm="1">
        <f t="array" aca="1" ref="Z141" ca="1">_xlfn.IFS(AD141&lt;100,Y141,Y141&lt;TODAY(),TODAY(),Y141&gt;TODAY(),Y141,Y141=TODAY(),Y141)</f>
        <v>45935</v>
      </c>
      <c r="AA141" s="315">
        <f t="shared" si="42"/>
        <v>1244903.456602691</v>
      </c>
      <c r="AB141" s="301"/>
      <c r="AC141" s="301"/>
      <c r="AD141" s="298">
        <f t="shared" si="48"/>
        <v>1244903</v>
      </c>
      <c r="AE141" s="299" t="str">
        <f t="shared" si="49"/>
        <v>Incomplete</v>
      </c>
      <c r="AF141" s="613"/>
      <c r="AG141" s="301"/>
      <c r="AH141" s="343"/>
      <c r="AI141" s="301">
        <f t="shared" ca="1" si="46"/>
        <v>253</v>
      </c>
      <c r="AJ141" s="302" t="str">
        <f t="shared" ca="1" si="47"/>
        <v>Delayed</v>
      </c>
      <c r="AL141" s="303">
        <f t="shared" si="50"/>
        <v>1511681</v>
      </c>
      <c r="AM141" s="303">
        <f t="shared" si="51"/>
        <v>0</v>
      </c>
      <c r="AN141" s="303">
        <f t="shared" si="52"/>
        <v>1511681</v>
      </c>
      <c r="AO141" s="304">
        <f t="shared" si="53"/>
        <v>0</v>
      </c>
      <c r="AP141" s="273">
        <f t="shared" si="58"/>
        <v>12</v>
      </c>
      <c r="AQ141" s="273" t="str">
        <f t="shared" ca="1" si="54"/>
        <v>122025</v>
      </c>
    </row>
    <row r="142" spans="1:43" ht="16.5">
      <c r="A142" s="587">
        <v>6</v>
      </c>
      <c r="B142" s="609" t="s">
        <v>1762</v>
      </c>
      <c r="C142" s="332" t="s">
        <v>1763</v>
      </c>
      <c r="D142" s="277" t="s">
        <v>605</v>
      </c>
      <c r="E142" s="341">
        <v>45435</v>
      </c>
      <c r="F142" s="334">
        <v>4</v>
      </c>
      <c r="G142" s="348">
        <v>1024868</v>
      </c>
      <c r="H142" s="301">
        <v>184476.24</v>
      </c>
      <c r="I142" s="349">
        <v>1209344</v>
      </c>
      <c r="J142" s="349"/>
      <c r="K142" s="246" t="s">
        <v>1767</v>
      </c>
      <c r="L142" s="593" t="s">
        <v>1595</v>
      </c>
      <c r="M142" s="592">
        <v>0.8</v>
      </c>
      <c r="N142" s="340" t="s">
        <v>1766</v>
      </c>
      <c r="O142" s="610" t="s">
        <v>1796</v>
      </c>
      <c r="P142" s="616">
        <v>45549</v>
      </c>
      <c r="Q142" s="481" t="s">
        <v>1797</v>
      </c>
      <c r="R142" s="315">
        <v>1209344</v>
      </c>
      <c r="S142" s="612">
        <f t="shared" si="44"/>
        <v>1.0256938383779829E-2</v>
      </c>
      <c r="T142" s="315">
        <v>30</v>
      </c>
      <c r="U142" s="406">
        <v>45555</v>
      </c>
      <c r="V142" s="378">
        <f t="shared" ca="1" si="57"/>
        <v>10</v>
      </c>
      <c r="W142" s="292">
        <f t="shared" ca="1" si="55"/>
        <v>2025</v>
      </c>
      <c r="X142" s="340" t="str">
        <f t="shared" ca="1" si="56"/>
        <v>1 WEEK</v>
      </c>
      <c r="Y142" s="329">
        <f t="shared" si="45"/>
        <v>45579</v>
      </c>
      <c r="Z142" s="476" cm="1">
        <f t="array" aca="1" ref="Z142" ca="1">_xlfn.IFS(AD142&lt;100,Y142,Y142&lt;TODAY(),TODAY(),Y142&gt;TODAY(),Y142,Y142=TODAY(),Y142)</f>
        <v>45935</v>
      </c>
      <c r="AA142" s="315">
        <f t="shared" si="42"/>
        <v>995922.10646407865</v>
      </c>
      <c r="AB142" s="301"/>
      <c r="AC142" s="301"/>
      <c r="AD142" s="298">
        <f t="shared" si="48"/>
        <v>995922</v>
      </c>
      <c r="AE142" s="299" t="str">
        <f t="shared" si="49"/>
        <v>Incomplete</v>
      </c>
      <c r="AF142" s="613"/>
      <c r="AG142" s="301"/>
      <c r="AH142" s="343"/>
      <c r="AI142" s="301">
        <f t="shared" ca="1" si="46"/>
        <v>356</v>
      </c>
      <c r="AJ142" s="302" t="str">
        <f t="shared" ca="1" si="47"/>
        <v>Delayed</v>
      </c>
      <c r="AL142" s="303">
        <f t="shared" si="50"/>
        <v>1209344</v>
      </c>
      <c r="AM142" s="303">
        <f t="shared" si="51"/>
        <v>0</v>
      </c>
      <c r="AN142" s="303">
        <f t="shared" si="52"/>
        <v>1209344</v>
      </c>
      <c r="AO142" s="304">
        <f t="shared" si="53"/>
        <v>0</v>
      </c>
      <c r="AP142" s="273">
        <f t="shared" si="58"/>
        <v>9</v>
      </c>
      <c r="AQ142" s="273" t="str">
        <f t="shared" ca="1" si="54"/>
        <v>92025</v>
      </c>
    </row>
    <row r="143" spans="1:43" ht="16.5">
      <c r="A143" s="587">
        <v>6</v>
      </c>
      <c r="B143" s="609" t="s">
        <v>1762</v>
      </c>
      <c r="C143" s="332" t="s">
        <v>1763</v>
      </c>
      <c r="D143" s="277" t="s">
        <v>605</v>
      </c>
      <c r="E143" s="341">
        <v>45435</v>
      </c>
      <c r="F143" s="334">
        <v>4</v>
      </c>
      <c r="G143" s="348">
        <v>1964331</v>
      </c>
      <c r="H143" s="301">
        <v>353579.57999999996</v>
      </c>
      <c r="I143" s="349">
        <v>2317911</v>
      </c>
      <c r="J143" s="349"/>
      <c r="K143" s="246" t="s">
        <v>1767</v>
      </c>
      <c r="L143" s="593" t="s">
        <v>1595</v>
      </c>
      <c r="M143" s="592">
        <v>0.8</v>
      </c>
      <c r="N143" s="340" t="s">
        <v>1766</v>
      </c>
      <c r="O143" s="610" t="s">
        <v>1798</v>
      </c>
      <c r="P143" s="611">
        <v>45609</v>
      </c>
      <c r="Q143" s="481" t="s">
        <v>1790</v>
      </c>
      <c r="R143" s="315">
        <v>2317911</v>
      </c>
      <c r="S143" s="612">
        <f t="shared" si="44"/>
        <v>1.9659146037922615E-2</v>
      </c>
      <c r="T143" s="315">
        <v>30</v>
      </c>
      <c r="U143" s="406">
        <v>45555</v>
      </c>
      <c r="V143" s="378">
        <f t="shared" ca="1" si="57"/>
        <v>10</v>
      </c>
      <c r="W143" s="292">
        <f t="shared" ca="1" si="55"/>
        <v>2025</v>
      </c>
      <c r="X143" s="340" t="str">
        <f t="shared" ca="1" si="56"/>
        <v>1 WEEK</v>
      </c>
      <c r="Y143" s="329">
        <f t="shared" si="45"/>
        <v>45639</v>
      </c>
      <c r="Z143" s="476" cm="1">
        <f t="array" aca="1" ref="Z143" ca="1">_xlfn.IFS(AD143&lt;100,Y143,Y143&lt;TODAY(),TODAY(),Y143&gt;TODAY(),Y143,Y143=TODAY(),Y143)</f>
        <v>45935</v>
      </c>
      <c r="AA143" s="315">
        <f t="shared" si="42"/>
        <v>1908852.0765938053</v>
      </c>
      <c r="AB143" s="301"/>
      <c r="AC143" s="301"/>
      <c r="AD143" s="298">
        <f t="shared" si="48"/>
        <v>1908852</v>
      </c>
      <c r="AE143" s="299" t="str">
        <f t="shared" si="49"/>
        <v>Incomplete</v>
      </c>
      <c r="AF143" s="613"/>
      <c r="AG143" s="301"/>
      <c r="AH143" s="343"/>
      <c r="AI143" s="301">
        <f t="shared" ca="1" si="46"/>
        <v>296</v>
      </c>
      <c r="AJ143" s="302" t="str">
        <f t="shared" ca="1" si="47"/>
        <v>Delayed</v>
      </c>
      <c r="AL143" s="303">
        <f t="shared" si="50"/>
        <v>2317911</v>
      </c>
      <c r="AM143" s="303">
        <f t="shared" si="51"/>
        <v>0</v>
      </c>
      <c r="AN143" s="303">
        <f t="shared" si="52"/>
        <v>2317911</v>
      </c>
      <c r="AO143" s="304">
        <f t="shared" si="53"/>
        <v>0</v>
      </c>
      <c r="AP143" s="273">
        <f t="shared" si="58"/>
        <v>11</v>
      </c>
      <c r="AQ143" s="273" t="str">
        <f t="shared" ca="1" si="54"/>
        <v>112025</v>
      </c>
    </row>
    <row r="144" spans="1:43" ht="16.5">
      <c r="A144" s="587">
        <v>6</v>
      </c>
      <c r="B144" s="609" t="s">
        <v>1762</v>
      </c>
      <c r="C144" s="332" t="s">
        <v>1763</v>
      </c>
      <c r="D144" s="277" t="s">
        <v>605</v>
      </c>
      <c r="E144" s="341">
        <v>45435</v>
      </c>
      <c r="F144" s="334">
        <v>4</v>
      </c>
      <c r="G144" s="348">
        <v>1024868</v>
      </c>
      <c r="H144" s="301">
        <v>184476.24</v>
      </c>
      <c r="I144" s="349">
        <v>1209344</v>
      </c>
      <c r="J144" s="349"/>
      <c r="K144" s="246" t="s">
        <v>1767</v>
      </c>
      <c r="L144" s="593" t="s">
        <v>1595</v>
      </c>
      <c r="M144" s="592">
        <v>0.8</v>
      </c>
      <c r="N144" s="340" t="s">
        <v>1766</v>
      </c>
      <c r="O144" s="610" t="s">
        <v>1799</v>
      </c>
      <c r="P144" s="611">
        <v>45609</v>
      </c>
      <c r="Q144" s="481" t="s">
        <v>1790</v>
      </c>
      <c r="R144" s="315">
        <v>1209344</v>
      </c>
      <c r="S144" s="612">
        <f t="shared" si="44"/>
        <v>1.0256938383779829E-2</v>
      </c>
      <c r="T144" s="315">
        <v>30</v>
      </c>
      <c r="U144" s="406">
        <v>45555</v>
      </c>
      <c r="V144" s="378">
        <f t="shared" ca="1" si="57"/>
        <v>10</v>
      </c>
      <c r="W144" s="292">
        <f t="shared" ca="1" si="55"/>
        <v>2025</v>
      </c>
      <c r="X144" s="340" t="str">
        <f t="shared" ca="1" si="56"/>
        <v>1 WEEK</v>
      </c>
      <c r="Y144" s="329">
        <f t="shared" si="45"/>
        <v>45639</v>
      </c>
      <c r="Z144" s="476" cm="1">
        <f t="array" aca="1" ref="Z144" ca="1">_xlfn.IFS(AD144&lt;100,Y144,Y144&lt;TODAY(),TODAY(),Y144&gt;TODAY(),Y144,Y144=TODAY(),Y144)</f>
        <v>45935</v>
      </c>
      <c r="AA144" s="315">
        <f t="shared" si="42"/>
        <v>995922.10646407865</v>
      </c>
      <c r="AB144" s="301"/>
      <c r="AC144" s="301"/>
      <c r="AD144" s="298">
        <f t="shared" si="48"/>
        <v>995922</v>
      </c>
      <c r="AE144" s="299" t="str">
        <f t="shared" si="49"/>
        <v>Incomplete</v>
      </c>
      <c r="AF144" s="613"/>
      <c r="AG144" s="301"/>
      <c r="AH144" s="343"/>
      <c r="AI144" s="301">
        <f t="shared" ca="1" si="46"/>
        <v>296</v>
      </c>
      <c r="AJ144" s="302" t="str">
        <f t="shared" ca="1" si="47"/>
        <v>Delayed</v>
      </c>
      <c r="AL144" s="303">
        <f t="shared" si="50"/>
        <v>1209344</v>
      </c>
      <c r="AM144" s="303">
        <f t="shared" si="51"/>
        <v>0</v>
      </c>
      <c r="AN144" s="303">
        <f t="shared" si="52"/>
        <v>1209344</v>
      </c>
      <c r="AO144" s="304">
        <f t="shared" si="53"/>
        <v>0</v>
      </c>
      <c r="AP144" s="273">
        <f t="shared" si="58"/>
        <v>11</v>
      </c>
      <c r="AQ144" s="273" t="str">
        <f t="shared" ca="1" si="54"/>
        <v>112025</v>
      </c>
    </row>
    <row r="145" spans="1:43" ht="16.5">
      <c r="A145" s="587">
        <v>6</v>
      </c>
      <c r="B145" s="609" t="s">
        <v>1762</v>
      </c>
      <c r="C145" s="332" t="s">
        <v>1763</v>
      </c>
      <c r="D145" s="277" t="s">
        <v>605</v>
      </c>
      <c r="E145" s="341">
        <v>45435</v>
      </c>
      <c r="F145" s="334">
        <v>4</v>
      </c>
      <c r="G145" s="348">
        <v>2220548</v>
      </c>
      <c r="H145" s="301">
        <v>399698.64</v>
      </c>
      <c r="I145" s="349">
        <v>2620247</v>
      </c>
      <c r="J145" s="349"/>
      <c r="K145" s="246" t="s">
        <v>1767</v>
      </c>
      <c r="L145" s="593" t="s">
        <v>1595</v>
      </c>
      <c r="M145" s="592">
        <v>0.8</v>
      </c>
      <c r="N145" s="340" t="s">
        <v>1766</v>
      </c>
      <c r="O145" s="610" t="s">
        <v>1800</v>
      </c>
      <c r="P145" s="611">
        <v>45609</v>
      </c>
      <c r="Q145" s="481" t="s">
        <v>1790</v>
      </c>
      <c r="R145" s="315">
        <v>2620247</v>
      </c>
      <c r="S145" s="612">
        <f t="shared" si="44"/>
        <v>2.2223380633867574E-2</v>
      </c>
      <c r="T145" s="315">
        <v>30</v>
      </c>
      <c r="U145" s="406">
        <v>45555</v>
      </c>
      <c r="V145" s="378">
        <f t="shared" ca="1" si="57"/>
        <v>10</v>
      </c>
      <c r="W145" s="292">
        <f t="shared" ca="1" si="55"/>
        <v>2025</v>
      </c>
      <c r="X145" s="340" t="str">
        <f t="shared" ca="1" si="56"/>
        <v>1 WEEK</v>
      </c>
      <c r="Y145" s="329">
        <f t="shared" si="45"/>
        <v>45639</v>
      </c>
      <c r="Z145" s="476" cm="1">
        <f t="array" aca="1" ref="Z145" ca="1">_xlfn.IFS(AD145&lt;100,Y145,Y145&lt;TODAY(),TODAY(),Y145&gt;TODAY(),Y145,Y145=TODAY(),Y145)</f>
        <v>45935</v>
      </c>
      <c r="AA145" s="315">
        <f t="shared" si="42"/>
        <v>2157832.6032098252</v>
      </c>
      <c r="AB145" s="301"/>
      <c r="AC145" s="301"/>
      <c r="AD145" s="298">
        <f t="shared" si="48"/>
        <v>2157833</v>
      </c>
      <c r="AE145" s="299" t="str">
        <f t="shared" si="49"/>
        <v>Incomplete</v>
      </c>
      <c r="AF145" s="613"/>
      <c r="AG145" s="301"/>
      <c r="AH145" s="343"/>
      <c r="AI145" s="301">
        <f t="shared" ca="1" si="46"/>
        <v>296</v>
      </c>
      <c r="AJ145" s="302" t="str">
        <f t="shared" ca="1" si="47"/>
        <v>Delayed</v>
      </c>
      <c r="AL145" s="303">
        <f t="shared" si="50"/>
        <v>2620247</v>
      </c>
      <c r="AM145" s="303">
        <f t="shared" si="51"/>
        <v>0</v>
      </c>
      <c r="AN145" s="303">
        <f t="shared" si="52"/>
        <v>2620247</v>
      </c>
      <c r="AO145" s="304">
        <f t="shared" si="53"/>
        <v>0</v>
      </c>
      <c r="AP145" s="273">
        <f t="shared" si="58"/>
        <v>11</v>
      </c>
      <c r="AQ145" s="273" t="str">
        <f t="shared" ca="1" si="54"/>
        <v>112025</v>
      </c>
    </row>
    <row r="146" spans="1:43" ht="16.5">
      <c r="A146" s="587">
        <v>6</v>
      </c>
      <c r="B146" s="609" t="s">
        <v>1762</v>
      </c>
      <c r="C146" s="332" t="s">
        <v>1763</v>
      </c>
      <c r="D146" s="277" t="s">
        <v>605</v>
      </c>
      <c r="E146" s="341">
        <v>45435</v>
      </c>
      <c r="F146" s="334">
        <v>4</v>
      </c>
      <c r="G146" s="348">
        <v>341623</v>
      </c>
      <c r="H146" s="301">
        <v>61492.14</v>
      </c>
      <c r="I146" s="349">
        <v>403115</v>
      </c>
      <c r="J146" s="349"/>
      <c r="K146" s="246" t="s">
        <v>1767</v>
      </c>
      <c r="L146" s="593" t="s">
        <v>1595</v>
      </c>
      <c r="M146" s="592">
        <v>0.8</v>
      </c>
      <c r="N146" s="340" t="s">
        <v>1766</v>
      </c>
      <c r="O146" s="610" t="s">
        <v>1801</v>
      </c>
      <c r="P146" s="617">
        <v>0</v>
      </c>
      <c r="Q146" s="481"/>
      <c r="R146" s="315">
        <v>0</v>
      </c>
      <c r="S146" s="612">
        <f t="shared" si="44"/>
        <v>0</v>
      </c>
      <c r="T146" s="315">
        <v>30</v>
      </c>
      <c r="U146" s="406">
        <v>45555</v>
      </c>
      <c r="V146" s="378">
        <f t="shared" ca="1" si="57"/>
        <v>1</v>
      </c>
      <c r="W146" s="292">
        <f t="shared" ca="1" si="55"/>
        <v>1900</v>
      </c>
      <c r="X146" s="340" t="str">
        <f t="shared" ca="1" si="56"/>
        <v>5 WEEK</v>
      </c>
      <c r="Y146" s="618">
        <f t="shared" si="45"/>
        <v>30</v>
      </c>
      <c r="Z146" s="476" cm="1">
        <f t="array" aca="1" ref="Z146" ca="1">_xlfn.IFS(AD146&lt;100,Y146,Y146&lt;TODAY(),TODAY(),Y146&gt;TODAY(),Y146,Y146=TODAY(),Y146)</f>
        <v>30</v>
      </c>
      <c r="AA146" s="315">
        <f t="shared" si="42"/>
        <v>0</v>
      </c>
      <c r="AB146" s="301"/>
      <c r="AC146" s="301">
        <f t="shared" ref="AC146" si="59">AA146/99.9%*0.1%</f>
        <v>0</v>
      </c>
      <c r="AD146" s="298">
        <f t="shared" si="48"/>
        <v>0</v>
      </c>
      <c r="AE146" s="299" t="str">
        <f t="shared" si="49"/>
        <v>Complete</v>
      </c>
      <c r="AF146" s="613"/>
      <c r="AG146" s="301"/>
      <c r="AH146" s="343"/>
      <c r="AI146" s="301">
        <f t="shared" ca="1" si="46"/>
        <v>0</v>
      </c>
      <c r="AJ146" s="302">
        <f t="shared" ca="1" si="47"/>
        <v>0</v>
      </c>
      <c r="AL146" s="303">
        <f t="shared" si="50"/>
        <v>403115</v>
      </c>
      <c r="AM146" s="303">
        <f t="shared" si="51"/>
        <v>403115</v>
      </c>
      <c r="AN146" s="303">
        <f t="shared" si="52"/>
        <v>0</v>
      </c>
      <c r="AO146" s="304">
        <f t="shared" si="53"/>
        <v>0</v>
      </c>
      <c r="AP146" s="273">
        <f t="shared" si="58"/>
        <v>1</v>
      </c>
      <c r="AQ146" s="273" t="str">
        <f t="shared" ca="1" si="54"/>
        <v>11900</v>
      </c>
    </row>
    <row r="147" spans="1:43" ht="16.5">
      <c r="A147" s="587">
        <v>6</v>
      </c>
      <c r="B147" s="609" t="s">
        <v>1762</v>
      </c>
      <c r="C147" s="332" t="s">
        <v>1763</v>
      </c>
      <c r="D147" s="277" t="s">
        <v>605</v>
      </c>
      <c r="E147" s="341">
        <v>45435</v>
      </c>
      <c r="F147" s="334">
        <v>4</v>
      </c>
      <c r="G147" s="348">
        <v>256217</v>
      </c>
      <c r="H147" s="301">
        <v>46119.06</v>
      </c>
      <c r="I147" s="349">
        <v>302336</v>
      </c>
      <c r="J147" s="349"/>
      <c r="K147" s="246" t="s">
        <v>1767</v>
      </c>
      <c r="L147" s="593" t="s">
        <v>1595</v>
      </c>
      <c r="M147" s="592">
        <v>0.8</v>
      </c>
      <c r="N147" s="340" t="s">
        <v>1766</v>
      </c>
      <c r="O147" s="610" t="s">
        <v>1802</v>
      </c>
      <c r="P147" s="611">
        <v>45544</v>
      </c>
      <c r="Q147" s="481" t="s">
        <v>1803</v>
      </c>
      <c r="R147" s="315">
        <v>302336</v>
      </c>
      <c r="S147" s="612">
        <f t="shared" si="44"/>
        <v>2.5642345959449573E-3</v>
      </c>
      <c r="T147" s="315">
        <v>30</v>
      </c>
      <c r="U147" s="406">
        <v>45555</v>
      </c>
      <c r="V147" s="378">
        <f t="shared" ca="1" si="57"/>
        <v>10</v>
      </c>
      <c r="W147" s="292">
        <f t="shared" ca="1" si="55"/>
        <v>2025</v>
      </c>
      <c r="X147" s="340" t="str">
        <f t="shared" ca="1" si="56"/>
        <v>1 WEEK</v>
      </c>
      <c r="Y147" s="329">
        <f t="shared" si="45"/>
        <v>45574</v>
      </c>
      <c r="Z147" s="476" cm="1">
        <f t="array" aca="1" ref="Z147" ca="1">_xlfn.IFS(AD147&lt;100,Y147,Y147&lt;TODAY(),TODAY(),Y147&gt;TODAY(),Y147,Y147=TODAY(),Y147)</f>
        <v>45935</v>
      </c>
      <c r="AA147" s="315">
        <f t="shared" si="42"/>
        <v>248980.52661601966</v>
      </c>
      <c r="AB147" s="301"/>
      <c r="AC147" s="301"/>
      <c r="AD147" s="298">
        <f t="shared" si="48"/>
        <v>248981</v>
      </c>
      <c r="AE147" s="299" t="str">
        <f t="shared" si="49"/>
        <v>Incomplete</v>
      </c>
      <c r="AF147" s="613"/>
      <c r="AG147" s="301"/>
      <c r="AH147" s="343"/>
      <c r="AI147" s="301">
        <f t="shared" ca="1" si="46"/>
        <v>361</v>
      </c>
      <c r="AJ147" s="302" t="str">
        <f t="shared" ca="1" si="47"/>
        <v>Delayed</v>
      </c>
      <c r="AL147" s="303">
        <f t="shared" si="50"/>
        <v>302336</v>
      </c>
      <c r="AM147" s="303">
        <f t="shared" si="51"/>
        <v>0</v>
      </c>
      <c r="AN147" s="303">
        <f t="shared" si="52"/>
        <v>302336</v>
      </c>
      <c r="AO147" s="304">
        <f t="shared" si="53"/>
        <v>0</v>
      </c>
      <c r="AP147" s="273">
        <f t="shared" si="58"/>
        <v>9</v>
      </c>
      <c r="AQ147" s="273" t="str">
        <f t="shared" ca="1" si="54"/>
        <v>92025</v>
      </c>
    </row>
    <row r="148" spans="1:43" ht="15" customHeight="1">
      <c r="A148" s="587">
        <v>6</v>
      </c>
      <c r="B148" s="609" t="s">
        <v>1762</v>
      </c>
      <c r="C148" s="332" t="s">
        <v>1763</v>
      </c>
      <c r="D148" s="277" t="s">
        <v>605</v>
      </c>
      <c r="E148" s="341">
        <v>45435</v>
      </c>
      <c r="F148" s="334">
        <v>4</v>
      </c>
      <c r="G148" s="348">
        <v>341623</v>
      </c>
      <c r="H148" s="301">
        <v>61492.14</v>
      </c>
      <c r="I148" s="349">
        <v>403115</v>
      </c>
      <c r="J148" s="349"/>
      <c r="K148" s="246" t="s">
        <v>1767</v>
      </c>
      <c r="L148" s="593" t="s">
        <v>1595</v>
      </c>
      <c r="M148" s="592">
        <v>0.8</v>
      </c>
      <c r="N148" s="340" t="s">
        <v>1766</v>
      </c>
      <c r="O148" s="615" t="s">
        <v>1804</v>
      </c>
      <c r="P148" s="611">
        <v>45531</v>
      </c>
      <c r="Q148" s="481" t="s">
        <v>1805</v>
      </c>
      <c r="R148" s="315">
        <v>120935</v>
      </c>
      <c r="S148" s="612">
        <f t="shared" si="44"/>
        <v>1.0256989272220424E-3</v>
      </c>
      <c r="T148" s="315">
        <v>30</v>
      </c>
      <c r="U148" s="406">
        <v>45555</v>
      </c>
      <c r="V148" s="378">
        <f t="shared" ca="1" si="57"/>
        <v>10</v>
      </c>
      <c r="W148" s="292">
        <f t="shared" ca="1" si="55"/>
        <v>2025</v>
      </c>
      <c r="X148" s="340" t="str">
        <f t="shared" ca="1" si="56"/>
        <v>1 WEEK</v>
      </c>
      <c r="Y148" s="329">
        <f t="shared" si="45"/>
        <v>45561</v>
      </c>
      <c r="Z148" s="476" cm="1">
        <f t="array" aca="1" ref="Z148" ca="1">_xlfn.IFS(AD148&lt;100,Y148,Y148&lt;TODAY(),TODAY(),Y148&gt;TODAY(),Y148,Y148=TODAY(),Y148)</f>
        <v>45935</v>
      </c>
      <c r="AA148" s="315">
        <f t="shared" si="42"/>
        <v>99592.704759963541</v>
      </c>
      <c r="AB148" s="301"/>
      <c r="AC148" s="301"/>
      <c r="AD148" s="298">
        <f t="shared" si="48"/>
        <v>99593</v>
      </c>
      <c r="AE148" s="299" t="str">
        <f t="shared" si="49"/>
        <v>Incomplete</v>
      </c>
      <c r="AF148" s="613"/>
      <c r="AG148" s="301"/>
      <c r="AH148" s="343"/>
      <c r="AI148" s="301">
        <f t="shared" ca="1" si="46"/>
        <v>374</v>
      </c>
      <c r="AJ148" s="302" t="str">
        <f t="shared" ca="1" si="47"/>
        <v>Delayed</v>
      </c>
      <c r="AL148" s="303">
        <f t="shared" si="50"/>
        <v>403115</v>
      </c>
      <c r="AM148" s="303">
        <f t="shared" si="51"/>
        <v>282180</v>
      </c>
      <c r="AN148" s="303">
        <f t="shared" si="52"/>
        <v>120935</v>
      </c>
      <c r="AO148" s="304">
        <f t="shared" si="53"/>
        <v>0</v>
      </c>
      <c r="AP148" s="273">
        <f t="shared" si="58"/>
        <v>8</v>
      </c>
      <c r="AQ148" s="273" t="str">
        <f t="shared" ca="1" si="54"/>
        <v>82025</v>
      </c>
    </row>
    <row r="149" spans="1:43" ht="16.5">
      <c r="A149" s="587">
        <v>6</v>
      </c>
      <c r="B149" s="609" t="s">
        <v>1762</v>
      </c>
      <c r="C149" s="332" t="s">
        <v>1763</v>
      </c>
      <c r="D149" s="277" t="s">
        <v>605</v>
      </c>
      <c r="E149" s="341">
        <v>45435</v>
      </c>
      <c r="F149" s="334">
        <v>4</v>
      </c>
      <c r="G149" s="348"/>
      <c r="H149" s="301"/>
      <c r="I149" s="349"/>
      <c r="J149" s="349"/>
      <c r="K149" s="246" t="s">
        <v>1767</v>
      </c>
      <c r="L149" s="593" t="s">
        <v>1595</v>
      </c>
      <c r="M149" s="592">
        <v>0.8</v>
      </c>
      <c r="N149" s="340" t="s">
        <v>1766</v>
      </c>
      <c r="O149" s="615" t="s">
        <v>1804</v>
      </c>
      <c r="P149" s="611">
        <v>45549</v>
      </c>
      <c r="Q149" s="481" t="s">
        <v>1788</v>
      </c>
      <c r="R149" s="315">
        <v>241869</v>
      </c>
      <c r="S149" s="612">
        <f t="shared" si="44"/>
        <v>2.0513893730373192E-3</v>
      </c>
      <c r="T149" s="315">
        <v>30</v>
      </c>
      <c r="U149" s="406">
        <v>45555</v>
      </c>
      <c r="V149" s="378">
        <f t="shared" ca="1" si="57"/>
        <v>10</v>
      </c>
      <c r="W149" s="292">
        <f t="shared" ca="1" si="55"/>
        <v>2025</v>
      </c>
      <c r="X149" s="340" t="str">
        <f t="shared" ca="1" si="56"/>
        <v>1 WEEK</v>
      </c>
      <c r="Y149" s="329">
        <f t="shared" si="45"/>
        <v>45579</v>
      </c>
      <c r="Z149" s="476" cm="1">
        <f t="array" aca="1" ref="Z149" ca="1">_xlfn.IFS(AD149&lt;100,Y149,Y149&lt;TODAY(),TODAY(),Y149&gt;TODAY(),Y149,Y149=TODAY(),Y149)</f>
        <v>45935</v>
      </c>
      <c r="AA149" s="315">
        <f t="shared" si="42"/>
        <v>199184.5859973343</v>
      </c>
      <c r="AB149" s="301"/>
      <c r="AC149" s="301"/>
      <c r="AD149" s="298">
        <f t="shared" si="48"/>
        <v>199185</v>
      </c>
      <c r="AE149" s="299" t="str">
        <f t="shared" si="49"/>
        <v>Incomplete</v>
      </c>
      <c r="AF149" s="613"/>
      <c r="AG149" s="301"/>
      <c r="AH149" s="343"/>
      <c r="AI149" s="301">
        <f t="shared" ca="1" si="46"/>
        <v>356</v>
      </c>
      <c r="AJ149" s="302" t="str">
        <f t="shared" ca="1" si="47"/>
        <v>Delayed</v>
      </c>
      <c r="AL149" s="303">
        <f t="shared" si="50"/>
        <v>0</v>
      </c>
      <c r="AM149" s="303">
        <f t="shared" si="51"/>
        <v>-241869</v>
      </c>
      <c r="AN149" s="303">
        <f t="shared" si="52"/>
        <v>241869</v>
      </c>
      <c r="AO149" s="304">
        <f t="shared" si="53"/>
        <v>0</v>
      </c>
      <c r="AP149" s="273">
        <f t="shared" si="58"/>
        <v>9</v>
      </c>
      <c r="AQ149" s="273" t="str">
        <f t="shared" ca="1" si="54"/>
        <v>92025</v>
      </c>
    </row>
    <row r="150" spans="1:43" ht="16.5">
      <c r="A150" s="587">
        <v>6</v>
      </c>
      <c r="B150" s="609" t="s">
        <v>1762</v>
      </c>
      <c r="C150" s="332" t="s">
        <v>1763</v>
      </c>
      <c r="D150" s="277" t="s">
        <v>605</v>
      </c>
      <c r="E150" s="341">
        <v>45435</v>
      </c>
      <c r="F150" s="334">
        <v>4</v>
      </c>
      <c r="G150" s="348">
        <v>2562171</v>
      </c>
      <c r="H150" s="301">
        <v>461190.77999999997</v>
      </c>
      <c r="I150" s="349">
        <v>3023362</v>
      </c>
      <c r="J150" s="349"/>
      <c r="K150" s="246" t="s">
        <v>1806</v>
      </c>
      <c r="L150" s="593" t="s">
        <v>1807</v>
      </c>
      <c r="M150" s="592">
        <v>0.1</v>
      </c>
      <c r="N150" s="340" t="s">
        <v>1766</v>
      </c>
      <c r="O150" s="610" t="s">
        <v>1808</v>
      </c>
      <c r="P150" s="611">
        <v>45609</v>
      </c>
      <c r="Q150" s="481" t="s">
        <v>1790</v>
      </c>
      <c r="R150" s="315">
        <v>3023362</v>
      </c>
      <c r="S150" s="612"/>
      <c r="T150" s="315">
        <v>30</v>
      </c>
      <c r="U150" s="406">
        <v>45555</v>
      </c>
      <c r="V150" s="378">
        <f t="shared" ca="1" si="57"/>
        <v>10</v>
      </c>
      <c r="W150" s="292">
        <f t="shared" ca="1" si="55"/>
        <v>2025</v>
      </c>
      <c r="X150" s="340" t="str">
        <f t="shared" ca="1" si="56"/>
        <v>1 WEEK</v>
      </c>
      <c r="Y150" s="329">
        <f t="shared" si="45"/>
        <v>45639</v>
      </c>
      <c r="Z150" s="476" cm="1">
        <f t="array" aca="1" ref="Z150" ca="1">_xlfn.IFS(AD150&lt;100,Y150,Y150&lt;TODAY(),TODAY(),Y150&gt;TODAY(),Y150,Y150=TODAY(),Y150)</f>
        <v>45935</v>
      </c>
      <c r="AA150" s="315">
        <f>SUM(I123:I155)*M150+SUM(H123:H155)*M122</f>
        <v>13598638.144000001</v>
      </c>
      <c r="AB150" s="301"/>
      <c r="AC150" s="301"/>
      <c r="AD150" s="298">
        <f t="shared" si="48"/>
        <v>13598638</v>
      </c>
      <c r="AE150" s="299" t="str">
        <f t="shared" si="49"/>
        <v>Incomplete</v>
      </c>
      <c r="AF150" s="613"/>
      <c r="AG150" s="301"/>
      <c r="AH150" s="343"/>
      <c r="AI150" s="301">
        <f t="shared" ca="1" si="46"/>
        <v>296</v>
      </c>
      <c r="AJ150" s="302" t="str">
        <f t="shared" ca="1" si="47"/>
        <v>Delayed</v>
      </c>
      <c r="AL150" s="303">
        <f t="shared" si="50"/>
        <v>3023362</v>
      </c>
      <c r="AM150" s="303">
        <f t="shared" si="51"/>
        <v>0</v>
      </c>
      <c r="AN150" s="303">
        <f t="shared" si="52"/>
        <v>3023362</v>
      </c>
      <c r="AO150" s="304">
        <f t="shared" si="53"/>
        <v>0</v>
      </c>
      <c r="AP150" s="273">
        <f t="shared" si="58"/>
        <v>11</v>
      </c>
      <c r="AQ150" s="273" t="str">
        <f t="shared" ca="1" si="54"/>
        <v>112025</v>
      </c>
    </row>
    <row r="151" spans="1:43" ht="16.5">
      <c r="A151" s="587">
        <v>6</v>
      </c>
      <c r="B151" s="609" t="s">
        <v>1762</v>
      </c>
      <c r="C151" s="332" t="s">
        <v>1763</v>
      </c>
      <c r="D151" s="277" t="s">
        <v>605</v>
      </c>
      <c r="E151" s="341">
        <v>45435</v>
      </c>
      <c r="F151" s="334">
        <v>4</v>
      </c>
      <c r="G151" s="348"/>
      <c r="H151" s="301"/>
      <c r="I151" s="349"/>
      <c r="J151" s="349"/>
      <c r="K151" s="246" t="s">
        <v>1806</v>
      </c>
      <c r="L151" s="593" t="s">
        <v>1807</v>
      </c>
      <c r="M151" s="592">
        <v>0.1</v>
      </c>
      <c r="N151" s="340" t="s">
        <v>1766</v>
      </c>
      <c r="O151" s="610" t="s">
        <v>1808</v>
      </c>
      <c r="P151" s="611">
        <v>45609</v>
      </c>
      <c r="Q151" s="481" t="s">
        <v>1809</v>
      </c>
      <c r="R151" s="315">
        <v>-3023361.78</v>
      </c>
      <c r="S151" s="612"/>
      <c r="T151" s="315">
        <v>30</v>
      </c>
      <c r="U151" s="406">
        <v>45555</v>
      </c>
      <c r="V151" s="378">
        <f t="shared" ca="1" si="57"/>
        <v>10</v>
      </c>
      <c r="W151" s="292">
        <f t="shared" ca="1" si="55"/>
        <v>2024</v>
      </c>
      <c r="X151" s="340" t="str">
        <f t="shared" ca="1" si="56"/>
        <v>5 WEEK</v>
      </c>
      <c r="Y151" s="329">
        <v>45594</v>
      </c>
      <c r="Z151" s="476" cm="1">
        <f t="array" aca="1" ref="Z151" ca="1">_xlfn.IFS(AD151&lt;100,Y151,Y151&lt;TODAY(),TODAY(),Y151&gt;TODAY(),Y151,Y151=TODAY(),Y151)</f>
        <v>45594</v>
      </c>
      <c r="AA151" s="315"/>
      <c r="AB151" s="301"/>
      <c r="AC151" s="301">
        <f t="shared" ref="AC151" si="60">AA151/99.9%*0.1%</f>
        <v>0</v>
      </c>
      <c r="AD151" s="298">
        <f t="shared" si="48"/>
        <v>0</v>
      </c>
      <c r="AE151" s="299" t="str">
        <f t="shared" si="49"/>
        <v>Complete</v>
      </c>
      <c r="AF151" s="613"/>
      <c r="AG151" s="301"/>
      <c r="AH151" s="343"/>
      <c r="AI151" s="301">
        <f t="shared" ca="1" si="46"/>
        <v>0</v>
      </c>
      <c r="AJ151" s="302">
        <f t="shared" ca="1" si="47"/>
        <v>0</v>
      </c>
      <c r="AL151" s="303">
        <f t="shared" si="50"/>
        <v>0</v>
      </c>
      <c r="AM151" s="303">
        <f t="shared" si="51"/>
        <v>3023361.78</v>
      </c>
      <c r="AN151" s="303">
        <f t="shared" si="52"/>
        <v>-3023361.78</v>
      </c>
      <c r="AO151" s="304">
        <f t="shared" si="53"/>
        <v>0</v>
      </c>
      <c r="AP151" s="273">
        <f t="shared" si="58"/>
        <v>11</v>
      </c>
      <c r="AQ151" s="273" t="str">
        <f t="shared" ca="1" si="54"/>
        <v>112024</v>
      </c>
    </row>
    <row r="152" spans="1:43" ht="16.5">
      <c r="A152" s="587">
        <v>6</v>
      </c>
      <c r="B152" s="609" t="s">
        <v>1762</v>
      </c>
      <c r="C152" s="332" t="s">
        <v>1763</v>
      </c>
      <c r="D152" s="277" t="s">
        <v>605</v>
      </c>
      <c r="E152" s="341">
        <v>45435</v>
      </c>
      <c r="F152" s="334">
        <v>4</v>
      </c>
      <c r="G152" s="348"/>
      <c r="H152" s="301"/>
      <c r="I152" s="349"/>
      <c r="J152" s="349"/>
      <c r="K152" s="246" t="s">
        <v>1806</v>
      </c>
      <c r="L152" s="593" t="s">
        <v>1807</v>
      </c>
      <c r="M152" s="592">
        <v>0.1</v>
      </c>
      <c r="N152" s="340" t="s">
        <v>1766</v>
      </c>
      <c r="O152" s="610" t="s">
        <v>1808</v>
      </c>
      <c r="P152" s="611">
        <v>45737</v>
      </c>
      <c r="Q152" s="481" t="s">
        <v>1810</v>
      </c>
      <c r="R152" s="315">
        <v>3023362</v>
      </c>
      <c r="S152" s="612"/>
      <c r="T152" s="315">
        <v>30</v>
      </c>
      <c r="U152" s="406">
        <v>45555</v>
      </c>
      <c r="V152" s="378">
        <f t="shared" ca="1" si="57"/>
        <v>10</v>
      </c>
      <c r="W152" s="292">
        <f t="shared" ca="1" si="55"/>
        <v>2024</v>
      </c>
      <c r="X152" s="340" t="str">
        <f t="shared" ca="1" si="56"/>
        <v>5 WEEK</v>
      </c>
      <c r="Y152" s="329">
        <v>45594</v>
      </c>
      <c r="Z152" s="476" cm="1">
        <f t="array" aca="1" ref="Z152" ca="1">_xlfn.IFS(AD152&lt;100,Y152,Y152&lt;TODAY(),TODAY(),Y152&gt;TODAY(),Y152,Y152=TODAY(),Y152)</f>
        <v>45594</v>
      </c>
      <c r="AA152" s="315"/>
      <c r="AB152" s="301"/>
      <c r="AC152" s="301"/>
      <c r="AD152" s="298">
        <f t="shared" si="48"/>
        <v>0</v>
      </c>
      <c r="AE152" s="299" t="str">
        <f t="shared" si="49"/>
        <v>Complete</v>
      </c>
      <c r="AF152" s="613"/>
      <c r="AG152" s="301"/>
      <c r="AH152" s="343"/>
      <c r="AI152" s="301">
        <f t="shared" ca="1" si="46"/>
        <v>0</v>
      </c>
      <c r="AJ152" s="302">
        <f t="shared" ca="1" si="47"/>
        <v>0</v>
      </c>
      <c r="AL152" s="303">
        <f t="shared" si="50"/>
        <v>0</v>
      </c>
      <c r="AM152" s="303">
        <f t="shared" si="51"/>
        <v>-3023362</v>
      </c>
      <c r="AN152" s="303">
        <f t="shared" si="52"/>
        <v>3023362</v>
      </c>
      <c r="AO152" s="304">
        <f t="shared" si="53"/>
        <v>0</v>
      </c>
      <c r="AP152" s="273">
        <f t="shared" si="58"/>
        <v>3</v>
      </c>
      <c r="AQ152" s="273" t="str">
        <f t="shared" ca="1" si="54"/>
        <v>32024</v>
      </c>
    </row>
    <row r="153" spans="1:43" ht="16.5">
      <c r="A153" s="587">
        <v>6</v>
      </c>
      <c r="B153" s="609" t="s">
        <v>1762</v>
      </c>
      <c r="C153" s="332" t="s">
        <v>1763</v>
      </c>
      <c r="D153" s="277" t="s">
        <v>605</v>
      </c>
      <c r="E153" s="341">
        <v>45435</v>
      </c>
      <c r="F153" s="334">
        <v>4</v>
      </c>
      <c r="G153" s="348"/>
      <c r="H153" s="301"/>
      <c r="I153" s="349"/>
      <c r="J153" s="349"/>
      <c r="K153" s="246" t="s">
        <v>1806</v>
      </c>
      <c r="L153" s="593" t="s">
        <v>1807</v>
      </c>
      <c r="M153" s="592">
        <v>0.1</v>
      </c>
      <c r="N153" s="340" t="s">
        <v>1766</v>
      </c>
      <c r="O153" s="619"/>
      <c r="P153" s="578">
        <v>0</v>
      </c>
      <c r="Q153" s="340"/>
      <c r="R153" s="315"/>
      <c r="S153" s="315"/>
      <c r="T153" s="315">
        <v>30</v>
      </c>
      <c r="U153" s="406">
        <v>45555</v>
      </c>
      <c r="V153" s="378">
        <f t="shared" ca="1" si="57"/>
        <v>10</v>
      </c>
      <c r="W153" s="292">
        <f t="shared" ca="1" si="55"/>
        <v>2024</v>
      </c>
      <c r="X153" s="340" t="str">
        <f t="shared" ca="1" si="56"/>
        <v>5 WEEK</v>
      </c>
      <c r="Y153" s="329">
        <v>45594</v>
      </c>
      <c r="Z153" s="476" cm="1">
        <f t="array" aca="1" ref="Z153" ca="1">_xlfn.IFS(AD153&lt;100,Y153,Y153&lt;TODAY(),TODAY(),Y153&gt;TODAY(),Y153,Y153=TODAY(),Y153)</f>
        <v>45594</v>
      </c>
      <c r="AA153" s="315"/>
      <c r="AB153" s="301"/>
      <c r="AC153" s="301"/>
      <c r="AD153" s="298">
        <f t="shared" si="48"/>
        <v>0</v>
      </c>
      <c r="AE153" s="299" t="str">
        <f t="shared" si="49"/>
        <v>Complete</v>
      </c>
      <c r="AF153" s="613"/>
      <c r="AG153" s="301"/>
      <c r="AH153" s="343"/>
      <c r="AI153" s="301">
        <f t="shared" ca="1" si="46"/>
        <v>0</v>
      </c>
      <c r="AJ153" s="302">
        <f t="shared" ca="1" si="47"/>
        <v>0</v>
      </c>
      <c r="AL153" s="303">
        <f t="shared" si="50"/>
        <v>0</v>
      </c>
      <c r="AM153" s="303">
        <f t="shared" si="51"/>
        <v>0</v>
      </c>
      <c r="AN153" s="303">
        <f t="shared" si="52"/>
        <v>0</v>
      </c>
      <c r="AO153" s="304">
        <f t="shared" si="53"/>
        <v>0</v>
      </c>
      <c r="AP153" s="273">
        <f t="shared" si="58"/>
        <v>1</v>
      </c>
      <c r="AQ153" s="273" t="str">
        <f t="shared" ca="1" si="54"/>
        <v>12024</v>
      </c>
    </row>
    <row r="154" spans="1:43" ht="16.5">
      <c r="A154" s="587">
        <v>6</v>
      </c>
      <c r="B154" s="609" t="s">
        <v>1762</v>
      </c>
      <c r="C154" s="332" t="s">
        <v>1763</v>
      </c>
      <c r="D154" s="277" t="s">
        <v>605</v>
      </c>
      <c r="E154" s="341">
        <v>45435</v>
      </c>
      <c r="F154" s="334">
        <v>4</v>
      </c>
      <c r="G154" s="348"/>
      <c r="H154" s="301"/>
      <c r="I154" s="620"/>
      <c r="J154" s="620"/>
      <c r="K154" s="246" t="s">
        <v>1806</v>
      </c>
      <c r="L154" s="593" t="s">
        <v>1807</v>
      </c>
      <c r="M154" s="592">
        <v>0.1</v>
      </c>
      <c r="N154" s="340" t="s">
        <v>1766</v>
      </c>
      <c r="O154" s="619"/>
      <c r="P154" s="578">
        <v>0</v>
      </c>
      <c r="Q154" s="340"/>
      <c r="R154" s="621"/>
      <c r="S154" s="481"/>
      <c r="T154" s="315">
        <v>30</v>
      </c>
      <c r="U154" s="406">
        <v>45555</v>
      </c>
      <c r="V154" s="378">
        <f t="shared" ca="1" si="57"/>
        <v>10</v>
      </c>
      <c r="W154" s="292">
        <f t="shared" ca="1" si="55"/>
        <v>2024</v>
      </c>
      <c r="X154" s="340" t="str">
        <f t="shared" ca="1" si="56"/>
        <v>5 WEEK</v>
      </c>
      <c r="Y154" s="329">
        <v>45594</v>
      </c>
      <c r="Z154" s="476" cm="1">
        <f t="array" aca="1" ref="Z154" ca="1">_xlfn.IFS(AD154&lt;100,Y154,Y154&lt;TODAY(),TODAY(),Y154&gt;TODAY(),Y154,Y154=TODAY(),Y154)</f>
        <v>45594</v>
      </c>
      <c r="AA154" s="315"/>
      <c r="AB154" s="301"/>
      <c r="AC154" s="301"/>
      <c r="AD154" s="298">
        <f t="shared" si="48"/>
        <v>0</v>
      </c>
      <c r="AE154" s="299" t="str">
        <f t="shared" si="49"/>
        <v>Complete</v>
      </c>
      <c r="AF154" s="613"/>
      <c r="AG154" s="301"/>
      <c r="AH154" s="343"/>
      <c r="AI154" s="301">
        <f t="shared" ca="1" si="46"/>
        <v>0</v>
      </c>
      <c r="AJ154" s="302">
        <f t="shared" ca="1" si="47"/>
        <v>0</v>
      </c>
      <c r="AL154" s="303">
        <f t="shared" si="50"/>
        <v>0</v>
      </c>
      <c r="AM154" s="303">
        <f t="shared" si="51"/>
        <v>0</v>
      </c>
      <c r="AN154" s="303">
        <f t="shared" si="52"/>
        <v>0</v>
      </c>
      <c r="AO154" s="304">
        <f t="shared" si="53"/>
        <v>0</v>
      </c>
      <c r="AP154" s="273">
        <f t="shared" si="58"/>
        <v>1</v>
      </c>
      <c r="AQ154" s="273" t="str">
        <f t="shared" ca="1" si="54"/>
        <v>12024</v>
      </c>
    </row>
    <row r="155" spans="1:43" ht="16.5">
      <c r="A155" s="587">
        <v>6</v>
      </c>
      <c r="B155" s="609" t="s">
        <v>1762</v>
      </c>
      <c r="C155" s="332" t="s">
        <v>1763</v>
      </c>
      <c r="D155" s="277" t="s">
        <v>605</v>
      </c>
      <c r="E155" s="341">
        <v>45435</v>
      </c>
      <c r="F155" s="334">
        <v>4</v>
      </c>
      <c r="G155" s="348"/>
      <c r="H155" s="301"/>
      <c r="I155" s="620"/>
      <c r="J155" s="620"/>
      <c r="K155" s="246" t="s">
        <v>1806</v>
      </c>
      <c r="L155" s="593" t="s">
        <v>1807</v>
      </c>
      <c r="M155" s="592">
        <v>0.1</v>
      </c>
      <c r="N155" s="340" t="s">
        <v>1766</v>
      </c>
      <c r="O155" s="619"/>
      <c r="P155" s="553">
        <v>45869</v>
      </c>
      <c r="Q155" s="340"/>
      <c r="R155" s="622"/>
      <c r="S155" s="481"/>
      <c r="T155" s="315">
        <v>30</v>
      </c>
      <c r="U155" s="406">
        <v>45555</v>
      </c>
      <c r="V155" s="378">
        <f t="shared" ca="1" si="57"/>
        <v>8</v>
      </c>
      <c r="W155" s="292">
        <f t="shared" ca="1" si="55"/>
        <v>2025</v>
      </c>
      <c r="X155" s="340" t="str">
        <f t="shared" ca="1" si="56"/>
        <v>5 WEEK</v>
      </c>
      <c r="Y155" s="553">
        <f>P155+T155</f>
        <v>45899</v>
      </c>
      <c r="Z155" s="476" cm="1">
        <f t="array" aca="1" ref="Z155" ca="1">_xlfn.IFS(AD155&lt;100,Y155,Y155&lt;TODAY(),TODAY(),Y155&gt;TODAY(),Y155,Y155=TODAY(),Y155)</f>
        <v>45899</v>
      </c>
      <c r="AA155" s="315"/>
      <c r="AB155" s="301"/>
      <c r="AC155" s="301"/>
      <c r="AD155" s="298">
        <f t="shared" si="48"/>
        <v>0</v>
      </c>
      <c r="AE155" s="299" t="str">
        <f t="shared" si="49"/>
        <v>Complete</v>
      </c>
      <c r="AF155" s="613"/>
      <c r="AG155" s="301"/>
      <c r="AH155" s="343"/>
      <c r="AI155" s="301">
        <f t="shared" ca="1" si="46"/>
        <v>0</v>
      </c>
      <c r="AJ155" s="302">
        <f t="shared" ca="1" si="47"/>
        <v>0</v>
      </c>
      <c r="AL155" s="303">
        <f t="shared" si="50"/>
        <v>0</v>
      </c>
      <c r="AM155" s="303">
        <f t="shared" si="51"/>
        <v>0</v>
      </c>
      <c r="AN155" s="303">
        <f t="shared" si="52"/>
        <v>0</v>
      </c>
      <c r="AO155" s="304">
        <f t="shared" si="53"/>
        <v>0</v>
      </c>
      <c r="AP155" s="273">
        <f t="shared" si="58"/>
        <v>7</v>
      </c>
      <c r="AQ155" s="273" t="str">
        <f t="shared" ca="1" si="54"/>
        <v>72025</v>
      </c>
    </row>
    <row r="156" spans="1:43" ht="16.5">
      <c r="A156" s="587">
        <v>7</v>
      </c>
      <c r="B156" s="609" t="s">
        <v>1762</v>
      </c>
      <c r="C156" s="332" t="s">
        <v>1763</v>
      </c>
      <c r="D156" s="277" t="s">
        <v>605</v>
      </c>
      <c r="E156" s="341">
        <v>45435</v>
      </c>
      <c r="F156" s="334">
        <v>4</v>
      </c>
      <c r="G156" s="335">
        <v>5618796.5199999996</v>
      </c>
      <c r="H156" s="335">
        <v>1011383.37</v>
      </c>
      <c r="I156" s="335">
        <v>6630179.8899999997</v>
      </c>
      <c r="J156" s="335"/>
      <c r="K156" s="246" t="s">
        <v>1811</v>
      </c>
      <c r="L156" s="340" t="s">
        <v>1812</v>
      </c>
      <c r="M156" s="592">
        <v>0.1</v>
      </c>
      <c r="N156" s="340" t="s">
        <v>1618</v>
      </c>
      <c r="O156" s="619"/>
      <c r="P156" s="436">
        <v>45653</v>
      </c>
      <c r="Q156" s="481" t="s">
        <v>1813</v>
      </c>
      <c r="R156" s="481">
        <v>2599031</v>
      </c>
      <c r="S156" s="481"/>
      <c r="T156" s="315">
        <v>30</v>
      </c>
      <c r="U156" s="406">
        <v>45555</v>
      </c>
      <c r="V156" s="378">
        <f t="shared" ca="1" si="57"/>
        <v>10</v>
      </c>
      <c r="W156" s="292">
        <f t="shared" ca="1" si="55"/>
        <v>2025</v>
      </c>
      <c r="X156" s="340" t="str">
        <f t="shared" ca="1" si="56"/>
        <v>1 WEEK</v>
      </c>
      <c r="Y156" s="329">
        <f>P156+T156</f>
        <v>45683</v>
      </c>
      <c r="Z156" s="476" cm="1">
        <f t="array" aca="1" ref="Z156" ca="1">_xlfn.IFS(AD156&lt;100,Y156,Y156&lt;TODAY(),TODAY(),Y156&gt;TODAY(),Y156,Y156=TODAY(),Y156)</f>
        <v>45935</v>
      </c>
      <c r="AA156" s="315">
        <f>SUM(G156:G158)*M156</f>
        <v>561879.652</v>
      </c>
      <c r="AB156" s="301"/>
      <c r="AC156" s="301"/>
      <c r="AD156" s="298">
        <f t="shared" si="48"/>
        <v>561880</v>
      </c>
      <c r="AE156" s="299" t="str">
        <f t="shared" si="49"/>
        <v>Incomplete</v>
      </c>
      <c r="AF156" s="613"/>
      <c r="AG156" s="301"/>
      <c r="AH156" s="343"/>
      <c r="AI156" s="301">
        <f t="shared" ca="1" si="46"/>
        <v>252</v>
      </c>
      <c r="AJ156" s="302" t="str">
        <f t="shared" ca="1" si="47"/>
        <v>Delayed</v>
      </c>
      <c r="AL156" s="303">
        <f t="shared" si="50"/>
        <v>6630179.8899999997</v>
      </c>
      <c r="AM156" s="303">
        <f t="shared" si="51"/>
        <v>4031148.8899999997</v>
      </c>
      <c r="AN156" s="303">
        <f t="shared" si="52"/>
        <v>2599031</v>
      </c>
      <c r="AO156" s="304">
        <f t="shared" si="53"/>
        <v>0</v>
      </c>
      <c r="AP156" s="273">
        <f t="shared" si="58"/>
        <v>12</v>
      </c>
      <c r="AQ156" s="273" t="str">
        <f t="shared" ca="1" si="54"/>
        <v>122025</v>
      </c>
    </row>
    <row r="157" spans="1:43" ht="16.5">
      <c r="A157" s="587">
        <v>7</v>
      </c>
      <c r="B157" s="609" t="s">
        <v>1762</v>
      </c>
      <c r="C157" s="332" t="s">
        <v>1763</v>
      </c>
      <c r="D157" s="277" t="s">
        <v>605</v>
      </c>
      <c r="E157" s="341">
        <v>45435</v>
      </c>
      <c r="F157" s="334">
        <v>4</v>
      </c>
      <c r="G157" s="623"/>
      <c r="H157" s="331"/>
      <c r="I157" s="624"/>
      <c r="J157" s="624"/>
      <c r="K157" s="246" t="s">
        <v>1814</v>
      </c>
      <c r="L157" s="340" t="s">
        <v>1617</v>
      </c>
      <c r="M157" s="592">
        <v>0.8</v>
      </c>
      <c r="N157" s="340" t="s">
        <v>1618</v>
      </c>
      <c r="O157" s="619"/>
      <c r="P157" s="436">
        <v>45737</v>
      </c>
      <c r="Q157" s="481" t="s">
        <v>1815</v>
      </c>
      <c r="R157" s="481">
        <v>4031149</v>
      </c>
      <c r="S157" s="481"/>
      <c r="T157" s="315">
        <v>30</v>
      </c>
      <c r="U157" s="406">
        <v>45555</v>
      </c>
      <c r="V157" s="378">
        <f t="shared" ca="1" si="57"/>
        <v>10</v>
      </c>
      <c r="W157" s="292">
        <f t="shared" ca="1" si="55"/>
        <v>2025</v>
      </c>
      <c r="X157" s="340" t="str">
        <f t="shared" ca="1" si="56"/>
        <v>1 WEEK</v>
      </c>
      <c r="Y157" s="329">
        <f>P157+T157</f>
        <v>45767</v>
      </c>
      <c r="Z157" s="476" cm="1">
        <f t="array" aca="1" ref="Z157" ca="1">_xlfn.IFS(AD157&lt;100,Y157,Y157&lt;TODAY(),TODAY(),Y157&gt;TODAY(),Y157,Y157=TODAY(),Y157)</f>
        <v>45935</v>
      </c>
      <c r="AA157" s="315">
        <f>SUM(I156:I158)*M157</f>
        <v>5304143.9120000005</v>
      </c>
      <c r="AB157" s="301"/>
      <c r="AC157" s="301"/>
      <c r="AD157" s="298">
        <f t="shared" si="48"/>
        <v>5304144</v>
      </c>
      <c r="AE157" s="299" t="str">
        <f t="shared" si="49"/>
        <v>Incomplete</v>
      </c>
      <c r="AF157" s="613"/>
      <c r="AG157" s="301"/>
      <c r="AH157" s="343"/>
      <c r="AI157" s="301">
        <f t="shared" ca="1" si="46"/>
        <v>168</v>
      </c>
      <c r="AJ157" s="302" t="str">
        <f t="shared" ca="1" si="47"/>
        <v>Delayed</v>
      </c>
      <c r="AL157" s="303">
        <f t="shared" si="50"/>
        <v>0</v>
      </c>
      <c r="AM157" s="303">
        <f t="shared" si="51"/>
        <v>-4031149</v>
      </c>
      <c r="AN157" s="303">
        <f t="shared" si="52"/>
        <v>4031149</v>
      </c>
      <c r="AO157" s="304">
        <f t="shared" si="53"/>
        <v>0</v>
      </c>
      <c r="AP157" s="273">
        <f t="shared" si="58"/>
        <v>3</v>
      </c>
      <c r="AQ157" s="273" t="str">
        <f t="shared" ca="1" si="54"/>
        <v>32025</v>
      </c>
    </row>
    <row r="158" spans="1:43" ht="16.5">
      <c r="A158" s="587">
        <v>7</v>
      </c>
      <c r="B158" s="609" t="s">
        <v>1762</v>
      </c>
      <c r="C158" s="332" t="s">
        <v>1763</v>
      </c>
      <c r="D158" s="277" t="s">
        <v>605</v>
      </c>
      <c r="E158" s="341">
        <v>45435</v>
      </c>
      <c r="F158" s="334">
        <v>4</v>
      </c>
      <c r="G158" s="348"/>
      <c r="H158" s="301"/>
      <c r="I158" s="620"/>
      <c r="J158" s="620"/>
      <c r="K158" s="246" t="s">
        <v>1816</v>
      </c>
      <c r="L158" s="340" t="s">
        <v>1617</v>
      </c>
      <c r="M158" s="592">
        <v>0.1</v>
      </c>
      <c r="N158" s="340" t="s">
        <v>1618</v>
      </c>
      <c r="O158" s="619"/>
      <c r="P158" s="553">
        <v>45869</v>
      </c>
      <c r="Q158" s="481"/>
      <c r="R158" s="481"/>
      <c r="S158" s="481"/>
      <c r="T158" s="315">
        <v>30</v>
      </c>
      <c r="U158" s="406">
        <v>45555</v>
      </c>
      <c r="V158" s="378">
        <f t="shared" ca="1" si="57"/>
        <v>10</v>
      </c>
      <c r="W158" s="292">
        <f t="shared" ca="1" si="55"/>
        <v>2025</v>
      </c>
      <c r="X158" s="340" t="str">
        <f t="shared" ca="1" si="56"/>
        <v>1 WEEK</v>
      </c>
      <c r="Y158" s="329">
        <f>P158+T158</f>
        <v>45899</v>
      </c>
      <c r="Z158" s="476" cm="1">
        <f t="array" aca="1" ref="Z158" ca="1">_xlfn.IFS(AD158&lt;100,Y158,Y158&lt;TODAY(),TODAY(),Y158&gt;TODAY(),Y158,Y158=TODAY(),Y158)</f>
        <v>45935</v>
      </c>
      <c r="AA158" s="315">
        <f>SUM(I156:I158)*M158+SUM(H156:H158)*M156</f>
        <v>764156.32600000012</v>
      </c>
      <c r="AB158" s="301"/>
      <c r="AC158" s="301"/>
      <c r="AD158" s="298">
        <f t="shared" si="48"/>
        <v>764156</v>
      </c>
      <c r="AE158" s="299" t="str">
        <f t="shared" si="49"/>
        <v>Incomplete</v>
      </c>
      <c r="AF158" s="613"/>
      <c r="AG158" s="301"/>
      <c r="AH158" s="343"/>
      <c r="AI158" s="301">
        <f t="shared" ca="1" si="46"/>
        <v>36</v>
      </c>
      <c r="AJ158" s="302" t="str">
        <f t="shared" ca="1" si="47"/>
        <v>Delayed</v>
      </c>
      <c r="AL158" s="303">
        <f t="shared" si="50"/>
        <v>0</v>
      </c>
      <c r="AM158" s="303">
        <f t="shared" si="51"/>
        <v>0</v>
      </c>
      <c r="AN158" s="303">
        <f t="shared" si="52"/>
        <v>0</v>
      </c>
      <c r="AO158" s="304">
        <f t="shared" si="53"/>
        <v>0</v>
      </c>
      <c r="AP158" s="273">
        <f t="shared" si="58"/>
        <v>7</v>
      </c>
      <c r="AQ158" s="273" t="str">
        <f t="shared" ca="1" si="54"/>
        <v>72025</v>
      </c>
    </row>
    <row r="159" spans="1:43" ht="16.5">
      <c r="A159" s="274"/>
      <c r="B159" s="601"/>
      <c r="C159" s="276"/>
      <c r="D159" s="277"/>
      <c r="E159" s="294"/>
      <c r="F159" s="279"/>
      <c r="G159" s="625"/>
      <c r="H159" s="299"/>
      <c r="I159" s="626"/>
      <c r="J159" s="626"/>
      <c r="K159" s="320"/>
      <c r="L159" s="291"/>
      <c r="M159" s="583"/>
      <c r="N159" s="291"/>
      <c r="O159" s="627"/>
      <c r="P159" s="628">
        <v>0</v>
      </c>
      <c r="Q159" s="629"/>
      <c r="R159" s="629"/>
      <c r="S159" s="629"/>
      <c r="T159" s="315"/>
      <c r="U159" s="630"/>
      <c r="V159" s="378">
        <f t="shared" ca="1" si="57"/>
        <v>1</v>
      </c>
      <c r="W159" s="292">
        <f t="shared" ca="1" si="55"/>
        <v>1900</v>
      </c>
      <c r="X159" s="340" t="str">
        <f t="shared" ca="1" si="56"/>
        <v>0 WEEK</v>
      </c>
      <c r="Y159" s="436">
        <f t="shared" ref="Y159:Y161" si="61">P159+T159</f>
        <v>0</v>
      </c>
      <c r="Z159" s="476" cm="1">
        <f t="array" aca="1" ref="Z159" ca="1">_xlfn.IFS(AD159&lt;100,Y159,Y159&lt;TODAY(),TODAY(),Y159&gt;TODAY(),Y159,Y159=TODAY(),Y159)</f>
        <v>0</v>
      </c>
      <c r="AA159" s="530"/>
      <c r="AB159" s="299"/>
      <c r="AC159" s="299"/>
      <c r="AD159" s="298">
        <f t="shared" si="48"/>
        <v>0</v>
      </c>
      <c r="AE159" s="299" t="str">
        <f t="shared" si="49"/>
        <v>Complete</v>
      </c>
      <c r="AF159" s="317"/>
      <c r="AG159" s="299"/>
      <c r="AH159" s="318"/>
      <c r="AI159" s="301">
        <f t="shared" ca="1" si="46"/>
        <v>0</v>
      </c>
      <c r="AJ159" s="302">
        <f t="shared" ca="1" si="47"/>
        <v>0</v>
      </c>
      <c r="AL159" s="303">
        <f t="shared" si="50"/>
        <v>0</v>
      </c>
      <c r="AM159" s="303">
        <f t="shared" si="51"/>
        <v>0</v>
      </c>
      <c r="AN159" s="303">
        <f t="shared" si="52"/>
        <v>0</v>
      </c>
      <c r="AO159" s="304">
        <f t="shared" si="53"/>
        <v>0</v>
      </c>
      <c r="AP159" s="273">
        <f t="shared" si="58"/>
        <v>1</v>
      </c>
      <c r="AQ159" s="273" t="str">
        <f t="shared" ca="1" si="54"/>
        <v>11900</v>
      </c>
    </row>
    <row r="160" spans="1:43" ht="18">
      <c r="A160" s="274">
        <v>8</v>
      </c>
      <c r="B160" s="631" t="s">
        <v>1817</v>
      </c>
      <c r="C160" s="276" t="s">
        <v>1818</v>
      </c>
      <c r="D160" s="631" t="s">
        <v>1819</v>
      </c>
      <c r="E160" s="632">
        <v>45343</v>
      </c>
      <c r="F160" s="279">
        <f>3.659</f>
        <v>3.6589999999999998</v>
      </c>
      <c r="G160" s="625"/>
      <c r="H160" s="299"/>
      <c r="I160" s="626"/>
      <c r="J160" s="626"/>
      <c r="K160" s="320"/>
      <c r="L160" s="291"/>
      <c r="M160" s="583"/>
      <c r="N160" s="291"/>
      <c r="O160" s="627"/>
      <c r="P160" s="598">
        <v>0</v>
      </c>
      <c r="Q160" s="629"/>
      <c r="R160" s="508" t="e">
        <v>#VALUE!</v>
      </c>
      <c r="S160" s="629"/>
      <c r="T160" s="315"/>
      <c r="U160" s="630"/>
      <c r="V160" s="378">
        <f t="shared" ca="1" si="57"/>
        <v>1</v>
      </c>
      <c r="W160" s="292">
        <f t="shared" ca="1" si="55"/>
        <v>1900</v>
      </c>
      <c r="X160" s="340" t="str">
        <f t="shared" ca="1" si="56"/>
        <v>0 WEEK</v>
      </c>
      <c r="Y160" s="436">
        <f t="shared" si="61"/>
        <v>0</v>
      </c>
      <c r="Z160" s="476" cm="1">
        <f t="array" aca="1" ref="Z160" ca="1">_xlfn.IFS(AD160&lt;100,Y160,Y160&lt;TODAY(),TODAY(),Y160&gt;TODAY(),Y160,Y160=TODAY(),Y160)</f>
        <v>0</v>
      </c>
      <c r="AA160" s="530"/>
      <c r="AB160" s="633"/>
      <c r="AC160" s="299"/>
      <c r="AD160" s="298">
        <f t="shared" si="48"/>
        <v>0</v>
      </c>
      <c r="AE160" s="299" t="str">
        <f t="shared" si="49"/>
        <v>Complete</v>
      </c>
      <c r="AF160" s="317"/>
      <c r="AG160" s="299"/>
      <c r="AH160" s="318"/>
      <c r="AI160" s="301">
        <f t="shared" ca="1" si="46"/>
        <v>0</v>
      </c>
      <c r="AJ160" s="302">
        <f t="shared" ca="1" si="47"/>
        <v>0</v>
      </c>
      <c r="AL160" s="303">
        <f t="shared" si="50"/>
        <v>0</v>
      </c>
      <c r="AM160" s="303">
        <f t="shared" si="51"/>
        <v>0</v>
      </c>
      <c r="AN160" s="303">
        <f t="shared" si="52"/>
        <v>0</v>
      </c>
      <c r="AO160" s="304">
        <f t="shared" si="53"/>
        <v>0</v>
      </c>
      <c r="AP160" s="273">
        <f t="shared" si="58"/>
        <v>1</v>
      </c>
      <c r="AQ160" s="273" t="str">
        <f t="shared" ca="1" si="54"/>
        <v>11900</v>
      </c>
    </row>
    <row r="161" spans="1:43" ht="15.75">
      <c r="A161" s="274">
        <v>8</v>
      </c>
      <c r="B161" s="631" t="s">
        <v>1817</v>
      </c>
      <c r="C161" s="276" t="s">
        <v>1818</v>
      </c>
      <c r="D161" s="631" t="s">
        <v>1819</v>
      </c>
      <c r="E161" s="632">
        <v>45343</v>
      </c>
      <c r="F161" s="279">
        <f>3.659</f>
        <v>3.6589999999999998</v>
      </c>
      <c r="G161" s="625"/>
      <c r="H161" s="299"/>
      <c r="I161" s="634"/>
      <c r="J161" s="634"/>
      <c r="K161" s="635" t="s">
        <v>1820</v>
      </c>
      <c r="L161" s="635" t="s">
        <v>1592</v>
      </c>
      <c r="M161" s="583">
        <v>0.1</v>
      </c>
      <c r="N161" s="635" t="s">
        <v>1593</v>
      </c>
      <c r="O161" s="292"/>
      <c r="P161" s="598">
        <v>0</v>
      </c>
      <c r="Q161" s="291"/>
      <c r="R161" s="530"/>
      <c r="S161" s="530"/>
      <c r="T161" s="315">
        <v>25</v>
      </c>
      <c r="U161" s="636">
        <v>45433</v>
      </c>
      <c r="V161" s="378">
        <f t="shared" ca="1" si="57"/>
        <v>1</v>
      </c>
      <c r="W161" s="292">
        <f t="shared" ca="1" si="55"/>
        <v>1900</v>
      </c>
      <c r="X161" s="340" t="str">
        <f t="shared" ca="1" si="56"/>
        <v>4 WEEK</v>
      </c>
      <c r="Y161" s="436">
        <f t="shared" si="61"/>
        <v>25</v>
      </c>
      <c r="Z161" s="476" cm="1">
        <f t="array" aca="1" ref="Z161" ca="1">_xlfn.IFS(AD161&lt;100,Y161,Y161&lt;TODAY(),TODAY(),Y161&gt;TODAY(),Y161,Y161=TODAY(),Y161)</f>
        <v>25</v>
      </c>
      <c r="AA161" s="530">
        <f>SUM(G161:G188)*M161</f>
        <v>10905604.300000001</v>
      </c>
      <c r="AB161" s="299">
        <f>AA161-AC161</f>
        <v>10894698.695700001</v>
      </c>
      <c r="AC161" s="299">
        <f>AA161*0.1%</f>
        <v>10905.604300000001</v>
      </c>
      <c r="AD161" s="298">
        <f t="shared" si="48"/>
        <v>0</v>
      </c>
      <c r="AE161" s="299" t="str">
        <f t="shared" si="49"/>
        <v>Complete</v>
      </c>
      <c r="AF161" s="291"/>
      <c r="AG161" s="532"/>
      <c r="AH161" s="318"/>
      <c r="AI161" s="301">
        <f t="shared" ca="1" si="46"/>
        <v>0</v>
      </c>
      <c r="AJ161" s="302">
        <f t="shared" ca="1" si="47"/>
        <v>0</v>
      </c>
      <c r="AL161" s="303">
        <f t="shared" si="50"/>
        <v>0</v>
      </c>
      <c r="AM161" s="303">
        <f t="shared" si="51"/>
        <v>0</v>
      </c>
      <c r="AN161" s="303">
        <f t="shared" si="52"/>
        <v>0</v>
      </c>
      <c r="AO161" s="304">
        <f t="shared" si="53"/>
        <v>0</v>
      </c>
      <c r="AP161" s="273">
        <f t="shared" si="58"/>
        <v>1</v>
      </c>
      <c r="AQ161" s="273" t="str">
        <f t="shared" ca="1" si="54"/>
        <v>11900</v>
      </c>
    </row>
    <row r="162" spans="1:43" ht="16.5">
      <c r="A162" s="587">
        <v>8</v>
      </c>
      <c r="B162" s="637" t="s">
        <v>1817</v>
      </c>
      <c r="C162" s="332" t="s">
        <v>1818</v>
      </c>
      <c r="D162" s="631" t="s">
        <v>1819</v>
      </c>
      <c r="E162" s="638">
        <v>45343</v>
      </c>
      <c r="F162" s="334">
        <f t="shared" ref="F162:F189" si="62">3.659</f>
        <v>3.6589999999999998</v>
      </c>
      <c r="G162" s="348">
        <v>62845360</v>
      </c>
      <c r="H162" s="301">
        <v>7541443.2000000002</v>
      </c>
      <c r="I162" s="349">
        <v>70386803</v>
      </c>
      <c r="J162" s="349"/>
      <c r="K162" s="639" t="s">
        <v>1821</v>
      </c>
      <c r="L162" s="639" t="s">
        <v>1595</v>
      </c>
      <c r="M162" s="592">
        <v>0.35</v>
      </c>
      <c r="N162" s="639" t="s">
        <v>1593</v>
      </c>
      <c r="O162" s="593" t="s">
        <v>1822</v>
      </c>
      <c r="P162" s="329">
        <v>45382</v>
      </c>
      <c r="Q162" s="340" t="s">
        <v>1823</v>
      </c>
      <c r="R162" s="315">
        <v>70386803</v>
      </c>
      <c r="S162" s="315"/>
      <c r="T162" s="315">
        <v>25</v>
      </c>
      <c r="U162" s="640">
        <v>45433</v>
      </c>
      <c r="V162" s="378">
        <f t="shared" ca="1" si="57"/>
        <v>9</v>
      </c>
      <c r="W162" s="292">
        <f t="shared" ca="1" si="55"/>
        <v>2024</v>
      </c>
      <c r="X162" s="291" t="str">
        <f t="shared" ca="1" si="56"/>
        <v>2 WEEK</v>
      </c>
      <c r="Y162" s="484">
        <v>45547</v>
      </c>
      <c r="Z162" s="476" cm="1">
        <f t="array" aca="1" ref="Z162" ca="1">_xlfn.IFS(AD162&lt;100,Y162,Y162&lt;TODAY(),TODAY(),Y162&gt;TODAY(),Y162,Y162=TODAY(),Y162)</f>
        <v>45547</v>
      </c>
      <c r="AA162" s="315">
        <f>SUM(I161:I188)*M162</f>
        <v>43608880.699999996</v>
      </c>
      <c r="AB162" s="518">
        <v>43565272</v>
      </c>
      <c r="AC162" s="301">
        <f>AA162*0.1%</f>
        <v>43608.880699999994</v>
      </c>
      <c r="AD162" s="298">
        <f t="shared" si="48"/>
        <v>0</v>
      </c>
      <c r="AE162" s="299" t="str">
        <f t="shared" si="49"/>
        <v>Complete</v>
      </c>
      <c r="AF162" s="340"/>
      <c r="AG162" s="301"/>
      <c r="AH162" s="343"/>
      <c r="AI162" s="301">
        <f t="shared" ca="1" si="46"/>
        <v>0</v>
      </c>
      <c r="AJ162" s="302">
        <f t="shared" ca="1" si="47"/>
        <v>0</v>
      </c>
      <c r="AL162" s="303">
        <f t="shared" si="50"/>
        <v>70386803</v>
      </c>
      <c r="AM162" s="303">
        <f t="shared" si="51"/>
        <v>0</v>
      </c>
      <c r="AN162" s="303">
        <f t="shared" si="52"/>
        <v>70386803</v>
      </c>
      <c r="AO162" s="304">
        <f t="shared" si="53"/>
        <v>0</v>
      </c>
      <c r="AP162" s="273">
        <f t="shared" si="58"/>
        <v>3</v>
      </c>
      <c r="AQ162" s="273" t="str">
        <f t="shared" ca="1" si="54"/>
        <v>32024</v>
      </c>
    </row>
    <row r="163" spans="1:43" ht="15.75">
      <c r="A163" s="587">
        <v>8</v>
      </c>
      <c r="B163" s="637" t="s">
        <v>1817</v>
      </c>
      <c r="C163" s="332" t="s">
        <v>1818</v>
      </c>
      <c r="D163" s="631" t="s">
        <v>1819</v>
      </c>
      <c r="E163" s="638">
        <v>45343</v>
      </c>
      <c r="F163" s="334">
        <f t="shared" si="62"/>
        <v>3.6589999999999998</v>
      </c>
      <c r="G163" s="348">
        <v>5310085</v>
      </c>
      <c r="H163" s="301">
        <v>637210.19999999995</v>
      </c>
      <c r="I163" s="349">
        <v>5947295</v>
      </c>
      <c r="J163" s="349"/>
      <c r="K163" s="639" t="s">
        <v>1821</v>
      </c>
      <c r="L163" s="639" t="s">
        <v>1595</v>
      </c>
      <c r="M163" s="592">
        <v>0.35</v>
      </c>
      <c r="N163" s="639" t="s">
        <v>1593</v>
      </c>
      <c r="O163" s="340" t="s">
        <v>1824</v>
      </c>
      <c r="P163" s="329">
        <v>45382</v>
      </c>
      <c r="Q163" s="340" t="s">
        <v>1825</v>
      </c>
      <c r="R163" s="315">
        <v>5947295</v>
      </c>
      <c r="S163" s="315"/>
      <c r="T163" s="315">
        <v>25</v>
      </c>
      <c r="U163" s="640">
        <v>45838</v>
      </c>
      <c r="V163" s="378">
        <f t="shared" ca="1" si="57"/>
        <v>8</v>
      </c>
      <c r="W163" s="292">
        <f t="shared" ca="1" si="55"/>
        <v>2024</v>
      </c>
      <c r="X163" s="291" t="str">
        <f t="shared" ca="1" si="56"/>
        <v>1 WEEK</v>
      </c>
      <c r="Y163" s="329">
        <v>45505</v>
      </c>
      <c r="Z163" s="341" cm="1">
        <f t="array" aca="1" ref="Z163" ca="1">_xlfn.IFS(AD163&lt;100,Y163,Y163&lt;TODAY(),TODAY(),Y163&gt;TODAY(),Y163,Y163=TODAY(),Y163)</f>
        <v>45505</v>
      </c>
      <c r="AA163" s="315"/>
      <c r="AB163" s="518"/>
      <c r="AC163" s="301"/>
      <c r="AD163" s="298">
        <f t="shared" si="48"/>
        <v>0</v>
      </c>
      <c r="AE163" s="299" t="str">
        <f t="shared" si="49"/>
        <v>Complete</v>
      </c>
      <c r="AF163" s="340"/>
      <c r="AG163" s="301"/>
      <c r="AH163" s="343"/>
      <c r="AI163" s="301">
        <f t="shared" ca="1" si="46"/>
        <v>0</v>
      </c>
      <c r="AJ163" s="302">
        <f t="shared" ca="1" si="47"/>
        <v>0</v>
      </c>
      <c r="AL163" s="303">
        <f t="shared" si="50"/>
        <v>5947295</v>
      </c>
      <c r="AM163" s="303">
        <f t="shared" si="51"/>
        <v>0</v>
      </c>
      <c r="AN163" s="303">
        <f t="shared" si="52"/>
        <v>5947295</v>
      </c>
      <c r="AO163" s="304">
        <f t="shared" si="53"/>
        <v>0</v>
      </c>
      <c r="AP163" s="273">
        <f t="shared" si="58"/>
        <v>3</v>
      </c>
      <c r="AQ163" s="273" t="str">
        <f t="shared" ca="1" si="54"/>
        <v>32024</v>
      </c>
    </row>
    <row r="164" spans="1:43" ht="15.75">
      <c r="A164" s="587">
        <v>8</v>
      </c>
      <c r="B164" s="637" t="s">
        <v>1817</v>
      </c>
      <c r="C164" s="332" t="s">
        <v>1818</v>
      </c>
      <c r="D164" s="631" t="s">
        <v>1819</v>
      </c>
      <c r="E164" s="638">
        <v>45343</v>
      </c>
      <c r="F164" s="334">
        <f t="shared" si="62"/>
        <v>3.6589999999999998</v>
      </c>
      <c r="G164" s="348">
        <v>7382380</v>
      </c>
      <c r="H164" s="301">
        <v>1328828.3999999999</v>
      </c>
      <c r="I164" s="349">
        <v>8711208</v>
      </c>
      <c r="J164" s="349"/>
      <c r="K164" s="639" t="s">
        <v>1821</v>
      </c>
      <c r="L164" s="639" t="s">
        <v>1595</v>
      </c>
      <c r="M164" s="592">
        <v>0.35</v>
      </c>
      <c r="N164" s="639" t="s">
        <v>1593</v>
      </c>
      <c r="O164" s="340" t="s">
        <v>1826</v>
      </c>
      <c r="P164" s="329">
        <v>45478</v>
      </c>
      <c r="Q164" s="340" t="s">
        <v>1827</v>
      </c>
      <c r="R164" s="315">
        <v>8711208</v>
      </c>
      <c r="S164" s="315"/>
      <c r="T164" s="315">
        <v>25</v>
      </c>
      <c r="U164" s="640">
        <v>45433</v>
      </c>
      <c r="V164" s="378">
        <f t="shared" ca="1" si="57"/>
        <v>9</v>
      </c>
      <c r="W164" s="292">
        <f t="shared" ca="1" si="55"/>
        <v>2024</v>
      </c>
      <c r="X164" s="291" t="str">
        <f t="shared" ca="1" si="56"/>
        <v>2 WEEK</v>
      </c>
      <c r="Y164" s="484">
        <v>45547</v>
      </c>
      <c r="Z164" s="341" cm="1">
        <f t="array" aca="1" ref="Z164" ca="1">_xlfn.IFS(AD164&lt;100,Y164,Y164&lt;TODAY(),TODAY(),Y164&gt;TODAY(),Y164,Y164=TODAY(),Y164)</f>
        <v>45547</v>
      </c>
      <c r="AA164" s="315"/>
      <c r="AB164" s="301"/>
      <c r="AC164" s="301"/>
      <c r="AD164" s="298">
        <f t="shared" si="48"/>
        <v>0</v>
      </c>
      <c r="AE164" s="299" t="str">
        <f t="shared" si="49"/>
        <v>Complete</v>
      </c>
      <c r="AF164" s="340"/>
      <c r="AG164" s="301"/>
      <c r="AH164" s="343"/>
      <c r="AI164" s="301">
        <f t="shared" ca="1" si="46"/>
        <v>0</v>
      </c>
      <c r="AJ164" s="302">
        <f t="shared" ca="1" si="47"/>
        <v>0</v>
      </c>
      <c r="AL164" s="303">
        <f t="shared" si="50"/>
        <v>8711208</v>
      </c>
      <c r="AM164" s="303">
        <f t="shared" si="51"/>
        <v>0</v>
      </c>
      <c r="AN164" s="303">
        <f t="shared" si="52"/>
        <v>8711208</v>
      </c>
      <c r="AO164" s="304">
        <f t="shared" si="53"/>
        <v>0</v>
      </c>
      <c r="AP164" s="273">
        <f t="shared" si="58"/>
        <v>7</v>
      </c>
      <c r="AQ164" s="273" t="str">
        <f t="shared" ca="1" si="54"/>
        <v>72024</v>
      </c>
    </row>
    <row r="165" spans="1:43" ht="15.75">
      <c r="A165" s="587">
        <v>8</v>
      </c>
      <c r="B165" s="637" t="s">
        <v>1817</v>
      </c>
      <c r="C165" s="332" t="s">
        <v>1818</v>
      </c>
      <c r="D165" s="631" t="s">
        <v>1819</v>
      </c>
      <c r="E165" s="638">
        <v>45343</v>
      </c>
      <c r="F165" s="334">
        <f t="shared" si="62"/>
        <v>3.6589999999999998</v>
      </c>
      <c r="G165" s="348">
        <v>2500000</v>
      </c>
      <c r="H165" s="301">
        <v>450000</v>
      </c>
      <c r="I165" s="349">
        <v>2950000</v>
      </c>
      <c r="J165" s="349"/>
      <c r="K165" s="639" t="s">
        <v>1821</v>
      </c>
      <c r="L165" s="639" t="s">
        <v>1595</v>
      </c>
      <c r="M165" s="592">
        <v>0.35</v>
      </c>
      <c r="N165" s="639" t="s">
        <v>1593</v>
      </c>
      <c r="O165" s="340" t="s">
        <v>1828</v>
      </c>
      <c r="P165" s="329">
        <v>45590</v>
      </c>
      <c r="Q165" s="340" t="s">
        <v>1829</v>
      </c>
      <c r="R165" s="315">
        <v>2950000</v>
      </c>
      <c r="S165" s="315"/>
      <c r="T165" s="315">
        <v>25</v>
      </c>
      <c r="U165" s="640">
        <v>45433</v>
      </c>
      <c r="V165" s="378">
        <f t="shared" ca="1" si="57"/>
        <v>11</v>
      </c>
      <c r="W165" s="292">
        <f t="shared" ca="1" si="55"/>
        <v>2024</v>
      </c>
      <c r="X165" s="291" t="str">
        <f t="shared" ca="1" si="56"/>
        <v>3 WEEK</v>
      </c>
      <c r="Y165" s="329">
        <f>P165+T165</f>
        <v>45615</v>
      </c>
      <c r="Z165" s="341" cm="1">
        <f t="array" aca="1" ref="Z165" ca="1">_xlfn.IFS(AD165&lt;100,Y165,Y165&lt;TODAY(),TODAY(),Y165&gt;TODAY(),Y165,Y165=TODAY(),Y165)</f>
        <v>45615</v>
      </c>
      <c r="AA165" s="315"/>
      <c r="AB165" s="301"/>
      <c r="AC165" s="301"/>
      <c r="AD165" s="298">
        <f t="shared" si="48"/>
        <v>0</v>
      </c>
      <c r="AE165" s="299" t="str">
        <f t="shared" si="49"/>
        <v>Complete</v>
      </c>
      <c r="AF165" s="340"/>
      <c r="AG165" s="301"/>
      <c r="AH165" s="343"/>
      <c r="AI165" s="301">
        <f t="shared" ca="1" si="46"/>
        <v>0</v>
      </c>
      <c r="AJ165" s="302">
        <f t="shared" ca="1" si="47"/>
        <v>0</v>
      </c>
      <c r="AL165" s="303">
        <f t="shared" si="50"/>
        <v>2950000</v>
      </c>
      <c r="AM165" s="303">
        <f t="shared" si="51"/>
        <v>0</v>
      </c>
      <c r="AN165" s="303">
        <f t="shared" si="52"/>
        <v>2950000</v>
      </c>
      <c r="AO165" s="304">
        <f t="shared" si="53"/>
        <v>0</v>
      </c>
      <c r="AP165" s="273">
        <f t="shared" si="58"/>
        <v>10</v>
      </c>
      <c r="AQ165" s="273" t="str">
        <f t="shared" ca="1" si="54"/>
        <v>102024</v>
      </c>
    </row>
    <row r="166" spans="1:43" ht="15.75">
      <c r="A166" s="587">
        <v>8</v>
      </c>
      <c r="B166" s="637" t="s">
        <v>1817</v>
      </c>
      <c r="C166" s="332" t="s">
        <v>1818</v>
      </c>
      <c r="D166" s="631" t="s">
        <v>1819</v>
      </c>
      <c r="E166" s="638">
        <v>45343</v>
      </c>
      <c r="F166" s="334">
        <f t="shared" si="62"/>
        <v>3.6589999999999998</v>
      </c>
      <c r="G166" s="348">
        <v>1691246</v>
      </c>
      <c r="H166" s="301">
        <v>304424.27999999997</v>
      </c>
      <c r="I166" s="349">
        <v>1995670</v>
      </c>
      <c r="J166" s="349"/>
      <c r="K166" s="639" t="s">
        <v>1821</v>
      </c>
      <c r="L166" s="639" t="s">
        <v>1595</v>
      </c>
      <c r="M166" s="592">
        <v>0.35</v>
      </c>
      <c r="N166" s="639" t="s">
        <v>1593</v>
      </c>
      <c r="O166" s="340" t="s">
        <v>1830</v>
      </c>
      <c r="P166" s="329">
        <v>45590</v>
      </c>
      <c r="Q166" s="340" t="s">
        <v>1829</v>
      </c>
      <c r="R166" s="315">
        <v>1995670</v>
      </c>
      <c r="S166" s="315"/>
      <c r="T166" s="315">
        <v>25</v>
      </c>
      <c r="U166" s="640">
        <v>45433</v>
      </c>
      <c r="V166" s="378">
        <f t="shared" ca="1" si="57"/>
        <v>11</v>
      </c>
      <c r="W166" s="292">
        <f t="shared" ca="1" si="55"/>
        <v>2024</v>
      </c>
      <c r="X166" s="291" t="str">
        <f t="shared" ca="1" si="56"/>
        <v>3 WEEK</v>
      </c>
      <c r="Y166" s="329">
        <f t="shared" ref="Y166:Y183" si="63">P166+T166</f>
        <v>45615</v>
      </c>
      <c r="Z166" s="341" cm="1">
        <f t="array" aca="1" ref="Z166" ca="1">_xlfn.IFS(AD166&lt;100,Y166,Y166&lt;TODAY(),TODAY(),Y166&gt;TODAY(),Y166,Y166=TODAY(),Y166)</f>
        <v>45615</v>
      </c>
      <c r="AA166" s="315"/>
      <c r="AB166" s="301"/>
      <c r="AC166" s="301"/>
      <c r="AD166" s="298">
        <f t="shared" si="48"/>
        <v>0</v>
      </c>
      <c r="AE166" s="299" t="str">
        <f t="shared" si="49"/>
        <v>Complete</v>
      </c>
      <c r="AF166" s="340"/>
      <c r="AG166" s="301"/>
      <c r="AH166" s="343"/>
      <c r="AI166" s="301">
        <f t="shared" ca="1" si="46"/>
        <v>0</v>
      </c>
      <c r="AJ166" s="302">
        <f t="shared" ca="1" si="47"/>
        <v>0</v>
      </c>
      <c r="AL166" s="303">
        <f t="shared" si="50"/>
        <v>1995670</v>
      </c>
      <c r="AM166" s="303">
        <f t="shared" si="51"/>
        <v>0</v>
      </c>
      <c r="AN166" s="303">
        <f t="shared" si="52"/>
        <v>1995670</v>
      </c>
      <c r="AO166" s="304">
        <f t="shared" si="53"/>
        <v>0</v>
      </c>
      <c r="AP166" s="273">
        <f t="shared" si="58"/>
        <v>10</v>
      </c>
      <c r="AQ166" s="273" t="str">
        <f t="shared" ca="1" si="54"/>
        <v>102024</v>
      </c>
    </row>
    <row r="167" spans="1:43" ht="15.75">
      <c r="A167" s="587">
        <v>8</v>
      </c>
      <c r="B167" s="637" t="s">
        <v>1817</v>
      </c>
      <c r="C167" s="332" t="s">
        <v>1818</v>
      </c>
      <c r="D167" s="631" t="s">
        <v>1819</v>
      </c>
      <c r="E167" s="638">
        <v>45343</v>
      </c>
      <c r="F167" s="334">
        <f t="shared" si="62"/>
        <v>3.6589999999999998</v>
      </c>
      <c r="G167" s="348">
        <v>2380678</v>
      </c>
      <c r="H167" s="301">
        <v>428522.04</v>
      </c>
      <c r="I167" s="349">
        <v>2809200</v>
      </c>
      <c r="J167" s="349"/>
      <c r="K167" s="639" t="s">
        <v>1821</v>
      </c>
      <c r="L167" s="639" t="s">
        <v>1595</v>
      </c>
      <c r="M167" s="592">
        <v>0.35</v>
      </c>
      <c r="N167" s="639" t="s">
        <v>1593</v>
      </c>
      <c r="O167" s="340" t="s">
        <v>1831</v>
      </c>
      <c r="P167" s="329">
        <v>45590</v>
      </c>
      <c r="Q167" s="340" t="s">
        <v>1829</v>
      </c>
      <c r="R167" s="315">
        <v>2809200</v>
      </c>
      <c r="S167" s="315"/>
      <c r="T167" s="315">
        <v>25</v>
      </c>
      <c r="U167" s="640">
        <v>45433</v>
      </c>
      <c r="V167" s="378">
        <f t="shared" ca="1" si="57"/>
        <v>11</v>
      </c>
      <c r="W167" s="292">
        <f t="shared" ca="1" si="55"/>
        <v>2024</v>
      </c>
      <c r="X167" s="291" t="str">
        <f t="shared" ca="1" si="56"/>
        <v>3 WEEK</v>
      </c>
      <c r="Y167" s="329">
        <f t="shared" si="63"/>
        <v>45615</v>
      </c>
      <c r="Z167" s="341" cm="1">
        <f t="array" aca="1" ref="Z167" ca="1">_xlfn.IFS(AD167&lt;100,Y167,Y167&lt;TODAY(),TODAY(),Y167&gt;TODAY(),Y167,Y167=TODAY(),Y167)</f>
        <v>45615</v>
      </c>
      <c r="AA167" s="315"/>
      <c r="AB167" s="301"/>
      <c r="AC167" s="301"/>
      <c r="AD167" s="298">
        <f t="shared" si="48"/>
        <v>0</v>
      </c>
      <c r="AE167" s="299" t="str">
        <f t="shared" si="49"/>
        <v>Complete</v>
      </c>
      <c r="AF167" s="340"/>
      <c r="AG167" s="301"/>
      <c r="AH167" s="343"/>
      <c r="AI167" s="301">
        <f t="shared" ca="1" si="46"/>
        <v>0</v>
      </c>
      <c r="AJ167" s="302">
        <f t="shared" ca="1" si="47"/>
        <v>0</v>
      </c>
      <c r="AL167" s="303">
        <f t="shared" si="50"/>
        <v>2809200</v>
      </c>
      <c r="AM167" s="303">
        <f t="shared" si="51"/>
        <v>0</v>
      </c>
      <c r="AN167" s="303">
        <f t="shared" si="52"/>
        <v>2809200</v>
      </c>
      <c r="AO167" s="304">
        <f t="shared" si="53"/>
        <v>0</v>
      </c>
      <c r="AP167" s="273">
        <f t="shared" si="58"/>
        <v>10</v>
      </c>
      <c r="AQ167" s="273" t="str">
        <f t="shared" ca="1" si="54"/>
        <v>102024</v>
      </c>
    </row>
    <row r="168" spans="1:43" ht="15.75">
      <c r="A168" s="587">
        <v>8</v>
      </c>
      <c r="B168" s="637" t="s">
        <v>1817</v>
      </c>
      <c r="C168" s="332" t="s">
        <v>1818</v>
      </c>
      <c r="D168" s="631" t="s">
        <v>1819</v>
      </c>
      <c r="E168" s="638">
        <v>45343</v>
      </c>
      <c r="F168" s="334">
        <f t="shared" si="62"/>
        <v>3.6589999999999998</v>
      </c>
      <c r="G168" s="348">
        <v>1803996</v>
      </c>
      <c r="H168" s="301">
        <v>324719.27999999997</v>
      </c>
      <c r="I168" s="349">
        <v>2128715</v>
      </c>
      <c r="J168" s="349"/>
      <c r="K168" s="639" t="s">
        <v>1821</v>
      </c>
      <c r="L168" s="639" t="s">
        <v>1595</v>
      </c>
      <c r="M168" s="592">
        <v>0.35</v>
      </c>
      <c r="N168" s="639" t="s">
        <v>1593</v>
      </c>
      <c r="O168" s="340" t="s">
        <v>1832</v>
      </c>
      <c r="P168" s="329">
        <v>45540</v>
      </c>
      <c r="Q168" s="340" t="s">
        <v>1833</v>
      </c>
      <c r="R168" s="315">
        <v>2128715</v>
      </c>
      <c r="S168" s="315"/>
      <c r="T168" s="315">
        <v>25</v>
      </c>
      <c r="U168" s="640">
        <v>45433</v>
      </c>
      <c r="V168" s="378">
        <f t="shared" ca="1" si="57"/>
        <v>9</v>
      </c>
      <c r="W168" s="292">
        <f t="shared" ca="1" si="55"/>
        <v>2024</v>
      </c>
      <c r="X168" s="291" t="str">
        <f t="shared" ca="1" si="56"/>
        <v>5 WEEK</v>
      </c>
      <c r="Y168" s="329">
        <f t="shared" si="63"/>
        <v>45565</v>
      </c>
      <c r="Z168" s="341" cm="1">
        <f t="array" aca="1" ref="Z168" ca="1">_xlfn.IFS(AD168&lt;100,Y168,Y168&lt;TODAY(),TODAY(),Y168&gt;TODAY(),Y168,Y168=TODAY(),Y168)</f>
        <v>45565</v>
      </c>
      <c r="AA168" s="315"/>
      <c r="AB168" s="301"/>
      <c r="AC168" s="301"/>
      <c r="AD168" s="298">
        <f t="shared" si="48"/>
        <v>0</v>
      </c>
      <c r="AE168" s="299" t="str">
        <f t="shared" si="49"/>
        <v>Complete</v>
      </c>
      <c r="AF168" s="340"/>
      <c r="AG168" s="301"/>
      <c r="AH168" s="343"/>
      <c r="AI168" s="301">
        <f t="shared" ca="1" si="46"/>
        <v>0</v>
      </c>
      <c r="AJ168" s="302">
        <f t="shared" ca="1" si="47"/>
        <v>0</v>
      </c>
      <c r="AL168" s="303">
        <f t="shared" si="50"/>
        <v>2128715</v>
      </c>
      <c r="AM168" s="303">
        <f t="shared" si="51"/>
        <v>0</v>
      </c>
      <c r="AN168" s="303">
        <f t="shared" si="52"/>
        <v>2128715</v>
      </c>
      <c r="AO168" s="304">
        <f t="shared" si="53"/>
        <v>0</v>
      </c>
      <c r="AP168" s="273">
        <f t="shared" si="58"/>
        <v>9</v>
      </c>
      <c r="AQ168" s="273" t="str">
        <f t="shared" ca="1" si="54"/>
        <v>92024</v>
      </c>
    </row>
    <row r="169" spans="1:43" ht="15.75">
      <c r="A169" s="587">
        <v>8</v>
      </c>
      <c r="B169" s="637" t="s">
        <v>1817</v>
      </c>
      <c r="C169" s="332" t="s">
        <v>1818</v>
      </c>
      <c r="D169" s="631" t="s">
        <v>1819</v>
      </c>
      <c r="E169" s="638">
        <v>45343</v>
      </c>
      <c r="F169" s="334">
        <f t="shared" si="62"/>
        <v>3.6589999999999998</v>
      </c>
      <c r="G169" s="348">
        <v>1568040</v>
      </c>
      <c r="H169" s="301">
        <v>282247.2</v>
      </c>
      <c r="I169" s="349">
        <v>1850287</v>
      </c>
      <c r="J169" s="349"/>
      <c r="K169" s="639" t="s">
        <v>1821</v>
      </c>
      <c r="L169" s="639" t="s">
        <v>1595</v>
      </c>
      <c r="M169" s="592">
        <v>0.35</v>
      </c>
      <c r="N169" s="639" t="s">
        <v>1593</v>
      </c>
      <c r="O169" s="340" t="s">
        <v>1834</v>
      </c>
      <c r="P169" s="329">
        <v>45540</v>
      </c>
      <c r="Q169" s="340" t="s">
        <v>1833</v>
      </c>
      <c r="R169" s="315">
        <v>1850287</v>
      </c>
      <c r="S169" s="315"/>
      <c r="T169" s="315">
        <v>25</v>
      </c>
      <c r="U169" s="640">
        <v>45433</v>
      </c>
      <c r="V169" s="378">
        <f t="shared" ca="1" si="57"/>
        <v>9</v>
      </c>
      <c r="W169" s="292">
        <f t="shared" ca="1" si="55"/>
        <v>2024</v>
      </c>
      <c r="X169" s="291" t="str">
        <f t="shared" ca="1" si="56"/>
        <v>5 WEEK</v>
      </c>
      <c r="Y169" s="329">
        <f t="shared" si="63"/>
        <v>45565</v>
      </c>
      <c r="Z169" s="341" cm="1">
        <f t="array" aca="1" ref="Z169" ca="1">_xlfn.IFS(AD169&lt;100,Y169,Y169&lt;TODAY(),TODAY(),Y169&gt;TODAY(),Y169,Y169=TODAY(),Y169)</f>
        <v>45565</v>
      </c>
      <c r="AA169" s="315"/>
      <c r="AB169" s="301"/>
      <c r="AC169" s="301"/>
      <c r="AD169" s="298">
        <f t="shared" si="48"/>
        <v>0</v>
      </c>
      <c r="AE169" s="299" t="str">
        <f t="shared" si="49"/>
        <v>Complete</v>
      </c>
      <c r="AF169" s="340"/>
      <c r="AG169" s="301"/>
      <c r="AH169" s="343"/>
      <c r="AI169" s="301">
        <f t="shared" ca="1" si="46"/>
        <v>0</v>
      </c>
      <c r="AJ169" s="302">
        <f t="shared" ca="1" si="47"/>
        <v>0</v>
      </c>
      <c r="AL169" s="303">
        <f t="shared" si="50"/>
        <v>1850287</v>
      </c>
      <c r="AM169" s="303">
        <f t="shared" si="51"/>
        <v>0</v>
      </c>
      <c r="AN169" s="303">
        <f t="shared" si="52"/>
        <v>1850287</v>
      </c>
      <c r="AO169" s="304">
        <f t="shared" si="53"/>
        <v>0</v>
      </c>
      <c r="AP169" s="273">
        <f t="shared" si="58"/>
        <v>9</v>
      </c>
      <c r="AQ169" s="273" t="str">
        <f t="shared" ca="1" si="54"/>
        <v>92024</v>
      </c>
    </row>
    <row r="170" spans="1:43" ht="15.75">
      <c r="A170" s="587">
        <v>8</v>
      </c>
      <c r="B170" s="637" t="s">
        <v>1817</v>
      </c>
      <c r="C170" s="332" t="s">
        <v>1818</v>
      </c>
      <c r="D170" s="631" t="s">
        <v>1819</v>
      </c>
      <c r="E170" s="638">
        <v>45343</v>
      </c>
      <c r="F170" s="334">
        <f t="shared" si="62"/>
        <v>3.6589999999999998</v>
      </c>
      <c r="G170" s="348">
        <v>1484359</v>
      </c>
      <c r="H170" s="301">
        <v>267184.62</v>
      </c>
      <c r="I170" s="349">
        <v>1751544</v>
      </c>
      <c r="J170" s="349"/>
      <c r="K170" s="639" t="s">
        <v>1821</v>
      </c>
      <c r="L170" s="639" t="s">
        <v>1595</v>
      </c>
      <c r="M170" s="592">
        <v>0.35</v>
      </c>
      <c r="N170" s="639" t="s">
        <v>1593</v>
      </c>
      <c r="O170" s="340" t="s">
        <v>1835</v>
      </c>
      <c r="P170" s="329">
        <v>45478</v>
      </c>
      <c r="Q170" s="340" t="s">
        <v>1827</v>
      </c>
      <c r="R170" s="315">
        <v>1751544</v>
      </c>
      <c r="S170" s="315"/>
      <c r="T170" s="315">
        <v>25</v>
      </c>
      <c r="U170" s="640">
        <v>45433</v>
      </c>
      <c r="V170" s="378">
        <f t="shared" ca="1" si="57"/>
        <v>7</v>
      </c>
      <c r="W170" s="292">
        <f t="shared" ca="1" si="55"/>
        <v>2024</v>
      </c>
      <c r="X170" s="291" t="str">
        <f t="shared" ca="1" si="56"/>
        <v>5 WEEK</v>
      </c>
      <c r="Y170" s="329">
        <f t="shared" si="63"/>
        <v>45503</v>
      </c>
      <c r="Z170" s="341" cm="1">
        <f t="array" aca="1" ref="Z170" ca="1">_xlfn.IFS(AD170&lt;100,Y170,Y170&lt;TODAY(),TODAY(),Y170&gt;TODAY(),Y170,Y170=TODAY(),Y170)</f>
        <v>45503</v>
      </c>
      <c r="AA170" s="315"/>
      <c r="AB170" s="301"/>
      <c r="AC170" s="301"/>
      <c r="AD170" s="298">
        <f t="shared" si="48"/>
        <v>0</v>
      </c>
      <c r="AE170" s="299" t="str">
        <f t="shared" si="49"/>
        <v>Complete</v>
      </c>
      <c r="AF170" s="340"/>
      <c r="AG170" s="301"/>
      <c r="AH170" s="343"/>
      <c r="AI170" s="301">
        <f t="shared" ca="1" si="46"/>
        <v>0</v>
      </c>
      <c r="AJ170" s="302">
        <f t="shared" ca="1" si="47"/>
        <v>0</v>
      </c>
      <c r="AL170" s="303">
        <f t="shared" si="50"/>
        <v>1751544</v>
      </c>
      <c r="AM170" s="303">
        <f t="shared" si="51"/>
        <v>0</v>
      </c>
      <c r="AN170" s="303">
        <f t="shared" si="52"/>
        <v>1751544</v>
      </c>
      <c r="AO170" s="304">
        <f t="shared" si="53"/>
        <v>0</v>
      </c>
      <c r="AP170" s="273">
        <f t="shared" si="58"/>
        <v>7</v>
      </c>
      <c r="AQ170" s="273" t="str">
        <f t="shared" ca="1" si="54"/>
        <v>72024</v>
      </c>
    </row>
    <row r="171" spans="1:43" ht="15.75">
      <c r="A171" s="587">
        <v>8</v>
      </c>
      <c r="B171" s="637" t="s">
        <v>1817</v>
      </c>
      <c r="C171" s="332" t="s">
        <v>1818</v>
      </c>
      <c r="D171" s="631" t="s">
        <v>1819</v>
      </c>
      <c r="E171" s="638">
        <v>45343</v>
      </c>
      <c r="F171" s="334">
        <f t="shared" si="62"/>
        <v>3.6589999999999998</v>
      </c>
      <c r="G171" s="348">
        <v>858313</v>
      </c>
      <c r="H171" s="301">
        <v>154496.34</v>
      </c>
      <c r="I171" s="349">
        <v>1012809</v>
      </c>
      <c r="J171" s="349"/>
      <c r="K171" s="639" t="s">
        <v>1821</v>
      </c>
      <c r="L171" s="639" t="s">
        <v>1595</v>
      </c>
      <c r="M171" s="592">
        <v>0.35</v>
      </c>
      <c r="N171" s="639" t="s">
        <v>1593</v>
      </c>
      <c r="O171" s="340" t="s">
        <v>1836</v>
      </c>
      <c r="P171" s="329">
        <v>45479</v>
      </c>
      <c r="Q171" s="340" t="s">
        <v>1837</v>
      </c>
      <c r="R171" s="315">
        <v>113439</v>
      </c>
      <c r="S171" s="315"/>
      <c r="T171" s="315">
        <v>25</v>
      </c>
      <c r="U171" s="640">
        <v>45433</v>
      </c>
      <c r="V171" s="378">
        <f t="shared" ca="1" si="57"/>
        <v>7</v>
      </c>
      <c r="W171" s="292">
        <f t="shared" ca="1" si="55"/>
        <v>2024</v>
      </c>
      <c r="X171" s="291" t="str">
        <f t="shared" ca="1" si="56"/>
        <v>5 WEEK</v>
      </c>
      <c r="Y171" s="329">
        <f t="shared" si="63"/>
        <v>45504</v>
      </c>
      <c r="Z171" s="341" cm="1">
        <f t="array" aca="1" ref="Z171" ca="1">_xlfn.IFS(AD171&lt;100,Y171,Y171&lt;TODAY(),TODAY(),Y171&gt;TODAY(),Y171,Y171=TODAY(),Y171)</f>
        <v>45504</v>
      </c>
      <c r="AA171" s="315"/>
      <c r="AB171" s="301"/>
      <c r="AC171" s="301"/>
      <c r="AD171" s="298">
        <f t="shared" si="48"/>
        <v>0</v>
      </c>
      <c r="AE171" s="299" t="str">
        <f t="shared" si="49"/>
        <v>Complete</v>
      </c>
      <c r="AF171" s="340"/>
      <c r="AG171" s="301"/>
      <c r="AH171" s="343"/>
      <c r="AI171" s="301">
        <f t="shared" ca="1" si="46"/>
        <v>0</v>
      </c>
      <c r="AJ171" s="302">
        <f t="shared" ca="1" si="47"/>
        <v>0</v>
      </c>
      <c r="AL171" s="303">
        <f t="shared" si="50"/>
        <v>1012809</v>
      </c>
      <c r="AM171" s="303">
        <f t="shared" si="51"/>
        <v>899370</v>
      </c>
      <c r="AN171" s="303">
        <f t="shared" si="52"/>
        <v>113439</v>
      </c>
      <c r="AO171" s="304">
        <f t="shared" si="53"/>
        <v>0</v>
      </c>
      <c r="AP171" s="273">
        <f t="shared" si="58"/>
        <v>7</v>
      </c>
      <c r="AQ171" s="273" t="str">
        <f t="shared" ca="1" si="54"/>
        <v>72024</v>
      </c>
    </row>
    <row r="172" spans="1:43" ht="15.75">
      <c r="A172" s="587">
        <v>8</v>
      </c>
      <c r="B172" s="637" t="s">
        <v>1817</v>
      </c>
      <c r="C172" s="332" t="s">
        <v>1818</v>
      </c>
      <c r="D172" s="631" t="s">
        <v>1819</v>
      </c>
      <c r="E172" s="638">
        <v>45343</v>
      </c>
      <c r="F172" s="334">
        <f t="shared" si="62"/>
        <v>3.6589999999999998</v>
      </c>
      <c r="G172" s="348"/>
      <c r="H172" s="301"/>
      <c r="I172" s="349"/>
      <c r="J172" s="349"/>
      <c r="K172" s="639" t="s">
        <v>1821</v>
      </c>
      <c r="L172" s="639" t="s">
        <v>1595</v>
      </c>
      <c r="M172" s="592">
        <v>0.35</v>
      </c>
      <c r="N172" s="639" t="s">
        <v>1593</v>
      </c>
      <c r="O172" s="340" t="s">
        <v>1836</v>
      </c>
      <c r="P172" s="329">
        <v>45563</v>
      </c>
      <c r="Q172" s="340" t="s">
        <v>1838</v>
      </c>
      <c r="R172" s="315">
        <v>202562</v>
      </c>
      <c r="S172" s="315"/>
      <c r="T172" s="315">
        <v>25</v>
      </c>
      <c r="U172" s="640">
        <v>45433</v>
      </c>
      <c r="V172" s="378">
        <f t="shared" ca="1" si="57"/>
        <v>10</v>
      </c>
      <c r="W172" s="292">
        <f t="shared" ca="1" si="55"/>
        <v>2024</v>
      </c>
      <c r="X172" s="291" t="str">
        <f t="shared" ca="1" si="56"/>
        <v>4 WEEK</v>
      </c>
      <c r="Y172" s="329">
        <f t="shared" si="63"/>
        <v>45588</v>
      </c>
      <c r="Z172" s="341" cm="1">
        <f t="array" aca="1" ref="Z172" ca="1">_xlfn.IFS(AD172&lt;100,Y172,Y172&lt;TODAY(),TODAY(),Y172&gt;TODAY(),Y172,Y172=TODAY(),Y172)</f>
        <v>45588</v>
      </c>
      <c r="AA172" s="315"/>
      <c r="AB172" s="301"/>
      <c r="AC172" s="301"/>
      <c r="AD172" s="298">
        <f t="shared" si="48"/>
        <v>0</v>
      </c>
      <c r="AE172" s="299" t="str">
        <f t="shared" si="49"/>
        <v>Complete</v>
      </c>
      <c r="AF172" s="340"/>
      <c r="AG172" s="301"/>
      <c r="AH172" s="343"/>
      <c r="AI172" s="301">
        <f t="shared" ca="1" si="46"/>
        <v>0</v>
      </c>
      <c r="AJ172" s="302">
        <f t="shared" ca="1" si="47"/>
        <v>0</v>
      </c>
      <c r="AL172" s="303">
        <f t="shared" si="50"/>
        <v>0</v>
      </c>
      <c r="AM172" s="303">
        <f t="shared" si="51"/>
        <v>-202562</v>
      </c>
      <c r="AN172" s="303">
        <f t="shared" si="52"/>
        <v>202562</v>
      </c>
      <c r="AO172" s="304">
        <f t="shared" si="53"/>
        <v>0</v>
      </c>
      <c r="AP172" s="273">
        <f t="shared" si="58"/>
        <v>9</v>
      </c>
      <c r="AQ172" s="273" t="str">
        <f t="shared" ca="1" si="54"/>
        <v>92024</v>
      </c>
    </row>
    <row r="173" spans="1:43" ht="15.75">
      <c r="A173" s="587">
        <v>8</v>
      </c>
      <c r="B173" s="637" t="s">
        <v>1817</v>
      </c>
      <c r="C173" s="332" t="s">
        <v>1818</v>
      </c>
      <c r="D173" s="631" t="s">
        <v>1819</v>
      </c>
      <c r="E173" s="638">
        <v>45343</v>
      </c>
      <c r="F173" s="334">
        <f t="shared" si="62"/>
        <v>3.6589999999999998</v>
      </c>
      <c r="G173" s="348"/>
      <c r="H173" s="301"/>
      <c r="I173" s="349"/>
      <c r="J173" s="349"/>
      <c r="K173" s="639" t="s">
        <v>1821</v>
      </c>
      <c r="L173" s="639" t="s">
        <v>1595</v>
      </c>
      <c r="M173" s="592">
        <v>0.35</v>
      </c>
      <c r="N173" s="639" t="s">
        <v>1593</v>
      </c>
      <c r="O173" s="340" t="s">
        <v>1836</v>
      </c>
      <c r="P173" s="329">
        <v>45540</v>
      </c>
      <c r="Q173" s="340" t="s">
        <v>1839</v>
      </c>
      <c r="R173" s="315">
        <v>405124</v>
      </c>
      <c r="S173" s="315"/>
      <c r="T173" s="315">
        <v>25</v>
      </c>
      <c r="U173" s="640">
        <v>45433</v>
      </c>
      <c r="V173" s="378">
        <f t="shared" ca="1" si="57"/>
        <v>9</v>
      </c>
      <c r="W173" s="292">
        <f t="shared" ca="1" si="55"/>
        <v>2024</v>
      </c>
      <c r="X173" s="291" t="str">
        <f t="shared" ca="1" si="56"/>
        <v>5 WEEK</v>
      </c>
      <c r="Y173" s="329">
        <f t="shared" si="63"/>
        <v>45565</v>
      </c>
      <c r="Z173" s="341" cm="1">
        <f t="array" aca="1" ref="Z173" ca="1">_xlfn.IFS(AD173&lt;100,Y173,Y173&lt;TODAY(),TODAY(),Y173&gt;TODAY(),Y173,Y173=TODAY(),Y173)</f>
        <v>45565</v>
      </c>
      <c r="AA173" s="315"/>
      <c r="AB173" s="301"/>
      <c r="AC173" s="301"/>
      <c r="AD173" s="298">
        <f t="shared" si="48"/>
        <v>0</v>
      </c>
      <c r="AE173" s="299" t="str">
        <f t="shared" si="49"/>
        <v>Complete</v>
      </c>
      <c r="AF173" s="340"/>
      <c r="AG173" s="301"/>
      <c r="AH173" s="343"/>
      <c r="AI173" s="301">
        <f t="shared" ca="1" si="46"/>
        <v>0</v>
      </c>
      <c r="AJ173" s="302">
        <f t="shared" ca="1" si="47"/>
        <v>0</v>
      </c>
      <c r="AL173" s="303">
        <f t="shared" si="50"/>
        <v>0</v>
      </c>
      <c r="AM173" s="303">
        <f t="shared" si="51"/>
        <v>-405124</v>
      </c>
      <c r="AN173" s="303">
        <f t="shared" si="52"/>
        <v>405124</v>
      </c>
      <c r="AO173" s="304">
        <f t="shared" si="53"/>
        <v>0</v>
      </c>
      <c r="AP173" s="273">
        <f t="shared" si="58"/>
        <v>9</v>
      </c>
      <c r="AQ173" s="273" t="str">
        <f t="shared" ca="1" si="54"/>
        <v>92024</v>
      </c>
    </row>
    <row r="174" spans="1:43" ht="15.75">
      <c r="A174" s="587">
        <v>8</v>
      </c>
      <c r="B174" s="637" t="s">
        <v>1817</v>
      </c>
      <c r="C174" s="332" t="s">
        <v>1818</v>
      </c>
      <c r="D174" s="631" t="s">
        <v>1819</v>
      </c>
      <c r="E174" s="638">
        <v>45343</v>
      </c>
      <c r="F174" s="334">
        <f t="shared" si="62"/>
        <v>3.6589999999999998</v>
      </c>
      <c r="G174" s="348"/>
      <c r="H174" s="301"/>
      <c r="I174" s="349"/>
      <c r="J174" s="349"/>
      <c r="K174" s="639" t="s">
        <v>1821</v>
      </c>
      <c r="L174" s="639" t="s">
        <v>1595</v>
      </c>
      <c r="M174" s="592">
        <v>0.35</v>
      </c>
      <c r="N174" s="639" t="s">
        <v>1593</v>
      </c>
      <c r="O174" s="340" t="s">
        <v>1836</v>
      </c>
      <c r="P174" s="329">
        <v>45623</v>
      </c>
      <c r="Q174" s="340" t="s">
        <v>1840</v>
      </c>
      <c r="R174" s="315">
        <v>151921</v>
      </c>
      <c r="S174" s="315"/>
      <c r="T174" s="315">
        <v>25</v>
      </c>
      <c r="U174" s="640">
        <v>45433</v>
      </c>
      <c r="V174" s="378">
        <f t="shared" ca="1" si="57"/>
        <v>12</v>
      </c>
      <c r="W174" s="292">
        <f t="shared" ca="1" si="55"/>
        <v>2024</v>
      </c>
      <c r="X174" s="291" t="str">
        <f t="shared" ca="1" si="56"/>
        <v>4 WEEK</v>
      </c>
      <c r="Y174" s="329">
        <f t="shared" si="63"/>
        <v>45648</v>
      </c>
      <c r="Z174" s="341" cm="1">
        <f t="array" aca="1" ref="Z174" ca="1">_xlfn.IFS(AD174&lt;100,Y174,Y174&lt;TODAY(),TODAY(),Y174&gt;TODAY(),Y174,Y174=TODAY(),Y174)</f>
        <v>45648</v>
      </c>
      <c r="AA174" s="315"/>
      <c r="AB174" s="301"/>
      <c r="AC174" s="301"/>
      <c r="AD174" s="298">
        <f t="shared" si="48"/>
        <v>0</v>
      </c>
      <c r="AE174" s="299" t="str">
        <f t="shared" si="49"/>
        <v>Complete</v>
      </c>
      <c r="AF174" s="340"/>
      <c r="AG174" s="301"/>
      <c r="AH174" s="343"/>
      <c r="AI174" s="301">
        <f t="shared" ca="1" si="46"/>
        <v>0</v>
      </c>
      <c r="AJ174" s="302">
        <f t="shared" ca="1" si="47"/>
        <v>0</v>
      </c>
      <c r="AL174" s="303">
        <f t="shared" si="50"/>
        <v>0</v>
      </c>
      <c r="AM174" s="303">
        <f t="shared" si="51"/>
        <v>-151921</v>
      </c>
      <c r="AN174" s="303">
        <f t="shared" si="52"/>
        <v>151921</v>
      </c>
      <c r="AO174" s="304">
        <f t="shared" si="53"/>
        <v>0</v>
      </c>
      <c r="AP174" s="273">
        <f t="shared" si="58"/>
        <v>11</v>
      </c>
      <c r="AQ174" s="273" t="str">
        <f t="shared" ca="1" si="54"/>
        <v>112024</v>
      </c>
    </row>
    <row r="175" spans="1:43" ht="15.75">
      <c r="A175" s="587">
        <v>8</v>
      </c>
      <c r="B175" s="637" t="s">
        <v>1817</v>
      </c>
      <c r="C175" s="332" t="s">
        <v>1818</v>
      </c>
      <c r="D175" s="631" t="s">
        <v>1819</v>
      </c>
      <c r="E175" s="638">
        <v>45343</v>
      </c>
      <c r="F175" s="334">
        <f t="shared" si="62"/>
        <v>3.6589999999999998</v>
      </c>
      <c r="G175" s="348"/>
      <c r="H175" s="301"/>
      <c r="I175" s="349"/>
      <c r="J175" s="349"/>
      <c r="K175" s="639" t="s">
        <v>1821</v>
      </c>
      <c r="L175" s="639" t="s">
        <v>1595</v>
      </c>
      <c r="M175" s="592">
        <v>0.35</v>
      </c>
      <c r="N175" s="639" t="s">
        <v>1593</v>
      </c>
      <c r="O175" s="340" t="s">
        <v>1836</v>
      </c>
      <c r="P175" s="329">
        <v>45632</v>
      </c>
      <c r="Q175" s="340" t="s">
        <v>1841</v>
      </c>
      <c r="R175" s="315">
        <v>101281</v>
      </c>
      <c r="S175" s="315"/>
      <c r="T175" s="315">
        <v>25</v>
      </c>
      <c r="U175" s="640">
        <v>45433</v>
      </c>
      <c r="V175" s="378">
        <f t="shared" ca="1" si="57"/>
        <v>12</v>
      </c>
      <c r="W175" s="292">
        <f t="shared" ca="1" si="55"/>
        <v>2024</v>
      </c>
      <c r="X175" s="291" t="str">
        <f t="shared" ca="1" si="56"/>
        <v>5 WEEK</v>
      </c>
      <c r="Y175" s="329">
        <f t="shared" si="63"/>
        <v>45657</v>
      </c>
      <c r="Z175" s="341" cm="1">
        <f t="array" aca="1" ref="Z175" ca="1">_xlfn.IFS(AD175&lt;100,Y175,Y175&lt;TODAY(),TODAY(),Y175&gt;TODAY(),Y175,Y175=TODAY(),Y175)</f>
        <v>45657</v>
      </c>
      <c r="AA175" s="315"/>
      <c r="AB175" s="301"/>
      <c r="AC175" s="301"/>
      <c r="AD175" s="298">
        <f t="shared" si="48"/>
        <v>0</v>
      </c>
      <c r="AE175" s="299" t="str">
        <f t="shared" si="49"/>
        <v>Complete</v>
      </c>
      <c r="AF175" s="340"/>
      <c r="AG175" s="301"/>
      <c r="AH175" s="343"/>
      <c r="AI175" s="301">
        <f t="shared" ca="1" si="46"/>
        <v>0</v>
      </c>
      <c r="AJ175" s="302">
        <f t="shared" ca="1" si="47"/>
        <v>0</v>
      </c>
      <c r="AL175" s="303">
        <f t="shared" si="50"/>
        <v>0</v>
      </c>
      <c r="AM175" s="303">
        <f t="shared" si="51"/>
        <v>-101281</v>
      </c>
      <c r="AN175" s="303">
        <f t="shared" si="52"/>
        <v>101281</v>
      </c>
      <c r="AO175" s="304">
        <f t="shared" si="53"/>
        <v>0</v>
      </c>
      <c r="AP175" s="273">
        <f t="shared" si="58"/>
        <v>12</v>
      </c>
      <c r="AQ175" s="273" t="str">
        <f t="shared" ca="1" si="54"/>
        <v>122024</v>
      </c>
    </row>
    <row r="176" spans="1:43" ht="15.75">
      <c r="A176" s="587">
        <v>8</v>
      </c>
      <c r="B176" s="637" t="s">
        <v>1817</v>
      </c>
      <c r="C176" s="332" t="s">
        <v>1818</v>
      </c>
      <c r="D176" s="631" t="s">
        <v>1819</v>
      </c>
      <c r="E176" s="638">
        <v>45343</v>
      </c>
      <c r="F176" s="334">
        <f t="shared" si="62"/>
        <v>3.6589999999999998</v>
      </c>
      <c r="G176" s="348"/>
      <c r="H176" s="301"/>
      <c r="I176" s="349"/>
      <c r="J176" s="349"/>
      <c r="K176" s="639" t="s">
        <v>1821</v>
      </c>
      <c r="L176" s="639" t="s">
        <v>1595</v>
      </c>
      <c r="M176" s="592">
        <v>0.35</v>
      </c>
      <c r="N176" s="639" t="s">
        <v>1593</v>
      </c>
      <c r="O176" s="340" t="s">
        <v>1836</v>
      </c>
      <c r="P176" s="329">
        <v>45632</v>
      </c>
      <c r="Q176" s="340" t="s">
        <v>1842</v>
      </c>
      <c r="R176" s="315">
        <v>-113439</v>
      </c>
      <c r="S176" s="315"/>
      <c r="T176" s="315">
        <v>25</v>
      </c>
      <c r="U176" s="640">
        <v>45433</v>
      </c>
      <c r="V176" s="378">
        <f t="shared" ca="1" si="57"/>
        <v>12</v>
      </c>
      <c r="W176" s="292">
        <f t="shared" ca="1" si="55"/>
        <v>2024</v>
      </c>
      <c r="X176" s="291" t="str">
        <f t="shared" ca="1" si="56"/>
        <v>5 WEEK</v>
      </c>
      <c r="Y176" s="329">
        <f t="shared" si="63"/>
        <v>45657</v>
      </c>
      <c r="Z176" s="341" cm="1">
        <f t="array" aca="1" ref="Z176" ca="1">_xlfn.IFS(AD176&lt;100,Y176,Y176&lt;TODAY(),TODAY(),Y176&gt;TODAY(),Y176,Y176=TODAY(),Y176)</f>
        <v>45657</v>
      </c>
      <c r="AA176" s="315"/>
      <c r="AB176" s="301"/>
      <c r="AC176" s="301"/>
      <c r="AD176" s="298">
        <f t="shared" si="48"/>
        <v>0</v>
      </c>
      <c r="AE176" s="299" t="str">
        <f t="shared" si="49"/>
        <v>Complete</v>
      </c>
      <c r="AF176" s="340"/>
      <c r="AG176" s="301"/>
      <c r="AH176" s="343"/>
      <c r="AI176" s="301">
        <f t="shared" ca="1" si="46"/>
        <v>0</v>
      </c>
      <c r="AJ176" s="302">
        <f t="shared" ca="1" si="47"/>
        <v>0</v>
      </c>
      <c r="AL176" s="303">
        <f t="shared" si="50"/>
        <v>0</v>
      </c>
      <c r="AM176" s="303">
        <f t="shared" si="51"/>
        <v>113439</v>
      </c>
      <c r="AN176" s="303">
        <f t="shared" si="52"/>
        <v>-113439</v>
      </c>
      <c r="AO176" s="304">
        <f t="shared" si="53"/>
        <v>0</v>
      </c>
      <c r="AP176" s="273">
        <f t="shared" si="58"/>
        <v>12</v>
      </c>
      <c r="AQ176" s="273" t="str">
        <f t="shared" ca="1" si="54"/>
        <v>122024</v>
      </c>
    </row>
    <row r="177" spans="1:43" ht="15.75">
      <c r="A177" s="587">
        <v>8</v>
      </c>
      <c r="B177" s="637" t="s">
        <v>1817</v>
      </c>
      <c r="C177" s="332" t="s">
        <v>1818</v>
      </c>
      <c r="D177" s="631" t="s">
        <v>1819</v>
      </c>
      <c r="E177" s="638">
        <v>45343</v>
      </c>
      <c r="F177" s="334">
        <f t="shared" si="62"/>
        <v>3.6589999999999998</v>
      </c>
      <c r="G177" s="348"/>
      <c r="H177" s="301"/>
      <c r="I177" s="349"/>
      <c r="J177" s="349"/>
      <c r="K177" s="639" t="s">
        <v>1821</v>
      </c>
      <c r="L177" s="639" t="s">
        <v>1595</v>
      </c>
      <c r="M177" s="592">
        <v>0.35</v>
      </c>
      <c r="N177" s="639" t="s">
        <v>1593</v>
      </c>
      <c r="O177" s="340" t="s">
        <v>1836</v>
      </c>
      <c r="P177" s="329">
        <v>45645</v>
      </c>
      <c r="Q177" s="340" t="s">
        <v>1843</v>
      </c>
      <c r="R177" s="315">
        <v>151921</v>
      </c>
      <c r="S177" s="315"/>
      <c r="T177" s="315">
        <v>25</v>
      </c>
      <c r="U177" s="640">
        <v>45433</v>
      </c>
      <c r="V177" s="378">
        <f t="shared" ca="1" si="57"/>
        <v>1</v>
      </c>
      <c r="W177" s="292">
        <f t="shared" ca="1" si="55"/>
        <v>2025</v>
      </c>
      <c r="X177" s="291" t="str">
        <f t="shared" ca="1" si="56"/>
        <v>2 WEEK</v>
      </c>
      <c r="Y177" s="329">
        <f t="shared" si="63"/>
        <v>45670</v>
      </c>
      <c r="Z177" s="341" cm="1">
        <f t="array" aca="1" ref="Z177" ca="1">_xlfn.IFS(AD177&lt;100,Y177,Y177&lt;TODAY(),TODAY(),Y177&gt;TODAY(),Y177,Y177=TODAY(),Y177)</f>
        <v>45670</v>
      </c>
      <c r="AA177" s="315"/>
      <c r="AB177" s="301"/>
      <c r="AC177" s="301"/>
      <c r="AD177" s="298">
        <f t="shared" si="48"/>
        <v>0</v>
      </c>
      <c r="AE177" s="299" t="str">
        <f t="shared" si="49"/>
        <v>Complete</v>
      </c>
      <c r="AF177" s="340"/>
      <c r="AG177" s="301"/>
      <c r="AH177" s="343"/>
      <c r="AI177" s="301">
        <f t="shared" ca="1" si="46"/>
        <v>0</v>
      </c>
      <c r="AJ177" s="302">
        <f t="shared" ca="1" si="47"/>
        <v>0</v>
      </c>
      <c r="AL177" s="303">
        <f t="shared" si="50"/>
        <v>0</v>
      </c>
      <c r="AM177" s="303">
        <f t="shared" si="51"/>
        <v>-151921</v>
      </c>
      <c r="AN177" s="303">
        <f t="shared" si="52"/>
        <v>151921</v>
      </c>
      <c r="AO177" s="304">
        <f t="shared" si="53"/>
        <v>0</v>
      </c>
      <c r="AP177" s="273">
        <f t="shared" si="58"/>
        <v>12</v>
      </c>
      <c r="AQ177" s="273" t="str">
        <f t="shared" ca="1" si="54"/>
        <v>122025</v>
      </c>
    </row>
    <row r="178" spans="1:43" ht="15.75">
      <c r="A178" s="587">
        <v>8</v>
      </c>
      <c r="B178" s="637" t="s">
        <v>1817</v>
      </c>
      <c r="C178" s="332" t="s">
        <v>1818</v>
      </c>
      <c r="D178" s="631" t="s">
        <v>1819</v>
      </c>
      <c r="E178" s="638">
        <v>45343</v>
      </c>
      <c r="F178" s="334">
        <f t="shared" si="62"/>
        <v>3.6589999999999998</v>
      </c>
      <c r="G178" s="348">
        <v>133445</v>
      </c>
      <c r="H178" s="301">
        <v>24020.1</v>
      </c>
      <c r="I178" s="349">
        <v>157465</v>
      </c>
      <c r="J178" s="349"/>
      <c r="K178" s="639" t="s">
        <v>1821</v>
      </c>
      <c r="L178" s="639" t="s">
        <v>1595</v>
      </c>
      <c r="M178" s="592">
        <v>0.35</v>
      </c>
      <c r="N178" s="639" t="s">
        <v>1593</v>
      </c>
      <c r="O178" s="340" t="s">
        <v>1844</v>
      </c>
      <c r="P178" s="329">
        <v>45478</v>
      </c>
      <c r="Q178" s="340" t="s">
        <v>1827</v>
      </c>
      <c r="R178" s="315">
        <v>157465</v>
      </c>
      <c r="S178" s="315"/>
      <c r="T178" s="315">
        <v>25</v>
      </c>
      <c r="U178" s="640">
        <v>45433</v>
      </c>
      <c r="V178" s="378">
        <f t="shared" ca="1" si="57"/>
        <v>7</v>
      </c>
      <c r="W178" s="292">
        <f t="shared" ca="1" si="55"/>
        <v>2024</v>
      </c>
      <c r="X178" s="291" t="str">
        <f t="shared" ca="1" si="56"/>
        <v>5 WEEK</v>
      </c>
      <c r="Y178" s="329">
        <f t="shared" si="63"/>
        <v>45503</v>
      </c>
      <c r="Z178" s="341" cm="1">
        <f t="array" aca="1" ref="Z178" ca="1">_xlfn.IFS(AD178&lt;100,Y178,Y178&lt;TODAY(),TODAY(),Y178&gt;TODAY(),Y178,Y178=TODAY(),Y178)</f>
        <v>45503</v>
      </c>
      <c r="AA178" s="315"/>
      <c r="AB178" s="301"/>
      <c r="AC178" s="301"/>
      <c r="AD178" s="298">
        <f t="shared" si="48"/>
        <v>0</v>
      </c>
      <c r="AE178" s="299" t="str">
        <f t="shared" si="49"/>
        <v>Complete</v>
      </c>
      <c r="AF178" s="340"/>
      <c r="AG178" s="301"/>
      <c r="AH178" s="343"/>
      <c r="AI178" s="301">
        <f t="shared" ca="1" si="46"/>
        <v>0</v>
      </c>
      <c r="AJ178" s="302">
        <f t="shared" ca="1" si="47"/>
        <v>0</v>
      </c>
      <c r="AL178" s="303">
        <f t="shared" si="50"/>
        <v>157465</v>
      </c>
      <c r="AM178" s="303">
        <f t="shared" si="51"/>
        <v>0</v>
      </c>
      <c r="AN178" s="303">
        <f t="shared" si="52"/>
        <v>157465</v>
      </c>
      <c r="AO178" s="304">
        <f t="shared" si="53"/>
        <v>0</v>
      </c>
      <c r="AP178" s="273">
        <f t="shared" si="58"/>
        <v>7</v>
      </c>
      <c r="AQ178" s="273" t="str">
        <f t="shared" ca="1" si="54"/>
        <v>72024</v>
      </c>
    </row>
    <row r="179" spans="1:43" ht="15.75">
      <c r="A179" s="587">
        <v>8</v>
      </c>
      <c r="B179" s="637" t="s">
        <v>1817</v>
      </c>
      <c r="C179" s="332" t="s">
        <v>1818</v>
      </c>
      <c r="D179" s="631" t="s">
        <v>1819</v>
      </c>
      <c r="E179" s="638">
        <v>45343</v>
      </c>
      <c r="F179" s="334">
        <f t="shared" si="62"/>
        <v>3.6589999999999998</v>
      </c>
      <c r="G179" s="348">
        <v>3329549</v>
      </c>
      <c r="H179" s="301">
        <v>599318.81999999995</v>
      </c>
      <c r="I179" s="349">
        <v>3928868</v>
      </c>
      <c r="J179" s="349"/>
      <c r="K179" s="639" t="s">
        <v>1821</v>
      </c>
      <c r="L179" s="639" t="s">
        <v>1595</v>
      </c>
      <c r="M179" s="592">
        <v>0.35</v>
      </c>
      <c r="N179" s="639" t="s">
        <v>1593</v>
      </c>
      <c r="O179" s="340" t="s">
        <v>1845</v>
      </c>
      <c r="P179" s="329">
        <v>45540</v>
      </c>
      <c r="Q179" s="340" t="s">
        <v>1833</v>
      </c>
      <c r="R179" s="315">
        <v>3928868</v>
      </c>
      <c r="S179" s="315"/>
      <c r="T179" s="315">
        <v>25</v>
      </c>
      <c r="U179" s="640">
        <v>45433</v>
      </c>
      <c r="V179" s="378">
        <f t="shared" ca="1" si="57"/>
        <v>9</v>
      </c>
      <c r="W179" s="292">
        <f t="shared" ca="1" si="55"/>
        <v>2024</v>
      </c>
      <c r="X179" s="291" t="str">
        <f t="shared" ca="1" si="56"/>
        <v>5 WEEK</v>
      </c>
      <c r="Y179" s="329">
        <f t="shared" si="63"/>
        <v>45565</v>
      </c>
      <c r="Z179" s="341" cm="1">
        <f t="array" aca="1" ref="Z179" ca="1">_xlfn.IFS(AD179&lt;100,Y179,Y179&lt;TODAY(),TODAY(),Y179&gt;TODAY(),Y179,Y179=TODAY(),Y179)</f>
        <v>45565</v>
      </c>
      <c r="AA179" s="315"/>
      <c r="AB179" s="301"/>
      <c r="AC179" s="301"/>
      <c r="AD179" s="298">
        <f t="shared" si="48"/>
        <v>0</v>
      </c>
      <c r="AE179" s="299" t="str">
        <f t="shared" si="49"/>
        <v>Complete</v>
      </c>
      <c r="AF179" s="340"/>
      <c r="AG179" s="301"/>
      <c r="AH179" s="343"/>
      <c r="AI179" s="301">
        <f t="shared" ca="1" si="46"/>
        <v>0</v>
      </c>
      <c r="AJ179" s="302">
        <f t="shared" ca="1" si="47"/>
        <v>0</v>
      </c>
      <c r="AL179" s="303">
        <f t="shared" si="50"/>
        <v>3928868</v>
      </c>
      <c r="AM179" s="303">
        <f t="shared" si="51"/>
        <v>0</v>
      </c>
      <c r="AN179" s="303">
        <f t="shared" si="52"/>
        <v>3928868</v>
      </c>
      <c r="AO179" s="304">
        <f t="shared" si="53"/>
        <v>0</v>
      </c>
      <c r="AP179" s="273">
        <f t="shared" si="58"/>
        <v>9</v>
      </c>
      <c r="AQ179" s="273" t="str">
        <f t="shared" ca="1" si="54"/>
        <v>92024</v>
      </c>
    </row>
    <row r="180" spans="1:43" ht="15.75">
      <c r="A180" s="587">
        <v>8</v>
      </c>
      <c r="B180" s="637" t="s">
        <v>1817</v>
      </c>
      <c r="C180" s="332" t="s">
        <v>1818</v>
      </c>
      <c r="D180" s="631" t="s">
        <v>1819</v>
      </c>
      <c r="E180" s="638">
        <v>45343</v>
      </c>
      <c r="F180" s="334">
        <f t="shared" si="62"/>
        <v>3.6589999999999998</v>
      </c>
      <c r="G180" s="348">
        <v>729974</v>
      </c>
      <c r="H180" s="301">
        <v>131395.32</v>
      </c>
      <c r="I180" s="349">
        <v>861369</v>
      </c>
      <c r="J180" s="349"/>
      <c r="K180" s="639" t="s">
        <v>1821</v>
      </c>
      <c r="L180" s="639" t="s">
        <v>1595</v>
      </c>
      <c r="M180" s="592">
        <v>0.35</v>
      </c>
      <c r="N180" s="639" t="s">
        <v>1593</v>
      </c>
      <c r="O180" s="340" t="s">
        <v>1846</v>
      </c>
      <c r="P180" s="329">
        <v>45645</v>
      </c>
      <c r="Q180" s="340" t="s">
        <v>1843</v>
      </c>
      <c r="R180" s="315">
        <v>861369</v>
      </c>
      <c r="S180" s="315"/>
      <c r="T180" s="315">
        <v>25</v>
      </c>
      <c r="U180" s="640">
        <v>45433</v>
      </c>
      <c r="V180" s="378">
        <f t="shared" ca="1" si="57"/>
        <v>1</v>
      </c>
      <c r="W180" s="292">
        <f t="shared" ca="1" si="55"/>
        <v>2025</v>
      </c>
      <c r="X180" s="291" t="str">
        <f t="shared" ca="1" si="56"/>
        <v>2 WEEK</v>
      </c>
      <c r="Y180" s="329">
        <f t="shared" si="63"/>
        <v>45670</v>
      </c>
      <c r="Z180" s="341" cm="1">
        <f t="array" aca="1" ref="Z180" ca="1">_xlfn.IFS(AD180&lt;100,Y180,Y180&lt;TODAY(),TODAY(),Y180&gt;TODAY(),Y180,Y180=TODAY(),Y180)</f>
        <v>45670</v>
      </c>
      <c r="AA180" s="315"/>
      <c r="AB180" s="301"/>
      <c r="AC180" s="301"/>
      <c r="AD180" s="298">
        <f t="shared" si="48"/>
        <v>0</v>
      </c>
      <c r="AE180" s="299" t="str">
        <f t="shared" si="49"/>
        <v>Complete</v>
      </c>
      <c r="AF180" s="340"/>
      <c r="AG180" s="301"/>
      <c r="AH180" s="343"/>
      <c r="AI180" s="301">
        <f t="shared" ca="1" si="46"/>
        <v>0</v>
      </c>
      <c r="AJ180" s="302">
        <f t="shared" ca="1" si="47"/>
        <v>0</v>
      </c>
      <c r="AL180" s="303">
        <f t="shared" si="50"/>
        <v>861369</v>
      </c>
      <c r="AM180" s="303">
        <f t="shared" si="51"/>
        <v>0</v>
      </c>
      <c r="AN180" s="303">
        <f t="shared" si="52"/>
        <v>861369</v>
      </c>
      <c r="AO180" s="304">
        <f t="shared" si="53"/>
        <v>0</v>
      </c>
      <c r="AP180" s="273">
        <f t="shared" si="58"/>
        <v>12</v>
      </c>
      <c r="AQ180" s="273" t="str">
        <f t="shared" ca="1" si="54"/>
        <v>122025</v>
      </c>
    </row>
    <row r="181" spans="1:43" ht="15.75">
      <c r="A181" s="587">
        <v>8</v>
      </c>
      <c r="B181" s="637" t="s">
        <v>1817</v>
      </c>
      <c r="C181" s="332" t="s">
        <v>1818</v>
      </c>
      <c r="D181" s="631" t="s">
        <v>1819</v>
      </c>
      <c r="E181" s="638">
        <v>45343</v>
      </c>
      <c r="F181" s="334">
        <f t="shared" si="62"/>
        <v>3.6589999999999998</v>
      </c>
      <c r="G181" s="348"/>
      <c r="H181" s="301"/>
      <c r="I181" s="349"/>
      <c r="J181" s="349"/>
      <c r="K181" s="639" t="s">
        <v>1821</v>
      </c>
      <c r="L181" s="639" t="s">
        <v>1595</v>
      </c>
      <c r="M181" s="592">
        <v>0.35</v>
      </c>
      <c r="N181" s="639" t="s">
        <v>1593</v>
      </c>
      <c r="O181" s="340" t="s">
        <v>1846</v>
      </c>
      <c r="P181" s="578">
        <v>0</v>
      </c>
      <c r="Q181" s="340"/>
      <c r="R181" s="315"/>
      <c r="S181" s="315"/>
      <c r="T181" s="315">
        <v>25</v>
      </c>
      <c r="U181" s="640">
        <v>45433</v>
      </c>
      <c r="V181" s="378">
        <f t="shared" ca="1" si="57"/>
        <v>1</v>
      </c>
      <c r="W181" s="292">
        <f t="shared" ca="1" si="55"/>
        <v>1900</v>
      </c>
      <c r="X181" s="291" t="str">
        <f t="shared" ca="1" si="56"/>
        <v>4 WEEK</v>
      </c>
      <c r="Y181" s="436">
        <f t="shared" si="63"/>
        <v>25</v>
      </c>
      <c r="Z181" s="541" cm="1">
        <f t="array" aca="1" ref="Z181" ca="1">_xlfn.IFS(AD181&lt;100,Y181,Y181&lt;TODAY(),TODAY(),Y181&gt;TODAY(),Y181,Y181=TODAY(),Y181)</f>
        <v>25</v>
      </c>
      <c r="AA181" s="315"/>
      <c r="AB181" s="301"/>
      <c r="AC181" s="301"/>
      <c r="AD181" s="298">
        <f t="shared" si="48"/>
        <v>0</v>
      </c>
      <c r="AE181" s="299" t="str">
        <f t="shared" si="49"/>
        <v>Complete</v>
      </c>
      <c r="AF181" s="340"/>
      <c r="AG181" s="301"/>
      <c r="AH181" s="343"/>
      <c r="AI181" s="301">
        <f t="shared" ca="1" si="46"/>
        <v>0</v>
      </c>
      <c r="AJ181" s="302">
        <f t="shared" ca="1" si="47"/>
        <v>0</v>
      </c>
      <c r="AL181" s="303">
        <f t="shared" si="50"/>
        <v>0</v>
      </c>
      <c r="AM181" s="303">
        <f t="shared" si="51"/>
        <v>0</v>
      </c>
      <c r="AN181" s="303">
        <f t="shared" si="52"/>
        <v>0</v>
      </c>
      <c r="AO181" s="304">
        <f t="shared" si="53"/>
        <v>0</v>
      </c>
      <c r="AP181" s="273">
        <f t="shared" si="58"/>
        <v>1</v>
      </c>
      <c r="AQ181" s="273" t="str">
        <f t="shared" ca="1" si="54"/>
        <v>11900</v>
      </c>
    </row>
    <row r="182" spans="1:43" ht="15.75">
      <c r="A182" s="587">
        <v>8</v>
      </c>
      <c r="B182" s="637" t="s">
        <v>1817</v>
      </c>
      <c r="C182" s="332" t="s">
        <v>1818</v>
      </c>
      <c r="D182" s="631" t="s">
        <v>1819</v>
      </c>
      <c r="E182" s="638">
        <v>45343</v>
      </c>
      <c r="F182" s="334">
        <f t="shared" si="62"/>
        <v>3.6589999999999998</v>
      </c>
      <c r="G182" s="348"/>
      <c r="H182" s="301"/>
      <c r="I182" s="349"/>
      <c r="J182" s="349"/>
      <c r="K182" s="639" t="s">
        <v>1821</v>
      </c>
      <c r="L182" s="639" t="s">
        <v>1595</v>
      </c>
      <c r="M182" s="592">
        <v>0.35</v>
      </c>
      <c r="N182" s="639" t="s">
        <v>1593</v>
      </c>
      <c r="O182" s="340" t="s">
        <v>1846</v>
      </c>
      <c r="P182" s="578">
        <v>0</v>
      </c>
      <c r="Q182" s="340"/>
      <c r="R182" s="315"/>
      <c r="S182" s="315"/>
      <c r="T182" s="315">
        <v>25</v>
      </c>
      <c r="U182" s="640">
        <v>45433</v>
      </c>
      <c r="V182" s="378">
        <f t="shared" ca="1" si="57"/>
        <v>1</v>
      </c>
      <c r="W182" s="292">
        <f t="shared" ca="1" si="55"/>
        <v>1900</v>
      </c>
      <c r="X182" s="291" t="str">
        <f t="shared" ca="1" si="56"/>
        <v>4 WEEK</v>
      </c>
      <c r="Y182" s="436">
        <f t="shared" si="63"/>
        <v>25</v>
      </c>
      <c r="Z182" s="541" cm="1">
        <f t="array" aca="1" ref="Z182" ca="1">_xlfn.IFS(AD182&lt;100,Y182,Y182&lt;TODAY(),TODAY(),Y182&gt;TODAY(),Y182,Y182=TODAY(),Y182)</f>
        <v>25</v>
      </c>
      <c r="AA182" s="315"/>
      <c r="AB182" s="301"/>
      <c r="AC182" s="301"/>
      <c r="AD182" s="298">
        <f t="shared" si="48"/>
        <v>0</v>
      </c>
      <c r="AE182" s="299" t="str">
        <f t="shared" si="49"/>
        <v>Complete</v>
      </c>
      <c r="AF182" s="340"/>
      <c r="AG182" s="301"/>
      <c r="AH182" s="343"/>
      <c r="AI182" s="301">
        <f t="shared" ca="1" si="46"/>
        <v>0</v>
      </c>
      <c r="AJ182" s="302">
        <f t="shared" ca="1" si="47"/>
        <v>0</v>
      </c>
      <c r="AL182" s="303">
        <f t="shared" si="50"/>
        <v>0</v>
      </c>
      <c r="AM182" s="303">
        <f t="shared" si="51"/>
        <v>0</v>
      </c>
      <c r="AN182" s="303">
        <f t="shared" si="52"/>
        <v>0</v>
      </c>
      <c r="AO182" s="304">
        <f t="shared" si="53"/>
        <v>0</v>
      </c>
      <c r="AP182" s="273">
        <f t="shared" si="58"/>
        <v>1</v>
      </c>
      <c r="AQ182" s="273" t="str">
        <f t="shared" ca="1" si="54"/>
        <v>11900</v>
      </c>
    </row>
    <row r="183" spans="1:43" ht="15.75">
      <c r="A183" s="587">
        <v>8</v>
      </c>
      <c r="B183" s="637" t="s">
        <v>1817</v>
      </c>
      <c r="C183" s="332" t="s">
        <v>1818</v>
      </c>
      <c r="D183" s="631" t="s">
        <v>1819</v>
      </c>
      <c r="E183" s="638">
        <v>45343</v>
      </c>
      <c r="F183" s="334">
        <f t="shared" si="62"/>
        <v>3.6589999999999998</v>
      </c>
      <c r="G183" s="348">
        <v>9118800</v>
      </c>
      <c r="H183" s="301">
        <v>1641384</v>
      </c>
      <c r="I183" s="349">
        <v>10760184</v>
      </c>
      <c r="J183" s="349"/>
      <c r="K183" s="639" t="s">
        <v>1821</v>
      </c>
      <c r="L183" s="639" t="s">
        <v>1595</v>
      </c>
      <c r="M183" s="592">
        <v>0.35</v>
      </c>
      <c r="N183" s="639" t="s">
        <v>1593</v>
      </c>
      <c r="O183" s="340" t="s">
        <v>1847</v>
      </c>
      <c r="P183" s="329">
        <v>45478</v>
      </c>
      <c r="Q183" s="340" t="s">
        <v>1827</v>
      </c>
      <c r="R183" s="315">
        <v>10760184</v>
      </c>
      <c r="S183" s="315"/>
      <c r="T183" s="315">
        <v>25</v>
      </c>
      <c r="U183" s="640">
        <v>45433</v>
      </c>
      <c r="V183" s="378">
        <f t="shared" ca="1" si="57"/>
        <v>7</v>
      </c>
      <c r="W183" s="292">
        <f t="shared" ca="1" si="55"/>
        <v>2024</v>
      </c>
      <c r="X183" s="291" t="str">
        <f t="shared" ca="1" si="56"/>
        <v>5 WEEK</v>
      </c>
      <c r="Y183" s="329">
        <f t="shared" si="63"/>
        <v>45503</v>
      </c>
      <c r="Z183" s="341" cm="1">
        <f t="array" aca="1" ref="Z183" ca="1">_xlfn.IFS(AD183&lt;100,Y183,Y183&lt;TODAY(),TODAY(),Y183&gt;TODAY(),Y183,Y183=TODAY(),Y183)</f>
        <v>45503</v>
      </c>
      <c r="AA183" s="315"/>
      <c r="AB183" s="301"/>
      <c r="AC183" s="301"/>
      <c r="AD183" s="298">
        <f t="shared" si="48"/>
        <v>0</v>
      </c>
      <c r="AE183" s="299" t="str">
        <f t="shared" si="49"/>
        <v>Complete</v>
      </c>
      <c r="AF183" s="340"/>
      <c r="AG183" s="301"/>
      <c r="AH183" s="343"/>
      <c r="AI183" s="301">
        <f t="shared" ca="1" si="46"/>
        <v>0</v>
      </c>
      <c r="AJ183" s="302">
        <f t="shared" ca="1" si="47"/>
        <v>0</v>
      </c>
      <c r="AL183" s="303">
        <f t="shared" si="50"/>
        <v>10760184</v>
      </c>
      <c r="AM183" s="303">
        <f t="shared" si="51"/>
        <v>0</v>
      </c>
      <c r="AN183" s="303">
        <f t="shared" si="52"/>
        <v>10760184</v>
      </c>
      <c r="AO183" s="304">
        <f t="shared" si="53"/>
        <v>0</v>
      </c>
      <c r="AP183" s="273">
        <f t="shared" si="58"/>
        <v>7</v>
      </c>
      <c r="AQ183" s="273" t="str">
        <f t="shared" ca="1" si="54"/>
        <v>72024</v>
      </c>
    </row>
    <row r="184" spans="1:43" ht="15.75">
      <c r="A184" s="587">
        <v>8</v>
      </c>
      <c r="B184" s="637" t="s">
        <v>1817</v>
      </c>
      <c r="C184" s="332" t="s">
        <v>1818</v>
      </c>
      <c r="D184" s="631" t="s">
        <v>1819</v>
      </c>
      <c r="E184" s="638">
        <v>45343</v>
      </c>
      <c r="F184" s="334">
        <f t="shared" si="62"/>
        <v>3.6589999999999998</v>
      </c>
      <c r="G184" s="348">
        <v>7919818</v>
      </c>
      <c r="H184" s="301">
        <v>1425567.24</v>
      </c>
      <c r="I184" s="349">
        <v>9345385</v>
      </c>
      <c r="J184" s="349"/>
      <c r="K184" s="639" t="s">
        <v>1848</v>
      </c>
      <c r="L184" s="639" t="s">
        <v>1617</v>
      </c>
      <c r="M184" s="592">
        <v>0.15</v>
      </c>
      <c r="N184" s="639" t="s">
        <v>1618</v>
      </c>
      <c r="O184" s="340" t="s">
        <v>1849</v>
      </c>
      <c r="P184" s="329">
        <v>45645</v>
      </c>
      <c r="Q184" s="340" t="s">
        <v>1843</v>
      </c>
      <c r="R184" s="315">
        <v>9345385</v>
      </c>
      <c r="S184" s="315"/>
      <c r="T184" s="315">
        <v>25</v>
      </c>
      <c r="U184" s="640">
        <v>45433</v>
      </c>
      <c r="V184" s="378">
        <f t="shared" ca="1" si="57"/>
        <v>9</v>
      </c>
      <c r="W184" s="292">
        <f t="shared" ca="1" si="55"/>
        <v>2024</v>
      </c>
      <c r="X184" s="291" t="str">
        <f t="shared" ca="1" si="56"/>
        <v>2 WEEK</v>
      </c>
      <c r="Y184" s="484">
        <v>45547</v>
      </c>
      <c r="Z184" s="341" cm="1">
        <f t="array" aca="1" ref="Z184" ca="1">_xlfn.IFS(AD184&lt;100,Y184,Y184&lt;TODAY(),TODAY(),Y184&gt;TODAY(),Y184,Y184=TODAY(),Y184)</f>
        <v>45547</v>
      </c>
      <c r="AA184" s="315">
        <f>SUM(I161:I188)*M184</f>
        <v>18689520.300000001</v>
      </c>
      <c r="AB184" s="518">
        <f>AA184-AC184</f>
        <v>18315729.894000001</v>
      </c>
      <c r="AC184" s="301">
        <f>AA184*2%</f>
        <v>373790.40600000002</v>
      </c>
      <c r="AD184" s="298">
        <f t="shared" si="48"/>
        <v>0</v>
      </c>
      <c r="AE184" s="299" t="str">
        <f t="shared" si="49"/>
        <v>Complete</v>
      </c>
      <c r="AF184" s="340"/>
      <c r="AG184" s="301"/>
      <c r="AH184" s="343"/>
      <c r="AI184" s="301">
        <f t="shared" ca="1" si="46"/>
        <v>0</v>
      </c>
      <c r="AJ184" s="302">
        <f t="shared" ca="1" si="47"/>
        <v>0</v>
      </c>
      <c r="AL184" s="303">
        <f t="shared" si="50"/>
        <v>9345385</v>
      </c>
      <c r="AM184" s="303">
        <f t="shared" si="51"/>
        <v>0</v>
      </c>
      <c r="AN184" s="303">
        <f t="shared" si="52"/>
        <v>9345385</v>
      </c>
      <c r="AO184" s="304">
        <f t="shared" si="53"/>
        <v>0</v>
      </c>
      <c r="AP184" s="273">
        <f t="shared" si="58"/>
        <v>12</v>
      </c>
      <c r="AQ184" s="273" t="str">
        <f t="shared" ca="1" si="54"/>
        <v>122024</v>
      </c>
    </row>
    <row r="185" spans="1:43" ht="15.75">
      <c r="A185" s="587">
        <v>8</v>
      </c>
      <c r="B185" s="637" t="s">
        <v>1817</v>
      </c>
      <c r="C185" s="332" t="s">
        <v>1818</v>
      </c>
      <c r="D185" s="631" t="s">
        <v>1819</v>
      </c>
      <c r="E185" s="638">
        <v>45343</v>
      </c>
      <c r="F185" s="334">
        <f t="shared" si="62"/>
        <v>3.6589999999999998</v>
      </c>
      <c r="G185" s="348"/>
      <c r="H185" s="301"/>
      <c r="I185" s="349"/>
      <c r="J185" s="349"/>
      <c r="K185" s="639" t="s">
        <v>1850</v>
      </c>
      <c r="L185" s="639" t="s">
        <v>1617</v>
      </c>
      <c r="M185" s="592">
        <v>0.2</v>
      </c>
      <c r="N185" s="639" t="s">
        <v>1618</v>
      </c>
      <c r="O185" s="340"/>
      <c r="P185" s="578">
        <v>0</v>
      </c>
      <c r="Q185" s="340"/>
      <c r="R185" s="315"/>
      <c r="S185" s="315"/>
      <c r="T185" s="315">
        <v>25</v>
      </c>
      <c r="U185" s="640">
        <v>45433</v>
      </c>
      <c r="V185" s="378">
        <f t="shared" ca="1" si="57"/>
        <v>11</v>
      </c>
      <c r="W185" s="292">
        <f t="shared" ca="1" si="55"/>
        <v>2024</v>
      </c>
      <c r="X185" s="291" t="str">
        <f t="shared" ca="1" si="56"/>
        <v>5 WEEK</v>
      </c>
      <c r="Y185" s="484">
        <v>45625</v>
      </c>
      <c r="Z185" s="341" cm="1">
        <f t="array" aca="1" ref="Z185" ca="1">_xlfn.IFS(AD185&lt;100,Y185,Y185&lt;TODAY(),TODAY(),Y185&gt;TODAY(),Y185,Y185=TODAY(),Y185)</f>
        <v>45625</v>
      </c>
      <c r="AA185" s="315">
        <f>SUM(I161:I188)*M185</f>
        <v>24919360.400000002</v>
      </c>
      <c r="AB185" s="518">
        <v>24420973</v>
      </c>
      <c r="AC185" s="301">
        <f>AA185*2%</f>
        <v>498387.20800000004</v>
      </c>
      <c r="AD185" s="298">
        <f t="shared" si="48"/>
        <v>0</v>
      </c>
      <c r="AE185" s="299" t="str">
        <f t="shared" si="49"/>
        <v>Complete</v>
      </c>
      <c r="AF185" s="340"/>
      <c r="AG185" s="301"/>
      <c r="AH185" s="343"/>
      <c r="AI185" s="301">
        <f t="shared" ca="1" si="46"/>
        <v>0</v>
      </c>
      <c r="AJ185" s="302">
        <f t="shared" ca="1" si="47"/>
        <v>0</v>
      </c>
      <c r="AL185" s="303">
        <f t="shared" si="50"/>
        <v>0</v>
      </c>
      <c r="AM185" s="303">
        <f t="shared" si="51"/>
        <v>0</v>
      </c>
      <c r="AN185" s="303">
        <f t="shared" si="52"/>
        <v>0</v>
      </c>
      <c r="AO185" s="304">
        <f t="shared" si="53"/>
        <v>0</v>
      </c>
      <c r="AP185" s="273">
        <f t="shared" si="58"/>
        <v>1</v>
      </c>
      <c r="AQ185" s="273" t="str">
        <f t="shared" ca="1" si="54"/>
        <v>12024</v>
      </c>
    </row>
    <row r="186" spans="1:43" ht="15.75">
      <c r="A186" s="587">
        <v>8</v>
      </c>
      <c r="B186" s="637" t="s">
        <v>1817</v>
      </c>
      <c r="C186" s="332" t="s">
        <v>1818</v>
      </c>
      <c r="D186" s="631" t="s">
        <v>1819</v>
      </c>
      <c r="E186" s="638">
        <v>45343</v>
      </c>
      <c r="F186" s="334">
        <f t="shared" si="62"/>
        <v>3.6589999999999998</v>
      </c>
      <c r="G186" s="348"/>
      <c r="H186" s="301"/>
      <c r="I186" s="349"/>
      <c r="J186" s="349"/>
      <c r="K186" s="639" t="s">
        <v>1850</v>
      </c>
      <c r="L186" s="639" t="s">
        <v>1617</v>
      </c>
      <c r="M186" s="592">
        <v>0.2</v>
      </c>
      <c r="N186" s="639" t="s">
        <v>1618</v>
      </c>
      <c r="O186" s="340"/>
      <c r="P186" s="578">
        <v>0</v>
      </c>
      <c r="Q186" s="340"/>
      <c r="R186" s="315"/>
      <c r="S186" s="315"/>
      <c r="T186" s="315">
        <v>25</v>
      </c>
      <c r="U186" s="640">
        <v>45433</v>
      </c>
      <c r="V186" s="378">
        <f t="shared" ca="1" si="57"/>
        <v>11</v>
      </c>
      <c r="W186" s="292">
        <f t="shared" ca="1" si="55"/>
        <v>2024</v>
      </c>
      <c r="X186" s="291" t="str">
        <f t="shared" ca="1" si="56"/>
        <v>2 WEEK</v>
      </c>
      <c r="Y186" s="484">
        <v>45607</v>
      </c>
      <c r="Z186" s="341" cm="1">
        <f t="array" aca="1" ref="Z186" ca="1">_xlfn.IFS(AD186&lt;100,Y186,Y186&lt;TODAY(),TODAY(),Y186&gt;TODAY(),Y186,Y186=TODAY(),Y186)</f>
        <v>45607</v>
      </c>
      <c r="AA186" s="315"/>
      <c r="AB186" s="518"/>
      <c r="AC186" s="301"/>
      <c r="AD186" s="298">
        <f t="shared" si="48"/>
        <v>0</v>
      </c>
      <c r="AE186" s="299" t="str">
        <f t="shared" si="49"/>
        <v>Complete</v>
      </c>
      <c r="AF186" s="340"/>
      <c r="AG186" s="301"/>
      <c r="AH186" s="343"/>
      <c r="AI186" s="301">
        <f t="shared" ca="1" si="46"/>
        <v>0</v>
      </c>
      <c r="AJ186" s="302">
        <f t="shared" ca="1" si="47"/>
        <v>0</v>
      </c>
      <c r="AL186" s="303">
        <f t="shared" si="50"/>
        <v>0</v>
      </c>
      <c r="AM186" s="303">
        <f t="shared" si="51"/>
        <v>0</v>
      </c>
      <c r="AN186" s="303">
        <f t="shared" si="52"/>
        <v>0</v>
      </c>
      <c r="AO186" s="304">
        <f t="shared" si="53"/>
        <v>0</v>
      </c>
      <c r="AP186" s="273">
        <f t="shared" si="58"/>
        <v>1</v>
      </c>
      <c r="AQ186" s="273" t="str">
        <f t="shared" ca="1" si="54"/>
        <v>12024</v>
      </c>
    </row>
    <row r="187" spans="1:43" ht="15.75">
      <c r="A187" s="587">
        <v>8</v>
      </c>
      <c r="B187" s="637" t="s">
        <v>1817</v>
      </c>
      <c r="C187" s="332" t="s">
        <v>1818</v>
      </c>
      <c r="D187" s="631" t="s">
        <v>1819</v>
      </c>
      <c r="E187" s="638">
        <v>45343</v>
      </c>
      <c r="F187" s="334">
        <f t="shared" si="62"/>
        <v>3.6589999999999998</v>
      </c>
      <c r="G187" s="348"/>
      <c r="H187" s="301"/>
      <c r="I187" s="349"/>
      <c r="J187" s="349"/>
      <c r="K187" s="639" t="s">
        <v>1850</v>
      </c>
      <c r="L187" s="639" t="s">
        <v>1617</v>
      </c>
      <c r="M187" s="592">
        <v>0.2</v>
      </c>
      <c r="N187" s="639" t="s">
        <v>1618</v>
      </c>
      <c r="O187" s="340"/>
      <c r="P187" s="578">
        <v>0</v>
      </c>
      <c r="Q187" s="340"/>
      <c r="R187" s="315"/>
      <c r="S187" s="315"/>
      <c r="T187" s="315">
        <v>25</v>
      </c>
      <c r="U187" s="640">
        <v>45433</v>
      </c>
      <c r="V187" s="378">
        <f t="shared" ca="1" si="57"/>
        <v>11</v>
      </c>
      <c r="W187" s="292">
        <f t="shared" ca="1" si="55"/>
        <v>2024</v>
      </c>
      <c r="X187" s="291" t="str">
        <f t="shared" ca="1" si="56"/>
        <v>5 WEEK</v>
      </c>
      <c r="Y187" s="484">
        <v>45625</v>
      </c>
      <c r="Z187" s="341" cm="1">
        <f t="array" aca="1" ref="Z187" ca="1">_xlfn.IFS(AD187&lt;100,Y187,Y187&lt;TODAY(),TODAY(),Y187&gt;TODAY(),Y187,Y187=TODAY(),Y187)</f>
        <v>45625</v>
      </c>
      <c r="AA187" s="315"/>
      <c r="AB187" s="518"/>
      <c r="AC187" s="301"/>
      <c r="AD187" s="298">
        <f t="shared" si="48"/>
        <v>0</v>
      </c>
      <c r="AE187" s="299" t="str">
        <f t="shared" si="49"/>
        <v>Complete</v>
      </c>
      <c r="AF187" s="340"/>
      <c r="AG187" s="301"/>
      <c r="AH187" s="343"/>
      <c r="AI187" s="301">
        <f t="shared" ca="1" si="46"/>
        <v>0</v>
      </c>
      <c r="AJ187" s="302">
        <f t="shared" ca="1" si="47"/>
        <v>0</v>
      </c>
      <c r="AL187" s="303">
        <f t="shared" si="50"/>
        <v>0</v>
      </c>
      <c r="AM187" s="303">
        <f t="shared" si="51"/>
        <v>0</v>
      </c>
      <c r="AN187" s="303">
        <f t="shared" si="52"/>
        <v>0</v>
      </c>
      <c r="AO187" s="304">
        <f t="shared" si="53"/>
        <v>0</v>
      </c>
      <c r="AP187" s="273">
        <f t="shared" si="58"/>
        <v>1</v>
      </c>
      <c r="AQ187" s="273" t="str">
        <f t="shared" ca="1" si="54"/>
        <v>12024</v>
      </c>
    </row>
    <row r="188" spans="1:43" ht="15.75">
      <c r="A188" s="587">
        <v>8</v>
      </c>
      <c r="B188" s="637" t="s">
        <v>1817</v>
      </c>
      <c r="C188" s="332" t="s">
        <v>1818</v>
      </c>
      <c r="D188" s="631" t="s">
        <v>1819</v>
      </c>
      <c r="E188" s="638">
        <v>45343</v>
      </c>
      <c r="F188" s="334">
        <f t="shared" si="62"/>
        <v>3.6589999999999998</v>
      </c>
      <c r="G188" s="348"/>
      <c r="H188" s="301"/>
      <c r="I188" s="349"/>
      <c r="J188" s="349"/>
      <c r="K188" s="639" t="s">
        <v>1851</v>
      </c>
      <c r="L188" s="639" t="s">
        <v>1852</v>
      </c>
      <c r="M188" s="592">
        <v>0.2</v>
      </c>
      <c r="N188" s="639" t="s">
        <v>1593</v>
      </c>
      <c r="O188" s="340"/>
      <c r="P188" s="578">
        <v>0</v>
      </c>
      <c r="Q188" s="340"/>
      <c r="R188" s="315"/>
      <c r="S188" s="315"/>
      <c r="T188" s="315">
        <v>25</v>
      </c>
      <c r="U188" s="640">
        <v>45433</v>
      </c>
      <c r="V188" s="378">
        <f t="shared" ca="1" si="57"/>
        <v>2</v>
      </c>
      <c r="W188" s="292">
        <f t="shared" ca="1" si="55"/>
        <v>2025</v>
      </c>
      <c r="X188" s="291" t="str">
        <f t="shared" ca="1" si="56"/>
        <v>2 WEEK</v>
      </c>
      <c r="Y188" s="484">
        <v>45700</v>
      </c>
      <c r="Z188" s="341" cm="1">
        <f t="array" aca="1" ref="Z188" ca="1">_xlfn.IFS(AD188&lt;100,Y188,Y188&lt;TODAY(),TODAY(),Y188&gt;TODAY(),Y188,Y188=TODAY(),Y188)</f>
        <v>45700</v>
      </c>
      <c r="AA188" s="315">
        <f>SUM(I161:I188)*M188+SUM(H161:H188)*10%</f>
        <v>26473436.504000001</v>
      </c>
      <c r="AB188" s="641">
        <f>AA188-AC188</f>
        <v>25943967.77392</v>
      </c>
      <c r="AC188" s="642">
        <f>AA188*2%</f>
        <v>529468.73008000001</v>
      </c>
      <c r="AD188" s="298">
        <f t="shared" si="48"/>
        <v>0</v>
      </c>
      <c r="AE188" s="299" t="str">
        <f t="shared" si="49"/>
        <v>Complete</v>
      </c>
      <c r="AF188" s="340"/>
      <c r="AG188" s="301"/>
      <c r="AH188" s="343"/>
      <c r="AI188" s="301">
        <f t="shared" ca="1" si="46"/>
        <v>0</v>
      </c>
      <c r="AJ188" s="302">
        <f t="shared" ca="1" si="47"/>
        <v>0</v>
      </c>
      <c r="AL188" s="303">
        <f t="shared" si="50"/>
        <v>0</v>
      </c>
      <c r="AM188" s="303">
        <f t="shared" si="51"/>
        <v>0</v>
      </c>
      <c r="AN188" s="303">
        <f t="shared" si="52"/>
        <v>0</v>
      </c>
      <c r="AO188" s="304">
        <f t="shared" si="53"/>
        <v>0</v>
      </c>
      <c r="AP188" s="273">
        <f t="shared" si="58"/>
        <v>1</v>
      </c>
      <c r="AQ188" s="273" t="str">
        <f t="shared" ca="1" si="54"/>
        <v>12025</v>
      </c>
    </row>
    <row r="189" spans="1:43" ht="16.5" thickBot="1">
      <c r="A189" s="587">
        <v>8</v>
      </c>
      <c r="B189" s="637" t="s">
        <v>1817</v>
      </c>
      <c r="C189" s="332" t="s">
        <v>1818</v>
      </c>
      <c r="D189" s="631" t="s">
        <v>1819</v>
      </c>
      <c r="E189" s="638">
        <v>45343</v>
      </c>
      <c r="F189" s="334">
        <f t="shared" si="62"/>
        <v>3.6589999999999998</v>
      </c>
      <c r="G189" s="348"/>
      <c r="H189" s="301"/>
      <c r="I189" s="349"/>
      <c r="J189" s="349"/>
      <c r="K189" s="639" t="s">
        <v>1851</v>
      </c>
      <c r="L189" s="639" t="s">
        <v>1852</v>
      </c>
      <c r="M189" s="592">
        <v>0.2</v>
      </c>
      <c r="N189" s="639" t="s">
        <v>1593</v>
      </c>
      <c r="O189" s="340"/>
      <c r="P189" s="578">
        <v>0</v>
      </c>
      <c r="Q189" s="596"/>
      <c r="R189" s="423"/>
      <c r="S189" s="315"/>
      <c r="T189" s="315">
        <v>25</v>
      </c>
      <c r="U189" s="640">
        <v>45433</v>
      </c>
      <c r="V189" s="378">
        <f t="shared" ca="1" si="57"/>
        <v>3</v>
      </c>
      <c r="W189" s="292">
        <f t="shared" ca="1" si="55"/>
        <v>2025</v>
      </c>
      <c r="X189" s="291" t="str">
        <f t="shared" ca="1" si="56"/>
        <v>1 WEEK</v>
      </c>
      <c r="Y189" s="484">
        <v>45723</v>
      </c>
      <c r="Z189" s="341" cm="1">
        <f t="array" aca="1" ref="Z189" ca="1">_xlfn.IFS(AD189&lt;100,Y189,Y189&lt;TODAY(),TODAY(),Y189&gt;TODAY(),Y189,Y189=TODAY(),Y189)</f>
        <v>45723</v>
      </c>
      <c r="AA189" s="315"/>
      <c r="AB189" s="643"/>
      <c r="AC189" s="579"/>
      <c r="AD189" s="298">
        <f t="shared" si="48"/>
        <v>0</v>
      </c>
      <c r="AE189" s="299" t="str">
        <f t="shared" si="49"/>
        <v>Complete</v>
      </c>
      <c r="AF189" s="340"/>
      <c r="AG189" s="301"/>
      <c r="AH189" s="343"/>
      <c r="AI189" s="301">
        <f t="shared" ca="1" si="46"/>
        <v>0</v>
      </c>
      <c r="AJ189" s="302">
        <f t="shared" ca="1" si="47"/>
        <v>0</v>
      </c>
      <c r="AL189" s="303">
        <f t="shared" si="50"/>
        <v>0</v>
      </c>
      <c r="AM189" s="303">
        <f t="shared" si="51"/>
        <v>0</v>
      </c>
      <c r="AN189" s="303">
        <f t="shared" si="52"/>
        <v>0</v>
      </c>
      <c r="AO189" s="304">
        <f t="shared" si="53"/>
        <v>0</v>
      </c>
      <c r="AP189" s="273">
        <f t="shared" si="58"/>
        <v>1</v>
      </c>
      <c r="AQ189" s="273" t="str">
        <f t="shared" ca="1" si="54"/>
        <v>12025</v>
      </c>
    </row>
    <row r="190" spans="1:43" ht="15.75">
      <c r="A190" s="644">
        <v>9</v>
      </c>
      <c r="B190" s="645" t="s">
        <v>1817</v>
      </c>
      <c r="C190" s="394" t="s">
        <v>1818</v>
      </c>
      <c r="D190" s="631" t="s">
        <v>1819</v>
      </c>
      <c r="E190" s="646">
        <v>45343</v>
      </c>
      <c r="F190" s="647">
        <v>2.468</v>
      </c>
      <c r="G190" s="648"/>
      <c r="H190" s="405"/>
      <c r="I190" s="649"/>
      <c r="J190" s="649"/>
      <c r="K190" s="650" t="s">
        <v>1853</v>
      </c>
      <c r="L190" s="650" t="s">
        <v>1592</v>
      </c>
      <c r="M190" s="605">
        <v>0.1</v>
      </c>
      <c r="N190" s="635" t="s">
        <v>1593</v>
      </c>
      <c r="O190" s="407"/>
      <c r="P190" s="651">
        <v>0</v>
      </c>
      <c r="Q190" s="407"/>
      <c r="R190" s="404"/>
      <c r="S190" s="404"/>
      <c r="T190" s="315">
        <v>25</v>
      </c>
      <c r="U190" s="640">
        <v>45433</v>
      </c>
      <c r="V190" s="378">
        <f t="shared" ca="1" si="57"/>
        <v>11</v>
      </c>
      <c r="W190" s="292">
        <f t="shared" ca="1" si="55"/>
        <v>2024</v>
      </c>
      <c r="X190" s="291" t="str">
        <f t="shared" ca="1" si="56"/>
        <v>5 WEEK</v>
      </c>
      <c r="Y190" s="652">
        <v>45625</v>
      </c>
      <c r="Z190" s="409" cm="1">
        <f t="array" aca="1" ref="Z190" ca="1">_xlfn.IFS(AD190&lt;100,Y190,Y190&lt;TODAY(),TODAY(),Y190&gt;TODAY(),Y190,Y190=TODAY(),Y190)</f>
        <v>45625</v>
      </c>
      <c r="AA190" s="404">
        <f>SUM(G190:G217)*M190</f>
        <v>7532068.5</v>
      </c>
      <c r="AB190" s="653">
        <f>AA190-AC190</f>
        <v>7524536.4314999999</v>
      </c>
      <c r="AC190" s="405">
        <f>AA190*0.1%</f>
        <v>7532.0685000000003</v>
      </c>
      <c r="AD190" s="298">
        <f t="shared" si="48"/>
        <v>0</v>
      </c>
      <c r="AE190" s="299" t="str">
        <f t="shared" si="49"/>
        <v>Complete</v>
      </c>
      <c r="AF190" s="407"/>
      <c r="AG190" s="405"/>
      <c r="AH190" s="411"/>
      <c r="AI190" s="301">
        <f t="shared" ca="1" si="46"/>
        <v>0</v>
      </c>
      <c r="AJ190" s="302">
        <f t="shared" ca="1" si="47"/>
        <v>0</v>
      </c>
      <c r="AL190" s="303">
        <f t="shared" si="50"/>
        <v>0</v>
      </c>
      <c r="AM190" s="303">
        <f t="shared" si="51"/>
        <v>0</v>
      </c>
      <c r="AN190" s="303">
        <f t="shared" si="52"/>
        <v>0</v>
      </c>
      <c r="AO190" s="304">
        <f t="shared" si="53"/>
        <v>0</v>
      </c>
      <c r="AP190" s="273">
        <f t="shared" si="58"/>
        <v>1</v>
      </c>
      <c r="AQ190" s="273" t="str">
        <f t="shared" ca="1" si="54"/>
        <v>12024</v>
      </c>
    </row>
    <row r="191" spans="1:43" ht="16.5">
      <c r="A191" s="587">
        <v>9</v>
      </c>
      <c r="B191" s="637" t="s">
        <v>1817</v>
      </c>
      <c r="C191" s="332" t="s">
        <v>1818</v>
      </c>
      <c r="D191" s="631" t="s">
        <v>1819</v>
      </c>
      <c r="E191" s="638">
        <v>45343</v>
      </c>
      <c r="F191" s="507">
        <v>2.468</v>
      </c>
      <c r="G191" s="301">
        <v>42497760</v>
      </c>
      <c r="H191" s="301">
        <v>5099731.2</v>
      </c>
      <c r="I191" s="349">
        <v>47597491</v>
      </c>
      <c r="J191" s="349"/>
      <c r="K191" s="639" t="s">
        <v>1854</v>
      </c>
      <c r="L191" s="639" t="s">
        <v>1595</v>
      </c>
      <c r="M191" s="592">
        <v>0.35</v>
      </c>
      <c r="N191" s="639" t="s">
        <v>1593</v>
      </c>
      <c r="O191" s="593" t="s">
        <v>1822</v>
      </c>
      <c r="P191" s="611">
        <v>45382</v>
      </c>
      <c r="Q191" s="481" t="s">
        <v>1855</v>
      </c>
      <c r="R191" s="315">
        <v>47597491</v>
      </c>
      <c r="S191" s="315"/>
      <c r="T191" s="315">
        <v>25</v>
      </c>
      <c r="U191" s="640">
        <v>45433</v>
      </c>
      <c r="V191" s="378">
        <f t="shared" ca="1" si="57"/>
        <v>2</v>
      </c>
      <c r="W191" s="292">
        <f t="shared" ca="1" si="55"/>
        <v>2025</v>
      </c>
      <c r="X191" s="291" t="str">
        <f t="shared" ca="1" si="56"/>
        <v>1 WEEK</v>
      </c>
      <c r="Y191" s="484">
        <v>45691</v>
      </c>
      <c r="Z191" s="341" cm="1">
        <f t="array" aca="1" ref="Z191" ca="1">_xlfn.IFS(AD191&lt;100,Y191,Y191&lt;TODAY(),TODAY(),Y191&gt;TODAY(),Y191,Y191=TODAY(),Y191)</f>
        <v>45691</v>
      </c>
      <c r="AA191" s="315">
        <f>SUM(I190:I217)*M191</f>
        <v>30127442.799999997</v>
      </c>
      <c r="AB191" s="518">
        <v>30097315</v>
      </c>
      <c r="AC191" s="301">
        <f>AA191*0.1%</f>
        <v>30127.442799999997</v>
      </c>
      <c r="AD191" s="298">
        <f t="shared" si="48"/>
        <v>0</v>
      </c>
      <c r="AE191" s="299" t="str">
        <f t="shared" si="49"/>
        <v>Complete</v>
      </c>
      <c r="AF191" s="340"/>
      <c r="AG191" s="301"/>
      <c r="AH191" s="343"/>
      <c r="AI191" s="301">
        <f t="shared" ca="1" si="46"/>
        <v>0</v>
      </c>
      <c r="AJ191" s="302">
        <f t="shared" ca="1" si="47"/>
        <v>0</v>
      </c>
      <c r="AL191" s="303">
        <f t="shared" si="50"/>
        <v>47597491</v>
      </c>
      <c r="AM191" s="303">
        <f t="shared" si="51"/>
        <v>0</v>
      </c>
      <c r="AN191" s="303">
        <f t="shared" si="52"/>
        <v>47597491</v>
      </c>
      <c r="AO191" s="304">
        <f t="shared" si="53"/>
        <v>0</v>
      </c>
      <c r="AP191" s="273">
        <f t="shared" si="58"/>
        <v>3</v>
      </c>
      <c r="AQ191" s="273" t="str">
        <f t="shared" ca="1" si="54"/>
        <v>32025</v>
      </c>
    </row>
    <row r="192" spans="1:43" ht="16.5">
      <c r="A192" s="587">
        <v>9</v>
      </c>
      <c r="B192" s="637" t="s">
        <v>1817</v>
      </c>
      <c r="C192" s="332" t="s">
        <v>1818</v>
      </c>
      <c r="D192" s="631" t="s">
        <v>1819</v>
      </c>
      <c r="E192" s="638">
        <v>45343</v>
      </c>
      <c r="F192" s="507">
        <v>2.468</v>
      </c>
      <c r="G192" s="301"/>
      <c r="H192" s="301"/>
      <c r="I192" s="349"/>
      <c r="J192" s="349"/>
      <c r="K192" s="639" t="s">
        <v>1854</v>
      </c>
      <c r="L192" s="639" t="s">
        <v>1595</v>
      </c>
      <c r="M192" s="592">
        <v>0.35</v>
      </c>
      <c r="N192" s="639" t="s">
        <v>1593</v>
      </c>
      <c r="O192" s="593" t="s">
        <v>1822</v>
      </c>
      <c r="P192" s="611">
        <v>45391</v>
      </c>
      <c r="Q192" s="481" t="s">
        <v>1856</v>
      </c>
      <c r="R192" s="315">
        <v>3966458</v>
      </c>
      <c r="S192" s="315"/>
      <c r="T192" s="315">
        <v>25</v>
      </c>
      <c r="U192" s="640">
        <v>45433</v>
      </c>
      <c r="V192" s="378">
        <f t="shared" ca="1" si="57"/>
        <v>5</v>
      </c>
      <c r="W192" s="292">
        <f t="shared" ca="1" si="55"/>
        <v>2024</v>
      </c>
      <c r="X192" s="291" t="str">
        <f t="shared" ca="1" si="56"/>
        <v>1 WEEK</v>
      </c>
      <c r="Y192" s="484">
        <f>P192+T192</f>
        <v>45416</v>
      </c>
      <c r="Z192" s="341" cm="1">
        <f t="array" aca="1" ref="Z192" ca="1">_xlfn.IFS(AD192&lt;100,Y192,Y192&lt;TODAY(),TODAY(),Y192&gt;TODAY(),Y192,Y192=TODAY(),Y192)</f>
        <v>45416</v>
      </c>
      <c r="AA192" s="315"/>
      <c r="AB192" s="518"/>
      <c r="AC192" s="301"/>
      <c r="AD192" s="298">
        <f t="shared" si="48"/>
        <v>0</v>
      </c>
      <c r="AE192" s="299" t="str">
        <f t="shared" si="49"/>
        <v>Complete</v>
      </c>
      <c r="AF192" s="340"/>
      <c r="AG192" s="301"/>
      <c r="AH192" s="343"/>
      <c r="AI192" s="301">
        <f t="shared" ca="1" si="46"/>
        <v>0</v>
      </c>
      <c r="AJ192" s="302">
        <f t="shared" ca="1" si="47"/>
        <v>0</v>
      </c>
      <c r="AL192" s="303">
        <f t="shared" si="50"/>
        <v>0</v>
      </c>
      <c r="AM192" s="303">
        <f t="shared" si="51"/>
        <v>-3966458</v>
      </c>
      <c r="AN192" s="303">
        <f t="shared" si="52"/>
        <v>3966458</v>
      </c>
      <c r="AO192" s="304">
        <f t="shared" si="53"/>
        <v>0</v>
      </c>
      <c r="AP192" s="273">
        <f t="shared" si="58"/>
        <v>4</v>
      </c>
      <c r="AQ192" s="273" t="str">
        <f t="shared" ca="1" si="54"/>
        <v>42024</v>
      </c>
    </row>
    <row r="193" spans="1:43" ht="16.5">
      <c r="A193" s="587">
        <v>9</v>
      </c>
      <c r="B193" s="637" t="s">
        <v>1817</v>
      </c>
      <c r="C193" s="332" t="s">
        <v>1818</v>
      </c>
      <c r="D193" s="631" t="s">
        <v>1819</v>
      </c>
      <c r="E193" s="638">
        <v>45343</v>
      </c>
      <c r="F193" s="507">
        <v>2.468</v>
      </c>
      <c r="G193" s="301"/>
      <c r="H193" s="301"/>
      <c r="I193" s="349"/>
      <c r="J193" s="349"/>
      <c r="K193" s="639" t="s">
        <v>1854</v>
      </c>
      <c r="L193" s="639" t="s">
        <v>1595</v>
      </c>
      <c r="M193" s="592">
        <v>0.35</v>
      </c>
      <c r="N193" s="639" t="s">
        <v>1593</v>
      </c>
      <c r="O193" s="593" t="s">
        <v>1822</v>
      </c>
      <c r="P193" s="611">
        <v>45395</v>
      </c>
      <c r="Q193" s="481" t="s">
        <v>1857</v>
      </c>
      <c r="R193" s="315">
        <v>-7932915.2000000002</v>
      </c>
      <c r="S193" s="315"/>
      <c r="T193" s="315">
        <v>25</v>
      </c>
      <c r="U193" s="640">
        <v>45433</v>
      </c>
      <c r="V193" s="378">
        <f t="shared" ca="1" si="57"/>
        <v>5</v>
      </c>
      <c r="W193" s="292">
        <f t="shared" ca="1" si="55"/>
        <v>2024</v>
      </c>
      <c r="X193" s="291" t="str">
        <f t="shared" ca="1" si="56"/>
        <v>2 WEEK</v>
      </c>
      <c r="Y193" s="484">
        <f t="shared" ref="Y193:Y213" si="64">P193+T193</f>
        <v>45420</v>
      </c>
      <c r="Z193" s="341" cm="1">
        <f t="array" aca="1" ref="Z193" ca="1">_xlfn.IFS(AD193&lt;100,Y193,Y193&lt;TODAY(),TODAY(),Y193&gt;TODAY(),Y193,Y193=TODAY(),Y193)</f>
        <v>45420</v>
      </c>
      <c r="AA193" s="315"/>
      <c r="AB193" s="518"/>
      <c r="AC193" s="301"/>
      <c r="AD193" s="298">
        <f t="shared" si="48"/>
        <v>0</v>
      </c>
      <c r="AE193" s="299" t="str">
        <f t="shared" si="49"/>
        <v>Complete</v>
      </c>
      <c r="AF193" s="340"/>
      <c r="AG193" s="301"/>
      <c r="AH193" s="343"/>
      <c r="AI193" s="301">
        <f t="shared" ca="1" si="46"/>
        <v>0</v>
      </c>
      <c r="AJ193" s="302">
        <f t="shared" ca="1" si="47"/>
        <v>0</v>
      </c>
      <c r="AL193" s="303">
        <f t="shared" si="50"/>
        <v>0</v>
      </c>
      <c r="AM193" s="303">
        <f t="shared" si="51"/>
        <v>7932915.2000000002</v>
      </c>
      <c r="AN193" s="303">
        <f t="shared" si="52"/>
        <v>-7932915.2000000002</v>
      </c>
      <c r="AO193" s="304">
        <f t="shared" si="53"/>
        <v>0</v>
      </c>
      <c r="AP193" s="273">
        <f t="shared" si="58"/>
        <v>4</v>
      </c>
      <c r="AQ193" s="273" t="str">
        <f t="shared" ca="1" si="54"/>
        <v>42024</v>
      </c>
    </row>
    <row r="194" spans="1:43" ht="16.5">
      <c r="A194" s="587">
        <v>9</v>
      </c>
      <c r="B194" s="637" t="s">
        <v>1817</v>
      </c>
      <c r="C194" s="332" t="s">
        <v>1818</v>
      </c>
      <c r="D194" s="631" t="s">
        <v>1819</v>
      </c>
      <c r="E194" s="638">
        <v>45343</v>
      </c>
      <c r="F194" s="507">
        <v>2.468</v>
      </c>
      <c r="G194" s="301"/>
      <c r="H194" s="301"/>
      <c r="I194" s="349"/>
      <c r="J194" s="349"/>
      <c r="K194" s="639" t="s">
        <v>1854</v>
      </c>
      <c r="L194" s="639" t="s">
        <v>1595</v>
      </c>
      <c r="M194" s="592">
        <v>0.35</v>
      </c>
      <c r="N194" s="639" t="s">
        <v>1593</v>
      </c>
      <c r="O194" s="593" t="s">
        <v>1822</v>
      </c>
      <c r="P194" s="611">
        <v>45401</v>
      </c>
      <c r="Q194" s="481" t="s">
        <v>1858</v>
      </c>
      <c r="R194" s="315">
        <v>3966457.6</v>
      </c>
      <c r="S194" s="315"/>
      <c r="T194" s="315">
        <v>25</v>
      </c>
      <c r="U194" s="640">
        <v>45433</v>
      </c>
      <c r="V194" s="378">
        <f t="shared" ca="1" si="57"/>
        <v>5</v>
      </c>
      <c r="W194" s="292">
        <f t="shared" ca="1" si="55"/>
        <v>2024</v>
      </c>
      <c r="X194" s="291" t="str">
        <f t="shared" ca="1" si="56"/>
        <v>2 WEEK</v>
      </c>
      <c r="Y194" s="484">
        <f t="shared" si="64"/>
        <v>45426</v>
      </c>
      <c r="Z194" s="341" cm="1">
        <f t="array" aca="1" ref="Z194" ca="1">_xlfn.IFS(AD194&lt;100,Y194,Y194&lt;TODAY(),TODAY(),Y194&gt;TODAY(),Y194,Y194=TODAY(),Y194)</f>
        <v>45426</v>
      </c>
      <c r="AA194" s="315"/>
      <c r="AB194" s="518"/>
      <c r="AC194" s="301"/>
      <c r="AD194" s="298">
        <f t="shared" si="48"/>
        <v>0</v>
      </c>
      <c r="AE194" s="299" t="str">
        <f t="shared" si="49"/>
        <v>Complete</v>
      </c>
      <c r="AF194" s="340"/>
      <c r="AG194" s="301"/>
      <c r="AH194" s="343"/>
      <c r="AI194" s="301">
        <f t="shared" ref="AI194:AI257" ca="1" si="65">Z194-Y194</f>
        <v>0</v>
      </c>
      <c r="AJ194" s="302">
        <f t="shared" ref="AJ194:AJ257" ca="1" si="66">IF(AI194&gt;1,"Delayed",0)</f>
        <v>0</v>
      </c>
      <c r="AL194" s="303">
        <f t="shared" si="50"/>
        <v>0</v>
      </c>
      <c r="AM194" s="303">
        <f t="shared" si="51"/>
        <v>-3966457.6</v>
      </c>
      <c r="AN194" s="303">
        <f t="shared" si="52"/>
        <v>3966457.6</v>
      </c>
      <c r="AO194" s="304">
        <f t="shared" si="53"/>
        <v>0</v>
      </c>
      <c r="AP194" s="273">
        <f t="shared" si="58"/>
        <v>4</v>
      </c>
      <c r="AQ194" s="273" t="str">
        <f t="shared" ca="1" si="54"/>
        <v>42024</v>
      </c>
    </row>
    <row r="195" spans="1:43" ht="16.5">
      <c r="A195" s="587">
        <v>9</v>
      </c>
      <c r="B195" s="637" t="s">
        <v>1817</v>
      </c>
      <c r="C195" s="332" t="s">
        <v>1818</v>
      </c>
      <c r="D195" s="631" t="s">
        <v>1819</v>
      </c>
      <c r="E195" s="638">
        <v>45343</v>
      </c>
      <c r="F195" s="507">
        <v>2.468</v>
      </c>
      <c r="G195" s="301">
        <v>4168901</v>
      </c>
      <c r="H195" s="301">
        <v>500268.12</v>
      </c>
      <c r="I195" s="349">
        <v>4669169</v>
      </c>
      <c r="J195" s="349"/>
      <c r="K195" s="639" t="s">
        <v>1854</v>
      </c>
      <c r="L195" s="639" t="s">
        <v>1595</v>
      </c>
      <c r="M195" s="592">
        <v>0.35</v>
      </c>
      <c r="N195" s="639" t="s">
        <v>1593</v>
      </c>
      <c r="O195" s="593" t="s">
        <v>1824</v>
      </c>
      <c r="P195" s="611">
        <v>45382</v>
      </c>
      <c r="Q195" s="481" t="s">
        <v>1859</v>
      </c>
      <c r="R195" s="315">
        <v>4669169</v>
      </c>
      <c r="S195" s="315"/>
      <c r="T195" s="315">
        <v>25</v>
      </c>
      <c r="U195" s="640">
        <v>45433</v>
      </c>
      <c r="V195" s="378">
        <f t="shared" ca="1" si="57"/>
        <v>4</v>
      </c>
      <c r="W195" s="292">
        <f t="shared" ca="1" si="55"/>
        <v>2024</v>
      </c>
      <c r="X195" s="291" t="str">
        <f t="shared" ca="1" si="56"/>
        <v>4 WEEK</v>
      </c>
      <c r="Y195" s="484">
        <f t="shared" si="64"/>
        <v>45407</v>
      </c>
      <c r="Z195" s="341" cm="1">
        <f t="array" aca="1" ref="Z195" ca="1">_xlfn.IFS(AD195&lt;100,Y195,Y195&lt;TODAY(),TODAY(),Y195&gt;TODAY(),Y195,Y195=TODAY(),Y195)</f>
        <v>45407</v>
      </c>
      <c r="AA195" s="315"/>
      <c r="AB195" s="301"/>
      <c r="AC195" s="301"/>
      <c r="AD195" s="298">
        <f t="shared" ref="AD195:AD258" si="67">ROUND(AA195-AB195-AC195,0)</f>
        <v>0</v>
      </c>
      <c r="AE195" s="299" t="str">
        <f t="shared" ref="AE195:AE258" si="68">IF(AD195&lt;100,"Complete","Incomplete")</f>
        <v>Complete</v>
      </c>
      <c r="AF195" s="340"/>
      <c r="AG195" s="301"/>
      <c r="AH195" s="343"/>
      <c r="AI195" s="301">
        <f t="shared" ca="1" si="65"/>
        <v>0</v>
      </c>
      <c r="AJ195" s="302">
        <f t="shared" ca="1" si="66"/>
        <v>0</v>
      </c>
      <c r="AL195" s="303">
        <f t="shared" ref="AL195:AL258" si="69">I195-J195</f>
        <v>4669169</v>
      </c>
      <c r="AM195" s="303">
        <f t="shared" ref="AM195:AM258" si="70">IFERROR(I195-R195,0)</f>
        <v>0</v>
      </c>
      <c r="AN195" s="303">
        <f t="shared" ref="AN195:AN258" si="71">IFERROR(R195-J195,0)</f>
        <v>4669169</v>
      </c>
      <c r="AO195" s="304">
        <f t="shared" ref="AO195:AO258" si="72">IFERROR(P195/J195,0)</f>
        <v>0</v>
      </c>
      <c r="AP195" s="273">
        <f t="shared" si="58"/>
        <v>3</v>
      </c>
      <c r="AQ195" s="273" t="str">
        <f t="shared" ref="AQ195:AQ258" ca="1" si="73">AP195&amp;W195</f>
        <v>32024</v>
      </c>
    </row>
    <row r="196" spans="1:43" ht="16.5">
      <c r="A196" s="587">
        <v>9</v>
      </c>
      <c r="B196" s="637" t="s">
        <v>1817</v>
      </c>
      <c r="C196" s="332" t="s">
        <v>1818</v>
      </c>
      <c r="D196" s="631" t="s">
        <v>1819</v>
      </c>
      <c r="E196" s="638">
        <v>45343</v>
      </c>
      <c r="F196" s="507">
        <v>2.468</v>
      </c>
      <c r="G196" s="301">
        <v>5510714</v>
      </c>
      <c r="H196" s="301">
        <v>991928.52</v>
      </c>
      <c r="I196" s="349">
        <v>6502643</v>
      </c>
      <c r="J196" s="349"/>
      <c r="K196" s="639" t="s">
        <v>1854</v>
      </c>
      <c r="L196" s="639" t="s">
        <v>1595</v>
      </c>
      <c r="M196" s="592">
        <v>0.35</v>
      </c>
      <c r="N196" s="639" t="s">
        <v>1593</v>
      </c>
      <c r="O196" s="593" t="s">
        <v>1826</v>
      </c>
      <c r="P196" s="611">
        <v>45478</v>
      </c>
      <c r="Q196" s="481" t="s">
        <v>1860</v>
      </c>
      <c r="R196" s="315">
        <v>6502643</v>
      </c>
      <c r="S196" s="315"/>
      <c r="T196" s="315">
        <v>25</v>
      </c>
      <c r="U196" s="640">
        <v>45433</v>
      </c>
      <c r="V196" s="378">
        <f t="shared" ca="1" si="57"/>
        <v>7</v>
      </c>
      <c r="W196" s="292">
        <f t="shared" ref="W196:W259" ca="1" si="74">YEAR(Z196)</f>
        <v>2024</v>
      </c>
      <c r="X196" s="291" t="str">
        <f t="shared" ref="X196:X259" ca="1" si="75">INT((DAY(Z196)-1)/7)+1&amp;" WEEK"</f>
        <v>5 WEEK</v>
      </c>
      <c r="Y196" s="484">
        <f t="shared" si="64"/>
        <v>45503</v>
      </c>
      <c r="Z196" s="341" cm="1">
        <f t="array" aca="1" ref="Z196" ca="1">_xlfn.IFS(AD196&lt;100,Y196,Y196&lt;TODAY(),TODAY(),Y196&gt;TODAY(),Y196,Y196=TODAY(),Y196)</f>
        <v>45503</v>
      </c>
      <c r="AA196" s="315"/>
      <c r="AB196" s="301"/>
      <c r="AC196" s="301"/>
      <c r="AD196" s="298">
        <f t="shared" si="67"/>
        <v>0</v>
      </c>
      <c r="AE196" s="299" t="str">
        <f t="shared" si="68"/>
        <v>Complete</v>
      </c>
      <c r="AF196" s="340"/>
      <c r="AG196" s="301"/>
      <c r="AH196" s="343"/>
      <c r="AI196" s="301">
        <f t="shared" ca="1" si="65"/>
        <v>0</v>
      </c>
      <c r="AJ196" s="302">
        <f t="shared" ca="1" si="66"/>
        <v>0</v>
      </c>
      <c r="AL196" s="303">
        <f t="shared" si="69"/>
        <v>6502643</v>
      </c>
      <c r="AM196" s="303">
        <f t="shared" si="70"/>
        <v>0</v>
      </c>
      <c r="AN196" s="303">
        <f t="shared" si="71"/>
        <v>6502643</v>
      </c>
      <c r="AO196" s="304">
        <f t="shared" si="72"/>
        <v>0</v>
      </c>
      <c r="AP196" s="273">
        <f t="shared" si="58"/>
        <v>7</v>
      </c>
      <c r="AQ196" s="273" t="str">
        <f t="shared" ca="1" si="73"/>
        <v>72024</v>
      </c>
    </row>
    <row r="197" spans="1:43" ht="16.5">
      <c r="A197" s="587">
        <v>9</v>
      </c>
      <c r="B197" s="637" t="s">
        <v>1817</v>
      </c>
      <c r="C197" s="332" t="s">
        <v>1818</v>
      </c>
      <c r="D197" s="631" t="s">
        <v>1819</v>
      </c>
      <c r="E197" s="638">
        <v>45343</v>
      </c>
      <c r="F197" s="507">
        <v>2.468</v>
      </c>
      <c r="G197" s="301">
        <v>2403379</v>
      </c>
      <c r="H197" s="301">
        <v>432608.22</v>
      </c>
      <c r="I197" s="349">
        <v>2835987</v>
      </c>
      <c r="J197" s="349"/>
      <c r="K197" s="639" t="s">
        <v>1854</v>
      </c>
      <c r="L197" s="639" t="s">
        <v>1595</v>
      </c>
      <c r="M197" s="592">
        <v>0.35</v>
      </c>
      <c r="N197" s="639" t="s">
        <v>1593</v>
      </c>
      <c r="O197" s="593" t="s">
        <v>1828</v>
      </c>
      <c r="P197" s="616">
        <v>45590</v>
      </c>
      <c r="Q197" s="481" t="s">
        <v>1861</v>
      </c>
      <c r="R197" s="315">
        <v>2835987</v>
      </c>
      <c r="S197" s="315"/>
      <c r="T197" s="315">
        <v>25</v>
      </c>
      <c r="U197" s="640">
        <v>45433</v>
      </c>
      <c r="V197" s="378">
        <f t="shared" ref="V197:V260" ca="1" si="76">MONTH(Z197)</f>
        <v>11</v>
      </c>
      <c r="W197" s="292">
        <f t="shared" ca="1" si="74"/>
        <v>2024</v>
      </c>
      <c r="X197" s="291" t="str">
        <f t="shared" ca="1" si="75"/>
        <v>3 WEEK</v>
      </c>
      <c r="Y197" s="484">
        <f t="shared" si="64"/>
        <v>45615</v>
      </c>
      <c r="Z197" s="341" cm="1">
        <f t="array" aca="1" ref="Z197" ca="1">_xlfn.IFS(AD197&lt;100,Y197,Y197&lt;TODAY(),TODAY(),Y197&gt;TODAY(),Y197,Y197=TODAY(),Y197)</f>
        <v>45615</v>
      </c>
      <c r="AA197" s="315"/>
      <c r="AB197" s="301"/>
      <c r="AC197" s="301"/>
      <c r="AD197" s="298">
        <f t="shared" si="67"/>
        <v>0</v>
      </c>
      <c r="AE197" s="299" t="str">
        <f t="shared" si="68"/>
        <v>Complete</v>
      </c>
      <c r="AF197" s="340"/>
      <c r="AG197" s="301"/>
      <c r="AH197" s="343"/>
      <c r="AI197" s="301">
        <f t="shared" ca="1" si="65"/>
        <v>0</v>
      </c>
      <c r="AJ197" s="302">
        <f t="shared" ca="1" si="66"/>
        <v>0</v>
      </c>
      <c r="AL197" s="303">
        <f t="shared" si="69"/>
        <v>2835987</v>
      </c>
      <c r="AM197" s="303">
        <f t="shared" si="70"/>
        <v>0</v>
      </c>
      <c r="AN197" s="303">
        <f t="shared" si="71"/>
        <v>2835987</v>
      </c>
      <c r="AO197" s="304">
        <f t="shared" si="72"/>
        <v>0</v>
      </c>
      <c r="AP197" s="273">
        <f t="shared" ref="AP197:AP260" si="77">MONTH(P197)</f>
        <v>10</v>
      </c>
      <c r="AQ197" s="273" t="str">
        <f t="shared" ca="1" si="73"/>
        <v>102024</v>
      </c>
    </row>
    <row r="198" spans="1:43" ht="16.5">
      <c r="A198" s="587">
        <v>9</v>
      </c>
      <c r="B198" s="637" t="s">
        <v>1817</v>
      </c>
      <c r="C198" s="332" t="s">
        <v>1818</v>
      </c>
      <c r="D198" s="631" t="s">
        <v>1819</v>
      </c>
      <c r="E198" s="638">
        <v>45343</v>
      </c>
      <c r="F198" s="507">
        <v>2.468</v>
      </c>
      <c r="G198" s="301">
        <v>1730433</v>
      </c>
      <c r="H198" s="301">
        <v>311477.94</v>
      </c>
      <c r="I198" s="349">
        <v>2041911</v>
      </c>
      <c r="J198" s="349"/>
      <c r="K198" s="639" t="s">
        <v>1854</v>
      </c>
      <c r="L198" s="639" t="s">
        <v>1595</v>
      </c>
      <c r="M198" s="592">
        <v>0.35</v>
      </c>
      <c r="N198" s="639" t="s">
        <v>1593</v>
      </c>
      <c r="O198" s="593" t="s">
        <v>1830</v>
      </c>
      <c r="P198" s="616">
        <v>45590</v>
      </c>
      <c r="Q198" s="481" t="s">
        <v>1861</v>
      </c>
      <c r="R198" s="315">
        <v>2041911</v>
      </c>
      <c r="S198" s="315"/>
      <c r="T198" s="315">
        <v>25</v>
      </c>
      <c r="U198" s="640">
        <v>45433</v>
      </c>
      <c r="V198" s="378">
        <f t="shared" ca="1" si="76"/>
        <v>11</v>
      </c>
      <c r="W198" s="292">
        <f t="shared" ca="1" si="74"/>
        <v>2024</v>
      </c>
      <c r="X198" s="291" t="str">
        <f t="shared" ca="1" si="75"/>
        <v>3 WEEK</v>
      </c>
      <c r="Y198" s="484">
        <f t="shared" si="64"/>
        <v>45615</v>
      </c>
      <c r="Z198" s="341" cm="1">
        <f t="array" aca="1" ref="Z198" ca="1">_xlfn.IFS(AD198&lt;100,Y198,Y198&lt;TODAY(),TODAY(),Y198&gt;TODAY(),Y198,Y198=TODAY(),Y198)</f>
        <v>45615</v>
      </c>
      <c r="AA198" s="315"/>
      <c r="AB198" s="301"/>
      <c r="AC198" s="301"/>
      <c r="AD198" s="298">
        <f t="shared" si="67"/>
        <v>0</v>
      </c>
      <c r="AE198" s="299" t="str">
        <f t="shared" si="68"/>
        <v>Complete</v>
      </c>
      <c r="AF198" s="340"/>
      <c r="AG198" s="301"/>
      <c r="AH198" s="343"/>
      <c r="AI198" s="301">
        <f t="shared" ca="1" si="65"/>
        <v>0</v>
      </c>
      <c r="AJ198" s="302">
        <f t="shared" ca="1" si="66"/>
        <v>0</v>
      </c>
      <c r="AL198" s="303">
        <f t="shared" si="69"/>
        <v>2041911</v>
      </c>
      <c r="AM198" s="303">
        <f t="shared" si="70"/>
        <v>0</v>
      </c>
      <c r="AN198" s="303">
        <f t="shared" si="71"/>
        <v>2041911</v>
      </c>
      <c r="AO198" s="304">
        <f t="shared" si="72"/>
        <v>0</v>
      </c>
      <c r="AP198" s="273">
        <f t="shared" si="77"/>
        <v>10</v>
      </c>
      <c r="AQ198" s="273" t="str">
        <f t="shared" ca="1" si="73"/>
        <v>102024</v>
      </c>
    </row>
    <row r="199" spans="1:43" ht="16.5">
      <c r="A199" s="587">
        <v>9</v>
      </c>
      <c r="B199" s="637" t="s">
        <v>1817</v>
      </c>
      <c r="C199" s="332" t="s">
        <v>1818</v>
      </c>
      <c r="D199" s="631" t="s">
        <v>1819</v>
      </c>
      <c r="E199" s="638">
        <v>45343</v>
      </c>
      <c r="F199" s="507">
        <v>2.468</v>
      </c>
      <c r="G199" s="301">
        <v>1442027</v>
      </c>
      <c r="H199" s="301">
        <v>259564.86</v>
      </c>
      <c r="I199" s="349">
        <v>1701592</v>
      </c>
      <c r="J199" s="349"/>
      <c r="K199" s="639" t="s">
        <v>1854</v>
      </c>
      <c r="L199" s="639" t="s">
        <v>1595</v>
      </c>
      <c r="M199" s="592">
        <v>0.35</v>
      </c>
      <c r="N199" s="639" t="s">
        <v>1593</v>
      </c>
      <c r="O199" s="593" t="s">
        <v>1831</v>
      </c>
      <c r="P199" s="616">
        <v>45590</v>
      </c>
      <c r="Q199" s="481" t="s">
        <v>1861</v>
      </c>
      <c r="R199" s="315">
        <v>1701592</v>
      </c>
      <c r="S199" s="315"/>
      <c r="T199" s="315">
        <v>25</v>
      </c>
      <c r="U199" s="640">
        <v>45433</v>
      </c>
      <c r="V199" s="378">
        <f t="shared" ca="1" si="76"/>
        <v>11</v>
      </c>
      <c r="W199" s="292">
        <f t="shared" ca="1" si="74"/>
        <v>2024</v>
      </c>
      <c r="X199" s="291" t="str">
        <f t="shared" ca="1" si="75"/>
        <v>3 WEEK</v>
      </c>
      <c r="Y199" s="484">
        <f t="shared" si="64"/>
        <v>45615</v>
      </c>
      <c r="Z199" s="341" cm="1">
        <f t="array" aca="1" ref="Z199" ca="1">_xlfn.IFS(AD199&lt;100,Y199,Y199&lt;TODAY(),TODAY(),Y199&gt;TODAY(),Y199,Y199=TODAY(),Y199)</f>
        <v>45615</v>
      </c>
      <c r="AA199" s="315"/>
      <c r="AB199" s="301"/>
      <c r="AC199" s="301"/>
      <c r="AD199" s="298">
        <f t="shared" si="67"/>
        <v>0</v>
      </c>
      <c r="AE199" s="299" t="str">
        <f t="shared" si="68"/>
        <v>Complete</v>
      </c>
      <c r="AF199" s="340"/>
      <c r="AG199" s="301"/>
      <c r="AH199" s="343"/>
      <c r="AI199" s="301">
        <f t="shared" ca="1" si="65"/>
        <v>0</v>
      </c>
      <c r="AJ199" s="302">
        <f t="shared" ca="1" si="66"/>
        <v>0</v>
      </c>
      <c r="AL199" s="303">
        <f t="shared" si="69"/>
        <v>1701592</v>
      </c>
      <c r="AM199" s="303">
        <f t="shared" si="70"/>
        <v>0</v>
      </c>
      <c r="AN199" s="303">
        <f t="shared" si="71"/>
        <v>1701592</v>
      </c>
      <c r="AO199" s="304">
        <f t="shared" si="72"/>
        <v>0</v>
      </c>
      <c r="AP199" s="273">
        <f t="shared" si="77"/>
        <v>10</v>
      </c>
      <c r="AQ199" s="273" t="str">
        <f t="shared" ca="1" si="73"/>
        <v>102024</v>
      </c>
    </row>
    <row r="200" spans="1:43" ht="16.5">
      <c r="A200" s="587">
        <v>9</v>
      </c>
      <c r="B200" s="637" t="s">
        <v>1817</v>
      </c>
      <c r="C200" s="332" t="s">
        <v>1818</v>
      </c>
      <c r="D200" s="631" t="s">
        <v>1819</v>
      </c>
      <c r="E200" s="638">
        <v>45343</v>
      </c>
      <c r="F200" s="507">
        <v>2.468</v>
      </c>
      <c r="G200" s="301">
        <v>230724</v>
      </c>
      <c r="H200" s="301">
        <v>41530.32</v>
      </c>
      <c r="I200" s="349">
        <v>272254</v>
      </c>
      <c r="J200" s="349"/>
      <c r="K200" s="639" t="s">
        <v>1854</v>
      </c>
      <c r="L200" s="639" t="s">
        <v>1595</v>
      </c>
      <c r="M200" s="592">
        <v>0.35</v>
      </c>
      <c r="N200" s="639" t="s">
        <v>1593</v>
      </c>
      <c r="O200" s="593" t="s">
        <v>1832</v>
      </c>
      <c r="P200" s="611">
        <v>45645</v>
      </c>
      <c r="Q200" s="481" t="s">
        <v>1862</v>
      </c>
      <c r="R200" s="315">
        <v>272254</v>
      </c>
      <c r="S200" s="315"/>
      <c r="T200" s="315">
        <v>25</v>
      </c>
      <c r="U200" s="640">
        <v>45433</v>
      </c>
      <c r="V200" s="378">
        <f t="shared" ca="1" si="76"/>
        <v>1</v>
      </c>
      <c r="W200" s="292">
        <f t="shared" ca="1" si="74"/>
        <v>2025</v>
      </c>
      <c r="X200" s="291" t="str">
        <f t="shared" ca="1" si="75"/>
        <v>2 WEEK</v>
      </c>
      <c r="Y200" s="484">
        <f t="shared" si="64"/>
        <v>45670</v>
      </c>
      <c r="Z200" s="341" cm="1">
        <f t="array" aca="1" ref="Z200" ca="1">_xlfn.IFS(AD200&lt;100,Y200,Y200&lt;TODAY(),TODAY(),Y200&gt;TODAY(),Y200,Y200=TODAY(),Y200)</f>
        <v>45670</v>
      </c>
      <c r="AA200" s="315"/>
      <c r="AB200" s="301"/>
      <c r="AC200" s="301"/>
      <c r="AD200" s="298">
        <f t="shared" si="67"/>
        <v>0</v>
      </c>
      <c r="AE200" s="299" t="str">
        <f t="shared" si="68"/>
        <v>Complete</v>
      </c>
      <c r="AF200" s="340"/>
      <c r="AG200" s="301"/>
      <c r="AH200" s="343"/>
      <c r="AI200" s="301">
        <f t="shared" ca="1" si="65"/>
        <v>0</v>
      </c>
      <c r="AJ200" s="302">
        <f t="shared" ca="1" si="66"/>
        <v>0</v>
      </c>
      <c r="AL200" s="303">
        <f t="shared" si="69"/>
        <v>272254</v>
      </c>
      <c r="AM200" s="303">
        <f t="shared" si="70"/>
        <v>0</v>
      </c>
      <c r="AN200" s="303">
        <f t="shared" si="71"/>
        <v>272254</v>
      </c>
      <c r="AO200" s="304">
        <f t="shared" si="72"/>
        <v>0</v>
      </c>
      <c r="AP200" s="273">
        <f t="shared" si="77"/>
        <v>12</v>
      </c>
      <c r="AQ200" s="273" t="str">
        <f t="shared" ca="1" si="73"/>
        <v>122025</v>
      </c>
    </row>
    <row r="201" spans="1:43" ht="16.5">
      <c r="A201" s="587">
        <v>9</v>
      </c>
      <c r="B201" s="637" t="s">
        <v>1817</v>
      </c>
      <c r="C201" s="332" t="s">
        <v>1818</v>
      </c>
      <c r="D201" s="631" t="s">
        <v>1819</v>
      </c>
      <c r="E201" s="638">
        <v>45343</v>
      </c>
      <c r="F201" s="507">
        <v>2.468</v>
      </c>
      <c r="G201" s="301">
        <v>415304</v>
      </c>
      <c r="H201" s="301">
        <v>74754.720000000001</v>
      </c>
      <c r="I201" s="349">
        <v>490059</v>
      </c>
      <c r="J201" s="349"/>
      <c r="K201" s="639" t="s">
        <v>1854</v>
      </c>
      <c r="L201" s="639" t="s">
        <v>1595</v>
      </c>
      <c r="M201" s="592">
        <v>0.35</v>
      </c>
      <c r="N201" s="639" t="s">
        <v>1593</v>
      </c>
      <c r="O201" s="593" t="s">
        <v>1834</v>
      </c>
      <c r="P201" s="611">
        <v>45478</v>
      </c>
      <c r="Q201" s="481" t="s">
        <v>1860</v>
      </c>
      <c r="R201" s="315">
        <v>490059</v>
      </c>
      <c r="S201" s="315"/>
      <c r="T201" s="315">
        <v>25</v>
      </c>
      <c r="U201" s="640">
        <v>45433</v>
      </c>
      <c r="V201" s="378">
        <f t="shared" ca="1" si="76"/>
        <v>7</v>
      </c>
      <c r="W201" s="292">
        <f t="shared" ca="1" si="74"/>
        <v>2024</v>
      </c>
      <c r="X201" s="291" t="str">
        <f t="shared" ca="1" si="75"/>
        <v>5 WEEK</v>
      </c>
      <c r="Y201" s="484">
        <f t="shared" si="64"/>
        <v>45503</v>
      </c>
      <c r="Z201" s="341" cm="1">
        <f t="array" aca="1" ref="Z201" ca="1">_xlfn.IFS(AD201&lt;100,Y201,Y201&lt;TODAY(),TODAY(),Y201&gt;TODAY(),Y201,Y201=TODAY(),Y201)</f>
        <v>45503</v>
      </c>
      <c r="AA201" s="315"/>
      <c r="AB201" s="301"/>
      <c r="AC201" s="301"/>
      <c r="AD201" s="298">
        <f t="shared" si="67"/>
        <v>0</v>
      </c>
      <c r="AE201" s="299" t="str">
        <f t="shared" si="68"/>
        <v>Complete</v>
      </c>
      <c r="AF201" s="340"/>
      <c r="AG201" s="301"/>
      <c r="AH201" s="343"/>
      <c r="AI201" s="301">
        <f t="shared" ca="1" si="65"/>
        <v>0</v>
      </c>
      <c r="AJ201" s="302">
        <f t="shared" ca="1" si="66"/>
        <v>0</v>
      </c>
      <c r="AL201" s="303">
        <f t="shared" si="69"/>
        <v>490059</v>
      </c>
      <c r="AM201" s="303">
        <f t="shared" si="70"/>
        <v>0</v>
      </c>
      <c r="AN201" s="303">
        <f t="shared" si="71"/>
        <v>490059</v>
      </c>
      <c r="AO201" s="304">
        <f t="shared" si="72"/>
        <v>0</v>
      </c>
      <c r="AP201" s="273">
        <f t="shared" si="77"/>
        <v>7</v>
      </c>
      <c r="AQ201" s="273" t="str">
        <f t="shared" ca="1" si="73"/>
        <v>72024</v>
      </c>
    </row>
    <row r="202" spans="1:43" ht="16.5">
      <c r="A202" s="587">
        <v>9</v>
      </c>
      <c r="B202" s="637" t="s">
        <v>1817</v>
      </c>
      <c r="C202" s="332" t="s">
        <v>1818</v>
      </c>
      <c r="D202" s="631" t="s">
        <v>1819</v>
      </c>
      <c r="E202" s="638">
        <v>45343</v>
      </c>
      <c r="F202" s="507">
        <v>2.468</v>
      </c>
      <c r="G202" s="301">
        <v>950123</v>
      </c>
      <c r="H202" s="301">
        <v>171022.13999999998</v>
      </c>
      <c r="I202" s="349">
        <v>1121145</v>
      </c>
      <c r="J202" s="349"/>
      <c r="K202" s="639" t="s">
        <v>1854</v>
      </c>
      <c r="L202" s="639" t="s">
        <v>1595</v>
      </c>
      <c r="M202" s="592">
        <v>0.35</v>
      </c>
      <c r="N202" s="639" t="s">
        <v>1593</v>
      </c>
      <c r="O202" s="593" t="s">
        <v>1835</v>
      </c>
      <c r="P202" s="611">
        <v>45478</v>
      </c>
      <c r="Q202" s="481" t="s">
        <v>1860</v>
      </c>
      <c r="R202" s="315">
        <v>1121145</v>
      </c>
      <c r="S202" s="315"/>
      <c r="T202" s="315">
        <v>25</v>
      </c>
      <c r="U202" s="640">
        <v>45433</v>
      </c>
      <c r="V202" s="378">
        <f t="shared" ca="1" si="76"/>
        <v>7</v>
      </c>
      <c r="W202" s="292">
        <f t="shared" ca="1" si="74"/>
        <v>2024</v>
      </c>
      <c r="X202" s="291" t="str">
        <f t="shared" ca="1" si="75"/>
        <v>5 WEEK</v>
      </c>
      <c r="Y202" s="484">
        <f t="shared" si="64"/>
        <v>45503</v>
      </c>
      <c r="Z202" s="341" cm="1">
        <f t="array" aca="1" ref="Z202" ca="1">_xlfn.IFS(AD202&lt;100,Y202,Y202&lt;TODAY(),TODAY(),Y202&gt;TODAY(),Y202,Y202=TODAY(),Y202)</f>
        <v>45503</v>
      </c>
      <c r="AA202" s="315"/>
      <c r="AB202" s="301"/>
      <c r="AC202" s="301"/>
      <c r="AD202" s="298">
        <f t="shared" si="67"/>
        <v>0</v>
      </c>
      <c r="AE202" s="299" t="str">
        <f t="shared" si="68"/>
        <v>Complete</v>
      </c>
      <c r="AF202" s="340"/>
      <c r="AG202" s="301"/>
      <c r="AH202" s="343"/>
      <c r="AI202" s="301">
        <f t="shared" ca="1" si="65"/>
        <v>0</v>
      </c>
      <c r="AJ202" s="302">
        <f t="shared" ca="1" si="66"/>
        <v>0</v>
      </c>
      <c r="AL202" s="303">
        <f t="shared" si="69"/>
        <v>1121145</v>
      </c>
      <c r="AM202" s="303">
        <f t="shared" si="70"/>
        <v>0</v>
      </c>
      <c r="AN202" s="303">
        <f t="shared" si="71"/>
        <v>1121145</v>
      </c>
      <c r="AO202" s="304">
        <f t="shared" si="72"/>
        <v>0</v>
      </c>
      <c r="AP202" s="273">
        <f t="shared" si="77"/>
        <v>7</v>
      </c>
      <c r="AQ202" s="273" t="str">
        <f t="shared" ca="1" si="73"/>
        <v>72024</v>
      </c>
    </row>
    <row r="203" spans="1:43" ht="16.5">
      <c r="A203" s="587">
        <v>9</v>
      </c>
      <c r="B203" s="637" t="s">
        <v>1817</v>
      </c>
      <c r="C203" s="332" t="s">
        <v>1818</v>
      </c>
      <c r="D203" s="631" t="s">
        <v>1819</v>
      </c>
      <c r="E203" s="638">
        <v>45343</v>
      </c>
      <c r="F203" s="507">
        <v>2.468</v>
      </c>
      <c r="G203" s="301">
        <v>384541</v>
      </c>
      <c r="H203" s="301">
        <v>69217.38</v>
      </c>
      <c r="I203" s="349">
        <v>453758</v>
      </c>
      <c r="J203" s="349"/>
      <c r="K203" s="639" t="s">
        <v>1854</v>
      </c>
      <c r="L203" s="639" t="s">
        <v>1595</v>
      </c>
      <c r="M203" s="592">
        <v>0.35</v>
      </c>
      <c r="N203" s="639" t="s">
        <v>1593</v>
      </c>
      <c r="O203" s="593" t="s">
        <v>1836</v>
      </c>
      <c r="P203" s="611">
        <v>45479</v>
      </c>
      <c r="Q203" s="481" t="s">
        <v>1863</v>
      </c>
      <c r="R203" s="315">
        <v>226879</v>
      </c>
      <c r="S203" s="315"/>
      <c r="T203" s="315">
        <v>25</v>
      </c>
      <c r="U203" s="640">
        <v>45433</v>
      </c>
      <c r="V203" s="378">
        <f t="shared" ca="1" si="76"/>
        <v>7</v>
      </c>
      <c r="W203" s="292">
        <f t="shared" ca="1" si="74"/>
        <v>2024</v>
      </c>
      <c r="X203" s="291" t="str">
        <f t="shared" ca="1" si="75"/>
        <v>5 WEEK</v>
      </c>
      <c r="Y203" s="484">
        <f t="shared" si="64"/>
        <v>45504</v>
      </c>
      <c r="Z203" s="341" cm="1">
        <f t="array" aca="1" ref="Z203" ca="1">_xlfn.IFS(AD203&lt;100,Y203,Y203&lt;TODAY(),TODAY(),Y203&gt;TODAY(),Y203,Y203=TODAY(),Y203)</f>
        <v>45504</v>
      </c>
      <c r="AA203" s="315"/>
      <c r="AB203" s="301"/>
      <c r="AC203" s="301"/>
      <c r="AD203" s="298">
        <f t="shared" si="67"/>
        <v>0</v>
      </c>
      <c r="AE203" s="299" t="str">
        <f t="shared" si="68"/>
        <v>Complete</v>
      </c>
      <c r="AF203" s="340"/>
      <c r="AG203" s="301"/>
      <c r="AH203" s="343"/>
      <c r="AI203" s="301">
        <f t="shared" ca="1" si="65"/>
        <v>0</v>
      </c>
      <c r="AJ203" s="302">
        <f t="shared" ca="1" si="66"/>
        <v>0</v>
      </c>
      <c r="AL203" s="303">
        <f t="shared" si="69"/>
        <v>453758</v>
      </c>
      <c r="AM203" s="303">
        <f t="shared" si="70"/>
        <v>226879</v>
      </c>
      <c r="AN203" s="303">
        <f t="shared" si="71"/>
        <v>226879</v>
      </c>
      <c r="AO203" s="304">
        <f t="shared" si="72"/>
        <v>0</v>
      </c>
      <c r="AP203" s="273">
        <f t="shared" si="77"/>
        <v>7</v>
      </c>
      <c r="AQ203" s="273" t="str">
        <f t="shared" ca="1" si="73"/>
        <v>72024</v>
      </c>
    </row>
    <row r="204" spans="1:43" ht="16.5">
      <c r="A204" s="587">
        <v>9</v>
      </c>
      <c r="B204" s="637" t="s">
        <v>1817</v>
      </c>
      <c r="C204" s="332" t="s">
        <v>1818</v>
      </c>
      <c r="D204" s="631" t="s">
        <v>1819</v>
      </c>
      <c r="E204" s="638">
        <v>45343</v>
      </c>
      <c r="F204" s="507">
        <v>2.468</v>
      </c>
      <c r="G204" s="301"/>
      <c r="H204" s="301"/>
      <c r="I204" s="349"/>
      <c r="J204" s="349"/>
      <c r="K204" s="639" t="s">
        <v>1854</v>
      </c>
      <c r="L204" s="639" t="s">
        <v>1595</v>
      </c>
      <c r="M204" s="592">
        <v>0.35</v>
      </c>
      <c r="N204" s="639" t="s">
        <v>1593</v>
      </c>
      <c r="O204" s="593" t="s">
        <v>1836</v>
      </c>
      <c r="P204" s="617">
        <v>0</v>
      </c>
      <c r="Q204" s="481"/>
      <c r="R204" s="315">
        <v>0</v>
      </c>
      <c r="S204" s="315"/>
      <c r="T204" s="315">
        <v>25</v>
      </c>
      <c r="U204" s="640">
        <v>45433</v>
      </c>
      <c r="V204" s="378">
        <f t="shared" ca="1" si="76"/>
        <v>1</v>
      </c>
      <c r="W204" s="292">
        <f t="shared" ca="1" si="74"/>
        <v>1900</v>
      </c>
      <c r="X204" s="291" t="str">
        <f t="shared" ca="1" si="75"/>
        <v>4 WEEK</v>
      </c>
      <c r="Y204" s="654">
        <f t="shared" si="64"/>
        <v>25</v>
      </c>
      <c r="Z204" s="541" cm="1">
        <f t="array" aca="1" ref="Z204" ca="1">_xlfn.IFS(AD204&lt;100,Y204,Y204&lt;TODAY(),TODAY(),Y204&gt;TODAY(),Y204,Y204=TODAY(),Y204)</f>
        <v>25</v>
      </c>
      <c r="AA204" s="315"/>
      <c r="AB204" s="301"/>
      <c r="AC204" s="301"/>
      <c r="AD204" s="298">
        <f t="shared" si="67"/>
        <v>0</v>
      </c>
      <c r="AE204" s="299" t="str">
        <f t="shared" si="68"/>
        <v>Complete</v>
      </c>
      <c r="AF204" s="340"/>
      <c r="AG204" s="301"/>
      <c r="AH204" s="343"/>
      <c r="AI204" s="301">
        <f t="shared" ca="1" si="65"/>
        <v>0</v>
      </c>
      <c r="AJ204" s="302">
        <f t="shared" ca="1" si="66"/>
        <v>0</v>
      </c>
      <c r="AL204" s="303">
        <f t="shared" si="69"/>
        <v>0</v>
      </c>
      <c r="AM204" s="303">
        <f t="shared" si="70"/>
        <v>0</v>
      </c>
      <c r="AN204" s="303">
        <f t="shared" si="71"/>
        <v>0</v>
      </c>
      <c r="AO204" s="304">
        <f t="shared" si="72"/>
        <v>0</v>
      </c>
      <c r="AP204" s="273">
        <f t="shared" si="77"/>
        <v>1</v>
      </c>
      <c r="AQ204" s="273" t="str">
        <f t="shared" ca="1" si="73"/>
        <v>11900</v>
      </c>
    </row>
    <row r="205" spans="1:43" ht="16.5">
      <c r="A205" s="587">
        <v>9</v>
      </c>
      <c r="B205" s="637" t="s">
        <v>1817</v>
      </c>
      <c r="C205" s="332" t="s">
        <v>1818</v>
      </c>
      <c r="D205" s="631" t="s">
        <v>1819</v>
      </c>
      <c r="E205" s="638">
        <v>45343</v>
      </c>
      <c r="F205" s="507">
        <v>2.468</v>
      </c>
      <c r="G205" s="301"/>
      <c r="H205" s="301"/>
      <c r="I205" s="349"/>
      <c r="J205" s="349"/>
      <c r="K205" s="639" t="s">
        <v>1854</v>
      </c>
      <c r="L205" s="639" t="s">
        <v>1595</v>
      </c>
      <c r="M205" s="592">
        <v>0.35</v>
      </c>
      <c r="N205" s="639" t="s">
        <v>1593</v>
      </c>
      <c r="O205" s="593" t="s">
        <v>1836</v>
      </c>
      <c r="P205" s="611">
        <v>45485</v>
      </c>
      <c r="Q205" s="481" t="s">
        <v>1864</v>
      </c>
      <c r="R205" s="315">
        <v>104364</v>
      </c>
      <c r="S205" s="315"/>
      <c r="T205" s="315">
        <v>25</v>
      </c>
      <c r="U205" s="640">
        <v>45433</v>
      </c>
      <c r="V205" s="378">
        <f t="shared" ca="1" si="76"/>
        <v>8</v>
      </c>
      <c r="W205" s="292">
        <f t="shared" ca="1" si="74"/>
        <v>2024</v>
      </c>
      <c r="X205" s="291" t="str">
        <f t="shared" ca="1" si="75"/>
        <v>1 WEEK</v>
      </c>
      <c r="Y205" s="484">
        <f t="shared" si="64"/>
        <v>45510</v>
      </c>
      <c r="Z205" s="341" cm="1">
        <f t="array" aca="1" ref="Z205" ca="1">_xlfn.IFS(AD205&lt;100,Y205,Y205&lt;TODAY(),TODAY(),Y205&gt;TODAY(),Y205,Y205=TODAY(),Y205)</f>
        <v>45510</v>
      </c>
      <c r="AA205" s="315"/>
      <c r="AB205" s="301"/>
      <c r="AC205" s="301"/>
      <c r="AD205" s="298">
        <f t="shared" si="67"/>
        <v>0</v>
      </c>
      <c r="AE205" s="299" t="str">
        <f t="shared" si="68"/>
        <v>Complete</v>
      </c>
      <c r="AF205" s="340"/>
      <c r="AG205" s="301"/>
      <c r="AH205" s="343"/>
      <c r="AI205" s="301">
        <f t="shared" ca="1" si="65"/>
        <v>0</v>
      </c>
      <c r="AJ205" s="302">
        <f t="shared" ca="1" si="66"/>
        <v>0</v>
      </c>
      <c r="AL205" s="303">
        <f t="shared" si="69"/>
        <v>0</v>
      </c>
      <c r="AM205" s="303">
        <f t="shared" si="70"/>
        <v>-104364</v>
      </c>
      <c r="AN205" s="303">
        <f t="shared" si="71"/>
        <v>104364</v>
      </c>
      <c r="AO205" s="304">
        <f t="shared" si="72"/>
        <v>0</v>
      </c>
      <c r="AP205" s="273">
        <f t="shared" si="77"/>
        <v>7</v>
      </c>
      <c r="AQ205" s="273" t="str">
        <f t="shared" ca="1" si="73"/>
        <v>72024</v>
      </c>
    </row>
    <row r="206" spans="1:43" ht="16.5">
      <c r="A206" s="587">
        <v>9</v>
      </c>
      <c r="B206" s="637" t="s">
        <v>1817</v>
      </c>
      <c r="C206" s="332" t="s">
        <v>1818</v>
      </c>
      <c r="D206" s="631" t="s">
        <v>1819</v>
      </c>
      <c r="E206" s="638">
        <v>45343</v>
      </c>
      <c r="F206" s="507">
        <v>2.468</v>
      </c>
      <c r="G206" s="301"/>
      <c r="H206" s="301"/>
      <c r="I206" s="349"/>
      <c r="J206" s="349"/>
      <c r="K206" s="639" t="s">
        <v>1854</v>
      </c>
      <c r="L206" s="639" t="s">
        <v>1595</v>
      </c>
      <c r="M206" s="592">
        <v>0.35</v>
      </c>
      <c r="N206" s="639" t="s">
        <v>1593</v>
      </c>
      <c r="O206" s="593" t="s">
        <v>1836</v>
      </c>
      <c r="P206" s="611">
        <v>45645</v>
      </c>
      <c r="Q206" s="481" t="s">
        <v>1862</v>
      </c>
      <c r="R206" s="315">
        <v>122516</v>
      </c>
      <c r="S206" s="315"/>
      <c r="T206" s="315">
        <v>25</v>
      </c>
      <c r="U206" s="640">
        <v>45433</v>
      </c>
      <c r="V206" s="378">
        <f t="shared" ca="1" si="76"/>
        <v>1</v>
      </c>
      <c r="W206" s="292">
        <f t="shared" ca="1" si="74"/>
        <v>2025</v>
      </c>
      <c r="X206" s="291" t="str">
        <f t="shared" ca="1" si="75"/>
        <v>2 WEEK</v>
      </c>
      <c r="Y206" s="484">
        <f t="shared" si="64"/>
        <v>45670</v>
      </c>
      <c r="Z206" s="341" cm="1">
        <f t="array" aca="1" ref="Z206" ca="1">_xlfn.IFS(AD206&lt;100,Y206,Y206&lt;TODAY(),TODAY(),Y206&gt;TODAY(),Y206,Y206=TODAY(),Y206)</f>
        <v>45670</v>
      </c>
      <c r="AA206" s="315"/>
      <c r="AB206" s="301"/>
      <c r="AC206" s="301"/>
      <c r="AD206" s="298">
        <f t="shared" si="67"/>
        <v>0</v>
      </c>
      <c r="AE206" s="299" t="str">
        <f t="shared" si="68"/>
        <v>Complete</v>
      </c>
      <c r="AF206" s="340"/>
      <c r="AG206" s="301"/>
      <c r="AH206" s="343"/>
      <c r="AI206" s="301">
        <f t="shared" ca="1" si="65"/>
        <v>0</v>
      </c>
      <c r="AJ206" s="302">
        <f t="shared" ca="1" si="66"/>
        <v>0</v>
      </c>
      <c r="AL206" s="303">
        <f t="shared" si="69"/>
        <v>0</v>
      </c>
      <c r="AM206" s="303">
        <f t="shared" si="70"/>
        <v>-122516</v>
      </c>
      <c r="AN206" s="303">
        <f t="shared" si="71"/>
        <v>122516</v>
      </c>
      <c r="AO206" s="304">
        <f t="shared" si="72"/>
        <v>0</v>
      </c>
      <c r="AP206" s="273">
        <f t="shared" si="77"/>
        <v>12</v>
      </c>
      <c r="AQ206" s="273" t="str">
        <f t="shared" ca="1" si="73"/>
        <v>122025</v>
      </c>
    </row>
    <row r="207" spans="1:43" ht="16.5">
      <c r="A207" s="587">
        <v>9</v>
      </c>
      <c r="B207" s="637" t="s">
        <v>1817</v>
      </c>
      <c r="C207" s="332" t="s">
        <v>1818</v>
      </c>
      <c r="D207" s="631" t="s">
        <v>1819</v>
      </c>
      <c r="E207" s="638">
        <v>45343</v>
      </c>
      <c r="F207" s="507">
        <v>2.468</v>
      </c>
      <c r="G207" s="301">
        <v>76908</v>
      </c>
      <c r="H207" s="301">
        <v>13843.439999999999</v>
      </c>
      <c r="I207" s="349">
        <v>90751</v>
      </c>
      <c r="J207" s="349"/>
      <c r="K207" s="639" t="s">
        <v>1854</v>
      </c>
      <c r="L207" s="639" t="s">
        <v>1595</v>
      </c>
      <c r="M207" s="592">
        <v>0.35</v>
      </c>
      <c r="N207" s="639" t="s">
        <v>1593</v>
      </c>
      <c r="O207" s="593" t="s">
        <v>1844</v>
      </c>
      <c r="P207" s="611">
        <v>45478</v>
      </c>
      <c r="Q207" s="481" t="s">
        <v>1860</v>
      </c>
      <c r="R207" s="315">
        <v>90751</v>
      </c>
      <c r="S207" s="315"/>
      <c r="T207" s="315">
        <v>25</v>
      </c>
      <c r="U207" s="640">
        <v>45433</v>
      </c>
      <c r="V207" s="378">
        <f t="shared" ca="1" si="76"/>
        <v>7</v>
      </c>
      <c r="W207" s="292">
        <f t="shared" ca="1" si="74"/>
        <v>2024</v>
      </c>
      <c r="X207" s="291" t="str">
        <f t="shared" ca="1" si="75"/>
        <v>5 WEEK</v>
      </c>
      <c r="Y207" s="484">
        <f t="shared" si="64"/>
        <v>45503</v>
      </c>
      <c r="Z207" s="341" cm="1">
        <f t="array" aca="1" ref="Z207" ca="1">_xlfn.IFS(AD207&lt;100,Y207,Y207&lt;TODAY(),TODAY(),Y207&gt;TODAY(),Y207,Y207=TODAY(),Y207)</f>
        <v>45503</v>
      </c>
      <c r="AA207" s="315"/>
      <c r="AB207" s="301"/>
      <c r="AC207" s="301"/>
      <c r="AD207" s="298">
        <f t="shared" si="67"/>
        <v>0</v>
      </c>
      <c r="AE207" s="299" t="str">
        <f t="shared" si="68"/>
        <v>Complete</v>
      </c>
      <c r="AF207" s="340"/>
      <c r="AG207" s="301"/>
      <c r="AH207" s="343"/>
      <c r="AI207" s="301">
        <f t="shared" ca="1" si="65"/>
        <v>0</v>
      </c>
      <c r="AJ207" s="302">
        <f t="shared" ca="1" si="66"/>
        <v>0</v>
      </c>
      <c r="AL207" s="303">
        <f t="shared" si="69"/>
        <v>90751</v>
      </c>
      <c r="AM207" s="303">
        <f t="shared" si="70"/>
        <v>0</v>
      </c>
      <c r="AN207" s="303">
        <f t="shared" si="71"/>
        <v>90751</v>
      </c>
      <c r="AO207" s="304">
        <f t="shared" si="72"/>
        <v>0</v>
      </c>
      <c r="AP207" s="273">
        <f t="shared" si="77"/>
        <v>7</v>
      </c>
      <c r="AQ207" s="273" t="str">
        <f t="shared" ca="1" si="73"/>
        <v>72024</v>
      </c>
    </row>
    <row r="208" spans="1:43" ht="16.5">
      <c r="A208" s="587">
        <v>9</v>
      </c>
      <c r="B208" s="637" t="s">
        <v>1817</v>
      </c>
      <c r="C208" s="332" t="s">
        <v>1818</v>
      </c>
      <c r="D208" s="631" t="s">
        <v>1819</v>
      </c>
      <c r="E208" s="638">
        <v>45343</v>
      </c>
      <c r="F208" s="507">
        <v>2.468</v>
      </c>
      <c r="G208" s="301">
        <v>2060369</v>
      </c>
      <c r="H208" s="301">
        <v>370866.42</v>
      </c>
      <c r="I208" s="349">
        <v>2431235</v>
      </c>
      <c r="J208" s="349"/>
      <c r="K208" s="639" t="s">
        <v>1854</v>
      </c>
      <c r="L208" s="639" t="s">
        <v>1595</v>
      </c>
      <c r="M208" s="592">
        <v>0.35</v>
      </c>
      <c r="N208" s="639" t="s">
        <v>1593</v>
      </c>
      <c r="O208" s="593" t="s">
        <v>1845</v>
      </c>
      <c r="P208" s="611">
        <v>45540</v>
      </c>
      <c r="Q208" s="481" t="s">
        <v>1865</v>
      </c>
      <c r="R208" s="315">
        <v>2431235</v>
      </c>
      <c r="S208" s="315"/>
      <c r="T208" s="315">
        <v>25</v>
      </c>
      <c r="U208" s="640">
        <v>45433</v>
      </c>
      <c r="V208" s="378">
        <f t="shared" ca="1" si="76"/>
        <v>9</v>
      </c>
      <c r="W208" s="292">
        <f t="shared" ca="1" si="74"/>
        <v>2024</v>
      </c>
      <c r="X208" s="291" t="str">
        <f t="shared" ca="1" si="75"/>
        <v>5 WEEK</v>
      </c>
      <c r="Y208" s="484">
        <f t="shared" si="64"/>
        <v>45565</v>
      </c>
      <c r="Z208" s="341" cm="1">
        <f t="array" aca="1" ref="Z208" ca="1">_xlfn.IFS(AD208&lt;100,Y208,Y208&lt;TODAY(),TODAY(),Y208&gt;TODAY(),Y208,Y208=TODAY(),Y208)</f>
        <v>45565</v>
      </c>
      <c r="AA208" s="315"/>
      <c r="AB208" s="301"/>
      <c r="AC208" s="301"/>
      <c r="AD208" s="298">
        <f t="shared" si="67"/>
        <v>0</v>
      </c>
      <c r="AE208" s="299" t="str">
        <f t="shared" si="68"/>
        <v>Complete</v>
      </c>
      <c r="AF208" s="340"/>
      <c r="AG208" s="301"/>
      <c r="AH208" s="343"/>
      <c r="AI208" s="301">
        <f t="shared" ca="1" si="65"/>
        <v>0</v>
      </c>
      <c r="AJ208" s="302">
        <f t="shared" ca="1" si="66"/>
        <v>0</v>
      </c>
      <c r="AL208" s="303">
        <f t="shared" si="69"/>
        <v>2431235</v>
      </c>
      <c r="AM208" s="303">
        <f t="shared" si="70"/>
        <v>0</v>
      </c>
      <c r="AN208" s="303">
        <f t="shared" si="71"/>
        <v>2431235</v>
      </c>
      <c r="AO208" s="304">
        <f t="shared" si="72"/>
        <v>0</v>
      </c>
      <c r="AP208" s="273">
        <f t="shared" si="77"/>
        <v>9</v>
      </c>
      <c r="AQ208" s="273" t="str">
        <f t="shared" ca="1" si="73"/>
        <v>92024</v>
      </c>
    </row>
    <row r="209" spans="1:43" ht="16.5">
      <c r="A209" s="587">
        <v>9</v>
      </c>
      <c r="B209" s="637" t="s">
        <v>1817</v>
      </c>
      <c r="C209" s="332" t="s">
        <v>1818</v>
      </c>
      <c r="D209" s="631" t="s">
        <v>1819</v>
      </c>
      <c r="E209" s="638">
        <v>45343</v>
      </c>
      <c r="F209" s="507">
        <v>2.468</v>
      </c>
      <c r="G209" s="301">
        <v>385310</v>
      </c>
      <c r="H209" s="301">
        <v>69355.8</v>
      </c>
      <c r="I209" s="349">
        <v>454666</v>
      </c>
      <c r="J209" s="349"/>
      <c r="K209" s="639" t="s">
        <v>1854</v>
      </c>
      <c r="L209" s="639" t="s">
        <v>1595</v>
      </c>
      <c r="M209" s="592">
        <v>0.35</v>
      </c>
      <c r="N209" s="639" t="s">
        <v>1593</v>
      </c>
      <c r="O209" s="593" t="s">
        <v>1846</v>
      </c>
      <c r="P209" s="611">
        <v>45479</v>
      </c>
      <c r="Q209" s="481" t="s">
        <v>1863</v>
      </c>
      <c r="R209" s="315">
        <v>136400</v>
      </c>
      <c r="S209" s="315"/>
      <c r="T209" s="315">
        <v>25</v>
      </c>
      <c r="U209" s="640">
        <v>45433</v>
      </c>
      <c r="V209" s="378">
        <f t="shared" ca="1" si="76"/>
        <v>7</v>
      </c>
      <c r="W209" s="292">
        <f t="shared" ca="1" si="74"/>
        <v>2024</v>
      </c>
      <c r="X209" s="291" t="str">
        <f t="shared" ca="1" si="75"/>
        <v>5 WEEK</v>
      </c>
      <c r="Y209" s="484">
        <f t="shared" si="64"/>
        <v>45504</v>
      </c>
      <c r="Z209" s="341" cm="1">
        <f t="array" aca="1" ref="Z209" ca="1">_xlfn.IFS(AD209&lt;100,Y209,Y209&lt;TODAY(),TODAY(),Y209&gt;TODAY(),Y209,Y209=TODAY(),Y209)</f>
        <v>45504</v>
      </c>
      <c r="AA209" s="315"/>
      <c r="AB209" s="301"/>
      <c r="AC209" s="301"/>
      <c r="AD209" s="298">
        <f t="shared" si="67"/>
        <v>0</v>
      </c>
      <c r="AE209" s="299" t="str">
        <f t="shared" si="68"/>
        <v>Complete</v>
      </c>
      <c r="AF209" s="340"/>
      <c r="AG209" s="301"/>
      <c r="AH209" s="343"/>
      <c r="AI209" s="301">
        <f t="shared" ca="1" si="65"/>
        <v>0</v>
      </c>
      <c r="AJ209" s="302">
        <f t="shared" ca="1" si="66"/>
        <v>0</v>
      </c>
      <c r="AL209" s="303">
        <f t="shared" si="69"/>
        <v>454666</v>
      </c>
      <c r="AM209" s="303">
        <f t="shared" si="70"/>
        <v>318266</v>
      </c>
      <c r="AN209" s="303">
        <f t="shared" si="71"/>
        <v>136400</v>
      </c>
      <c r="AO209" s="304">
        <f t="shared" si="72"/>
        <v>0</v>
      </c>
      <c r="AP209" s="273">
        <f t="shared" si="77"/>
        <v>7</v>
      </c>
      <c r="AQ209" s="273" t="str">
        <f t="shared" ca="1" si="73"/>
        <v>72024</v>
      </c>
    </row>
    <row r="210" spans="1:43" ht="16.5">
      <c r="A210" s="587">
        <v>9</v>
      </c>
      <c r="B210" s="637" t="s">
        <v>1817</v>
      </c>
      <c r="C210" s="332" t="s">
        <v>1818</v>
      </c>
      <c r="D210" s="631" t="s">
        <v>1819</v>
      </c>
      <c r="E210" s="638">
        <v>45343</v>
      </c>
      <c r="F210" s="507">
        <v>2.468</v>
      </c>
      <c r="G210" s="301"/>
      <c r="H210" s="301"/>
      <c r="I210" s="349"/>
      <c r="J210" s="349"/>
      <c r="K210" s="639" t="s">
        <v>1854</v>
      </c>
      <c r="L210" s="639" t="s">
        <v>1595</v>
      </c>
      <c r="M210" s="592">
        <v>0.35</v>
      </c>
      <c r="N210" s="639" t="s">
        <v>1593</v>
      </c>
      <c r="O210" s="593" t="s">
        <v>1846</v>
      </c>
      <c r="P210" s="611">
        <v>45556</v>
      </c>
      <c r="Q210" s="481" t="s">
        <v>1866</v>
      </c>
      <c r="R210" s="315">
        <v>318266</v>
      </c>
      <c r="S210" s="315"/>
      <c r="T210" s="315">
        <v>25</v>
      </c>
      <c r="U210" s="640">
        <v>45433</v>
      </c>
      <c r="V210" s="378">
        <f t="shared" ca="1" si="76"/>
        <v>10</v>
      </c>
      <c r="W210" s="292">
        <f t="shared" ca="1" si="74"/>
        <v>2024</v>
      </c>
      <c r="X210" s="291" t="str">
        <f t="shared" ca="1" si="75"/>
        <v>3 WEEK</v>
      </c>
      <c r="Y210" s="484">
        <f t="shared" si="64"/>
        <v>45581</v>
      </c>
      <c r="Z210" s="341" cm="1">
        <f t="array" aca="1" ref="Z210" ca="1">_xlfn.IFS(AD210&lt;100,Y210,Y210&lt;TODAY(),TODAY(),Y210&gt;TODAY(),Y210,Y210=TODAY(),Y210)</f>
        <v>45581</v>
      </c>
      <c r="AA210" s="315"/>
      <c r="AB210" s="301"/>
      <c r="AC210" s="301"/>
      <c r="AD210" s="298">
        <f t="shared" si="67"/>
        <v>0</v>
      </c>
      <c r="AE210" s="299" t="str">
        <f t="shared" si="68"/>
        <v>Complete</v>
      </c>
      <c r="AF210" s="340"/>
      <c r="AG210" s="301"/>
      <c r="AH210" s="343"/>
      <c r="AI210" s="301">
        <f t="shared" ca="1" si="65"/>
        <v>0</v>
      </c>
      <c r="AJ210" s="302">
        <f t="shared" ca="1" si="66"/>
        <v>0</v>
      </c>
      <c r="AL210" s="303">
        <f t="shared" si="69"/>
        <v>0</v>
      </c>
      <c r="AM210" s="303">
        <f t="shared" si="70"/>
        <v>-318266</v>
      </c>
      <c r="AN210" s="303">
        <f t="shared" si="71"/>
        <v>318266</v>
      </c>
      <c r="AO210" s="304">
        <f t="shared" si="72"/>
        <v>0</v>
      </c>
      <c r="AP210" s="273">
        <f t="shared" si="77"/>
        <v>9</v>
      </c>
      <c r="AQ210" s="273" t="str">
        <f t="shared" ca="1" si="73"/>
        <v>92024</v>
      </c>
    </row>
    <row r="211" spans="1:43" ht="16.5">
      <c r="A211" s="587">
        <v>9</v>
      </c>
      <c r="B211" s="637" t="s">
        <v>1817</v>
      </c>
      <c r="C211" s="332" t="s">
        <v>1818</v>
      </c>
      <c r="D211" s="631" t="s">
        <v>1819</v>
      </c>
      <c r="E211" s="638">
        <v>45343</v>
      </c>
      <c r="F211" s="507">
        <v>2.468</v>
      </c>
      <c r="G211" s="301"/>
      <c r="H211" s="301"/>
      <c r="I211" s="349"/>
      <c r="J211" s="349"/>
      <c r="K211" s="639" t="s">
        <v>1854</v>
      </c>
      <c r="L211" s="639" t="s">
        <v>1595</v>
      </c>
      <c r="M211" s="592">
        <v>0.35</v>
      </c>
      <c r="N211" s="639" t="s">
        <v>1593</v>
      </c>
      <c r="O211" s="593" t="s">
        <v>1846</v>
      </c>
      <c r="P211" s="611">
        <v>45556</v>
      </c>
      <c r="Q211" s="481" t="s">
        <v>1867</v>
      </c>
      <c r="R211" s="315">
        <v>652133</v>
      </c>
      <c r="S211" s="315"/>
      <c r="T211" s="315">
        <v>25</v>
      </c>
      <c r="U211" s="640">
        <v>45433</v>
      </c>
      <c r="V211" s="378">
        <f t="shared" ca="1" si="76"/>
        <v>10</v>
      </c>
      <c r="W211" s="292">
        <f t="shared" ca="1" si="74"/>
        <v>2024</v>
      </c>
      <c r="X211" s="291" t="str">
        <f t="shared" ca="1" si="75"/>
        <v>3 WEEK</v>
      </c>
      <c r="Y211" s="484">
        <f t="shared" si="64"/>
        <v>45581</v>
      </c>
      <c r="Z211" s="341" cm="1">
        <f t="array" aca="1" ref="Z211" ca="1">_xlfn.IFS(AD211&lt;100,Y211,Y211&lt;TODAY(),TODAY(),Y211&gt;TODAY(),Y211,Y211=TODAY(),Y211)</f>
        <v>45581</v>
      </c>
      <c r="AA211" s="315"/>
      <c r="AB211" s="301"/>
      <c r="AC211" s="301"/>
      <c r="AD211" s="298">
        <f t="shared" si="67"/>
        <v>0</v>
      </c>
      <c r="AE211" s="299" t="str">
        <f t="shared" si="68"/>
        <v>Complete</v>
      </c>
      <c r="AF211" s="340"/>
      <c r="AG211" s="301"/>
      <c r="AH211" s="343"/>
      <c r="AI211" s="301">
        <f t="shared" ca="1" si="65"/>
        <v>0</v>
      </c>
      <c r="AJ211" s="302">
        <f t="shared" ca="1" si="66"/>
        <v>0</v>
      </c>
      <c r="AL211" s="303">
        <f t="shared" si="69"/>
        <v>0</v>
      </c>
      <c r="AM211" s="303">
        <f t="shared" si="70"/>
        <v>-652133</v>
      </c>
      <c r="AN211" s="303">
        <f t="shared" si="71"/>
        <v>652133</v>
      </c>
      <c r="AO211" s="304">
        <f t="shared" si="72"/>
        <v>0</v>
      </c>
      <c r="AP211" s="273">
        <f t="shared" si="77"/>
        <v>9</v>
      </c>
      <c r="AQ211" s="273" t="str">
        <f t="shared" ca="1" si="73"/>
        <v>92024</v>
      </c>
    </row>
    <row r="212" spans="1:43" ht="16.5">
      <c r="A212" s="587">
        <v>9</v>
      </c>
      <c r="B212" s="637" t="s">
        <v>1817</v>
      </c>
      <c r="C212" s="332" t="s">
        <v>1818</v>
      </c>
      <c r="D212" s="631" t="s">
        <v>1819</v>
      </c>
      <c r="E212" s="638">
        <v>45343</v>
      </c>
      <c r="F212" s="507">
        <v>2.468</v>
      </c>
      <c r="G212" s="301"/>
      <c r="H212" s="301"/>
      <c r="I212" s="349"/>
      <c r="J212" s="349"/>
      <c r="K212" s="639" t="s">
        <v>1854</v>
      </c>
      <c r="L212" s="639" t="s">
        <v>1595</v>
      </c>
      <c r="M212" s="592">
        <v>0.35</v>
      </c>
      <c r="N212" s="639" t="s">
        <v>1593</v>
      </c>
      <c r="O212" s="593" t="s">
        <v>1846</v>
      </c>
      <c r="P212" s="611">
        <v>45604</v>
      </c>
      <c r="Q212" s="481" t="s">
        <v>1868</v>
      </c>
      <c r="R212" s="315">
        <v>-652132.9</v>
      </c>
      <c r="S212" s="315"/>
      <c r="T212" s="315">
        <v>25</v>
      </c>
      <c r="U212" s="640">
        <v>45433</v>
      </c>
      <c r="V212" s="378">
        <f t="shared" ca="1" si="76"/>
        <v>12</v>
      </c>
      <c r="W212" s="292">
        <f t="shared" ca="1" si="74"/>
        <v>2024</v>
      </c>
      <c r="X212" s="291" t="str">
        <f t="shared" ca="1" si="75"/>
        <v>1 WEEK</v>
      </c>
      <c r="Y212" s="484">
        <f t="shared" si="64"/>
        <v>45629</v>
      </c>
      <c r="Z212" s="341" cm="1">
        <f t="array" aca="1" ref="Z212" ca="1">_xlfn.IFS(AD212&lt;100,Y212,Y212&lt;TODAY(),TODAY(),Y212&gt;TODAY(),Y212,Y212=TODAY(),Y212)</f>
        <v>45629</v>
      </c>
      <c r="AA212" s="315"/>
      <c r="AB212" s="301"/>
      <c r="AC212" s="301"/>
      <c r="AD212" s="298">
        <f t="shared" si="67"/>
        <v>0</v>
      </c>
      <c r="AE212" s="299" t="str">
        <f t="shared" si="68"/>
        <v>Complete</v>
      </c>
      <c r="AF212" s="340"/>
      <c r="AG212" s="301"/>
      <c r="AH212" s="343"/>
      <c r="AI212" s="301">
        <f t="shared" ca="1" si="65"/>
        <v>0</v>
      </c>
      <c r="AJ212" s="302">
        <f t="shared" ca="1" si="66"/>
        <v>0</v>
      </c>
      <c r="AL212" s="303">
        <f t="shared" si="69"/>
        <v>0</v>
      </c>
      <c r="AM212" s="303">
        <f t="shared" si="70"/>
        <v>652132.9</v>
      </c>
      <c r="AN212" s="303">
        <f t="shared" si="71"/>
        <v>-652132.9</v>
      </c>
      <c r="AO212" s="304">
        <f t="shared" si="72"/>
        <v>0</v>
      </c>
      <c r="AP212" s="273">
        <f t="shared" si="77"/>
        <v>11</v>
      </c>
      <c r="AQ212" s="273" t="str">
        <f t="shared" ca="1" si="73"/>
        <v>112024</v>
      </c>
    </row>
    <row r="213" spans="1:43" ht="16.5">
      <c r="A213" s="587">
        <v>9</v>
      </c>
      <c r="B213" s="637" t="s">
        <v>1817</v>
      </c>
      <c r="C213" s="332" t="s">
        <v>1818</v>
      </c>
      <c r="D213" s="631" t="s">
        <v>1819</v>
      </c>
      <c r="E213" s="638">
        <v>45343</v>
      </c>
      <c r="F213" s="507">
        <v>2.468</v>
      </c>
      <c r="G213" s="301">
        <v>7957281</v>
      </c>
      <c r="H213" s="301">
        <v>1432310.5799999998</v>
      </c>
      <c r="I213" s="349">
        <v>9389592</v>
      </c>
      <c r="J213" s="349"/>
      <c r="K213" s="639" t="s">
        <v>1854</v>
      </c>
      <c r="L213" s="639" t="s">
        <v>1595</v>
      </c>
      <c r="M213" s="592">
        <v>0.35</v>
      </c>
      <c r="N213" s="639" t="s">
        <v>1593</v>
      </c>
      <c r="O213" s="593" t="s">
        <v>1847</v>
      </c>
      <c r="P213" s="611">
        <v>45540</v>
      </c>
      <c r="Q213" s="481" t="s">
        <v>1865</v>
      </c>
      <c r="R213" s="315">
        <v>9389592</v>
      </c>
      <c r="S213" s="315"/>
      <c r="T213" s="315">
        <v>25</v>
      </c>
      <c r="U213" s="640">
        <v>45433</v>
      </c>
      <c r="V213" s="378">
        <f t="shared" ca="1" si="76"/>
        <v>9</v>
      </c>
      <c r="W213" s="292">
        <f t="shared" ca="1" si="74"/>
        <v>2024</v>
      </c>
      <c r="X213" s="291" t="str">
        <f t="shared" ca="1" si="75"/>
        <v>5 WEEK</v>
      </c>
      <c r="Y213" s="484">
        <f t="shared" si="64"/>
        <v>45565</v>
      </c>
      <c r="Z213" s="341" cm="1">
        <f t="array" aca="1" ref="Z213" ca="1">_xlfn.IFS(AD213&lt;100,Y213,Y213&lt;TODAY(),TODAY(),Y213&gt;TODAY(),Y213,Y213=TODAY(),Y213)</f>
        <v>45565</v>
      </c>
      <c r="AA213" s="315"/>
      <c r="AB213" s="301"/>
      <c r="AC213" s="301"/>
      <c r="AD213" s="298">
        <f t="shared" si="67"/>
        <v>0</v>
      </c>
      <c r="AE213" s="299" t="str">
        <f t="shared" si="68"/>
        <v>Complete</v>
      </c>
      <c r="AF213" s="340"/>
      <c r="AG213" s="301"/>
      <c r="AH213" s="343"/>
      <c r="AI213" s="301">
        <f t="shared" ca="1" si="65"/>
        <v>0</v>
      </c>
      <c r="AJ213" s="302">
        <f t="shared" ca="1" si="66"/>
        <v>0</v>
      </c>
      <c r="AL213" s="303">
        <f t="shared" si="69"/>
        <v>9389592</v>
      </c>
      <c r="AM213" s="303">
        <f t="shared" si="70"/>
        <v>0</v>
      </c>
      <c r="AN213" s="303">
        <f t="shared" si="71"/>
        <v>9389592</v>
      </c>
      <c r="AO213" s="304">
        <f t="shared" si="72"/>
        <v>0</v>
      </c>
      <c r="AP213" s="273">
        <f t="shared" si="77"/>
        <v>9</v>
      </c>
      <c r="AQ213" s="273" t="str">
        <f t="shared" ca="1" si="73"/>
        <v>92024</v>
      </c>
    </row>
    <row r="214" spans="1:43" ht="16.5">
      <c r="A214" s="587">
        <v>9</v>
      </c>
      <c r="B214" s="637" t="s">
        <v>1817</v>
      </c>
      <c r="C214" s="332" t="s">
        <v>1818</v>
      </c>
      <c r="D214" s="631" t="s">
        <v>1819</v>
      </c>
      <c r="E214" s="638">
        <v>45343</v>
      </c>
      <c r="F214" s="507">
        <v>2.468</v>
      </c>
      <c r="G214" s="301">
        <v>5106911</v>
      </c>
      <c r="H214" s="301">
        <v>919243.98</v>
      </c>
      <c r="I214" s="349">
        <v>6026155</v>
      </c>
      <c r="J214" s="349"/>
      <c r="K214" s="639" t="s">
        <v>1848</v>
      </c>
      <c r="L214" s="639" t="s">
        <v>1617</v>
      </c>
      <c r="M214" s="592">
        <v>0.15</v>
      </c>
      <c r="N214" s="639" t="s">
        <v>1618</v>
      </c>
      <c r="O214" s="593" t="s">
        <v>1849</v>
      </c>
      <c r="P214" s="611">
        <v>45645</v>
      </c>
      <c r="Q214" s="481" t="s">
        <v>1862</v>
      </c>
      <c r="R214" s="315">
        <v>6026155</v>
      </c>
      <c r="S214" s="315"/>
      <c r="T214" s="315">
        <v>25</v>
      </c>
      <c r="U214" s="640">
        <v>45433</v>
      </c>
      <c r="V214" s="378">
        <f t="shared" ca="1" si="76"/>
        <v>10</v>
      </c>
      <c r="W214" s="292">
        <f t="shared" ca="1" si="74"/>
        <v>2025</v>
      </c>
      <c r="X214" s="291" t="str">
        <f t="shared" ca="1" si="75"/>
        <v>1 WEEK</v>
      </c>
      <c r="Y214" s="484">
        <v>45861</v>
      </c>
      <c r="Z214" s="341" cm="1">
        <f t="array" aca="1" ref="Z214" ca="1">_xlfn.IFS(AD214&lt;100,Y214,Y214&lt;TODAY(),TODAY(),Y214&gt;TODAY(),Y214,Y214=TODAY(),Y214)</f>
        <v>45935</v>
      </c>
      <c r="AA214" s="315">
        <f>SUM(I190:I217)*M214</f>
        <v>12911761.199999999</v>
      </c>
      <c r="AB214" s="518">
        <v>10161979</v>
      </c>
      <c r="AC214" s="301">
        <f>AA214*2%</f>
        <v>258235.22399999999</v>
      </c>
      <c r="AD214" s="298">
        <f t="shared" si="67"/>
        <v>2491547</v>
      </c>
      <c r="AE214" s="299" t="str">
        <f t="shared" si="68"/>
        <v>Incomplete</v>
      </c>
      <c r="AF214" s="340"/>
      <c r="AG214" s="301"/>
      <c r="AH214" s="343"/>
      <c r="AI214" s="301">
        <f t="shared" ca="1" si="65"/>
        <v>74</v>
      </c>
      <c r="AJ214" s="302" t="str">
        <f t="shared" ca="1" si="66"/>
        <v>Delayed</v>
      </c>
      <c r="AL214" s="303">
        <f t="shared" si="69"/>
        <v>6026155</v>
      </c>
      <c r="AM214" s="303">
        <f t="shared" si="70"/>
        <v>0</v>
      </c>
      <c r="AN214" s="303">
        <f t="shared" si="71"/>
        <v>6026155</v>
      </c>
      <c r="AO214" s="304">
        <f t="shared" si="72"/>
        <v>0</v>
      </c>
      <c r="AP214" s="273">
        <f t="shared" si="77"/>
        <v>12</v>
      </c>
      <c r="AQ214" s="273" t="str">
        <f t="shared" ca="1" si="73"/>
        <v>122025</v>
      </c>
    </row>
    <row r="215" spans="1:43" ht="16.5">
      <c r="A215" s="587">
        <v>9</v>
      </c>
      <c r="B215" s="637" t="s">
        <v>1817</v>
      </c>
      <c r="C215" s="332" t="s">
        <v>1818</v>
      </c>
      <c r="D215" s="631" t="s">
        <v>1819</v>
      </c>
      <c r="E215" s="638">
        <v>45343</v>
      </c>
      <c r="F215" s="507">
        <v>2.468</v>
      </c>
      <c r="G215" s="301"/>
      <c r="H215" s="301"/>
      <c r="I215" s="349"/>
      <c r="J215" s="349"/>
      <c r="K215" s="639" t="s">
        <v>1848</v>
      </c>
      <c r="L215" s="639" t="s">
        <v>1617</v>
      </c>
      <c r="M215" s="592">
        <v>0.15</v>
      </c>
      <c r="N215" s="639" t="s">
        <v>1618</v>
      </c>
      <c r="O215" s="593"/>
      <c r="P215" s="484">
        <v>45861</v>
      </c>
      <c r="Q215" s="481"/>
      <c r="R215" s="315"/>
      <c r="S215" s="315"/>
      <c r="T215" s="315">
        <v>25</v>
      </c>
      <c r="U215" s="640">
        <v>45433</v>
      </c>
      <c r="V215" s="378">
        <f t="shared" ca="1" si="76"/>
        <v>8</v>
      </c>
      <c r="W215" s="292">
        <f t="shared" ca="1" si="74"/>
        <v>2025</v>
      </c>
      <c r="X215" s="291" t="str">
        <f t="shared" ca="1" si="75"/>
        <v>3 WEEK</v>
      </c>
      <c r="Y215" s="484">
        <f>P215+T215</f>
        <v>45886</v>
      </c>
      <c r="Z215" s="541" cm="1">
        <f t="array" aca="1" ref="Z215" ca="1">_xlfn.IFS(AD215&lt;100,Y215,Y215&lt;TODAY(),TODAY(),Y215&gt;TODAY(),Y215,Y215=TODAY(),Y215)</f>
        <v>45886</v>
      </c>
      <c r="AA215" s="315"/>
      <c r="AB215" s="518"/>
      <c r="AC215" s="301"/>
      <c r="AD215" s="298">
        <f t="shared" si="67"/>
        <v>0</v>
      </c>
      <c r="AE215" s="299" t="str">
        <f t="shared" si="68"/>
        <v>Complete</v>
      </c>
      <c r="AF215" s="340"/>
      <c r="AG215" s="301"/>
      <c r="AH215" s="343"/>
      <c r="AI215" s="301">
        <f t="shared" ca="1" si="65"/>
        <v>0</v>
      </c>
      <c r="AJ215" s="302">
        <f t="shared" ca="1" si="66"/>
        <v>0</v>
      </c>
      <c r="AL215" s="303">
        <f t="shared" si="69"/>
        <v>0</v>
      </c>
      <c r="AM215" s="303">
        <f t="shared" si="70"/>
        <v>0</v>
      </c>
      <c r="AN215" s="303">
        <f t="shared" si="71"/>
        <v>0</v>
      </c>
      <c r="AO215" s="304">
        <f t="shared" si="72"/>
        <v>0</v>
      </c>
      <c r="AP215" s="273">
        <f t="shared" si="77"/>
        <v>7</v>
      </c>
      <c r="AQ215" s="273" t="str">
        <f t="shared" ca="1" si="73"/>
        <v>72025</v>
      </c>
    </row>
    <row r="216" spans="1:43" ht="16.5">
      <c r="A216" s="587">
        <v>9</v>
      </c>
      <c r="B216" s="637" t="s">
        <v>1817</v>
      </c>
      <c r="C216" s="332" t="s">
        <v>1818</v>
      </c>
      <c r="D216" s="631" t="s">
        <v>1819</v>
      </c>
      <c r="E216" s="638">
        <v>45343</v>
      </c>
      <c r="F216" s="507">
        <v>2.468</v>
      </c>
      <c r="G216" s="301"/>
      <c r="H216" s="301"/>
      <c r="I216" s="349"/>
      <c r="J216" s="349"/>
      <c r="K216" s="639" t="s">
        <v>1850</v>
      </c>
      <c r="L216" s="639" t="s">
        <v>1617</v>
      </c>
      <c r="M216" s="592">
        <v>0.2</v>
      </c>
      <c r="N216" s="639" t="s">
        <v>1618</v>
      </c>
      <c r="O216" s="593" t="s">
        <v>1849</v>
      </c>
      <c r="P216" s="484">
        <v>45861</v>
      </c>
      <c r="Q216" s="481"/>
      <c r="R216" s="315"/>
      <c r="S216" s="315"/>
      <c r="T216" s="315">
        <v>25</v>
      </c>
      <c r="U216" s="640">
        <v>45433</v>
      </c>
      <c r="V216" s="378">
        <f t="shared" ca="1" si="76"/>
        <v>10</v>
      </c>
      <c r="W216" s="292">
        <f t="shared" ca="1" si="74"/>
        <v>2025</v>
      </c>
      <c r="X216" s="291" t="str">
        <f t="shared" ca="1" si="75"/>
        <v>1 WEEK</v>
      </c>
      <c r="Y216" s="484">
        <f>P216+T216</f>
        <v>45886</v>
      </c>
      <c r="Z216" s="541" cm="1">
        <f t="array" aca="1" ref="Z216" ca="1">_xlfn.IFS(AD216&lt;100,Y216,Y216&lt;TODAY(),TODAY(),Y216&gt;TODAY(),Y216,Y216=TODAY(),Y216)</f>
        <v>45935</v>
      </c>
      <c r="AA216" s="315">
        <f>SUM(I190:I217)*M216</f>
        <v>17215681.600000001</v>
      </c>
      <c r="AB216" s="518"/>
      <c r="AC216" s="301"/>
      <c r="AD216" s="298">
        <f t="shared" si="67"/>
        <v>17215682</v>
      </c>
      <c r="AE216" s="299" t="str">
        <f t="shared" si="68"/>
        <v>Incomplete</v>
      </c>
      <c r="AF216" s="340"/>
      <c r="AG216" s="301"/>
      <c r="AH216" s="343"/>
      <c r="AI216" s="301">
        <f t="shared" ca="1" si="65"/>
        <v>49</v>
      </c>
      <c r="AJ216" s="302" t="str">
        <f t="shared" ca="1" si="66"/>
        <v>Delayed</v>
      </c>
      <c r="AL216" s="303">
        <f t="shared" si="69"/>
        <v>0</v>
      </c>
      <c r="AM216" s="303">
        <f t="shared" si="70"/>
        <v>0</v>
      </c>
      <c r="AN216" s="303">
        <f t="shared" si="71"/>
        <v>0</v>
      </c>
      <c r="AO216" s="304">
        <f t="shared" si="72"/>
        <v>0</v>
      </c>
      <c r="AP216" s="273">
        <f t="shared" si="77"/>
        <v>7</v>
      </c>
      <c r="AQ216" s="273" t="str">
        <f t="shared" ca="1" si="73"/>
        <v>72025</v>
      </c>
    </row>
    <row r="217" spans="1:43" ht="16.5">
      <c r="A217" s="587">
        <v>9</v>
      </c>
      <c r="B217" s="637" t="s">
        <v>1817</v>
      </c>
      <c r="C217" s="332" t="s">
        <v>1818</v>
      </c>
      <c r="D217" s="631" t="s">
        <v>1819</v>
      </c>
      <c r="E217" s="638">
        <v>45343</v>
      </c>
      <c r="F217" s="507">
        <v>2.468</v>
      </c>
      <c r="G217" s="301"/>
      <c r="H217" s="301"/>
      <c r="I217" s="349"/>
      <c r="J217" s="349"/>
      <c r="K217" s="639" t="s">
        <v>1851</v>
      </c>
      <c r="L217" s="639" t="s">
        <v>1852</v>
      </c>
      <c r="M217" s="592">
        <v>0.2</v>
      </c>
      <c r="N217" s="639" t="s">
        <v>1593</v>
      </c>
      <c r="O217" s="593" t="s">
        <v>1849</v>
      </c>
      <c r="P217" s="484">
        <v>45861</v>
      </c>
      <c r="Q217" s="481"/>
      <c r="R217" s="315"/>
      <c r="S217" s="315"/>
      <c r="T217" s="315">
        <v>25</v>
      </c>
      <c r="U217" s="640">
        <v>45433</v>
      </c>
      <c r="V217" s="378">
        <f t="shared" ca="1" si="76"/>
        <v>10</v>
      </c>
      <c r="W217" s="292">
        <f t="shared" ca="1" si="74"/>
        <v>2025</v>
      </c>
      <c r="X217" s="291" t="str">
        <f t="shared" ca="1" si="75"/>
        <v>1 WEEK</v>
      </c>
      <c r="Y217" s="484">
        <f>P217+T217</f>
        <v>45886</v>
      </c>
      <c r="Z217" s="541" cm="1">
        <f t="array" aca="1" ref="Z217" ca="1">_xlfn.IFS(AD217&lt;100,Y217,Y217&lt;TODAY(),TODAY(),Y217&gt;TODAY(),Y217,Y217=TODAY(),Y217)</f>
        <v>45935</v>
      </c>
      <c r="AA217" s="315">
        <f>SUM(I190:I217)*M217+SUM(H190:H217)*M190</f>
        <v>18291453.964000002</v>
      </c>
      <c r="AB217" s="655"/>
      <c r="AC217" s="301"/>
      <c r="AD217" s="298">
        <f t="shared" si="67"/>
        <v>18291454</v>
      </c>
      <c r="AE217" s="299" t="str">
        <f t="shared" si="68"/>
        <v>Incomplete</v>
      </c>
      <c r="AF217" s="340"/>
      <c r="AG217" s="301"/>
      <c r="AH217" s="343"/>
      <c r="AI217" s="301">
        <f t="shared" ca="1" si="65"/>
        <v>49</v>
      </c>
      <c r="AJ217" s="302" t="str">
        <f t="shared" ca="1" si="66"/>
        <v>Delayed</v>
      </c>
      <c r="AL217" s="303">
        <f t="shared" si="69"/>
        <v>0</v>
      </c>
      <c r="AM217" s="303">
        <f t="shared" si="70"/>
        <v>0</v>
      </c>
      <c r="AN217" s="303">
        <f t="shared" si="71"/>
        <v>0</v>
      </c>
      <c r="AO217" s="304">
        <f t="shared" si="72"/>
        <v>0</v>
      </c>
      <c r="AP217" s="273">
        <f t="shared" si="77"/>
        <v>7</v>
      </c>
      <c r="AQ217" s="273" t="str">
        <f t="shared" ca="1" si="73"/>
        <v>72025</v>
      </c>
    </row>
    <row r="218" spans="1:43" ht="16.5">
      <c r="A218" s="383"/>
      <c r="B218" s="637" t="s">
        <v>1817</v>
      </c>
      <c r="C218" s="425"/>
      <c r="D218" s="656"/>
      <c r="E218" s="657"/>
      <c r="F218" s="567"/>
      <c r="G218" s="389"/>
      <c r="H218" s="389"/>
      <c r="I218" s="492"/>
      <c r="J218" s="492"/>
      <c r="K218" s="658"/>
      <c r="L218" s="658"/>
      <c r="M218" s="659"/>
      <c r="N218" s="660"/>
      <c r="O218" s="661"/>
      <c r="P218" s="1">
        <v>45646</v>
      </c>
      <c r="Q218" t="s">
        <v>1869</v>
      </c>
      <c r="R218" s="662">
        <v>122516</v>
      </c>
      <c r="S218" s="434"/>
      <c r="T218" s="315">
        <v>25</v>
      </c>
      <c r="U218" s="640">
        <v>45433</v>
      </c>
      <c r="V218" s="378">
        <f t="shared" ca="1" si="76"/>
        <v>1</v>
      </c>
      <c r="W218" s="292">
        <f t="shared" ca="1" si="74"/>
        <v>2025</v>
      </c>
      <c r="X218" s="291" t="str">
        <f t="shared" ca="1" si="75"/>
        <v>2 WEEK</v>
      </c>
      <c r="Y218" s="654">
        <f t="shared" ref="Y218:Y232" si="78">P218+T218</f>
        <v>45671</v>
      </c>
      <c r="Z218" s="541" cm="1">
        <f t="array" aca="1" ref="Z218" ca="1">_xlfn.IFS(AD218&lt;100,Y218,Y218&lt;TODAY(),TODAY(),Y218&gt;TODAY(),Y218,Y218=TODAY(),Y218)</f>
        <v>45671</v>
      </c>
      <c r="AA218" s="434"/>
      <c r="AB218" s="663"/>
      <c r="AC218" s="389"/>
      <c r="AD218" s="298">
        <f t="shared" si="67"/>
        <v>0</v>
      </c>
      <c r="AE218" s="299" t="str">
        <f t="shared" si="68"/>
        <v>Complete</v>
      </c>
      <c r="AF218" s="390"/>
      <c r="AG218" s="389"/>
      <c r="AH218" s="391"/>
      <c r="AI218" s="301">
        <f t="shared" ca="1" si="65"/>
        <v>0</v>
      </c>
      <c r="AJ218" s="302">
        <f t="shared" ca="1" si="66"/>
        <v>0</v>
      </c>
      <c r="AL218" s="303">
        <f t="shared" si="69"/>
        <v>0</v>
      </c>
      <c r="AM218" s="303">
        <f t="shared" si="70"/>
        <v>-122516</v>
      </c>
      <c r="AN218" s="303">
        <f t="shared" si="71"/>
        <v>122516</v>
      </c>
      <c r="AO218" s="304">
        <f t="shared" si="72"/>
        <v>0</v>
      </c>
      <c r="AP218" s="273">
        <f t="shared" si="77"/>
        <v>12</v>
      </c>
      <c r="AQ218" s="273" t="str">
        <f t="shared" ca="1" si="73"/>
        <v>122025</v>
      </c>
    </row>
    <row r="219" spans="1:43" ht="16.5">
      <c r="A219" s="312">
        <f>A217+1</f>
        <v>10</v>
      </c>
      <c r="B219" s="637" t="s">
        <v>1817</v>
      </c>
      <c r="C219" s="332" t="s">
        <v>1818</v>
      </c>
      <c r="D219" s="631" t="s">
        <v>1819</v>
      </c>
      <c r="E219" s="638">
        <v>45343</v>
      </c>
      <c r="F219" s="507">
        <v>3.6589999999999998</v>
      </c>
      <c r="G219" s="451">
        <v>1457362</v>
      </c>
      <c r="H219" s="451">
        <v>262325.15999999997</v>
      </c>
      <c r="I219" s="455">
        <v>1719687.16</v>
      </c>
      <c r="J219" s="455"/>
      <c r="K219" s="664"/>
      <c r="L219" s="664"/>
      <c r="N219" s="664"/>
      <c r="O219" s="666" t="s">
        <v>1870</v>
      </c>
      <c r="P219" s="667"/>
      <c r="Q219" s="668"/>
      <c r="R219" s="450"/>
      <c r="S219" s="450"/>
      <c r="T219" s="450"/>
      <c r="U219" s="669"/>
      <c r="V219" s="378">
        <f t="shared" ca="1" si="76"/>
        <v>1</v>
      </c>
      <c r="W219" s="292">
        <f t="shared" ca="1" si="74"/>
        <v>1900</v>
      </c>
      <c r="X219" s="291" t="str">
        <f t="shared" ca="1" si="75"/>
        <v>0 WEEK</v>
      </c>
      <c r="Y219" s="654">
        <f t="shared" si="78"/>
        <v>0</v>
      </c>
      <c r="Z219" s="541" cm="1">
        <f t="array" aca="1" ref="Z219" ca="1">_xlfn.IFS(AD219&lt;100,Y219,Y219&lt;TODAY(),TODAY(),Y219&gt;TODAY(),Y219,Y219=TODAY(),Y219)</f>
        <v>0</v>
      </c>
      <c r="AA219" s="450"/>
      <c r="AB219" s="663"/>
      <c r="AC219" s="451"/>
      <c r="AD219" s="298">
        <f t="shared" si="67"/>
        <v>0</v>
      </c>
      <c r="AE219" s="299" t="str">
        <f t="shared" si="68"/>
        <v>Complete</v>
      </c>
      <c r="AG219" s="451"/>
      <c r="AH219" s="451"/>
      <c r="AI219" s="301">
        <f t="shared" ca="1" si="65"/>
        <v>0</v>
      </c>
      <c r="AJ219" s="302">
        <f t="shared" ca="1" si="66"/>
        <v>0</v>
      </c>
      <c r="AL219" s="303">
        <f t="shared" si="69"/>
        <v>1719687.16</v>
      </c>
      <c r="AM219" s="303">
        <f t="shared" si="70"/>
        <v>1719687.16</v>
      </c>
      <c r="AN219" s="303">
        <f t="shared" si="71"/>
        <v>0</v>
      </c>
      <c r="AO219" s="304">
        <f t="shared" si="72"/>
        <v>0</v>
      </c>
      <c r="AP219" s="273">
        <f t="shared" si="77"/>
        <v>1</v>
      </c>
      <c r="AQ219" s="273" t="str">
        <f t="shared" ca="1" si="73"/>
        <v>11900</v>
      </c>
    </row>
    <row r="220" spans="1:43" ht="16.5">
      <c r="B220" s="637" t="s">
        <v>1817</v>
      </c>
      <c r="C220" s="332" t="s">
        <v>1818</v>
      </c>
      <c r="D220" s="631" t="s">
        <v>1819</v>
      </c>
      <c r="E220" s="638">
        <v>45343</v>
      </c>
      <c r="F220" s="507">
        <v>3.6589999999999998</v>
      </c>
      <c r="G220" s="451">
        <v>1609044.75</v>
      </c>
      <c r="H220" s="451">
        <v>289628.05499999999</v>
      </c>
      <c r="I220" s="455">
        <v>1898672.8049999999</v>
      </c>
      <c r="J220" s="455"/>
      <c r="K220" s="664"/>
      <c r="L220" s="664"/>
      <c r="N220" s="664"/>
      <c r="O220" s="666" t="s">
        <v>1871</v>
      </c>
      <c r="P220" s="667"/>
      <c r="Q220" s="668"/>
      <c r="R220" s="450"/>
      <c r="S220" s="450"/>
      <c r="T220" s="450"/>
      <c r="U220" s="669"/>
      <c r="V220" s="378">
        <f t="shared" ca="1" si="76"/>
        <v>1</v>
      </c>
      <c r="W220" s="292">
        <f t="shared" ca="1" si="74"/>
        <v>1900</v>
      </c>
      <c r="X220" s="291" t="str">
        <f t="shared" ca="1" si="75"/>
        <v>0 WEEK</v>
      </c>
      <c r="Y220" s="654">
        <f t="shared" si="78"/>
        <v>0</v>
      </c>
      <c r="Z220" s="541" cm="1">
        <f t="array" aca="1" ref="Z220" ca="1">_xlfn.IFS(AD220&lt;100,Y220,Y220&lt;TODAY(),TODAY(),Y220&gt;TODAY(),Y220,Y220=TODAY(),Y220)</f>
        <v>0</v>
      </c>
      <c r="AA220" s="450"/>
      <c r="AB220" s="663"/>
      <c r="AC220" s="451"/>
      <c r="AD220" s="298">
        <f t="shared" si="67"/>
        <v>0</v>
      </c>
      <c r="AE220" s="299" t="str">
        <f t="shared" si="68"/>
        <v>Complete</v>
      </c>
      <c r="AG220" s="451"/>
      <c r="AH220" s="451"/>
      <c r="AI220" s="301">
        <f t="shared" ca="1" si="65"/>
        <v>0</v>
      </c>
      <c r="AJ220" s="302">
        <f t="shared" ca="1" si="66"/>
        <v>0</v>
      </c>
      <c r="AL220" s="303">
        <f t="shared" si="69"/>
        <v>1898672.8049999999</v>
      </c>
      <c r="AM220" s="303">
        <f t="shared" si="70"/>
        <v>1898672.8049999999</v>
      </c>
      <c r="AN220" s="303">
        <f t="shared" si="71"/>
        <v>0</v>
      </c>
      <c r="AO220" s="304">
        <f t="shared" si="72"/>
        <v>0</v>
      </c>
      <c r="AP220" s="273">
        <f t="shared" si="77"/>
        <v>1</v>
      </c>
      <c r="AQ220" s="273" t="str">
        <f t="shared" ca="1" si="73"/>
        <v>11900</v>
      </c>
    </row>
    <row r="221" spans="1:43" ht="16.5">
      <c r="B221" s="637" t="s">
        <v>1817</v>
      </c>
      <c r="C221" s="332" t="s">
        <v>1818</v>
      </c>
      <c r="D221" s="631" t="s">
        <v>1819</v>
      </c>
      <c r="E221" s="638">
        <v>45343</v>
      </c>
      <c r="F221" s="507">
        <v>3.6589999999999998</v>
      </c>
      <c r="G221" s="451">
        <v>1609044.75</v>
      </c>
      <c r="H221" s="451">
        <v>289628.05499999999</v>
      </c>
      <c r="I221" s="455">
        <v>1898672.8049999999</v>
      </c>
      <c r="J221" s="455"/>
      <c r="K221" s="664"/>
      <c r="L221" s="664"/>
      <c r="N221" s="664"/>
      <c r="O221" s="666" t="s">
        <v>1872</v>
      </c>
      <c r="P221" s="667"/>
      <c r="Q221" s="668"/>
      <c r="R221" s="450"/>
      <c r="S221" s="450"/>
      <c r="T221" s="450"/>
      <c r="U221" s="669"/>
      <c r="V221" s="378">
        <f t="shared" ca="1" si="76"/>
        <v>1</v>
      </c>
      <c r="W221" s="292">
        <f t="shared" ca="1" si="74"/>
        <v>1900</v>
      </c>
      <c r="X221" s="291" t="str">
        <f t="shared" ca="1" si="75"/>
        <v>0 WEEK</v>
      </c>
      <c r="Y221" s="654">
        <f t="shared" si="78"/>
        <v>0</v>
      </c>
      <c r="Z221" s="541" cm="1">
        <f t="array" aca="1" ref="Z221" ca="1">_xlfn.IFS(AD221&lt;100,Y221,Y221&lt;TODAY(),TODAY(),Y221&gt;TODAY(),Y221,Y221=TODAY(),Y221)</f>
        <v>0</v>
      </c>
      <c r="AA221" s="450"/>
      <c r="AB221" s="663"/>
      <c r="AC221" s="451"/>
      <c r="AD221" s="298">
        <f t="shared" si="67"/>
        <v>0</v>
      </c>
      <c r="AE221" s="299" t="str">
        <f t="shared" si="68"/>
        <v>Complete</v>
      </c>
      <c r="AG221" s="451"/>
      <c r="AH221" s="451"/>
      <c r="AI221" s="301">
        <f t="shared" ca="1" si="65"/>
        <v>0</v>
      </c>
      <c r="AJ221" s="302">
        <f t="shared" ca="1" si="66"/>
        <v>0</v>
      </c>
      <c r="AL221" s="303">
        <f t="shared" si="69"/>
        <v>1898672.8049999999</v>
      </c>
      <c r="AM221" s="303">
        <f t="shared" si="70"/>
        <v>1898672.8049999999</v>
      </c>
      <c r="AN221" s="303">
        <f t="shared" si="71"/>
        <v>0</v>
      </c>
      <c r="AO221" s="304">
        <f t="shared" si="72"/>
        <v>0</v>
      </c>
      <c r="AP221" s="273">
        <f t="shared" si="77"/>
        <v>1</v>
      </c>
      <c r="AQ221" s="273" t="str">
        <f t="shared" ca="1" si="73"/>
        <v>11900</v>
      </c>
    </row>
    <row r="222" spans="1:43" ht="16.5">
      <c r="B222" s="637" t="s">
        <v>1817</v>
      </c>
      <c r="C222" s="332" t="s">
        <v>1818</v>
      </c>
      <c r="D222" s="631" t="s">
        <v>1819</v>
      </c>
      <c r="E222" s="638">
        <v>45343</v>
      </c>
      <c r="F222" s="507">
        <v>3.6589999999999998</v>
      </c>
      <c r="G222" s="451">
        <v>1609044.75</v>
      </c>
      <c r="H222" s="451">
        <v>289628.05499999999</v>
      </c>
      <c r="I222" s="455">
        <v>1898672.8049999999</v>
      </c>
      <c r="J222" s="455"/>
      <c r="K222" s="664"/>
      <c r="L222" s="664"/>
      <c r="N222" s="664"/>
      <c r="O222" s="666" t="s">
        <v>1873</v>
      </c>
      <c r="P222" s="667"/>
      <c r="Q222" s="668"/>
      <c r="R222" s="450"/>
      <c r="S222" s="450"/>
      <c r="T222" s="450"/>
      <c r="U222" s="669"/>
      <c r="V222" s="378">
        <f t="shared" ca="1" si="76"/>
        <v>1</v>
      </c>
      <c r="W222" s="292">
        <f t="shared" ca="1" si="74"/>
        <v>1900</v>
      </c>
      <c r="X222" s="291" t="str">
        <f t="shared" ca="1" si="75"/>
        <v>0 WEEK</v>
      </c>
      <c r="Y222" s="654">
        <f t="shared" si="78"/>
        <v>0</v>
      </c>
      <c r="Z222" s="541" cm="1">
        <f t="array" aca="1" ref="Z222" ca="1">_xlfn.IFS(AD222&lt;100,Y222,Y222&lt;TODAY(),TODAY(),Y222&gt;TODAY(),Y222,Y222=TODAY(),Y222)</f>
        <v>0</v>
      </c>
      <c r="AA222" s="450"/>
      <c r="AB222" s="663"/>
      <c r="AC222" s="451"/>
      <c r="AD222" s="298">
        <f t="shared" si="67"/>
        <v>0</v>
      </c>
      <c r="AE222" s="299" t="str">
        <f t="shared" si="68"/>
        <v>Complete</v>
      </c>
      <c r="AG222" s="451"/>
      <c r="AH222" s="451"/>
      <c r="AI222" s="301">
        <f t="shared" ca="1" si="65"/>
        <v>0</v>
      </c>
      <c r="AJ222" s="302">
        <f t="shared" ca="1" si="66"/>
        <v>0</v>
      </c>
      <c r="AL222" s="303">
        <f t="shared" si="69"/>
        <v>1898672.8049999999</v>
      </c>
      <c r="AM222" s="303">
        <f t="shared" si="70"/>
        <v>1898672.8049999999</v>
      </c>
      <c r="AN222" s="303">
        <f t="shared" si="71"/>
        <v>0</v>
      </c>
      <c r="AO222" s="304">
        <f t="shared" si="72"/>
        <v>0</v>
      </c>
      <c r="AP222" s="273">
        <f t="shared" si="77"/>
        <v>1</v>
      </c>
      <c r="AQ222" s="273" t="str">
        <f t="shared" ca="1" si="73"/>
        <v>11900</v>
      </c>
    </row>
    <row r="223" spans="1:43" ht="16.5">
      <c r="B223" s="637" t="s">
        <v>1817</v>
      </c>
      <c r="C223" s="332" t="s">
        <v>1818</v>
      </c>
      <c r="D223" s="631" t="s">
        <v>1819</v>
      </c>
      <c r="E223" s="638">
        <v>45343</v>
      </c>
      <c r="F223" s="507">
        <v>3.6589999999999998</v>
      </c>
      <c r="G223" s="451">
        <v>1609044.75</v>
      </c>
      <c r="H223" s="451">
        <v>289628.05499999999</v>
      </c>
      <c r="I223" s="455">
        <v>1898672.8049999999</v>
      </c>
      <c r="J223" s="455"/>
      <c r="K223" s="664"/>
      <c r="L223" s="664"/>
      <c r="N223" s="664"/>
      <c r="O223" s="666" t="s">
        <v>1874</v>
      </c>
      <c r="P223" s="667"/>
      <c r="Q223" s="668"/>
      <c r="R223" s="450"/>
      <c r="S223" s="450"/>
      <c r="T223" s="450"/>
      <c r="U223" s="669"/>
      <c r="V223" s="378">
        <f t="shared" ca="1" si="76"/>
        <v>1</v>
      </c>
      <c r="W223" s="292">
        <f t="shared" ca="1" si="74"/>
        <v>1900</v>
      </c>
      <c r="X223" s="291" t="str">
        <f t="shared" ca="1" si="75"/>
        <v>0 WEEK</v>
      </c>
      <c r="Y223" s="654">
        <f t="shared" si="78"/>
        <v>0</v>
      </c>
      <c r="Z223" s="541" cm="1">
        <f t="array" aca="1" ref="Z223" ca="1">_xlfn.IFS(AD223&lt;100,Y223,Y223&lt;TODAY(),TODAY(),Y223&gt;TODAY(),Y223,Y223=TODAY(),Y223)</f>
        <v>0</v>
      </c>
      <c r="AA223" s="450"/>
      <c r="AB223" s="663"/>
      <c r="AC223" s="451"/>
      <c r="AD223" s="298">
        <f t="shared" si="67"/>
        <v>0</v>
      </c>
      <c r="AE223" s="299" t="str">
        <f t="shared" si="68"/>
        <v>Complete</v>
      </c>
      <c r="AG223" s="451"/>
      <c r="AH223" s="451"/>
      <c r="AI223" s="301">
        <f t="shared" ca="1" si="65"/>
        <v>0</v>
      </c>
      <c r="AJ223" s="302">
        <f t="shared" ca="1" si="66"/>
        <v>0</v>
      </c>
      <c r="AL223" s="303">
        <f t="shared" si="69"/>
        <v>1898672.8049999999</v>
      </c>
      <c r="AM223" s="303">
        <f t="shared" si="70"/>
        <v>1898672.8049999999</v>
      </c>
      <c r="AN223" s="303">
        <f t="shared" si="71"/>
        <v>0</v>
      </c>
      <c r="AO223" s="304">
        <f t="shared" si="72"/>
        <v>0</v>
      </c>
      <c r="AP223" s="273">
        <f t="shared" si="77"/>
        <v>1</v>
      </c>
      <c r="AQ223" s="273" t="str">
        <f t="shared" ca="1" si="73"/>
        <v>11900</v>
      </c>
    </row>
    <row r="224" spans="1:43" ht="16.5">
      <c r="B224" s="670"/>
      <c r="C224" s="425"/>
      <c r="D224" s="670"/>
      <c r="E224" s="657"/>
      <c r="F224" s="567"/>
      <c r="G224" s="451"/>
      <c r="H224" s="451"/>
      <c r="I224" s="455"/>
      <c r="J224" s="455"/>
      <c r="K224" s="664"/>
      <c r="L224" s="664"/>
      <c r="N224" s="664"/>
      <c r="O224" s="671"/>
      <c r="P224" s="667"/>
      <c r="Q224" s="668"/>
      <c r="R224" s="450"/>
      <c r="S224" s="450"/>
      <c r="T224" s="450"/>
      <c r="U224" s="669"/>
      <c r="V224" s="378">
        <f t="shared" ca="1" si="76"/>
        <v>1</v>
      </c>
      <c r="W224" s="292">
        <f t="shared" ca="1" si="74"/>
        <v>1900</v>
      </c>
      <c r="X224" s="291" t="str">
        <f t="shared" ca="1" si="75"/>
        <v>0 WEEK</v>
      </c>
      <c r="Y224" s="654">
        <f t="shared" si="78"/>
        <v>0</v>
      </c>
      <c r="Z224" s="541" cm="1">
        <f t="array" aca="1" ref="Z224" ca="1">_xlfn.IFS(AD224&lt;100,Y224,Y224&lt;TODAY(),TODAY(),Y224&gt;TODAY(),Y224,Y224=TODAY(),Y224)</f>
        <v>0</v>
      </c>
      <c r="AA224" s="450"/>
      <c r="AB224" s="663"/>
      <c r="AC224" s="451"/>
      <c r="AD224" s="298">
        <f t="shared" si="67"/>
        <v>0</v>
      </c>
      <c r="AE224" s="299" t="str">
        <f t="shared" si="68"/>
        <v>Complete</v>
      </c>
      <c r="AG224" s="451"/>
      <c r="AH224" s="451"/>
      <c r="AI224" s="301">
        <f t="shared" ca="1" si="65"/>
        <v>0</v>
      </c>
      <c r="AJ224" s="302">
        <f t="shared" ca="1" si="66"/>
        <v>0</v>
      </c>
      <c r="AL224" s="303">
        <f t="shared" si="69"/>
        <v>0</v>
      </c>
      <c r="AM224" s="303">
        <f t="shared" si="70"/>
        <v>0</v>
      </c>
      <c r="AN224" s="303">
        <f t="shared" si="71"/>
        <v>0</v>
      </c>
      <c r="AO224" s="304">
        <f t="shared" si="72"/>
        <v>0</v>
      </c>
      <c r="AP224" s="273">
        <f t="shared" si="77"/>
        <v>1</v>
      </c>
      <c r="AQ224" s="273" t="str">
        <f t="shared" ca="1" si="73"/>
        <v>11900</v>
      </c>
    </row>
    <row r="225" spans="1:43" ht="16.5">
      <c r="A225" s="312">
        <f>A219+1</f>
        <v>11</v>
      </c>
      <c r="B225" s="637" t="s">
        <v>1817</v>
      </c>
      <c r="C225" s="332" t="s">
        <v>1818</v>
      </c>
      <c r="D225" s="631" t="s">
        <v>1819</v>
      </c>
      <c r="E225" s="638">
        <v>45343</v>
      </c>
      <c r="F225" s="567">
        <v>2.468</v>
      </c>
      <c r="G225" s="451">
        <v>967716</v>
      </c>
      <c r="H225" s="451">
        <v>174188.88</v>
      </c>
      <c r="I225" s="455">
        <v>1141904.8799999999</v>
      </c>
      <c r="J225" s="455"/>
      <c r="K225" s="664"/>
      <c r="L225" s="664"/>
      <c r="N225" s="664"/>
      <c r="O225" s="666" t="s">
        <v>1870</v>
      </c>
      <c r="P225" s="667"/>
      <c r="Q225" s="668"/>
      <c r="R225" s="450"/>
      <c r="S225" s="450"/>
      <c r="T225" s="450"/>
      <c r="U225" s="669"/>
      <c r="V225" s="378">
        <f t="shared" ca="1" si="76"/>
        <v>1</v>
      </c>
      <c r="W225" s="292">
        <f t="shared" ca="1" si="74"/>
        <v>1900</v>
      </c>
      <c r="X225" s="291" t="str">
        <f t="shared" ca="1" si="75"/>
        <v>0 WEEK</v>
      </c>
      <c r="Y225" s="654">
        <f t="shared" si="78"/>
        <v>0</v>
      </c>
      <c r="Z225" s="541" cm="1">
        <f t="array" aca="1" ref="Z225" ca="1">_xlfn.IFS(AD225&lt;100,Y225,Y225&lt;TODAY(),TODAY(),Y225&gt;TODAY(),Y225,Y225=TODAY(),Y225)</f>
        <v>0</v>
      </c>
      <c r="AA225" s="450"/>
      <c r="AB225" s="663"/>
      <c r="AC225" s="451"/>
      <c r="AD225" s="298">
        <f t="shared" si="67"/>
        <v>0</v>
      </c>
      <c r="AE225" s="299" t="str">
        <f t="shared" si="68"/>
        <v>Complete</v>
      </c>
      <c r="AG225" s="451"/>
      <c r="AH225" s="451"/>
      <c r="AI225" s="301">
        <f t="shared" ca="1" si="65"/>
        <v>0</v>
      </c>
      <c r="AJ225" s="302">
        <f t="shared" ca="1" si="66"/>
        <v>0</v>
      </c>
      <c r="AL225" s="303">
        <f t="shared" si="69"/>
        <v>1141904.8799999999</v>
      </c>
      <c r="AM225" s="303">
        <f t="shared" si="70"/>
        <v>1141904.8799999999</v>
      </c>
      <c r="AN225" s="303">
        <f t="shared" si="71"/>
        <v>0</v>
      </c>
      <c r="AO225" s="304">
        <f t="shared" si="72"/>
        <v>0</v>
      </c>
      <c r="AP225" s="273">
        <f t="shared" si="77"/>
        <v>1</v>
      </c>
      <c r="AQ225" s="273" t="str">
        <f t="shared" ca="1" si="73"/>
        <v>11900</v>
      </c>
    </row>
    <row r="226" spans="1:43" ht="16.5">
      <c r="B226" s="637" t="s">
        <v>1817</v>
      </c>
      <c r="C226" s="332" t="s">
        <v>1818</v>
      </c>
      <c r="D226" s="631" t="s">
        <v>1819</v>
      </c>
      <c r="E226" s="638">
        <v>45343</v>
      </c>
      <c r="F226" s="567">
        <v>2.468</v>
      </c>
      <c r="G226" s="451">
        <v>1068436.75</v>
      </c>
      <c r="H226" s="451">
        <v>192318.61499999999</v>
      </c>
      <c r="I226" s="455">
        <v>1260755.365</v>
      </c>
      <c r="J226" s="455"/>
      <c r="K226" s="664"/>
      <c r="L226" s="664"/>
      <c r="N226" s="664"/>
      <c r="O226" s="666" t="s">
        <v>1871</v>
      </c>
      <c r="P226" s="667"/>
      <c r="Q226" s="668"/>
      <c r="R226" s="450"/>
      <c r="S226" s="450"/>
      <c r="T226" s="450"/>
      <c r="U226" s="669"/>
      <c r="V226" s="378">
        <f t="shared" ca="1" si="76"/>
        <v>1</v>
      </c>
      <c r="W226" s="292">
        <f t="shared" ca="1" si="74"/>
        <v>1900</v>
      </c>
      <c r="X226" s="291" t="str">
        <f t="shared" ca="1" si="75"/>
        <v>0 WEEK</v>
      </c>
      <c r="Y226" s="654">
        <f t="shared" si="78"/>
        <v>0</v>
      </c>
      <c r="Z226" s="541" cm="1">
        <f t="array" aca="1" ref="Z226" ca="1">_xlfn.IFS(AD226&lt;100,Y226,Y226&lt;TODAY(),TODAY(),Y226&gt;TODAY(),Y226,Y226=TODAY(),Y226)</f>
        <v>0</v>
      </c>
      <c r="AA226" s="450"/>
      <c r="AB226" s="663"/>
      <c r="AC226" s="451"/>
      <c r="AD226" s="298">
        <f t="shared" si="67"/>
        <v>0</v>
      </c>
      <c r="AE226" s="299" t="str">
        <f t="shared" si="68"/>
        <v>Complete</v>
      </c>
      <c r="AG226" s="451"/>
      <c r="AH226" s="451"/>
      <c r="AI226" s="301">
        <f t="shared" ca="1" si="65"/>
        <v>0</v>
      </c>
      <c r="AJ226" s="302">
        <f t="shared" ca="1" si="66"/>
        <v>0</v>
      </c>
      <c r="AL226" s="303">
        <f t="shared" si="69"/>
        <v>1260755.365</v>
      </c>
      <c r="AM226" s="303">
        <f t="shared" si="70"/>
        <v>1260755.365</v>
      </c>
      <c r="AN226" s="303">
        <f t="shared" si="71"/>
        <v>0</v>
      </c>
      <c r="AO226" s="304">
        <f t="shared" si="72"/>
        <v>0</v>
      </c>
      <c r="AP226" s="273">
        <f t="shared" si="77"/>
        <v>1</v>
      </c>
      <c r="AQ226" s="273" t="str">
        <f t="shared" ca="1" si="73"/>
        <v>11900</v>
      </c>
    </row>
    <row r="227" spans="1:43" ht="16.5">
      <c r="B227" s="637" t="s">
        <v>1817</v>
      </c>
      <c r="C227" s="332" t="s">
        <v>1818</v>
      </c>
      <c r="D227" s="631" t="s">
        <v>1819</v>
      </c>
      <c r="E227" s="638">
        <v>45343</v>
      </c>
      <c r="F227" s="567">
        <v>2.468</v>
      </c>
      <c r="G227" s="451">
        <v>1068436.75</v>
      </c>
      <c r="H227" s="451">
        <v>192318.61499999999</v>
      </c>
      <c r="I227" s="455">
        <v>1260755.365</v>
      </c>
      <c r="J227" s="455"/>
      <c r="K227" s="664"/>
      <c r="L227" s="664"/>
      <c r="N227" s="664"/>
      <c r="O227" s="666" t="s">
        <v>1872</v>
      </c>
      <c r="P227" s="667"/>
      <c r="Q227" s="668"/>
      <c r="R227" s="450"/>
      <c r="S227" s="450"/>
      <c r="T227" s="450"/>
      <c r="U227" s="669"/>
      <c r="V227" s="378">
        <f t="shared" ca="1" si="76"/>
        <v>1</v>
      </c>
      <c r="W227" s="292">
        <f t="shared" ca="1" si="74"/>
        <v>1900</v>
      </c>
      <c r="X227" s="291" t="str">
        <f t="shared" ca="1" si="75"/>
        <v>0 WEEK</v>
      </c>
      <c r="Y227" s="654">
        <f t="shared" si="78"/>
        <v>0</v>
      </c>
      <c r="Z227" s="541" cm="1">
        <f t="array" aca="1" ref="Z227" ca="1">_xlfn.IFS(AD227&lt;100,Y227,Y227&lt;TODAY(),TODAY(),Y227&gt;TODAY(),Y227,Y227=TODAY(),Y227)</f>
        <v>0</v>
      </c>
      <c r="AA227" s="450"/>
      <c r="AB227" s="663"/>
      <c r="AC227" s="451"/>
      <c r="AD227" s="298">
        <f t="shared" si="67"/>
        <v>0</v>
      </c>
      <c r="AE227" s="299" t="str">
        <f t="shared" si="68"/>
        <v>Complete</v>
      </c>
      <c r="AG227" s="451"/>
      <c r="AH227" s="451"/>
      <c r="AI227" s="301">
        <f t="shared" ca="1" si="65"/>
        <v>0</v>
      </c>
      <c r="AJ227" s="302">
        <f t="shared" ca="1" si="66"/>
        <v>0</v>
      </c>
      <c r="AL227" s="303">
        <f t="shared" si="69"/>
        <v>1260755.365</v>
      </c>
      <c r="AM227" s="303">
        <f t="shared" si="70"/>
        <v>1260755.365</v>
      </c>
      <c r="AN227" s="303">
        <f t="shared" si="71"/>
        <v>0</v>
      </c>
      <c r="AO227" s="304">
        <f t="shared" si="72"/>
        <v>0</v>
      </c>
      <c r="AP227" s="273">
        <f t="shared" si="77"/>
        <v>1</v>
      </c>
      <c r="AQ227" s="273" t="str">
        <f t="shared" ca="1" si="73"/>
        <v>11900</v>
      </c>
    </row>
    <row r="228" spans="1:43" ht="16.5">
      <c r="B228" s="637" t="s">
        <v>1817</v>
      </c>
      <c r="C228" s="332" t="s">
        <v>1818</v>
      </c>
      <c r="D228" s="631" t="s">
        <v>1819</v>
      </c>
      <c r="E228" s="638">
        <v>45343</v>
      </c>
      <c r="F228" s="567">
        <v>2.468</v>
      </c>
      <c r="G228" s="451">
        <v>1068436.75</v>
      </c>
      <c r="H228" s="451">
        <v>192318.61499999999</v>
      </c>
      <c r="I228" s="455">
        <v>1260755.365</v>
      </c>
      <c r="J228" s="455"/>
      <c r="K228" s="664"/>
      <c r="L228" s="664"/>
      <c r="N228" s="664"/>
      <c r="O228" s="666" t="s">
        <v>1873</v>
      </c>
      <c r="P228" s="667"/>
      <c r="Q228" s="668"/>
      <c r="R228" s="450"/>
      <c r="S228" s="450"/>
      <c r="T228" s="450"/>
      <c r="U228" s="669"/>
      <c r="V228" s="378">
        <f t="shared" ca="1" si="76"/>
        <v>1</v>
      </c>
      <c r="W228" s="292">
        <f t="shared" ca="1" si="74"/>
        <v>1900</v>
      </c>
      <c r="X228" s="291" t="str">
        <f t="shared" ca="1" si="75"/>
        <v>0 WEEK</v>
      </c>
      <c r="Y228" s="654">
        <f t="shared" si="78"/>
        <v>0</v>
      </c>
      <c r="Z228" s="541" cm="1">
        <f t="array" aca="1" ref="Z228" ca="1">_xlfn.IFS(AD228&lt;100,Y228,Y228&lt;TODAY(),TODAY(),Y228&gt;TODAY(),Y228,Y228=TODAY(),Y228)</f>
        <v>0</v>
      </c>
      <c r="AA228" s="450"/>
      <c r="AB228" s="663"/>
      <c r="AC228" s="451"/>
      <c r="AD228" s="298">
        <f t="shared" si="67"/>
        <v>0</v>
      </c>
      <c r="AE228" s="299" t="str">
        <f t="shared" si="68"/>
        <v>Complete</v>
      </c>
      <c r="AG228" s="451"/>
      <c r="AH228" s="451"/>
      <c r="AI228" s="301">
        <f t="shared" ca="1" si="65"/>
        <v>0</v>
      </c>
      <c r="AJ228" s="302">
        <f t="shared" ca="1" si="66"/>
        <v>0</v>
      </c>
      <c r="AL228" s="303">
        <f t="shared" si="69"/>
        <v>1260755.365</v>
      </c>
      <c r="AM228" s="303">
        <f t="shared" si="70"/>
        <v>1260755.365</v>
      </c>
      <c r="AN228" s="303">
        <f t="shared" si="71"/>
        <v>0</v>
      </c>
      <c r="AO228" s="304">
        <f t="shared" si="72"/>
        <v>0</v>
      </c>
      <c r="AP228" s="273">
        <f t="shared" si="77"/>
        <v>1</v>
      </c>
      <c r="AQ228" s="273" t="str">
        <f t="shared" ca="1" si="73"/>
        <v>11900</v>
      </c>
    </row>
    <row r="229" spans="1:43" ht="16.5">
      <c r="B229" s="637" t="s">
        <v>1817</v>
      </c>
      <c r="C229" s="332" t="s">
        <v>1818</v>
      </c>
      <c r="D229" s="631" t="s">
        <v>1819</v>
      </c>
      <c r="E229" s="638">
        <v>45343</v>
      </c>
      <c r="F229" s="567">
        <v>2.468</v>
      </c>
      <c r="G229" s="451">
        <v>1068436.75</v>
      </c>
      <c r="H229" s="451">
        <v>192318.61499999999</v>
      </c>
      <c r="I229" s="455">
        <v>1260755.365</v>
      </c>
      <c r="J229" s="455"/>
      <c r="K229" s="664"/>
      <c r="L229" s="664"/>
      <c r="N229" s="664"/>
      <c r="O229" s="666" t="s">
        <v>1874</v>
      </c>
      <c r="P229" s="667"/>
      <c r="Q229" s="668"/>
      <c r="R229" s="450"/>
      <c r="S229" s="450"/>
      <c r="T229" s="450"/>
      <c r="U229" s="669"/>
      <c r="V229" s="378">
        <f t="shared" ca="1" si="76"/>
        <v>1</v>
      </c>
      <c r="W229" s="292">
        <f t="shared" ca="1" si="74"/>
        <v>1900</v>
      </c>
      <c r="X229" s="291" t="str">
        <f t="shared" ca="1" si="75"/>
        <v>0 WEEK</v>
      </c>
      <c r="Y229" s="654">
        <f t="shared" si="78"/>
        <v>0</v>
      </c>
      <c r="Z229" s="541" cm="1">
        <f t="array" aca="1" ref="Z229" ca="1">_xlfn.IFS(AD229&lt;100,Y229,Y229&lt;TODAY(),TODAY(),Y229&gt;TODAY(),Y229,Y229=TODAY(),Y229)</f>
        <v>0</v>
      </c>
      <c r="AA229" s="450"/>
      <c r="AB229" s="663"/>
      <c r="AC229" s="451"/>
      <c r="AD229" s="298">
        <f t="shared" si="67"/>
        <v>0</v>
      </c>
      <c r="AE229" s="299" t="str">
        <f t="shared" si="68"/>
        <v>Complete</v>
      </c>
      <c r="AG229" s="451"/>
      <c r="AH229" s="451"/>
      <c r="AI229" s="301">
        <f t="shared" ca="1" si="65"/>
        <v>0</v>
      </c>
      <c r="AJ229" s="302">
        <f t="shared" ca="1" si="66"/>
        <v>0</v>
      </c>
      <c r="AL229" s="303">
        <f t="shared" si="69"/>
        <v>1260755.365</v>
      </c>
      <c r="AM229" s="303">
        <f t="shared" si="70"/>
        <v>1260755.365</v>
      </c>
      <c r="AN229" s="303">
        <f t="shared" si="71"/>
        <v>0</v>
      </c>
      <c r="AO229" s="304">
        <f t="shared" si="72"/>
        <v>0</v>
      </c>
      <c r="AP229" s="273">
        <f t="shared" si="77"/>
        <v>1</v>
      </c>
      <c r="AQ229" s="273" t="str">
        <f t="shared" ca="1" si="73"/>
        <v>11900</v>
      </c>
    </row>
    <row r="230" spans="1:43" ht="16.5">
      <c r="B230" s="670"/>
      <c r="C230" s="425"/>
      <c r="D230" s="670"/>
      <c r="E230" s="657"/>
      <c r="F230" s="567"/>
      <c r="G230" s="451"/>
      <c r="H230" s="451"/>
      <c r="I230" s="455"/>
      <c r="J230" s="455"/>
      <c r="K230" s="664"/>
      <c r="L230" s="664"/>
      <c r="N230" s="664"/>
      <c r="O230" s="671"/>
      <c r="P230" s="667"/>
      <c r="Q230" s="668"/>
      <c r="R230" s="450"/>
      <c r="S230" s="450"/>
      <c r="T230" s="450"/>
      <c r="U230" s="669"/>
      <c r="V230" s="378">
        <f t="shared" ca="1" si="76"/>
        <v>1</v>
      </c>
      <c r="W230" s="292">
        <f t="shared" ca="1" si="74"/>
        <v>1900</v>
      </c>
      <c r="X230" s="291" t="str">
        <f t="shared" ca="1" si="75"/>
        <v>0 WEEK</v>
      </c>
      <c r="Y230" s="654">
        <f t="shared" si="78"/>
        <v>0</v>
      </c>
      <c r="Z230" s="541" cm="1">
        <f t="array" aca="1" ref="Z230" ca="1">_xlfn.IFS(AD230&lt;100,Y230,Y230&lt;TODAY(),TODAY(),Y230&gt;TODAY(),Y230,Y230=TODAY(),Y230)</f>
        <v>0</v>
      </c>
      <c r="AA230" s="450"/>
      <c r="AB230" s="663"/>
      <c r="AC230" s="451"/>
      <c r="AD230" s="298">
        <f t="shared" si="67"/>
        <v>0</v>
      </c>
      <c r="AE230" s="299" t="str">
        <f t="shared" si="68"/>
        <v>Complete</v>
      </c>
      <c r="AG230" s="451"/>
      <c r="AH230" s="451"/>
      <c r="AI230" s="301">
        <f t="shared" ca="1" si="65"/>
        <v>0</v>
      </c>
      <c r="AJ230" s="302">
        <f t="shared" ca="1" si="66"/>
        <v>0</v>
      </c>
      <c r="AL230" s="303">
        <f t="shared" si="69"/>
        <v>0</v>
      </c>
      <c r="AM230" s="303">
        <f t="shared" si="70"/>
        <v>0</v>
      </c>
      <c r="AN230" s="303">
        <f t="shared" si="71"/>
        <v>0</v>
      </c>
      <c r="AO230" s="304">
        <f t="shared" si="72"/>
        <v>0</v>
      </c>
      <c r="AP230" s="273">
        <f t="shared" si="77"/>
        <v>1</v>
      </c>
      <c r="AQ230" s="273" t="str">
        <f t="shared" ca="1" si="73"/>
        <v>11900</v>
      </c>
    </row>
    <row r="231" spans="1:43" ht="18">
      <c r="A231" s="312">
        <v>10</v>
      </c>
      <c r="B231" s="672" t="s">
        <v>1875</v>
      </c>
      <c r="C231" s="320" t="s">
        <v>1876</v>
      </c>
      <c r="D231" s="672" t="s">
        <v>1877</v>
      </c>
      <c r="E231" s="673">
        <v>45521</v>
      </c>
      <c r="F231" s="674">
        <v>12.5</v>
      </c>
      <c r="G231" s="451"/>
      <c r="H231" s="451"/>
      <c r="I231" s="455"/>
      <c r="J231" s="455"/>
      <c r="K231" s="664"/>
      <c r="L231" s="664"/>
      <c r="N231" s="664"/>
      <c r="O231" s="671"/>
      <c r="P231" s="675">
        <v>0</v>
      </c>
      <c r="Q231" s="668"/>
      <c r="R231" s="508" t="e">
        <v>#VALUE!</v>
      </c>
      <c r="S231" s="450"/>
      <c r="T231" s="450"/>
      <c r="U231" s="669"/>
      <c r="V231" s="378">
        <f t="shared" ca="1" si="76"/>
        <v>1</v>
      </c>
      <c r="W231" s="292">
        <f t="shared" ca="1" si="74"/>
        <v>1900</v>
      </c>
      <c r="X231" s="291" t="str">
        <f t="shared" ca="1" si="75"/>
        <v>0 WEEK</v>
      </c>
      <c r="Y231" s="654">
        <f t="shared" si="78"/>
        <v>0</v>
      </c>
      <c r="Z231" s="541" cm="1">
        <f t="array" aca="1" ref="Z231" ca="1">_xlfn.IFS(AD231&lt;100,Y231,Y231&lt;TODAY(),TODAY(),Y231&gt;TODAY(),Y231,Y231=TODAY(),Y231)</f>
        <v>0</v>
      </c>
      <c r="AA231" s="450"/>
      <c r="AB231" s="676"/>
      <c r="AC231" s="451"/>
      <c r="AD231" s="298">
        <f t="shared" si="67"/>
        <v>0</v>
      </c>
      <c r="AE231" s="299" t="str">
        <f t="shared" si="68"/>
        <v>Complete</v>
      </c>
      <c r="AG231" s="451"/>
      <c r="AH231" s="451"/>
      <c r="AI231" s="301">
        <f t="shared" ca="1" si="65"/>
        <v>0</v>
      </c>
      <c r="AJ231" s="302">
        <f t="shared" ca="1" si="66"/>
        <v>0</v>
      </c>
      <c r="AL231" s="303">
        <f t="shared" si="69"/>
        <v>0</v>
      </c>
      <c r="AM231" s="303">
        <f t="shared" si="70"/>
        <v>0</v>
      </c>
      <c r="AN231" s="303">
        <f t="shared" si="71"/>
        <v>0</v>
      </c>
      <c r="AO231" s="304">
        <f t="shared" si="72"/>
        <v>0</v>
      </c>
      <c r="AP231" s="273">
        <f t="shared" si="77"/>
        <v>1</v>
      </c>
      <c r="AQ231" s="273" t="str">
        <f t="shared" ca="1" si="73"/>
        <v>11900</v>
      </c>
    </row>
    <row r="232" spans="1:43" customFormat="1" ht="15.75">
      <c r="A232" s="312">
        <v>10</v>
      </c>
      <c r="B232" s="677" t="s">
        <v>1875</v>
      </c>
      <c r="C232" s="320" t="s">
        <v>1876</v>
      </c>
      <c r="D232" s="672" t="s">
        <v>1877</v>
      </c>
      <c r="E232" s="673">
        <v>45521</v>
      </c>
      <c r="F232" s="674">
        <v>12.5</v>
      </c>
      <c r="G232" s="678"/>
      <c r="H232" s="679"/>
      <c r="I232" s="680"/>
      <c r="J232" s="680"/>
      <c r="K232" s="320" t="s">
        <v>1878</v>
      </c>
      <c r="L232" s="305" t="s">
        <v>1592</v>
      </c>
      <c r="M232" s="583">
        <v>0.1</v>
      </c>
      <c r="N232" s="291" t="s">
        <v>1593</v>
      </c>
      <c r="O232" s="291"/>
      <c r="P232" s="598">
        <v>0</v>
      </c>
      <c r="Q232" s="291"/>
      <c r="R232" s="681"/>
      <c r="S232" s="682"/>
      <c r="T232" s="683"/>
      <c r="U232" s="291"/>
      <c r="V232" s="378">
        <f t="shared" ca="1" si="76"/>
        <v>1</v>
      </c>
      <c r="W232" s="292">
        <f t="shared" ca="1" si="74"/>
        <v>1900</v>
      </c>
      <c r="X232" s="291" t="str">
        <f t="shared" ca="1" si="75"/>
        <v>0 WEEK</v>
      </c>
      <c r="Y232" s="654">
        <f t="shared" si="78"/>
        <v>0</v>
      </c>
      <c r="Z232" s="541" cm="1">
        <f t="array" aca="1" ref="Z232" ca="1">_xlfn.IFS(AD232&lt;100,Y232,Y232&lt;TODAY(),TODAY(),Y232&gt;TODAY(),Y232,Y232=TODAY(),Y232)</f>
        <v>0</v>
      </c>
      <c r="AA232" s="530">
        <f>SUM(G232:G262)*M232</f>
        <v>31376250</v>
      </c>
      <c r="AB232" s="299">
        <f>AA232-AC232</f>
        <v>31344873.75</v>
      </c>
      <c r="AC232" s="299">
        <f>AA232*0.1%</f>
        <v>31376.25</v>
      </c>
      <c r="AD232" s="298">
        <f t="shared" si="67"/>
        <v>0</v>
      </c>
      <c r="AE232" s="299" t="str">
        <f t="shared" si="68"/>
        <v>Complete</v>
      </c>
      <c r="AF232" s="291"/>
      <c r="AG232" s="299"/>
      <c r="AH232" s="318"/>
      <c r="AI232" s="301">
        <f t="shared" ca="1" si="65"/>
        <v>0</v>
      </c>
      <c r="AJ232" s="302">
        <f t="shared" ca="1" si="66"/>
        <v>0</v>
      </c>
      <c r="AL232" s="303">
        <f t="shared" si="69"/>
        <v>0</v>
      </c>
      <c r="AM232" s="303">
        <f t="shared" si="70"/>
        <v>0</v>
      </c>
      <c r="AN232" s="303">
        <f t="shared" si="71"/>
        <v>0</v>
      </c>
      <c r="AO232" s="304">
        <f t="shared" si="72"/>
        <v>0</v>
      </c>
      <c r="AP232" s="273">
        <f t="shared" si="77"/>
        <v>1</v>
      </c>
      <c r="AQ232" s="273" t="str">
        <f t="shared" ca="1" si="73"/>
        <v>11900</v>
      </c>
    </row>
    <row r="233" spans="1:43" customFormat="1" ht="15.75">
      <c r="A233" s="312">
        <v>10</v>
      </c>
      <c r="B233" s="684" t="s">
        <v>1875</v>
      </c>
      <c r="C233" s="246" t="s">
        <v>1876</v>
      </c>
      <c r="D233" s="672" t="s">
        <v>1877</v>
      </c>
      <c r="E233" s="685">
        <v>45521</v>
      </c>
      <c r="F233" s="334">
        <v>12.5</v>
      </c>
      <c r="G233" s="348"/>
      <c r="H233" s="301"/>
      <c r="I233" s="349"/>
      <c r="J233" s="349"/>
      <c r="K233" s="340" t="s">
        <v>1879</v>
      </c>
      <c r="L233" s="322" t="s">
        <v>1595</v>
      </c>
      <c r="M233" s="592">
        <v>0.3</v>
      </c>
      <c r="N233" s="340" t="s">
        <v>1593</v>
      </c>
      <c r="O233" s="246" t="s">
        <v>1880</v>
      </c>
      <c r="P233" s="686">
        <v>0</v>
      </c>
      <c r="Q233" s="246"/>
      <c r="R233" s="315"/>
      <c r="S233" s="315"/>
      <c r="T233" s="315"/>
      <c r="U233" s="340"/>
      <c r="V233" s="378">
        <f t="shared" ca="1" si="76"/>
        <v>10</v>
      </c>
      <c r="W233" s="292">
        <f t="shared" ca="1" si="74"/>
        <v>2025</v>
      </c>
      <c r="X233" s="687" t="str">
        <f t="shared" ca="1" si="75"/>
        <v>1 WEEK</v>
      </c>
      <c r="Y233" s="688">
        <v>45786</v>
      </c>
      <c r="Z233" s="689" cm="1">
        <f t="array" aca="1" ref="Z233" ca="1">_xlfn.IFS(AD233&lt;100,Y233,Y233&lt;TODAY(),TODAY(),Y233&gt;TODAY(),Y233,Y233=TODAY(),Y233)</f>
        <v>45935</v>
      </c>
      <c r="AA233" s="315">
        <f>SUM(I232:I262)*M233</f>
        <v>107251425</v>
      </c>
      <c r="AB233" s="301">
        <v>49371790.25</v>
      </c>
      <c r="AC233" s="299">
        <f>AB233/99.9%*0.1%</f>
        <v>49421.211461461455</v>
      </c>
      <c r="AD233" s="298">
        <f t="shared" si="67"/>
        <v>57830214</v>
      </c>
      <c r="AE233" s="299" t="str">
        <f t="shared" si="68"/>
        <v>Incomplete</v>
      </c>
      <c r="AF233" s="340"/>
      <c r="AG233" s="301"/>
      <c r="AH233" s="343"/>
      <c r="AI233" s="301">
        <f t="shared" ca="1" si="65"/>
        <v>149</v>
      </c>
      <c r="AJ233" s="302" t="str">
        <f t="shared" ca="1" si="66"/>
        <v>Delayed</v>
      </c>
      <c r="AL233" s="303">
        <f t="shared" si="69"/>
        <v>0</v>
      </c>
      <c r="AM233" s="303">
        <f t="shared" si="70"/>
        <v>0</v>
      </c>
      <c r="AN233" s="303">
        <f t="shared" si="71"/>
        <v>0</v>
      </c>
      <c r="AO233" s="304">
        <f t="shared" si="72"/>
        <v>0</v>
      </c>
      <c r="AP233" s="273">
        <f t="shared" si="77"/>
        <v>1</v>
      </c>
      <c r="AQ233" s="273" t="str">
        <f t="shared" ca="1" si="73"/>
        <v>12025</v>
      </c>
    </row>
    <row r="234" spans="1:43" customFormat="1" ht="15.75">
      <c r="A234" s="312">
        <v>10</v>
      </c>
      <c r="B234" s="684" t="s">
        <v>1875</v>
      </c>
      <c r="C234" s="246" t="s">
        <v>1876</v>
      </c>
      <c r="D234" s="672" t="s">
        <v>1877</v>
      </c>
      <c r="E234" s="685">
        <v>45521</v>
      </c>
      <c r="F234" s="690">
        <v>12.5</v>
      </c>
      <c r="G234" s="348">
        <f>12500*6490</f>
        <v>81125000</v>
      </c>
      <c r="H234" s="301">
        <f>G234*18%</f>
        <v>14602500</v>
      </c>
      <c r="I234" s="349">
        <f>G234+H234</f>
        <v>95727500</v>
      </c>
      <c r="J234" s="349"/>
      <c r="K234" s="340" t="s">
        <v>1879</v>
      </c>
      <c r="L234" s="322" t="s">
        <v>1595</v>
      </c>
      <c r="M234" s="592">
        <v>0.3</v>
      </c>
      <c r="N234" s="340" t="s">
        <v>1593</v>
      </c>
      <c r="O234" s="246" t="s">
        <v>1880</v>
      </c>
      <c r="P234" s="686">
        <v>0</v>
      </c>
      <c r="Q234" s="246"/>
      <c r="R234" s="315"/>
      <c r="S234" s="315"/>
      <c r="T234" s="315"/>
      <c r="U234" s="340"/>
      <c r="V234" s="378">
        <f t="shared" ca="1" si="76"/>
        <v>5</v>
      </c>
      <c r="W234" s="292">
        <f t="shared" ca="1" si="74"/>
        <v>2025</v>
      </c>
      <c r="X234" s="687" t="str">
        <f t="shared" ca="1" si="75"/>
        <v>2 WEEK</v>
      </c>
      <c r="Y234" s="688">
        <v>45786</v>
      </c>
      <c r="Z234" s="691" cm="1">
        <f t="array" aca="1" ref="Z234" ca="1">_xlfn.IFS(AD234&lt;100,Y234,Y234&lt;TODAY(),TODAY(),Y234&gt;TODAY(),Y234,Y234=TODAY(),Y234)</f>
        <v>45786</v>
      </c>
      <c r="AA234" s="315"/>
      <c r="AB234" s="301"/>
      <c r="AC234" s="301"/>
      <c r="AD234" s="298">
        <f t="shared" si="67"/>
        <v>0</v>
      </c>
      <c r="AE234" s="299" t="str">
        <f t="shared" si="68"/>
        <v>Complete</v>
      </c>
      <c r="AF234" s="340"/>
      <c r="AG234" s="301"/>
      <c r="AH234" s="343"/>
      <c r="AI234" s="301">
        <f t="shared" ca="1" si="65"/>
        <v>0</v>
      </c>
      <c r="AJ234" s="302">
        <f t="shared" ca="1" si="66"/>
        <v>0</v>
      </c>
      <c r="AL234" s="303">
        <f t="shared" si="69"/>
        <v>95727500</v>
      </c>
      <c r="AM234" s="303">
        <f t="shared" si="70"/>
        <v>95727500</v>
      </c>
      <c r="AN234" s="303">
        <f t="shared" si="71"/>
        <v>0</v>
      </c>
      <c r="AO234" s="304">
        <f t="shared" si="72"/>
        <v>0</v>
      </c>
      <c r="AP234" s="273">
        <f t="shared" si="77"/>
        <v>1</v>
      </c>
      <c r="AQ234" s="273" t="str">
        <f t="shared" ca="1" si="73"/>
        <v>12025</v>
      </c>
    </row>
    <row r="235" spans="1:43" customFormat="1" ht="15.75">
      <c r="A235" s="312">
        <v>10</v>
      </c>
      <c r="B235" s="684" t="s">
        <v>1875</v>
      </c>
      <c r="C235" s="246" t="s">
        <v>1876</v>
      </c>
      <c r="D235" s="672" t="s">
        <v>1877</v>
      </c>
      <c r="E235" s="685">
        <v>45521</v>
      </c>
      <c r="F235" s="334">
        <v>12.5</v>
      </c>
      <c r="G235" s="348">
        <f>12500*15000</f>
        <v>187500000</v>
      </c>
      <c r="H235" s="301">
        <f>G235*12%</f>
        <v>22500000</v>
      </c>
      <c r="I235" s="349">
        <f>G235+H235</f>
        <v>210000000</v>
      </c>
      <c r="J235" s="349"/>
      <c r="K235" s="340" t="s">
        <v>1881</v>
      </c>
      <c r="L235" s="322" t="s">
        <v>1595</v>
      </c>
      <c r="M235" s="592">
        <v>0.45</v>
      </c>
      <c r="N235" s="340" t="s">
        <v>1593</v>
      </c>
      <c r="O235" s="246" t="s">
        <v>1882</v>
      </c>
      <c r="P235" s="686">
        <v>0</v>
      </c>
      <c r="Q235" s="246"/>
      <c r="R235" s="315"/>
      <c r="S235" s="315"/>
      <c r="T235" s="315"/>
      <c r="U235" s="340"/>
      <c r="V235" s="378">
        <f t="shared" ca="1" si="76"/>
        <v>10</v>
      </c>
      <c r="W235" s="292">
        <f t="shared" ca="1" si="74"/>
        <v>2025</v>
      </c>
      <c r="X235" s="687" t="str">
        <f t="shared" ca="1" si="75"/>
        <v>1 WEEK</v>
      </c>
      <c r="Y235" s="688">
        <v>45786</v>
      </c>
      <c r="Z235" s="692" cm="1">
        <f t="array" aca="1" ref="Z235" ca="1">_xlfn.IFS(AD235&lt;100,Y235,Y235&lt;TODAY(),TODAY(),Y235&gt;TODAY(),Y235,Y235=TODAY(),Y235)</f>
        <v>45935</v>
      </c>
      <c r="AA235" s="315">
        <f>SUM(I232:I262)*M235</f>
        <v>160877137.5</v>
      </c>
      <c r="AB235" s="301"/>
      <c r="AC235" s="301"/>
      <c r="AD235" s="298">
        <f t="shared" si="67"/>
        <v>160877138</v>
      </c>
      <c r="AE235" s="299" t="str">
        <f t="shared" si="68"/>
        <v>Incomplete</v>
      </c>
      <c r="AF235" s="340"/>
      <c r="AG235" s="301"/>
      <c r="AH235" s="343"/>
      <c r="AI235" s="301">
        <f t="shared" ca="1" si="65"/>
        <v>149</v>
      </c>
      <c r="AJ235" s="302" t="str">
        <f t="shared" ca="1" si="66"/>
        <v>Delayed</v>
      </c>
      <c r="AL235" s="303">
        <f t="shared" si="69"/>
        <v>210000000</v>
      </c>
      <c r="AM235" s="303">
        <f t="shared" si="70"/>
        <v>210000000</v>
      </c>
      <c r="AN235" s="303">
        <f t="shared" si="71"/>
        <v>0</v>
      </c>
      <c r="AO235" s="304">
        <f t="shared" si="72"/>
        <v>0</v>
      </c>
      <c r="AP235" s="273">
        <f t="shared" si="77"/>
        <v>1</v>
      </c>
      <c r="AQ235" s="273" t="str">
        <f t="shared" ca="1" si="73"/>
        <v>12025</v>
      </c>
    </row>
    <row r="236" spans="1:43" customFormat="1" ht="15.75">
      <c r="A236" s="312">
        <v>10</v>
      </c>
      <c r="B236" s="684" t="s">
        <v>1875</v>
      </c>
      <c r="C236" s="246" t="s">
        <v>1876</v>
      </c>
      <c r="D236" s="672" t="s">
        <v>1877</v>
      </c>
      <c r="E236" s="685">
        <v>45521</v>
      </c>
      <c r="F236" s="690">
        <v>12.5</v>
      </c>
      <c r="G236" s="348"/>
      <c r="H236" s="301"/>
      <c r="I236" s="349"/>
      <c r="J236" s="349"/>
      <c r="K236" s="340" t="s">
        <v>1881</v>
      </c>
      <c r="L236" s="322" t="s">
        <v>1595</v>
      </c>
      <c r="M236" s="592">
        <v>0.45</v>
      </c>
      <c r="N236" s="340" t="s">
        <v>1593</v>
      </c>
      <c r="O236" s="246" t="s">
        <v>1882</v>
      </c>
      <c r="P236" s="484">
        <v>45561</v>
      </c>
      <c r="Q236" s="693" t="s">
        <v>1883</v>
      </c>
      <c r="R236" s="315">
        <v>5397840</v>
      </c>
      <c r="S236" s="315"/>
      <c r="T236" s="315"/>
      <c r="U236" s="340"/>
      <c r="V236" s="378">
        <f t="shared" ca="1" si="76"/>
        <v>5</v>
      </c>
      <c r="W236" s="292">
        <f t="shared" ca="1" si="74"/>
        <v>2025</v>
      </c>
      <c r="X236" s="687" t="str">
        <f t="shared" ca="1" si="75"/>
        <v>2 WEEK</v>
      </c>
      <c r="Y236" s="688">
        <v>45786</v>
      </c>
      <c r="Z236" s="689" cm="1">
        <f t="array" aca="1" ref="Z236" ca="1">_xlfn.IFS(AD236&lt;100,Y236,Y236&lt;TODAY(),TODAY(),Y236&gt;TODAY(),Y236,Y236=TODAY(),Y236)</f>
        <v>45786</v>
      </c>
      <c r="AA236" s="315"/>
      <c r="AB236" s="301"/>
      <c r="AC236" s="301"/>
      <c r="AD236" s="298">
        <f t="shared" si="67"/>
        <v>0</v>
      </c>
      <c r="AE236" s="299" t="str">
        <f t="shared" si="68"/>
        <v>Complete</v>
      </c>
      <c r="AF236" s="340"/>
      <c r="AG236" s="301"/>
      <c r="AH236" s="343"/>
      <c r="AI236" s="301">
        <f t="shared" ca="1" si="65"/>
        <v>0</v>
      </c>
      <c r="AJ236" s="302">
        <f t="shared" ca="1" si="66"/>
        <v>0</v>
      </c>
      <c r="AL236" s="303">
        <f t="shared" si="69"/>
        <v>0</v>
      </c>
      <c r="AM236" s="303">
        <f t="shared" si="70"/>
        <v>-5397840</v>
      </c>
      <c r="AN236" s="303">
        <f t="shared" si="71"/>
        <v>5397840</v>
      </c>
      <c r="AO236" s="304">
        <f t="shared" si="72"/>
        <v>0</v>
      </c>
      <c r="AP236" s="273">
        <f t="shared" si="77"/>
        <v>9</v>
      </c>
      <c r="AQ236" s="273" t="str">
        <f t="shared" ca="1" si="73"/>
        <v>92025</v>
      </c>
    </row>
    <row r="237" spans="1:43" customFormat="1" ht="15.75">
      <c r="A237" s="312">
        <v>10</v>
      </c>
      <c r="B237" s="684" t="s">
        <v>1875</v>
      </c>
      <c r="C237" s="246" t="s">
        <v>1876</v>
      </c>
      <c r="D237" s="672" t="s">
        <v>1877</v>
      </c>
      <c r="E237" s="685">
        <v>45521</v>
      </c>
      <c r="F237" s="690">
        <v>12.5</v>
      </c>
      <c r="G237" s="348"/>
      <c r="H237" s="301"/>
      <c r="I237" s="349"/>
      <c r="J237" s="349"/>
      <c r="K237" s="340" t="s">
        <v>1881</v>
      </c>
      <c r="L237" s="322" t="s">
        <v>1595</v>
      </c>
      <c r="M237" s="592">
        <v>0.45</v>
      </c>
      <c r="N237" s="340" t="s">
        <v>1593</v>
      </c>
      <c r="O237" s="246" t="s">
        <v>1882</v>
      </c>
      <c r="P237" s="484">
        <v>45561</v>
      </c>
      <c r="Q237" s="693" t="s">
        <v>1884</v>
      </c>
      <c r="R237" s="315">
        <v>5887728</v>
      </c>
      <c r="S237" s="315"/>
      <c r="T237" s="315"/>
      <c r="U237" s="340"/>
      <c r="V237" s="378">
        <f t="shared" ca="1" si="76"/>
        <v>9</v>
      </c>
      <c r="W237" s="292">
        <f t="shared" ca="1" si="74"/>
        <v>2024</v>
      </c>
      <c r="X237" s="291" t="str">
        <f t="shared" ca="1" si="75"/>
        <v>4 WEEK</v>
      </c>
      <c r="Y237" s="293">
        <f t="shared" ref="Y237:Y268" si="79">P237+T237</f>
        <v>45561</v>
      </c>
      <c r="Z237" s="341" cm="1">
        <f t="array" aca="1" ref="Z237" ca="1">_xlfn.IFS(AD237&lt;100,Y237,Y237&lt;TODAY(),TODAY(),Y237&gt;TODAY(),Y237,Y237=TODAY(),Y237)</f>
        <v>45561</v>
      </c>
      <c r="AA237" s="315"/>
      <c r="AB237" s="301"/>
      <c r="AC237" s="301"/>
      <c r="AD237" s="298">
        <f t="shared" si="67"/>
        <v>0</v>
      </c>
      <c r="AE237" s="299" t="str">
        <f t="shared" si="68"/>
        <v>Complete</v>
      </c>
      <c r="AF237" s="340"/>
      <c r="AG237" s="301"/>
      <c r="AH237" s="343"/>
      <c r="AI237" s="301">
        <f t="shared" ca="1" si="65"/>
        <v>0</v>
      </c>
      <c r="AJ237" s="302">
        <f t="shared" ca="1" si="66"/>
        <v>0</v>
      </c>
      <c r="AL237" s="303">
        <f t="shared" si="69"/>
        <v>0</v>
      </c>
      <c r="AM237" s="303">
        <f t="shared" si="70"/>
        <v>-5887728</v>
      </c>
      <c r="AN237" s="303">
        <f t="shared" si="71"/>
        <v>5887728</v>
      </c>
      <c r="AO237" s="304">
        <f t="shared" si="72"/>
        <v>0</v>
      </c>
      <c r="AP237" s="273">
        <f t="shared" si="77"/>
        <v>9</v>
      </c>
      <c r="AQ237" s="273" t="str">
        <f t="shared" ca="1" si="73"/>
        <v>92024</v>
      </c>
    </row>
    <row r="238" spans="1:43" customFormat="1" ht="15.75">
      <c r="A238" s="312">
        <v>10</v>
      </c>
      <c r="B238" s="684" t="s">
        <v>1875</v>
      </c>
      <c r="C238" s="246" t="s">
        <v>1876</v>
      </c>
      <c r="D238" s="672" t="s">
        <v>1877</v>
      </c>
      <c r="E238" s="685">
        <v>45521</v>
      </c>
      <c r="F238" s="690">
        <v>12.5</v>
      </c>
      <c r="G238" s="348"/>
      <c r="H238" s="301"/>
      <c r="I238" s="349"/>
      <c r="J238" s="349"/>
      <c r="K238" s="340" t="s">
        <v>1881</v>
      </c>
      <c r="L238" s="322" t="s">
        <v>1595</v>
      </c>
      <c r="M238" s="592">
        <v>0.45</v>
      </c>
      <c r="N238" s="340" t="s">
        <v>1593</v>
      </c>
      <c r="O238" s="246" t="s">
        <v>1882</v>
      </c>
      <c r="P238" s="484">
        <v>45562</v>
      </c>
      <c r="Q238" s="693" t="s">
        <v>1885</v>
      </c>
      <c r="R238" s="315">
        <v>5887728</v>
      </c>
      <c r="S238" s="315"/>
      <c r="T238" s="315"/>
      <c r="U238" s="340"/>
      <c r="V238" s="378">
        <f t="shared" ca="1" si="76"/>
        <v>9</v>
      </c>
      <c r="W238" s="292">
        <f t="shared" ca="1" si="74"/>
        <v>2024</v>
      </c>
      <c r="X238" s="291" t="str">
        <f t="shared" ca="1" si="75"/>
        <v>4 WEEK</v>
      </c>
      <c r="Y238" s="329">
        <f t="shared" si="79"/>
        <v>45562</v>
      </c>
      <c r="Z238" s="341" cm="1">
        <f t="array" aca="1" ref="Z238" ca="1">_xlfn.IFS(AD238&lt;100,Y238,Y238&lt;TODAY(),TODAY(),Y238&gt;TODAY(),Y238,Y238=TODAY(),Y238)</f>
        <v>45562</v>
      </c>
      <c r="AA238" s="315"/>
      <c r="AB238" s="301"/>
      <c r="AC238" s="301"/>
      <c r="AD238" s="298">
        <f t="shared" si="67"/>
        <v>0</v>
      </c>
      <c r="AE238" s="299" t="str">
        <f t="shared" si="68"/>
        <v>Complete</v>
      </c>
      <c r="AF238" s="340"/>
      <c r="AG238" s="301"/>
      <c r="AH238" s="343"/>
      <c r="AI238" s="301">
        <f t="shared" ca="1" si="65"/>
        <v>0</v>
      </c>
      <c r="AJ238" s="302">
        <f t="shared" ca="1" si="66"/>
        <v>0</v>
      </c>
      <c r="AL238" s="303">
        <f t="shared" si="69"/>
        <v>0</v>
      </c>
      <c r="AM238" s="303">
        <f t="shared" si="70"/>
        <v>-5887728</v>
      </c>
      <c r="AN238" s="303">
        <f t="shared" si="71"/>
        <v>5887728</v>
      </c>
      <c r="AO238" s="304">
        <f t="shared" si="72"/>
        <v>0</v>
      </c>
      <c r="AP238" s="273">
        <f t="shared" si="77"/>
        <v>9</v>
      </c>
      <c r="AQ238" s="273" t="str">
        <f t="shared" ca="1" si="73"/>
        <v>92024</v>
      </c>
    </row>
    <row r="239" spans="1:43" customFormat="1" ht="15.75">
      <c r="A239" s="312">
        <v>10</v>
      </c>
      <c r="B239" s="684" t="s">
        <v>1875</v>
      </c>
      <c r="C239" s="246" t="s">
        <v>1876</v>
      </c>
      <c r="D239" s="672" t="s">
        <v>1877</v>
      </c>
      <c r="E239" s="685">
        <v>45521</v>
      </c>
      <c r="F239" s="690">
        <v>12.5</v>
      </c>
      <c r="G239" s="348"/>
      <c r="H239" s="301"/>
      <c r="I239" s="349"/>
      <c r="J239" s="349"/>
      <c r="K239" s="340" t="s">
        <v>1881</v>
      </c>
      <c r="L239" s="322" t="s">
        <v>1595</v>
      </c>
      <c r="M239" s="592">
        <v>0.45</v>
      </c>
      <c r="N239" s="340" t="s">
        <v>1593</v>
      </c>
      <c r="O239" s="246" t="s">
        <v>1882</v>
      </c>
      <c r="P239" s="484">
        <v>45562</v>
      </c>
      <c r="Q239" s="693" t="s">
        <v>1886</v>
      </c>
      <c r="R239" s="315">
        <v>5397840</v>
      </c>
      <c r="S239" s="315"/>
      <c r="T239" s="315"/>
      <c r="U239" s="340"/>
      <c r="V239" s="378">
        <f t="shared" ca="1" si="76"/>
        <v>9</v>
      </c>
      <c r="W239" s="292">
        <f t="shared" ca="1" si="74"/>
        <v>2024</v>
      </c>
      <c r="X239" s="291" t="str">
        <f t="shared" ca="1" si="75"/>
        <v>4 WEEK</v>
      </c>
      <c r="Y239" s="329">
        <f t="shared" si="79"/>
        <v>45562</v>
      </c>
      <c r="Z239" s="341" cm="1">
        <f t="array" aca="1" ref="Z239" ca="1">_xlfn.IFS(AD239&lt;100,Y239,Y239&lt;TODAY(),TODAY(),Y239&gt;TODAY(),Y239,Y239=TODAY(),Y239)</f>
        <v>45562</v>
      </c>
      <c r="AA239" s="315"/>
      <c r="AB239" s="301"/>
      <c r="AC239" s="301"/>
      <c r="AD239" s="298">
        <f t="shared" si="67"/>
        <v>0</v>
      </c>
      <c r="AE239" s="299" t="str">
        <f t="shared" si="68"/>
        <v>Complete</v>
      </c>
      <c r="AF239" s="340"/>
      <c r="AG239" s="301"/>
      <c r="AH239" s="343"/>
      <c r="AI239" s="301">
        <f t="shared" ca="1" si="65"/>
        <v>0</v>
      </c>
      <c r="AJ239" s="302">
        <f t="shared" ca="1" si="66"/>
        <v>0</v>
      </c>
      <c r="AL239" s="303">
        <f t="shared" si="69"/>
        <v>0</v>
      </c>
      <c r="AM239" s="303">
        <f t="shared" si="70"/>
        <v>-5397840</v>
      </c>
      <c r="AN239" s="303">
        <f t="shared" si="71"/>
        <v>5397840</v>
      </c>
      <c r="AO239" s="304">
        <f t="shared" si="72"/>
        <v>0</v>
      </c>
      <c r="AP239" s="273">
        <f t="shared" si="77"/>
        <v>9</v>
      </c>
      <c r="AQ239" s="273" t="str">
        <f t="shared" ca="1" si="73"/>
        <v>92024</v>
      </c>
    </row>
    <row r="240" spans="1:43" customFormat="1" ht="15.75">
      <c r="A240" s="312">
        <v>10</v>
      </c>
      <c r="B240" s="684" t="s">
        <v>1875</v>
      </c>
      <c r="C240" s="246" t="s">
        <v>1876</v>
      </c>
      <c r="D240" s="672" t="s">
        <v>1877</v>
      </c>
      <c r="E240" s="685">
        <v>45521</v>
      </c>
      <c r="F240" s="690">
        <v>12.5</v>
      </c>
      <c r="G240" s="348"/>
      <c r="H240" s="301"/>
      <c r="I240" s="349"/>
      <c r="J240" s="349"/>
      <c r="K240" s="340" t="s">
        <v>1881</v>
      </c>
      <c r="L240" s="322" t="s">
        <v>1595</v>
      </c>
      <c r="M240" s="592">
        <v>0.45</v>
      </c>
      <c r="N240" s="340" t="s">
        <v>1593</v>
      </c>
      <c r="O240" s="246" t="s">
        <v>1882</v>
      </c>
      <c r="P240" s="484">
        <v>45562</v>
      </c>
      <c r="Q240" s="693" t="s">
        <v>1887</v>
      </c>
      <c r="R240" s="315">
        <v>5397840</v>
      </c>
      <c r="S240" s="315"/>
      <c r="T240" s="315"/>
      <c r="U240" s="340"/>
      <c r="V240" s="378">
        <f t="shared" ca="1" si="76"/>
        <v>9</v>
      </c>
      <c r="W240" s="292">
        <f t="shared" ca="1" si="74"/>
        <v>2024</v>
      </c>
      <c r="X240" s="291" t="str">
        <f t="shared" ca="1" si="75"/>
        <v>4 WEEK</v>
      </c>
      <c r="Y240" s="329">
        <f t="shared" si="79"/>
        <v>45562</v>
      </c>
      <c r="Z240" s="341" cm="1">
        <f t="array" aca="1" ref="Z240" ca="1">_xlfn.IFS(AD240&lt;100,Y240,Y240&lt;TODAY(),TODAY(),Y240&gt;TODAY(),Y240,Y240=TODAY(),Y240)</f>
        <v>45562</v>
      </c>
      <c r="AA240" s="315"/>
      <c r="AB240" s="301"/>
      <c r="AC240" s="301"/>
      <c r="AD240" s="298">
        <f t="shared" si="67"/>
        <v>0</v>
      </c>
      <c r="AE240" s="299" t="str">
        <f t="shared" si="68"/>
        <v>Complete</v>
      </c>
      <c r="AF240" s="340"/>
      <c r="AG240" s="301"/>
      <c r="AH240" s="343"/>
      <c r="AI240" s="301">
        <f t="shared" ca="1" si="65"/>
        <v>0</v>
      </c>
      <c r="AJ240" s="302">
        <f t="shared" ca="1" si="66"/>
        <v>0</v>
      </c>
      <c r="AL240" s="303">
        <f t="shared" si="69"/>
        <v>0</v>
      </c>
      <c r="AM240" s="303">
        <f t="shared" si="70"/>
        <v>-5397840</v>
      </c>
      <c r="AN240" s="303">
        <f t="shared" si="71"/>
        <v>5397840</v>
      </c>
      <c r="AO240" s="304">
        <f t="shared" si="72"/>
        <v>0</v>
      </c>
      <c r="AP240" s="273">
        <f t="shared" si="77"/>
        <v>9</v>
      </c>
      <c r="AQ240" s="273" t="str">
        <f t="shared" ca="1" si="73"/>
        <v>92024</v>
      </c>
    </row>
    <row r="241" spans="1:43" customFormat="1" ht="15.75">
      <c r="A241" s="312">
        <v>10</v>
      </c>
      <c r="B241" s="684" t="s">
        <v>1875</v>
      </c>
      <c r="C241" s="246" t="s">
        <v>1876</v>
      </c>
      <c r="D241" s="672" t="s">
        <v>1877</v>
      </c>
      <c r="E241" s="685">
        <v>45521</v>
      </c>
      <c r="F241" s="690">
        <v>12.5</v>
      </c>
      <c r="G241" s="348"/>
      <c r="H241" s="301"/>
      <c r="I241" s="349"/>
      <c r="J241" s="349"/>
      <c r="K241" s="340" t="s">
        <v>1881</v>
      </c>
      <c r="L241" s="322" t="s">
        <v>1595</v>
      </c>
      <c r="M241" s="592">
        <v>0.45</v>
      </c>
      <c r="N241" s="340" t="s">
        <v>1593</v>
      </c>
      <c r="O241" s="246" t="s">
        <v>1882</v>
      </c>
      <c r="P241" s="484">
        <v>45562</v>
      </c>
      <c r="Q241" s="693" t="s">
        <v>1888</v>
      </c>
      <c r="R241" s="315">
        <v>5937624</v>
      </c>
      <c r="S241" s="315"/>
      <c r="T241" s="315"/>
      <c r="U241" s="340"/>
      <c r="V241" s="378">
        <f t="shared" ca="1" si="76"/>
        <v>9</v>
      </c>
      <c r="W241" s="292">
        <f t="shared" ca="1" si="74"/>
        <v>2024</v>
      </c>
      <c r="X241" s="291" t="str">
        <f t="shared" ca="1" si="75"/>
        <v>4 WEEK</v>
      </c>
      <c r="Y241" s="329">
        <f t="shared" si="79"/>
        <v>45562</v>
      </c>
      <c r="Z241" s="341" cm="1">
        <f t="array" aca="1" ref="Z241" ca="1">_xlfn.IFS(AD241&lt;100,Y241,Y241&lt;TODAY(),TODAY(),Y241&gt;TODAY(),Y241,Y241=TODAY(),Y241)</f>
        <v>45562</v>
      </c>
      <c r="AA241" s="315"/>
      <c r="AB241" s="301"/>
      <c r="AC241" s="301"/>
      <c r="AD241" s="298">
        <f t="shared" si="67"/>
        <v>0</v>
      </c>
      <c r="AE241" s="299" t="str">
        <f t="shared" si="68"/>
        <v>Complete</v>
      </c>
      <c r="AF241" s="340"/>
      <c r="AG241" s="301"/>
      <c r="AH241" s="343"/>
      <c r="AI241" s="301">
        <f t="shared" ca="1" si="65"/>
        <v>0</v>
      </c>
      <c r="AJ241" s="302">
        <f t="shared" ca="1" si="66"/>
        <v>0</v>
      </c>
      <c r="AL241" s="303">
        <f t="shared" si="69"/>
        <v>0</v>
      </c>
      <c r="AM241" s="303">
        <f t="shared" si="70"/>
        <v>-5937624</v>
      </c>
      <c r="AN241" s="303">
        <f t="shared" si="71"/>
        <v>5937624</v>
      </c>
      <c r="AO241" s="304">
        <f t="shared" si="72"/>
        <v>0</v>
      </c>
      <c r="AP241" s="273">
        <f t="shared" si="77"/>
        <v>9</v>
      </c>
      <c r="AQ241" s="273" t="str">
        <f t="shared" ca="1" si="73"/>
        <v>92024</v>
      </c>
    </row>
    <row r="242" spans="1:43" customFormat="1" ht="15.75">
      <c r="A242" s="312">
        <v>10</v>
      </c>
      <c r="B242" s="684" t="s">
        <v>1875</v>
      </c>
      <c r="C242" s="246" t="s">
        <v>1876</v>
      </c>
      <c r="D242" s="672" t="s">
        <v>1877</v>
      </c>
      <c r="E242" s="685">
        <v>45521</v>
      </c>
      <c r="F242" s="690">
        <v>12.5</v>
      </c>
      <c r="G242" s="348"/>
      <c r="H242" s="301"/>
      <c r="I242" s="349"/>
      <c r="J242" s="349"/>
      <c r="K242" s="340" t="s">
        <v>1881</v>
      </c>
      <c r="L242" s="322" t="s">
        <v>1595</v>
      </c>
      <c r="M242" s="592">
        <v>0.45</v>
      </c>
      <c r="N242" s="340" t="s">
        <v>1593</v>
      </c>
      <c r="O242" s="246" t="s">
        <v>1882</v>
      </c>
      <c r="P242" s="484">
        <v>45563</v>
      </c>
      <c r="Q242" s="693" t="s">
        <v>1889</v>
      </c>
      <c r="R242" s="315">
        <v>6477408</v>
      </c>
      <c r="S242" s="315"/>
      <c r="T242" s="315"/>
      <c r="U242" s="340"/>
      <c r="V242" s="378">
        <f t="shared" ca="1" si="76"/>
        <v>9</v>
      </c>
      <c r="W242" s="292">
        <f t="shared" ca="1" si="74"/>
        <v>2024</v>
      </c>
      <c r="X242" s="291" t="str">
        <f t="shared" ca="1" si="75"/>
        <v>4 WEEK</v>
      </c>
      <c r="Y242" s="329">
        <f t="shared" si="79"/>
        <v>45563</v>
      </c>
      <c r="Z242" s="341" cm="1">
        <f t="array" aca="1" ref="Z242" ca="1">_xlfn.IFS(AD242&lt;100,Y242,Y242&lt;TODAY(),TODAY(),Y242&gt;TODAY(),Y242,Y242=TODAY(),Y242)</f>
        <v>45563</v>
      </c>
      <c r="AA242" s="315"/>
      <c r="AB242" s="301"/>
      <c r="AC242" s="301"/>
      <c r="AD242" s="298">
        <f t="shared" si="67"/>
        <v>0</v>
      </c>
      <c r="AE242" s="299" t="str">
        <f t="shared" si="68"/>
        <v>Complete</v>
      </c>
      <c r="AF242" s="340"/>
      <c r="AG242" s="301"/>
      <c r="AH242" s="343"/>
      <c r="AI242" s="301">
        <f t="shared" ca="1" si="65"/>
        <v>0</v>
      </c>
      <c r="AJ242" s="302">
        <f t="shared" ca="1" si="66"/>
        <v>0</v>
      </c>
      <c r="AL242" s="303">
        <f t="shared" si="69"/>
        <v>0</v>
      </c>
      <c r="AM242" s="303">
        <f t="shared" si="70"/>
        <v>-6477408</v>
      </c>
      <c r="AN242" s="303">
        <f t="shared" si="71"/>
        <v>6477408</v>
      </c>
      <c r="AO242" s="304">
        <f t="shared" si="72"/>
        <v>0</v>
      </c>
      <c r="AP242" s="273">
        <f t="shared" si="77"/>
        <v>9</v>
      </c>
      <c r="AQ242" s="273" t="str">
        <f t="shared" ca="1" si="73"/>
        <v>92024</v>
      </c>
    </row>
    <row r="243" spans="1:43" customFormat="1" ht="15.75">
      <c r="A243" s="312">
        <v>10</v>
      </c>
      <c r="B243" s="684" t="s">
        <v>1875</v>
      </c>
      <c r="C243" s="246" t="s">
        <v>1876</v>
      </c>
      <c r="D243" s="672" t="s">
        <v>1877</v>
      </c>
      <c r="E243" s="685">
        <v>45521</v>
      </c>
      <c r="F243" s="690">
        <v>12.5</v>
      </c>
      <c r="G243" s="348"/>
      <c r="H243" s="301"/>
      <c r="I243" s="349"/>
      <c r="J243" s="349"/>
      <c r="K243" s="340" t="s">
        <v>1881</v>
      </c>
      <c r="L243" s="322" t="s">
        <v>1595</v>
      </c>
      <c r="M243" s="592">
        <v>0.45</v>
      </c>
      <c r="N243" s="340" t="s">
        <v>1593</v>
      </c>
      <c r="O243" s="246" t="s">
        <v>1882</v>
      </c>
      <c r="P243" s="484">
        <v>45563</v>
      </c>
      <c r="Q243" s="693" t="s">
        <v>1890</v>
      </c>
      <c r="R243" s="315">
        <v>6477408</v>
      </c>
      <c r="S243" s="315"/>
      <c r="T243" s="315"/>
      <c r="U243" s="340"/>
      <c r="V243" s="378">
        <f t="shared" ca="1" si="76"/>
        <v>9</v>
      </c>
      <c r="W243" s="292">
        <f t="shared" ca="1" si="74"/>
        <v>2024</v>
      </c>
      <c r="X243" s="291" t="str">
        <f t="shared" ca="1" si="75"/>
        <v>4 WEEK</v>
      </c>
      <c r="Y243" s="329">
        <f t="shared" si="79"/>
        <v>45563</v>
      </c>
      <c r="Z243" s="341" cm="1">
        <f t="array" aca="1" ref="Z243" ca="1">_xlfn.IFS(AD243&lt;100,Y243,Y243&lt;TODAY(),TODAY(),Y243&gt;TODAY(),Y243,Y243=TODAY(),Y243)</f>
        <v>45563</v>
      </c>
      <c r="AA243" s="315"/>
      <c r="AB243" s="301"/>
      <c r="AC243" s="301"/>
      <c r="AD243" s="298">
        <f t="shared" si="67"/>
        <v>0</v>
      </c>
      <c r="AE243" s="299" t="str">
        <f t="shared" si="68"/>
        <v>Complete</v>
      </c>
      <c r="AF243" s="340"/>
      <c r="AG243" s="301"/>
      <c r="AH243" s="343"/>
      <c r="AI243" s="301">
        <f t="shared" ca="1" si="65"/>
        <v>0</v>
      </c>
      <c r="AJ243" s="302">
        <f t="shared" ca="1" si="66"/>
        <v>0</v>
      </c>
      <c r="AL243" s="303">
        <f t="shared" si="69"/>
        <v>0</v>
      </c>
      <c r="AM243" s="303">
        <f t="shared" si="70"/>
        <v>-6477408</v>
      </c>
      <c r="AN243" s="303">
        <f t="shared" si="71"/>
        <v>6477408</v>
      </c>
      <c r="AO243" s="304">
        <f t="shared" si="72"/>
        <v>0</v>
      </c>
      <c r="AP243" s="273">
        <f t="shared" si="77"/>
        <v>9</v>
      </c>
      <c r="AQ243" s="273" t="str">
        <f t="shared" ca="1" si="73"/>
        <v>92024</v>
      </c>
    </row>
    <row r="244" spans="1:43" customFormat="1" ht="15.75">
      <c r="A244" s="312">
        <v>10</v>
      </c>
      <c r="B244" s="684" t="s">
        <v>1875</v>
      </c>
      <c r="C244" s="246" t="s">
        <v>1876</v>
      </c>
      <c r="D244" s="672" t="s">
        <v>1877</v>
      </c>
      <c r="E244" s="685">
        <v>45521</v>
      </c>
      <c r="F244" s="690">
        <v>12.5</v>
      </c>
      <c r="G244" s="348"/>
      <c r="H244" s="301"/>
      <c r="I244" s="349"/>
      <c r="J244" s="349"/>
      <c r="K244" s="340" t="s">
        <v>1881</v>
      </c>
      <c r="L244" s="322" t="s">
        <v>1595</v>
      </c>
      <c r="M244" s="592">
        <v>0.45</v>
      </c>
      <c r="N244" s="340" t="s">
        <v>1593</v>
      </c>
      <c r="O244" s="246" t="s">
        <v>1882</v>
      </c>
      <c r="P244" s="484">
        <v>45564</v>
      </c>
      <c r="Q244" s="693" t="s">
        <v>1891</v>
      </c>
      <c r="R244" s="315">
        <v>5352480</v>
      </c>
      <c r="S244" s="315"/>
      <c r="T244" s="315"/>
      <c r="U244" s="340"/>
      <c r="V244" s="378">
        <f t="shared" ca="1" si="76"/>
        <v>9</v>
      </c>
      <c r="W244" s="292">
        <f t="shared" ca="1" si="74"/>
        <v>2024</v>
      </c>
      <c r="X244" s="291" t="str">
        <f t="shared" ca="1" si="75"/>
        <v>5 WEEK</v>
      </c>
      <c r="Y244" s="329">
        <f t="shared" si="79"/>
        <v>45564</v>
      </c>
      <c r="Z244" s="341" cm="1">
        <f t="array" aca="1" ref="Z244" ca="1">_xlfn.IFS(AD244&lt;100,Y244,Y244&lt;TODAY(),TODAY(),Y244&gt;TODAY(),Y244,Y244=TODAY(),Y244)</f>
        <v>45564</v>
      </c>
      <c r="AA244" s="315"/>
      <c r="AB244" s="301"/>
      <c r="AC244" s="301"/>
      <c r="AD244" s="298">
        <f t="shared" si="67"/>
        <v>0</v>
      </c>
      <c r="AE244" s="299" t="str">
        <f t="shared" si="68"/>
        <v>Complete</v>
      </c>
      <c r="AF244" s="340"/>
      <c r="AG244" s="301"/>
      <c r="AH244" s="343"/>
      <c r="AI244" s="301">
        <f t="shared" ca="1" si="65"/>
        <v>0</v>
      </c>
      <c r="AJ244" s="302">
        <f t="shared" ca="1" si="66"/>
        <v>0</v>
      </c>
      <c r="AL244" s="303">
        <f t="shared" si="69"/>
        <v>0</v>
      </c>
      <c r="AM244" s="303">
        <f t="shared" si="70"/>
        <v>-5352480</v>
      </c>
      <c r="AN244" s="303">
        <f t="shared" si="71"/>
        <v>5352480</v>
      </c>
      <c r="AO244" s="304">
        <f t="shared" si="72"/>
        <v>0</v>
      </c>
      <c r="AP244" s="273">
        <f t="shared" si="77"/>
        <v>9</v>
      </c>
      <c r="AQ244" s="273" t="str">
        <f t="shared" ca="1" si="73"/>
        <v>92024</v>
      </c>
    </row>
    <row r="245" spans="1:43" customFormat="1" ht="15.75">
      <c r="A245" s="312">
        <v>10</v>
      </c>
      <c r="B245" s="684" t="s">
        <v>1875</v>
      </c>
      <c r="C245" s="246" t="s">
        <v>1876</v>
      </c>
      <c r="D245" s="672" t="s">
        <v>1877</v>
      </c>
      <c r="E245" s="685">
        <v>45521</v>
      </c>
      <c r="F245" s="690">
        <v>12.5</v>
      </c>
      <c r="G245" s="348"/>
      <c r="H245" s="301"/>
      <c r="I245" s="349"/>
      <c r="J245" s="349"/>
      <c r="K245" s="340" t="s">
        <v>1881</v>
      </c>
      <c r="L245" s="322" t="s">
        <v>1595</v>
      </c>
      <c r="M245" s="592">
        <v>0.45</v>
      </c>
      <c r="N245" s="340" t="s">
        <v>1593</v>
      </c>
      <c r="O245" s="246" t="s">
        <v>1882</v>
      </c>
      <c r="P245" s="484">
        <v>45564</v>
      </c>
      <c r="Q245" s="693" t="s">
        <v>1892</v>
      </c>
      <c r="R245" s="315">
        <v>5352480</v>
      </c>
      <c r="S245" s="315"/>
      <c r="T245" s="315"/>
      <c r="U245" s="340"/>
      <c r="V245" s="378">
        <f t="shared" ca="1" si="76"/>
        <v>9</v>
      </c>
      <c r="W245" s="292">
        <f t="shared" ca="1" si="74"/>
        <v>2024</v>
      </c>
      <c r="X245" s="291" t="str">
        <f t="shared" ca="1" si="75"/>
        <v>5 WEEK</v>
      </c>
      <c r="Y245" s="329">
        <f t="shared" si="79"/>
        <v>45564</v>
      </c>
      <c r="Z245" s="341" cm="1">
        <f t="array" aca="1" ref="Z245" ca="1">_xlfn.IFS(AD245&lt;100,Y245,Y245&lt;TODAY(),TODAY(),Y245&gt;TODAY(),Y245,Y245=TODAY(),Y245)</f>
        <v>45564</v>
      </c>
      <c r="AA245" s="315"/>
      <c r="AB245" s="301"/>
      <c r="AC245" s="301"/>
      <c r="AD245" s="298">
        <f t="shared" si="67"/>
        <v>0</v>
      </c>
      <c r="AE245" s="299" t="str">
        <f t="shared" si="68"/>
        <v>Complete</v>
      </c>
      <c r="AF245" s="340"/>
      <c r="AG245" s="301"/>
      <c r="AH245" s="343"/>
      <c r="AI245" s="301">
        <f t="shared" ca="1" si="65"/>
        <v>0</v>
      </c>
      <c r="AJ245" s="302">
        <f t="shared" ca="1" si="66"/>
        <v>0</v>
      </c>
      <c r="AL245" s="303">
        <f t="shared" si="69"/>
        <v>0</v>
      </c>
      <c r="AM245" s="303">
        <f t="shared" si="70"/>
        <v>-5352480</v>
      </c>
      <c r="AN245" s="303">
        <f t="shared" si="71"/>
        <v>5352480</v>
      </c>
      <c r="AO245" s="304">
        <f t="shared" si="72"/>
        <v>0</v>
      </c>
      <c r="AP245" s="273">
        <f t="shared" si="77"/>
        <v>9</v>
      </c>
      <c r="AQ245" s="273" t="str">
        <f t="shared" ca="1" si="73"/>
        <v>92024</v>
      </c>
    </row>
    <row r="246" spans="1:43" customFormat="1" ht="15.75">
      <c r="A246" s="312">
        <v>10</v>
      </c>
      <c r="B246" s="684" t="s">
        <v>1875</v>
      </c>
      <c r="C246" s="246" t="s">
        <v>1876</v>
      </c>
      <c r="D246" s="672" t="s">
        <v>1877</v>
      </c>
      <c r="E246" s="685">
        <v>45521</v>
      </c>
      <c r="F246" s="690">
        <v>12.5</v>
      </c>
      <c r="G246" s="348"/>
      <c r="H246" s="301"/>
      <c r="I246" s="349"/>
      <c r="J246" s="349"/>
      <c r="K246" s="340" t="s">
        <v>1881</v>
      </c>
      <c r="L246" s="322" t="s">
        <v>1595</v>
      </c>
      <c r="M246" s="592">
        <v>0.45</v>
      </c>
      <c r="N246" s="340" t="s">
        <v>1593</v>
      </c>
      <c r="O246" s="246" t="s">
        <v>1882</v>
      </c>
      <c r="P246" s="484">
        <v>45564</v>
      </c>
      <c r="Q246" s="693" t="s">
        <v>1893</v>
      </c>
      <c r="R246" s="315">
        <v>5937624</v>
      </c>
      <c r="S246" s="315"/>
      <c r="T246" s="315"/>
      <c r="U246" s="340"/>
      <c r="V246" s="378">
        <f t="shared" ca="1" si="76"/>
        <v>9</v>
      </c>
      <c r="W246" s="292">
        <f t="shared" ca="1" si="74"/>
        <v>2024</v>
      </c>
      <c r="X246" s="291" t="str">
        <f t="shared" ca="1" si="75"/>
        <v>5 WEEK</v>
      </c>
      <c r="Y246" s="329">
        <f t="shared" si="79"/>
        <v>45564</v>
      </c>
      <c r="Z246" s="341" cm="1">
        <f t="array" aca="1" ref="Z246" ca="1">_xlfn.IFS(AD246&lt;100,Y246,Y246&lt;TODAY(),TODAY(),Y246&gt;TODAY(),Y246,Y246=TODAY(),Y246)</f>
        <v>45564</v>
      </c>
      <c r="AA246" s="315"/>
      <c r="AB246" s="301"/>
      <c r="AC246" s="301"/>
      <c r="AD246" s="298">
        <f t="shared" si="67"/>
        <v>0</v>
      </c>
      <c r="AE246" s="299" t="str">
        <f t="shared" si="68"/>
        <v>Complete</v>
      </c>
      <c r="AF246" s="340"/>
      <c r="AG246" s="301"/>
      <c r="AH246" s="343"/>
      <c r="AI246" s="301">
        <f t="shared" ca="1" si="65"/>
        <v>0</v>
      </c>
      <c r="AJ246" s="302">
        <f t="shared" ca="1" si="66"/>
        <v>0</v>
      </c>
      <c r="AL246" s="303">
        <f t="shared" si="69"/>
        <v>0</v>
      </c>
      <c r="AM246" s="303">
        <f t="shared" si="70"/>
        <v>-5937624</v>
      </c>
      <c r="AN246" s="303">
        <f t="shared" si="71"/>
        <v>5937624</v>
      </c>
      <c r="AO246" s="304">
        <f t="shared" si="72"/>
        <v>0</v>
      </c>
      <c r="AP246" s="273">
        <f t="shared" si="77"/>
        <v>9</v>
      </c>
      <c r="AQ246" s="273" t="str">
        <f t="shared" ca="1" si="73"/>
        <v>92024</v>
      </c>
    </row>
    <row r="247" spans="1:43" customFormat="1" ht="15.75">
      <c r="A247" s="312">
        <v>10</v>
      </c>
      <c r="B247" s="684" t="s">
        <v>1875</v>
      </c>
      <c r="C247" s="246" t="s">
        <v>1876</v>
      </c>
      <c r="D247" s="672" t="s">
        <v>1877</v>
      </c>
      <c r="E247" s="685">
        <v>45521</v>
      </c>
      <c r="F247" s="690">
        <v>12.5</v>
      </c>
      <c r="G247" s="348"/>
      <c r="H247" s="301"/>
      <c r="I247" s="349"/>
      <c r="J247" s="349"/>
      <c r="K247" s="340" t="s">
        <v>1881</v>
      </c>
      <c r="L247" s="322" t="s">
        <v>1595</v>
      </c>
      <c r="M247" s="592">
        <v>0.45</v>
      </c>
      <c r="N247" s="340" t="s">
        <v>1593</v>
      </c>
      <c r="O247" s="246" t="s">
        <v>1882</v>
      </c>
      <c r="P247" s="484">
        <v>45564</v>
      </c>
      <c r="Q247" s="693" t="s">
        <v>1894</v>
      </c>
      <c r="R247" s="315">
        <v>5937624</v>
      </c>
      <c r="S247" s="315"/>
      <c r="T247" s="315"/>
      <c r="U247" s="340"/>
      <c r="V247" s="378">
        <f t="shared" ca="1" si="76"/>
        <v>9</v>
      </c>
      <c r="W247" s="292">
        <f t="shared" ca="1" si="74"/>
        <v>2024</v>
      </c>
      <c r="X247" s="291" t="str">
        <f t="shared" ca="1" si="75"/>
        <v>5 WEEK</v>
      </c>
      <c r="Y247" s="329">
        <f t="shared" si="79"/>
        <v>45564</v>
      </c>
      <c r="Z247" s="341" cm="1">
        <f t="array" aca="1" ref="Z247" ca="1">_xlfn.IFS(AD247&lt;100,Y247,Y247&lt;TODAY(),TODAY(),Y247&gt;TODAY(),Y247,Y247=TODAY(),Y247)</f>
        <v>45564</v>
      </c>
      <c r="AA247" s="315"/>
      <c r="AB247" s="301"/>
      <c r="AC247" s="301"/>
      <c r="AD247" s="298">
        <f t="shared" si="67"/>
        <v>0</v>
      </c>
      <c r="AE247" s="299" t="str">
        <f t="shared" si="68"/>
        <v>Complete</v>
      </c>
      <c r="AF247" s="340"/>
      <c r="AG247" s="301"/>
      <c r="AH247" s="343"/>
      <c r="AI247" s="301">
        <f t="shared" ca="1" si="65"/>
        <v>0</v>
      </c>
      <c r="AJ247" s="302">
        <f t="shared" ca="1" si="66"/>
        <v>0</v>
      </c>
      <c r="AL247" s="303">
        <f t="shared" si="69"/>
        <v>0</v>
      </c>
      <c r="AM247" s="303">
        <f t="shared" si="70"/>
        <v>-5937624</v>
      </c>
      <c r="AN247" s="303">
        <f t="shared" si="71"/>
        <v>5937624</v>
      </c>
      <c r="AO247" s="304">
        <f t="shared" si="72"/>
        <v>0</v>
      </c>
      <c r="AP247" s="273">
        <f t="shared" si="77"/>
        <v>9</v>
      </c>
      <c r="AQ247" s="273" t="str">
        <f t="shared" ca="1" si="73"/>
        <v>92024</v>
      </c>
    </row>
    <row r="248" spans="1:43" customFormat="1" ht="15.75">
      <c r="A248" s="312">
        <v>10</v>
      </c>
      <c r="B248" s="684" t="s">
        <v>1875</v>
      </c>
      <c r="C248" s="246" t="s">
        <v>1876</v>
      </c>
      <c r="D248" s="672" t="s">
        <v>1877</v>
      </c>
      <c r="E248" s="685">
        <v>45521</v>
      </c>
      <c r="F248" s="690">
        <v>12.5</v>
      </c>
      <c r="G248" s="348"/>
      <c r="H248" s="301"/>
      <c r="I248" s="349"/>
      <c r="J248" s="349"/>
      <c r="K248" s="340" t="s">
        <v>1881</v>
      </c>
      <c r="L248" s="322" t="s">
        <v>1595</v>
      </c>
      <c r="M248" s="592">
        <v>0.45</v>
      </c>
      <c r="N248" s="340" t="s">
        <v>1593</v>
      </c>
      <c r="O248" s="246" t="s">
        <v>1882</v>
      </c>
      <c r="P248" s="484">
        <v>45564</v>
      </c>
      <c r="Q248" s="693" t="s">
        <v>1895</v>
      </c>
      <c r="R248" s="315">
        <v>6477408</v>
      </c>
      <c r="S248" s="315"/>
      <c r="T248" s="315"/>
      <c r="U248" s="340"/>
      <c r="V248" s="378">
        <f t="shared" ca="1" si="76"/>
        <v>9</v>
      </c>
      <c r="W248" s="292">
        <f t="shared" ca="1" si="74"/>
        <v>2024</v>
      </c>
      <c r="X248" s="291" t="str">
        <f t="shared" ca="1" si="75"/>
        <v>5 WEEK</v>
      </c>
      <c r="Y248" s="329">
        <f t="shared" si="79"/>
        <v>45564</v>
      </c>
      <c r="Z248" s="341" cm="1">
        <f t="array" aca="1" ref="Z248" ca="1">_xlfn.IFS(AD248&lt;100,Y248,Y248&lt;TODAY(),TODAY(),Y248&gt;TODAY(),Y248,Y248=TODAY(),Y248)</f>
        <v>45564</v>
      </c>
      <c r="AA248" s="315"/>
      <c r="AB248" s="301"/>
      <c r="AC248" s="301"/>
      <c r="AD248" s="298">
        <f t="shared" si="67"/>
        <v>0</v>
      </c>
      <c r="AE248" s="299" t="str">
        <f t="shared" si="68"/>
        <v>Complete</v>
      </c>
      <c r="AF248" s="340"/>
      <c r="AG248" s="301"/>
      <c r="AH248" s="343"/>
      <c r="AI248" s="301">
        <f t="shared" ca="1" si="65"/>
        <v>0</v>
      </c>
      <c r="AJ248" s="302">
        <f t="shared" ca="1" si="66"/>
        <v>0</v>
      </c>
      <c r="AL248" s="303">
        <f t="shared" si="69"/>
        <v>0</v>
      </c>
      <c r="AM248" s="303">
        <f t="shared" si="70"/>
        <v>-6477408</v>
      </c>
      <c r="AN248" s="303">
        <f t="shared" si="71"/>
        <v>6477408</v>
      </c>
      <c r="AO248" s="304">
        <f t="shared" si="72"/>
        <v>0</v>
      </c>
      <c r="AP248" s="273">
        <f t="shared" si="77"/>
        <v>9</v>
      </c>
      <c r="AQ248" s="273" t="str">
        <f t="shared" ca="1" si="73"/>
        <v>92024</v>
      </c>
    </row>
    <row r="249" spans="1:43" customFormat="1" ht="15.75">
      <c r="A249" s="312">
        <v>10</v>
      </c>
      <c r="B249" s="684" t="s">
        <v>1875</v>
      </c>
      <c r="C249" s="246" t="s">
        <v>1876</v>
      </c>
      <c r="D249" s="672" t="s">
        <v>1877</v>
      </c>
      <c r="E249" s="685">
        <v>45521</v>
      </c>
      <c r="F249" s="690">
        <v>12.5</v>
      </c>
      <c r="G249" s="348"/>
      <c r="H249" s="301"/>
      <c r="I249" s="349"/>
      <c r="J249" s="349"/>
      <c r="K249" s="340" t="s">
        <v>1881</v>
      </c>
      <c r="L249" s="322" t="s">
        <v>1595</v>
      </c>
      <c r="M249" s="592">
        <v>0.45</v>
      </c>
      <c r="N249" s="340" t="s">
        <v>1593</v>
      </c>
      <c r="O249" s="246" t="s">
        <v>1882</v>
      </c>
      <c r="P249" s="484">
        <v>45564</v>
      </c>
      <c r="Q249" s="693" t="s">
        <v>1896</v>
      </c>
      <c r="R249" s="315">
        <v>6477408</v>
      </c>
      <c r="S249" s="315"/>
      <c r="T249" s="315"/>
      <c r="U249" s="340"/>
      <c r="V249" s="378">
        <f t="shared" ca="1" si="76"/>
        <v>9</v>
      </c>
      <c r="W249" s="292">
        <f t="shared" ca="1" si="74"/>
        <v>2024</v>
      </c>
      <c r="X249" s="291" t="str">
        <f t="shared" ca="1" si="75"/>
        <v>5 WEEK</v>
      </c>
      <c r="Y249" s="329">
        <f t="shared" si="79"/>
        <v>45564</v>
      </c>
      <c r="Z249" s="341" cm="1">
        <f t="array" aca="1" ref="Z249" ca="1">_xlfn.IFS(AD249&lt;100,Y249,Y249&lt;TODAY(),TODAY(),Y249&gt;TODAY(),Y249,Y249=TODAY(),Y249)</f>
        <v>45564</v>
      </c>
      <c r="AA249" s="315"/>
      <c r="AB249" s="301"/>
      <c r="AC249" s="301"/>
      <c r="AD249" s="298">
        <f t="shared" si="67"/>
        <v>0</v>
      </c>
      <c r="AE249" s="299" t="str">
        <f t="shared" si="68"/>
        <v>Complete</v>
      </c>
      <c r="AF249" s="340"/>
      <c r="AG249" s="301"/>
      <c r="AH249" s="343"/>
      <c r="AI249" s="301">
        <f t="shared" ca="1" si="65"/>
        <v>0</v>
      </c>
      <c r="AJ249" s="302">
        <f t="shared" ca="1" si="66"/>
        <v>0</v>
      </c>
      <c r="AL249" s="303">
        <f t="shared" si="69"/>
        <v>0</v>
      </c>
      <c r="AM249" s="303">
        <f t="shared" si="70"/>
        <v>-6477408</v>
      </c>
      <c r="AN249" s="303">
        <f t="shared" si="71"/>
        <v>6477408</v>
      </c>
      <c r="AO249" s="304">
        <f t="shared" si="72"/>
        <v>0</v>
      </c>
      <c r="AP249" s="273">
        <f t="shared" si="77"/>
        <v>9</v>
      </c>
      <c r="AQ249" s="273" t="str">
        <f t="shared" ca="1" si="73"/>
        <v>92024</v>
      </c>
    </row>
    <row r="250" spans="1:43" customFormat="1" ht="15.75">
      <c r="A250" s="312">
        <v>10</v>
      </c>
      <c r="B250" s="684" t="s">
        <v>1875</v>
      </c>
      <c r="C250" s="246" t="s">
        <v>1876</v>
      </c>
      <c r="D250" s="672" t="s">
        <v>1877</v>
      </c>
      <c r="E250" s="685">
        <v>45521</v>
      </c>
      <c r="F250" s="690">
        <v>12.5</v>
      </c>
      <c r="G250" s="348"/>
      <c r="H250" s="301"/>
      <c r="I250" s="349"/>
      <c r="J250" s="349"/>
      <c r="K250" s="340" t="s">
        <v>1881</v>
      </c>
      <c r="L250" s="322" t="s">
        <v>1595</v>
      </c>
      <c r="M250" s="592">
        <v>0.45</v>
      </c>
      <c r="N250" s="340" t="s">
        <v>1593</v>
      </c>
      <c r="O250" s="246" t="s">
        <v>1882</v>
      </c>
      <c r="P250" s="484">
        <v>45564</v>
      </c>
      <c r="Q250" s="693" t="s">
        <v>1897</v>
      </c>
      <c r="R250" s="315">
        <v>6477408</v>
      </c>
      <c r="S250" s="315"/>
      <c r="T250" s="315"/>
      <c r="U250" s="340"/>
      <c r="V250" s="378">
        <f t="shared" ca="1" si="76"/>
        <v>9</v>
      </c>
      <c r="W250" s="292">
        <f t="shared" ca="1" si="74"/>
        <v>2024</v>
      </c>
      <c r="X250" s="291" t="str">
        <f t="shared" ca="1" si="75"/>
        <v>5 WEEK</v>
      </c>
      <c r="Y250" s="329">
        <f t="shared" si="79"/>
        <v>45564</v>
      </c>
      <c r="Z250" s="341" cm="1">
        <f t="array" aca="1" ref="Z250" ca="1">_xlfn.IFS(AD250&lt;100,Y250,Y250&lt;TODAY(),TODAY(),Y250&gt;TODAY(),Y250,Y250=TODAY(),Y250)</f>
        <v>45564</v>
      </c>
      <c r="AA250" s="315"/>
      <c r="AB250" s="301"/>
      <c r="AC250" s="301"/>
      <c r="AD250" s="298">
        <f t="shared" si="67"/>
        <v>0</v>
      </c>
      <c r="AE250" s="299" t="str">
        <f t="shared" si="68"/>
        <v>Complete</v>
      </c>
      <c r="AF250" s="340"/>
      <c r="AG250" s="301"/>
      <c r="AH250" s="343"/>
      <c r="AI250" s="301">
        <f t="shared" ca="1" si="65"/>
        <v>0</v>
      </c>
      <c r="AJ250" s="302">
        <f t="shared" ca="1" si="66"/>
        <v>0</v>
      </c>
      <c r="AL250" s="303">
        <f t="shared" si="69"/>
        <v>0</v>
      </c>
      <c r="AM250" s="303">
        <f t="shared" si="70"/>
        <v>-6477408</v>
      </c>
      <c r="AN250" s="303">
        <f t="shared" si="71"/>
        <v>6477408</v>
      </c>
      <c r="AO250" s="304">
        <f t="shared" si="72"/>
        <v>0</v>
      </c>
      <c r="AP250" s="273">
        <f t="shared" si="77"/>
        <v>9</v>
      </c>
      <c r="AQ250" s="273" t="str">
        <f t="shared" ca="1" si="73"/>
        <v>92024</v>
      </c>
    </row>
    <row r="251" spans="1:43" customFormat="1" ht="15.75">
      <c r="A251" s="312">
        <v>10</v>
      </c>
      <c r="B251" s="684" t="s">
        <v>1875</v>
      </c>
      <c r="C251" s="246" t="s">
        <v>1876</v>
      </c>
      <c r="D251" s="672" t="s">
        <v>1877</v>
      </c>
      <c r="E251" s="685">
        <v>45521</v>
      </c>
      <c r="F251" s="690">
        <v>12.5</v>
      </c>
      <c r="G251" s="348"/>
      <c r="H251" s="301"/>
      <c r="I251" s="349"/>
      <c r="J251" s="349"/>
      <c r="K251" s="340" t="s">
        <v>1881</v>
      </c>
      <c r="L251" s="322" t="s">
        <v>1595</v>
      </c>
      <c r="M251" s="592">
        <v>0.45</v>
      </c>
      <c r="N251" s="340" t="s">
        <v>1593</v>
      </c>
      <c r="O251" s="246" t="s">
        <v>1882</v>
      </c>
      <c r="P251" s="484">
        <v>45564</v>
      </c>
      <c r="Q251" s="693" t="s">
        <v>1898</v>
      </c>
      <c r="R251" s="315">
        <v>6477408</v>
      </c>
      <c r="S251" s="315"/>
      <c r="T251" s="315"/>
      <c r="U251" s="340"/>
      <c r="V251" s="378">
        <f t="shared" ca="1" si="76"/>
        <v>9</v>
      </c>
      <c r="W251" s="292">
        <f t="shared" ca="1" si="74"/>
        <v>2024</v>
      </c>
      <c r="X251" s="291" t="str">
        <f t="shared" ca="1" si="75"/>
        <v>5 WEEK</v>
      </c>
      <c r="Y251" s="329">
        <f t="shared" si="79"/>
        <v>45564</v>
      </c>
      <c r="Z251" s="341" cm="1">
        <f t="array" aca="1" ref="Z251" ca="1">_xlfn.IFS(AD251&lt;100,Y251,Y251&lt;TODAY(),TODAY(),Y251&gt;TODAY(),Y251,Y251=TODAY(),Y251)</f>
        <v>45564</v>
      </c>
      <c r="AA251" s="315"/>
      <c r="AB251" s="301"/>
      <c r="AC251" s="301"/>
      <c r="AD251" s="298">
        <f t="shared" si="67"/>
        <v>0</v>
      </c>
      <c r="AE251" s="299" t="str">
        <f t="shared" si="68"/>
        <v>Complete</v>
      </c>
      <c r="AF251" s="340"/>
      <c r="AG251" s="301"/>
      <c r="AH251" s="343"/>
      <c r="AI251" s="301">
        <f t="shared" ca="1" si="65"/>
        <v>0</v>
      </c>
      <c r="AJ251" s="302">
        <f t="shared" ca="1" si="66"/>
        <v>0</v>
      </c>
      <c r="AL251" s="303">
        <f t="shared" si="69"/>
        <v>0</v>
      </c>
      <c r="AM251" s="303">
        <f t="shared" si="70"/>
        <v>-6477408</v>
      </c>
      <c r="AN251" s="303">
        <f t="shared" si="71"/>
        <v>6477408</v>
      </c>
      <c r="AO251" s="304">
        <f t="shared" si="72"/>
        <v>0</v>
      </c>
      <c r="AP251" s="273">
        <f t="shared" si="77"/>
        <v>9</v>
      </c>
      <c r="AQ251" s="273" t="str">
        <f t="shared" ca="1" si="73"/>
        <v>92024</v>
      </c>
    </row>
    <row r="252" spans="1:43" customFormat="1" ht="15.75">
      <c r="A252" s="312">
        <v>10</v>
      </c>
      <c r="B252" s="684" t="s">
        <v>1875</v>
      </c>
      <c r="C252" s="246" t="s">
        <v>1876</v>
      </c>
      <c r="D252" s="672" t="s">
        <v>1877</v>
      </c>
      <c r="E252" s="685">
        <v>45521</v>
      </c>
      <c r="F252" s="690">
        <v>12.5</v>
      </c>
      <c r="G252" s="348"/>
      <c r="H252" s="301"/>
      <c r="I252" s="349"/>
      <c r="J252" s="349"/>
      <c r="K252" s="340" t="s">
        <v>1881</v>
      </c>
      <c r="L252" s="322" t="s">
        <v>1595</v>
      </c>
      <c r="M252" s="592">
        <v>0.45</v>
      </c>
      <c r="N252" s="340" t="s">
        <v>1593</v>
      </c>
      <c r="O252" s="246" t="s">
        <v>1882</v>
      </c>
      <c r="P252" s="484">
        <v>45564</v>
      </c>
      <c r="Q252" s="693" t="s">
        <v>1899</v>
      </c>
      <c r="R252" s="315">
        <v>2418528</v>
      </c>
      <c r="S252" s="315"/>
      <c r="T252" s="315"/>
      <c r="U252" s="340"/>
      <c r="V252" s="378">
        <f t="shared" ca="1" si="76"/>
        <v>9</v>
      </c>
      <c r="W252" s="292">
        <f t="shared" ca="1" si="74"/>
        <v>2024</v>
      </c>
      <c r="X252" s="291" t="str">
        <f t="shared" ca="1" si="75"/>
        <v>5 WEEK</v>
      </c>
      <c r="Y252" s="329">
        <f t="shared" si="79"/>
        <v>45564</v>
      </c>
      <c r="Z252" s="341" cm="1">
        <f t="array" aca="1" ref="Z252" ca="1">_xlfn.IFS(AD252&lt;100,Y252,Y252&lt;TODAY(),TODAY(),Y252&gt;TODAY(),Y252,Y252=TODAY(),Y252)</f>
        <v>45564</v>
      </c>
      <c r="AA252" s="315"/>
      <c r="AB252" s="301"/>
      <c r="AC252" s="301"/>
      <c r="AD252" s="298">
        <f t="shared" si="67"/>
        <v>0</v>
      </c>
      <c r="AE252" s="299" t="str">
        <f t="shared" si="68"/>
        <v>Complete</v>
      </c>
      <c r="AF252" s="340"/>
      <c r="AG252" s="301"/>
      <c r="AH252" s="343"/>
      <c r="AI252" s="301">
        <f t="shared" ca="1" si="65"/>
        <v>0</v>
      </c>
      <c r="AJ252" s="302">
        <f t="shared" ca="1" si="66"/>
        <v>0</v>
      </c>
      <c r="AL252" s="303">
        <f t="shared" si="69"/>
        <v>0</v>
      </c>
      <c r="AM252" s="303">
        <f t="shared" si="70"/>
        <v>-2418528</v>
      </c>
      <c r="AN252" s="303">
        <f t="shared" si="71"/>
        <v>2418528</v>
      </c>
      <c r="AO252" s="304">
        <f t="shared" si="72"/>
        <v>0</v>
      </c>
      <c r="AP252" s="273">
        <f t="shared" si="77"/>
        <v>9</v>
      </c>
      <c r="AQ252" s="273" t="str">
        <f t="shared" ca="1" si="73"/>
        <v>92024</v>
      </c>
    </row>
    <row r="253" spans="1:43" customFormat="1" ht="15.75">
      <c r="A253" s="312">
        <v>10</v>
      </c>
      <c r="B253" s="684" t="s">
        <v>1875</v>
      </c>
      <c r="C253" s="246" t="s">
        <v>1876</v>
      </c>
      <c r="D253" s="672" t="s">
        <v>1877</v>
      </c>
      <c r="E253" s="685">
        <v>45521</v>
      </c>
      <c r="F253" s="690">
        <v>12.5</v>
      </c>
      <c r="G253" s="348"/>
      <c r="H253" s="301"/>
      <c r="I253" s="349"/>
      <c r="J253" s="349"/>
      <c r="K253" s="340" t="s">
        <v>1881</v>
      </c>
      <c r="L253" s="322" t="s">
        <v>1595</v>
      </c>
      <c r="M253" s="592">
        <v>0.45</v>
      </c>
      <c r="N253" s="340" t="s">
        <v>1593</v>
      </c>
      <c r="O253" s="246" t="s">
        <v>1882</v>
      </c>
      <c r="P253" s="484">
        <v>45564</v>
      </c>
      <c r="Q253" s="693" t="s">
        <v>1900</v>
      </c>
      <c r="R253" s="315">
        <v>5352480</v>
      </c>
      <c r="S253" s="315"/>
      <c r="T253" s="315"/>
      <c r="U253" s="340"/>
      <c r="V253" s="378">
        <f t="shared" ca="1" si="76"/>
        <v>9</v>
      </c>
      <c r="W253" s="292">
        <f t="shared" ca="1" si="74"/>
        <v>2024</v>
      </c>
      <c r="X253" s="291" t="str">
        <f t="shared" ca="1" si="75"/>
        <v>5 WEEK</v>
      </c>
      <c r="Y253" s="329">
        <f t="shared" si="79"/>
        <v>45564</v>
      </c>
      <c r="Z253" s="341" cm="1">
        <f t="array" aca="1" ref="Z253" ca="1">_xlfn.IFS(AD253&lt;100,Y253,Y253&lt;TODAY(),TODAY(),Y253&gt;TODAY(),Y253,Y253=TODAY(),Y253)</f>
        <v>45564</v>
      </c>
      <c r="AA253" s="315"/>
      <c r="AB253" s="301"/>
      <c r="AC253" s="301"/>
      <c r="AD253" s="298">
        <f t="shared" si="67"/>
        <v>0</v>
      </c>
      <c r="AE253" s="299" t="str">
        <f t="shared" si="68"/>
        <v>Complete</v>
      </c>
      <c r="AF253" s="340"/>
      <c r="AG253" s="301"/>
      <c r="AH253" s="343"/>
      <c r="AI253" s="301">
        <f t="shared" ca="1" si="65"/>
        <v>0</v>
      </c>
      <c r="AJ253" s="302">
        <f t="shared" ca="1" si="66"/>
        <v>0</v>
      </c>
      <c r="AL253" s="303">
        <f t="shared" si="69"/>
        <v>0</v>
      </c>
      <c r="AM253" s="303">
        <f t="shared" si="70"/>
        <v>-5352480</v>
      </c>
      <c r="AN253" s="303">
        <f t="shared" si="71"/>
        <v>5352480</v>
      </c>
      <c r="AO253" s="304">
        <f t="shared" si="72"/>
        <v>0</v>
      </c>
      <c r="AP253" s="273">
        <f t="shared" si="77"/>
        <v>9</v>
      </c>
      <c r="AQ253" s="273" t="str">
        <f t="shared" ca="1" si="73"/>
        <v>92024</v>
      </c>
    </row>
    <row r="254" spans="1:43" customFormat="1" ht="15.75">
      <c r="A254" s="312">
        <v>10</v>
      </c>
      <c r="B254" s="684" t="s">
        <v>1875</v>
      </c>
      <c r="C254" s="246" t="s">
        <v>1876</v>
      </c>
      <c r="D254" s="672" t="s">
        <v>1877</v>
      </c>
      <c r="E254" s="685">
        <v>45521</v>
      </c>
      <c r="F254" s="690">
        <v>12.5</v>
      </c>
      <c r="G254" s="348"/>
      <c r="H254" s="301"/>
      <c r="I254" s="349"/>
      <c r="J254" s="349"/>
      <c r="K254" s="340" t="s">
        <v>1881</v>
      </c>
      <c r="L254" s="322" t="s">
        <v>1595</v>
      </c>
      <c r="M254" s="592">
        <v>0.45</v>
      </c>
      <c r="N254" s="340" t="s">
        <v>1593</v>
      </c>
      <c r="O254" s="246" t="s">
        <v>1882</v>
      </c>
      <c r="P254" s="484">
        <v>45564</v>
      </c>
      <c r="Q254" s="693" t="s">
        <v>1901</v>
      </c>
      <c r="R254" s="315">
        <v>2628948</v>
      </c>
      <c r="S254" s="315"/>
      <c r="T254" s="315"/>
      <c r="U254" s="340"/>
      <c r="V254" s="378">
        <f t="shared" ca="1" si="76"/>
        <v>9</v>
      </c>
      <c r="W254" s="292">
        <f t="shared" ca="1" si="74"/>
        <v>2024</v>
      </c>
      <c r="X254" s="291" t="str">
        <f t="shared" ca="1" si="75"/>
        <v>5 WEEK</v>
      </c>
      <c r="Y254" s="329">
        <f t="shared" si="79"/>
        <v>45564</v>
      </c>
      <c r="Z254" s="341" cm="1">
        <f t="array" aca="1" ref="Z254" ca="1">_xlfn.IFS(AD254&lt;100,Y254,Y254&lt;TODAY(),TODAY(),Y254&gt;TODAY(),Y254,Y254=TODAY(),Y254)</f>
        <v>45564</v>
      </c>
      <c r="AA254" s="315"/>
      <c r="AB254" s="301"/>
      <c r="AC254" s="301"/>
      <c r="AD254" s="298">
        <f t="shared" si="67"/>
        <v>0</v>
      </c>
      <c r="AE254" s="299" t="str">
        <f t="shared" si="68"/>
        <v>Complete</v>
      </c>
      <c r="AF254" s="340"/>
      <c r="AG254" s="301"/>
      <c r="AH254" s="343"/>
      <c r="AI254" s="301">
        <f t="shared" ca="1" si="65"/>
        <v>0</v>
      </c>
      <c r="AJ254" s="302">
        <f t="shared" ca="1" si="66"/>
        <v>0</v>
      </c>
      <c r="AL254" s="303">
        <f t="shared" si="69"/>
        <v>0</v>
      </c>
      <c r="AM254" s="303">
        <f t="shared" si="70"/>
        <v>-2628948</v>
      </c>
      <c r="AN254" s="303">
        <f t="shared" si="71"/>
        <v>2628948</v>
      </c>
      <c r="AO254" s="304">
        <f t="shared" si="72"/>
        <v>0</v>
      </c>
      <c r="AP254" s="273">
        <f t="shared" si="77"/>
        <v>9</v>
      </c>
      <c r="AQ254" s="273" t="str">
        <f t="shared" ca="1" si="73"/>
        <v>92024</v>
      </c>
    </row>
    <row r="255" spans="1:43" customFormat="1" ht="15.75">
      <c r="A255" s="312">
        <v>10</v>
      </c>
      <c r="B255" s="684" t="s">
        <v>1875</v>
      </c>
      <c r="C255" s="246" t="s">
        <v>1876</v>
      </c>
      <c r="D255" s="672" t="s">
        <v>1877</v>
      </c>
      <c r="E255" s="685">
        <v>45521</v>
      </c>
      <c r="F255" s="690">
        <v>12.5</v>
      </c>
      <c r="G255" s="348"/>
      <c r="H255" s="301"/>
      <c r="I255" s="349"/>
      <c r="J255" s="349"/>
      <c r="K255" s="340" t="s">
        <v>1881</v>
      </c>
      <c r="L255" s="322" t="s">
        <v>1595</v>
      </c>
      <c r="M255" s="592">
        <v>0.45</v>
      </c>
      <c r="N255" s="340" t="s">
        <v>1593</v>
      </c>
      <c r="O255" s="246" t="s">
        <v>1882</v>
      </c>
      <c r="P255" s="484">
        <v>45565</v>
      </c>
      <c r="Q255" s="693" t="s">
        <v>1902</v>
      </c>
      <c r="R255" s="315">
        <v>6477408</v>
      </c>
      <c r="S255" s="315"/>
      <c r="T255" s="315"/>
      <c r="U255" s="340"/>
      <c r="V255" s="378">
        <f t="shared" ca="1" si="76"/>
        <v>9</v>
      </c>
      <c r="W255" s="292">
        <f t="shared" ca="1" si="74"/>
        <v>2024</v>
      </c>
      <c r="X255" s="291" t="str">
        <f t="shared" ca="1" si="75"/>
        <v>5 WEEK</v>
      </c>
      <c r="Y255" s="329">
        <f t="shared" si="79"/>
        <v>45565</v>
      </c>
      <c r="Z255" s="341" cm="1">
        <f t="array" aca="1" ref="Z255" ca="1">_xlfn.IFS(AD255&lt;100,Y255,Y255&lt;TODAY(),TODAY(),Y255&gt;TODAY(),Y255,Y255=TODAY(),Y255)</f>
        <v>45565</v>
      </c>
      <c r="AA255" s="315"/>
      <c r="AB255" s="301"/>
      <c r="AC255" s="301"/>
      <c r="AD255" s="298">
        <f t="shared" si="67"/>
        <v>0</v>
      </c>
      <c r="AE255" s="299" t="str">
        <f t="shared" si="68"/>
        <v>Complete</v>
      </c>
      <c r="AF255" s="340"/>
      <c r="AG255" s="301"/>
      <c r="AH255" s="343"/>
      <c r="AI255" s="301">
        <f t="shared" ca="1" si="65"/>
        <v>0</v>
      </c>
      <c r="AJ255" s="302">
        <f t="shared" ca="1" si="66"/>
        <v>0</v>
      </c>
      <c r="AL255" s="303">
        <f t="shared" si="69"/>
        <v>0</v>
      </c>
      <c r="AM255" s="303">
        <f t="shared" si="70"/>
        <v>-6477408</v>
      </c>
      <c r="AN255" s="303">
        <f t="shared" si="71"/>
        <v>6477408</v>
      </c>
      <c r="AO255" s="304">
        <f t="shared" si="72"/>
        <v>0</v>
      </c>
      <c r="AP255" s="273">
        <f t="shared" si="77"/>
        <v>9</v>
      </c>
      <c r="AQ255" s="273" t="str">
        <f t="shared" ca="1" si="73"/>
        <v>92024</v>
      </c>
    </row>
    <row r="256" spans="1:43" customFormat="1" ht="15.75">
      <c r="A256" s="312">
        <v>10</v>
      </c>
      <c r="B256" s="684" t="s">
        <v>1875</v>
      </c>
      <c r="C256" s="246" t="s">
        <v>1876</v>
      </c>
      <c r="D256" s="672" t="s">
        <v>1877</v>
      </c>
      <c r="E256" s="685">
        <v>45521</v>
      </c>
      <c r="F256" s="690">
        <v>12.5</v>
      </c>
      <c r="G256" s="348"/>
      <c r="H256" s="301"/>
      <c r="I256" s="349"/>
      <c r="J256" s="349"/>
      <c r="K256" s="340" t="s">
        <v>1881</v>
      </c>
      <c r="L256" s="322" t="s">
        <v>1595</v>
      </c>
      <c r="M256" s="592">
        <v>0.45</v>
      </c>
      <c r="N256" s="340" t="s">
        <v>1593</v>
      </c>
      <c r="O256" s="246" t="s">
        <v>1882</v>
      </c>
      <c r="P256" s="484">
        <v>45565</v>
      </c>
      <c r="Q256" s="693" t="s">
        <v>1903</v>
      </c>
      <c r="R256" s="315">
        <v>5887728</v>
      </c>
      <c r="S256" s="315"/>
      <c r="T256" s="315"/>
      <c r="U256" s="340"/>
      <c r="V256" s="378">
        <f t="shared" ca="1" si="76"/>
        <v>9</v>
      </c>
      <c r="W256" s="292">
        <f t="shared" ca="1" si="74"/>
        <v>2024</v>
      </c>
      <c r="X256" s="291" t="str">
        <f t="shared" ca="1" si="75"/>
        <v>5 WEEK</v>
      </c>
      <c r="Y256" s="329">
        <f t="shared" si="79"/>
        <v>45565</v>
      </c>
      <c r="Z256" s="341" cm="1">
        <f t="array" aca="1" ref="Z256" ca="1">_xlfn.IFS(AD256&lt;100,Y256,Y256&lt;TODAY(),TODAY(),Y256&gt;TODAY(),Y256,Y256=TODAY(),Y256)</f>
        <v>45565</v>
      </c>
      <c r="AA256" s="315"/>
      <c r="AB256" s="301"/>
      <c r="AC256" s="301"/>
      <c r="AD256" s="298">
        <f t="shared" si="67"/>
        <v>0</v>
      </c>
      <c r="AE256" s="299" t="str">
        <f t="shared" si="68"/>
        <v>Complete</v>
      </c>
      <c r="AF256" s="340"/>
      <c r="AG256" s="301"/>
      <c r="AH256" s="343"/>
      <c r="AI256" s="301">
        <f t="shared" ca="1" si="65"/>
        <v>0</v>
      </c>
      <c r="AJ256" s="302">
        <f t="shared" ca="1" si="66"/>
        <v>0</v>
      </c>
      <c r="AL256" s="303">
        <f t="shared" si="69"/>
        <v>0</v>
      </c>
      <c r="AM256" s="303">
        <f t="shared" si="70"/>
        <v>-5887728</v>
      </c>
      <c r="AN256" s="303">
        <f t="shared" si="71"/>
        <v>5887728</v>
      </c>
      <c r="AO256" s="304">
        <f t="shared" si="72"/>
        <v>0</v>
      </c>
      <c r="AP256" s="273">
        <f t="shared" si="77"/>
        <v>9</v>
      </c>
      <c r="AQ256" s="273" t="str">
        <f t="shared" ca="1" si="73"/>
        <v>92024</v>
      </c>
    </row>
    <row r="257" spans="1:43" customFormat="1" ht="15.75">
      <c r="A257" s="312">
        <v>10</v>
      </c>
      <c r="B257" s="684" t="s">
        <v>1875</v>
      </c>
      <c r="C257" s="246" t="s">
        <v>1876</v>
      </c>
      <c r="D257" s="672" t="s">
        <v>1877</v>
      </c>
      <c r="E257" s="685">
        <v>45521</v>
      </c>
      <c r="F257" s="690">
        <v>12.5</v>
      </c>
      <c r="G257" s="348"/>
      <c r="H257" s="301"/>
      <c r="I257" s="349"/>
      <c r="J257" s="349"/>
      <c r="K257" s="340" t="s">
        <v>1881</v>
      </c>
      <c r="L257" s="322" t="s">
        <v>1595</v>
      </c>
      <c r="M257" s="592">
        <v>0.45</v>
      </c>
      <c r="N257" s="340" t="s">
        <v>1593</v>
      </c>
      <c r="O257" s="246" t="s">
        <v>1882</v>
      </c>
      <c r="P257" s="484">
        <v>45565</v>
      </c>
      <c r="Q257" s="693" t="s">
        <v>1904</v>
      </c>
      <c r="R257" s="315">
        <v>5397840</v>
      </c>
      <c r="S257" s="315"/>
      <c r="T257" s="315"/>
      <c r="U257" s="340"/>
      <c r="V257" s="378">
        <f t="shared" ca="1" si="76"/>
        <v>9</v>
      </c>
      <c r="W257" s="292">
        <f t="shared" ca="1" si="74"/>
        <v>2024</v>
      </c>
      <c r="X257" s="291" t="str">
        <f t="shared" ca="1" si="75"/>
        <v>5 WEEK</v>
      </c>
      <c r="Y257" s="329">
        <f t="shared" si="79"/>
        <v>45565</v>
      </c>
      <c r="Z257" s="341" cm="1">
        <f t="array" aca="1" ref="Z257" ca="1">_xlfn.IFS(AD257&lt;100,Y257,Y257&lt;TODAY(),TODAY(),Y257&gt;TODAY(),Y257,Y257=TODAY(),Y257)</f>
        <v>45565</v>
      </c>
      <c r="AA257" s="315"/>
      <c r="AB257" s="301"/>
      <c r="AC257" s="301"/>
      <c r="AD257" s="298">
        <f t="shared" si="67"/>
        <v>0</v>
      </c>
      <c r="AE257" s="299" t="str">
        <f t="shared" si="68"/>
        <v>Complete</v>
      </c>
      <c r="AF257" s="340"/>
      <c r="AG257" s="301"/>
      <c r="AH257" s="343"/>
      <c r="AI257" s="301">
        <f t="shared" ca="1" si="65"/>
        <v>0</v>
      </c>
      <c r="AJ257" s="302">
        <f t="shared" ca="1" si="66"/>
        <v>0</v>
      </c>
      <c r="AL257" s="303">
        <f t="shared" si="69"/>
        <v>0</v>
      </c>
      <c r="AM257" s="303">
        <f t="shared" si="70"/>
        <v>-5397840</v>
      </c>
      <c r="AN257" s="303">
        <f t="shared" si="71"/>
        <v>5397840</v>
      </c>
      <c r="AO257" s="304">
        <f t="shared" si="72"/>
        <v>0</v>
      </c>
      <c r="AP257" s="273">
        <f t="shared" si="77"/>
        <v>9</v>
      </c>
      <c r="AQ257" s="273" t="str">
        <f t="shared" ca="1" si="73"/>
        <v>92024</v>
      </c>
    </row>
    <row r="258" spans="1:43" customFormat="1" ht="15.75">
      <c r="A258" s="312">
        <v>10</v>
      </c>
      <c r="B258" s="684" t="s">
        <v>1875</v>
      </c>
      <c r="C258" s="246" t="s">
        <v>1876</v>
      </c>
      <c r="D258" s="672" t="s">
        <v>1877</v>
      </c>
      <c r="E258" s="685">
        <v>45521</v>
      </c>
      <c r="F258" s="690">
        <v>12.5</v>
      </c>
      <c r="G258" s="348"/>
      <c r="H258" s="301"/>
      <c r="I258" s="349"/>
      <c r="J258" s="349"/>
      <c r="K258" s="340" t="s">
        <v>1881</v>
      </c>
      <c r="L258" s="322" t="s">
        <v>1595</v>
      </c>
      <c r="M258" s="592">
        <v>0.45</v>
      </c>
      <c r="N258" s="340" t="s">
        <v>1593</v>
      </c>
      <c r="O258" s="246" t="s">
        <v>1882</v>
      </c>
      <c r="P258" s="484">
        <v>45565</v>
      </c>
      <c r="Q258" s="693" t="s">
        <v>1905</v>
      </c>
      <c r="R258" s="315">
        <v>5887728</v>
      </c>
      <c r="S258" s="315"/>
      <c r="T258" s="315"/>
      <c r="U258" s="340"/>
      <c r="V258" s="378">
        <f t="shared" ca="1" si="76"/>
        <v>9</v>
      </c>
      <c r="W258" s="292">
        <f t="shared" ca="1" si="74"/>
        <v>2024</v>
      </c>
      <c r="X258" s="291" t="str">
        <f t="shared" ca="1" si="75"/>
        <v>5 WEEK</v>
      </c>
      <c r="Y258" s="329">
        <f t="shared" si="79"/>
        <v>45565</v>
      </c>
      <c r="Z258" s="341" cm="1">
        <f t="array" aca="1" ref="Z258" ca="1">_xlfn.IFS(AD258&lt;100,Y258,Y258&lt;TODAY(),TODAY(),Y258&gt;TODAY(),Y258,Y258=TODAY(),Y258)</f>
        <v>45565</v>
      </c>
      <c r="AA258" s="315"/>
      <c r="AB258" s="301"/>
      <c r="AC258" s="301"/>
      <c r="AD258" s="298">
        <f t="shared" si="67"/>
        <v>0</v>
      </c>
      <c r="AE258" s="299" t="str">
        <f t="shared" si="68"/>
        <v>Complete</v>
      </c>
      <c r="AF258" s="340"/>
      <c r="AG258" s="301"/>
      <c r="AH258" s="343"/>
      <c r="AI258" s="301">
        <f t="shared" ref="AI258:AI321" ca="1" si="80">Z258-Y258</f>
        <v>0</v>
      </c>
      <c r="AJ258" s="302">
        <f t="shared" ref="AJ258:AJ321" ca="1" si="81">IF(AI258&gt;1,"Delayed",0)</f>
        <v>0</v>
      </c>
      <c r="AL258" s="303">
        <f t="shared" si="69"/>
        <v>0</v>
      </c>
      <c r="AM258" s="303">
        <f t="shared" si="70"/>
        <v>-5887728</v>
      </c>
      <c r="AN258" s="303">
        <f t="shared" si="71"/>
        <v>5887728</v>
      </c>
      <c r="AO258" s="304">
        <f t="shared" si="72"/>
        <v>0</v>
      </c>
      <c r="AP258" s="273">
        <f t="shared" si="77"/>
        <v>9</v>
      </c>
      <c r="AQ258" s="273" t="str">
        <f t="shared" ca="1" si="73"/>
        <v>92024</v>
      </c>
    </row>
    <row r="259" spans="1:43" customFormat="1" ht="15.75">
      <c r="A259" s="312">
        <v>10</v>
      </c>
      <c r="B259" s="684" t="s">
        <v>1875</v>
      </c>
      <c r="C259" s="246" t="s">
        <v>1876</v>
      </c>
      <c r="D259" s="672" t="s">
        <v>1877</v>
      </c>
      <c r="E259" s="685">
        <v>45521</v>
      </c>
      <c r="F259" s="690">
        <v>12.5</v>
      </c>
      <c r="G259" s="348"/>
      <c r="H259" s="301"/>
      <c r="I259" s="349"/>
      <c r="J259" s="349"/>
      <c r="K259" s="340" t="s">
        <v>1881</v>
      </c>
      <c r="L259" s="322" t="s">
        <v>1595</v>
      </c>
      <c r="M259" s="592">
        <v>0.45</v>
      </c>
      <c r="N259" s="340" t="s">
        <v>1593</v>
      </c>
      <c r="O259" s="246" t="s">
        <v>1882</v>
      </c>
      <c r="P259" s="484">
        <v>45565</v>
      </c>
      <c r="Q259" s="693" t="s">
        <v>1906</v>
      </c>
      <c r="R259" s="315">
        <v>5067972</v>
      </c>
      <c r="S259" s="315"/>
      <c r="T259" s="315"/>
      <c r="U259" s="340"/>
      <c r="V259" s="378">
        <f t="shared" ca="1" si="76"/>
        <v>9</v>
      </c>
      <c r="W259" s="292">
        <f t="shared" ca="1" si="74"/>
        <v>2024</v>
      </c>
      <c r="X259" s="291" t="str">
        <f t="shared" ca="1" si="75"/>
        <v>5 WEEK</v>
      </c>
      <c r="Y259" s="329">
        <f t="shared" si="79"/>
        <v>45565</v>
      </c>
      <c r="Z259" s="341" cm="1">
        <f t="array" aca="1" ref="Z259" ca="1">_xlfn.IFS(AD259&lt;100,Y259,Y259&lt;TODAY(),TODAY(),Y259&gt;TODAY(),Y259,Y259=TODAY(),Y259)</f>
        <v>45565</v>
      </c>
      <c r="AA259" s="315"/>
      <c r="AB259" s="301"/>
      <c r="AC259" s="301"/>
      <c r="AD259" s="298">
        <f t="shared" ref="AD259:AD322" si="82">ROUND(AA259-AB259-AC259,0)</f>
        <v>0</v>
      </c>
      <c r="AE259" s="299" t="str">
        <f t="shared" ref="AE259:AE322" si="83">IF(AD259&lt;100,"Complete","Incomplete")</f>
        <v>Complete</v>
      </c>
      <c r="AF259" s="340"/>
      <c r="AG259" s="301"/>
      <c r="AH259" s="343"/>
      <c r="AI259" s="301">
        <f t="shared" ca="1" si="80"/>
        <v>0</v>
      </c>
      <c r="AJ259" s="302">
        <f t="shared" ca="1" si="81"/>
        <v>0</v>
      </c>
      <c r="AL259" s="303">
        <f t="shared" ref="AL259:AL322" si="84">I259-J259</f>
        <v>0</v>
      </c>
      <c r="AM259" s="303">
        <f t="shared" ref="AM259:AM322" si="85">IFERROR(I259-R259,0)</f>
        <v>-5067972</v>
      </c>
      <c r="AN259" s="303">
        <f t="shared" ref="AN259:AN322" si="86">IFERROR(R259-J259,0)</f>
        <v>5067972</v>
      </c>
      <c r="AO259" s="304">
        <f t="shared" ref="AO259:AO322" si="87">IFERROR(P259/J259,0)</f>
        <v>0</v>
      </c>
      <c r="AP259" s="273">
        <f t="shared" si="77"/>
        <v>9</v>
      </c>
      <c r="AQ259" s="273" t="str">
        <f t="shared" ref="AQ259:AQ322" ca="1" si="88">AP259&amp;W259</f>
        <v>92024</v>
      </c>
    </row>
    <row r="260" spans="1:43" customFormat="1" ht="15.75">
      <c r="A260" s="312">
        <v>10</v>
      </c>
      <c r="B260" s="684" t="s">
        <v>1875</v>
      </c>
      <c r="C260" s="246" t="s">
        <v>1876</v>
      </c>
      <c r="D260" s="672" t="s">
        <v>1877</v>
      </c>
      <c r="E260" s="685">
        <v>45521</v>
      </c>
      <c r="F260" s="334">
        <v>12.5</v>
      </c>
      <c r="G260" s="348">
        <f>12500*1980</f>
        <v>24750000</v>
      </c>
      <c r="H260" s="301">
        <f>G260*12%</f>
        <v>2970000</v>
      </c>
      <c r="I260" s="349">
        <f>G260+H260</f>
        <v>27720000</v>
      </c>
      <c r="J260" s="349"/>
      <c r="K260" s="340" t="s">
        <v>1881</v>
      </c>
      <c r="L260" s="322" t="s">
        <v>1595</v>
      </c>
      <c r="M260" s="592">
        <v>0.45</v>
      </c>
      <c r="N260" s="340" t="s">
        <v>1593</v>
      </c>
      <c r="O260" s="246" t="s">
        <v>1907</v>
      </c>
      <c r="P260" s="484">
        <v>45562</v>
      </c>
      <c r="Q260" s="694" t="s">
        <v>1908</v>
      </c>
      <c r="R260" s="315">
        <v>27720000</v>
      </c>
      <c r="S260" s="315"/>
      <c r="T260" s="315"/>
      <c r="U260" s="340"/>
      <c r="V260" s="378">
        <f t="shared" ca="1" si="76"/>
        <v>9</v>
      </c>
      <c r="W260" s="292">
        <f t="shared" ref="W260:W338" ca="1" si="89">YEAR(Z260)</f>
        <v>2024</v>
      </c>
      <c r="X260" s="291" t="str">
        <f t="shared" ref="X260:X334" ca="1" si="90">INT((DAY(Z260)-1)/7)+1&amp;" WEEK"</f>
        <v>4 WEEK</v>
      </c>
      <c r="Y260" s="329">
        <f t="shared" si="79"/>
        <v>45562</v>
      </c>
      <c r="Z260" s="341" cm="1">
        <f t="array" aca="1" ref="Z260" ca="1">_xlfn.IFS(AD260&lt;100,Y260,Y260&lt;TODAY(),TODAY(),Y260&gt;TODAY(),Y260,Y260=TODAY(),Y260)</f>
        <v>45562</v>
      </c>
      <c r="AA260" s="315"/>
      <c r="AB260" s="301"/>
      <c r="AC260" s="301"/>
      <c r="AD260" s="298">
        <f t="shared" si="82"/>
        <v>0</v>
      </c>
      <c r="AE260" s="299" t="str">
        <f t="shared" si="83"/>
        <v>Complete</v>
      </c>
      <c r="AF260" s="340"/>
      <c r="AG260" s="301"/>
      <c r="AH260" s="343"/>
      <c r="AI260" s="301">
        <f t="shared" ca="1" si="80"/>
        <v>0</v>
      </c>
      <c r="AJ260" s="302">
        <f t="shared" ca="1" si="81"/>
        <v>0</v>
      </c>
      <c r="AL260" s="303">
        <f t="shared" si="84"/>
        <v>27720000</v>
      </c>
      <c r="AM260" s="303">
        <f t="shared" si="85"/>
        <v>0</v>
      </c>
      <c r="AN260" s="303">
        <f t="shared" si="86"/>
        <v>27720000</v>
      </c>
      <c r="AO260" s="304">
        <f t="shared" si="87"/>
        <v>0</v>
      </c>
      <c r="AP260" s="273">
        <f t="shared" si="77"/>
        <v>9</v>
      </c>
      <c r="AQ260" s="273" t="str">
        <f t="shared" ca="1" si="88"/>
        <v>92024</v>
      </c>
    </row>
    <row r="261" spans="1:43" customFormat="1" ht="15.75">
      <c r="A261" s="312">
        <v>10</v>
      </c>
      <c r="B261" s="684" t="s">
        <v>1875</v>
      </c>
      <c r="C261" s="246" t="s">
        <v>1876</v>
      </c>
      <c r="D261" s="672" t="s">
        <v>1877</v>
      </c>
      <c r="E261" s="685">
        <v>45521</v>
      </c>
      <c r="F261" s="690">
        <v>12.5</v>
      </c>
      <c r="G261" s="348">
        <f>12500*1631</f>
        <v>20387500</v>
      </c>
      <c r="H261" s="301">
        <f>G261*18%</f>
        <v>3669750</v>
      </c>
      <c r="I261" s="349">
        <f>G261+H261</f>
        <v>24057250</v>
      </c>
      <c r="J261" s="349"/>
      <c r="K261" s="340" t="s">
        <v>1909</v>
      </c>
      <c r="L261" s="322" t="s">
        <v>1617</v>
      </c>
      <c r="M261" s="592">
        <v>0.1</v>
      </c>
      <c r="N261" s="340" t="s">
        <v>1618</v>
      </c>
      <c r="O261" s="246" t="s">
        <v>1910</v>
      </c>
      <c r="P261" s="686">
        <v>0</v>
      </c>
      <c r="Q261" s="246"/>
      <c r="R261" s="315"/>
      <c r="S261" s="315"/>
      <c r="T261" s="315"/>
      <c r="U261" s="340"/>
      <c r="V261" s="378">
        <f t="shared" ref="V261:V336" ca="1" si="91">MONTH(Z261)</f>
        <v>10</v>
      </c>
      <c r="W261" s="292">
        <f t="shared" ca="1" si="89"/>
        <v>2025</v>
      </c>
      <c r="X261" s="291" t="str">
        <f t="shared" ca="1" si="90"/>
        <v>1 WEEK</v>
      </c>
      <c r="Y261" s="436">
        <f t="shared" si="79"/>
        <v>0</v>
      </c>
      <c r="Z261" s="341" cm="1">
        <f t="array" aca="1" ref="Z261" ca="1">_xlfn.IFS(AD261&lt;100,Y261,Y261&lt;TODAY(),TODAY(),Y261&gt;TODAY(),Y261,Y261=TODAY(),Y261)</f>
        <v>45935</v>
      </c>
      <c r="AA261" s="315">
        <f>SUM(I232:I262)*M261</f>
        <v>35750475</v>
      </c>
      <c r="AB261" s="301"/>
      <c r="AC261" s="301"/>
      <c r="AD261" s="298">
        <f t="shared" si="82"/>
        <v>35750475</v>
      </c>
      <c r="AE261" s="299" t="str">
        <f t="shared" si="83"/>
        <v>Incomplete</v>
      </c>
      <c r="AF261" s="340"/>
      <c r="AG261" s="301"/>
      <c r="AH261" s="343"/>
      <c r="AI261" s="301">
        <f t="shared" ca="1" si="80"/>
        <v>45935</v>
      </c>
      <c r="AJ261" s="302" t="str">
        <f t="shared" ca="1" si="81"/>
        <v>Delayed</v>
      </c>
      <c r="AL261" s="303">
        <f t="shared" si="84"/>
        <v>24057250</v>
      </c>
      <c r="AM261" s="303">
        <f t="shared" si="85"/>
        <v>24057250</v>
      </c>
      <c r="AN261" s="303">
        <f t="shared" si="86"/>
        <v>0</v>
      </c>
      <c r="AO261" s="304">
        <f t="shared" si="87"/>
        <v>0</v>
      </c>
      <c r="AP261" s="273">
        <f t="shared" ref="AP261:AP324" si="92">MONTH(P261)</f>
        <v>1</v>
      </c>
      <c r="AQ261" s="273" t="str">
        <f t="shared" ca="1" si="88"/>
        <v>12025</v>
      </c>
    </row>
    <row r="262" spans="1:43" customFormat="1" ht="15.75">
      <c r="A262" s="312">
        <v>10</v>
      </c>
      <c r="B262" s="510" t="s">
        <v>1875</v>
      </c>
      <c r="C262" s="74" t="s">
        <v>1876</v>
      </c>
      <c r="D262" s="672" t="s">
        <v>1877</v>
      </c>
      <c r="E262" s="214">
        <v>45521</v>
      </c>
      <c r="F262" s="695">
        <v>12.5</v>
      </c>
      <c r="G262" s="373"/>
      <c r="H262" s="376"/>
      <c r="I262" s="696"/>
      <c r="J262" s="696"/>
      <c r="K262" s="378" t="s">
        <v>1911</v>
      </c>
      <c r="L262" s="368" t="s">
        <v>1617</v>
      </c>
      <c r="M262" s="697">
        <v>0.05</v>
      </c>
      <c r="N262" s="340" t="s">
        <v>1618</v>
      </c>
      <c r="O262" s="378" t="s">
        <v>1617</v>
      </c>
      <c r="P262" s="573">
        <v>0</v>
      </c>
      <c r="Q262" s="273"/>
      <c r="R262" s="314"/>
      <c r="S262" s="423"/>
      <c r="T262" s="423"/>
      <c r="U262" s="378"/>
      <c r="V262" s="378">
        <f t="shared" ca="1" si="91"/>
        <v>10</v>
      </c>
      <c r="W262" s="292">
        <f t="shared" ca="1" si="89"/>
        <v>2025</v>
      </c>
      <c r="X262" s="291" t="str">
        <f t="shared" ca="1" si="90"/>
        <v>1 WEEK</v>
      </c>
      <c r="Y262" s="436">
        <f t="shared" si="79"/>
        <v>0</v>
      </c>
      <c r="Z262" s="341" cm="1">
        <f t="array" aca="1" ref="Z262" ca="1">_xlfn.IFS(AD262&lt;100,Y262,Y262&lt;TODAY(),TODAY(),Y262&gt;TODAY(),Y262,Y262=TODAY(),Y262)</f>
        <v>45935</v>
      </c>
      <c r="AA262" s="423">
        <f>SUM(I232:I262)*M262+SUM(H232:H262)*M232</f>
        <v>22249462.5</v>
      </c>
      <c r="AB262" s="376"/>
      <c r="AC262" s="376"/>
      <c r="AD262" s="298">
        <f t="shared" si="82"/>
        <v>22249463</v>
      </c>
      <c r="AE262" s="299" t="str">
        <f t="shared" si="83"/>
        <v>Incomplete</v>
      </c>
      <c r="AF262" s="378"/>
      <c r="AG262" s="376"/>
      <c r="AH262" s="382"/>
      <c r="AI262" s="301">
        <f t="shared" ca="1" si="80"/>
        <v>45935</v>
      </c>
      <c r="AJ262" s="302" t="str">
        <f t="shared" ca="1" si="81"/>
        <v>Delayed</v>
      </c>
      <c r="AL262" s="303">
        <f t="shared" si="84"/>
        <v>0</v>
      </c>
      <c r="AM262" s="303">
        <f t="shared" si="85"/>
        <v>0</v>
      </c>
      <c r="AN262" s="303">
        <f t="shared" si="86"/>
        <v>0</v>
      </c>
      <c r="AO262" s="304">
        <f t="shared" si="87"/>
        <v>0</v>
      </c>
      <c r="AP262" s="273">
        <f t="shared" si="92"/>
        <v>1</v>
      </c>
      <c r="AQ262" s="273" t="str">
        <f t="shared" ca="1" si="88"/>
        <v>12025</v>
      </c>
    </row>
    <row r="263" spans="1:43" customFormat="1" ht="15.75">
      <c r="A263" s="312">
        <v>10</v>
      </c>
      <c r="B263" s="510" t="s">
        <v>1875</v>
      </c>
      <c r="C263" s="74" t="s">
        <v>1876</v>
      </c>
      <c r="D263" s="672" t="s">
        <v>1877</v>
      </c>
      <c r="E263" s="214">
        <v>45521</v>
      </c>
      <c r="F263" s="695">
        <v>12.5</v>
      </c>
      <c r="G263" s="373"/>
      <c r="H263" s="389"/>
      <c r="I263" s="492"/>
      <c r="J263" s="492"/>
      <c r="K263" s="390"/>
      <c r="L263" s="387"/>
      <c r="M263" s="659"/>
      <c r="N263" s="291"/>
      <c r="O263" s="390"/>
      <c r="P263" s="573">
        <v>0</v>
      </c>
      <c r="Q263" s="378"/>
      <c r="R263" s="423"/>
      <c r="S263" s="434"/>
      <c r="T263" s="434"/>
      <c r="U263" s="390"/>
      <c r="V263" s="378">
        <f t="shared" ca="1" si="91"/>
        <v>1</v>
      </c>
      <c r="W263" s="292">
        <f t="shared" ca="1" si="89"/>
        <v>1900</v>
      </c>
      <c r="X263" s="291" t="str">
        <f t="shared" ca="1" si="90"/>
        <v>0 WEEK</v>
      </c>
      <c r="Y263" s="436">
        <f t="shared" si="79"/>
        <v>0</v>
      </c>
      <c r="Z263" s="541" cm="1">
        <f t="array" aca="1" ref="Z263" ca="1">_xlfn.IFS(AD263&lt;100,Y263,Y263&lt;TODAY(),TODAY(),Y263&gt;TODAY(),Y263,Y263=TODAY(),Y263)</f>
        <v>0</v>
      </c>
      <c r="AA263" s="434"/>
      <c r="AB263" s="389"/>
      <c r="AC263" s="389"/>
      <c r="AD263" s="298">
        <f t="shared" si="82"/>
        <v>0</v>
      </c>
      <c r="AE263" s="299" t="str">
        <f t="shared" si="83"/>
        <v>Complete</v>
      </c>
      <c r="AF263" s="390"/>
      <c r="AG263" s="389"/>
      <c r="AH263" s="391"/>
      <c r="AI263" s="301">
        <f t="shared" ca="1" si="80"/>
        <v>0</v>
      </c>
      <c r="AJ263" s="302">
        <f t="shared" ca="1" si="81"/>
        <v>0</v>
      </c>
      <c r="AL263" s="303">
        <f t="shared" si="84"/>
        <v>0</v>
      </c>
      <c r="AM263" s="303">
        <f t="shared" si="85"/>
        <v>0</v>
      </c>
      <c r="AN263" s="303">
        <f t="shared" si="86"/>
        <v>0</v>
      </c>
      <c r="AO263" s="304">
        <f t="shared" si="87"/>
        <v>0</v>
      </c>
      <c r="AP263" s="273">
        <f t="shared" si="92"/>
        <v>1</v>
      </c>
      <c r="AQ263" s="273" t="str">
        <f t="shared" ca="1" si="88"/>
        <v>11900</v>
      </c>
    </row>
    <row r="264" spans="1:43" customFormat="1" ht="15.75">
      <c r="A264" s="383"/>
      <c r="B264" s="698"/>
      <c r="C264" s="699"/>
      <c r="D264" s="273"/>
      <c r="E264" s="700"/>
      <c r="F264" s="701"/>
      <c r="G264" s="386"/>
      <c r="H264" s="389"/>
      <c r="I264" s="492"/>
      <c r="J264" s="492"/>
      <c r="K264" s="390"/>
      <c r="L264" s="387"/>
      <c r="M264" s="659"/>
      <c r="N264" s="390"/>
      <c r="O264" s="390"/>
      <c r="P264" s="431">
        <v>0</v>
      </c>
      <c r="Q264" s="390"/>
      <c r="R264" s="434"/>
      <c r="S264" s="434"/>
      <c r="T264" s="434"/>
      <c r="U264" s="390"/>
      <c r="V264" s="378">
        <f t="shared" ca="1" si="91"/>
        <v>1</v>
      </c>
      <c r="W264" s="292">
        <f t="shared" ca="1" si="89"/>
        <v>1900</v>
      </c>
      <c r="X264" s="291" t="str">
        <f t="shared" ca="1" si="90"/>
        <v>0 WEEK</v>
      </c>
      <c r="Y264" s="436">
        <f t="shared" si="79"/>
        <v>0</v>
      </c>
      <c r="Z264" s="541" cm="1">
        <f t="array" aca="1" ref="Z264" ca="1">_xlfn.IFS(AD264&lt;100,Y264,Y264&lt;TODAY(),TODAY(),Y264&gt;TODAY(),Y264,Y264=TODAY(),Y264)</f>
        <v>0</v>
      </c>
      <c r="AA264" s="434"/>
      <c r="AB264" s="389"/>
      <c r="AC264" s="389"/>
      <c r="AD264" s="298">
        <f t="shared" si="82"/>
        <v>0</v>
      </c>
      <c r="AE264" s="299" t="str">
        <f t="shared" si="83"/>
        <v>Complete</v>
      </c>
      <c r="AF264" s="390"/>
      <c r="AG264" s="389"/>
      <c r="AH264" s="391"/>
      <c r="AI264" s="301">
        <f t="shared" ca="1" si="80"/>
        <v>0</v>
      </c>
      <c r="AJ264" s="302">
        <f t="shared" ca="1" si="81"/>
        <v>0</v>
      </c>
      <c r="AL264" s="303">
        <f t="shared" si="84"/>
        <v>0</v>
      </c>
      <c r="AM264" s="303">
        <f t="shared" si="85"/>
        <v>0</v>
      </c>
      <c r="AN264" s="303">
        <f t="shared" si="86"/>
        <v>0</v>
      </c>
      <c r="AO264" s="304">
        <f t="shared" si="87"/>
        <v>0</v>
      </c>
      <c r="AP264" s="273">
        <f t="shared" si="92"/>
        <v>1</v>
      </c>
      <c r="AQ264" s="273" t="str">
        <f t="shared" ca="1" si="88"/>
        <v>11900</v>
      </c>
    </row>
    <row r="265" spans="1:43" customFormat="1" ht="18">
      <c r="A265" s="312">
        <v>11</v>
      </c>
      <c r="B265" s="702" t="s">
        <v>1912</v>
      </c>
      <c r="C265" s="703" t="s">
        <v>1913</v>
      </c>
      <c r="D265" s="277" t="s">
        <v>602</v>
      </c>
      <c r="E265" s="704">
        <v>45370</v>
      </c>
      <c r="F265" s="674">
        <v>3</v>
      </c>
      <c r="G265" s="705"/>
      <c r="H265" s="451"/>
      <c r="I265" s="455"/>
      <c r="J265" s="455"/>
      <c r="K265" s="273"/>
      <c r="L265" s="706"/>
      <c r="M265" s="665"/>
      <c r="N265" s="273"/>
      <c r="O265" s="273"/>
      <c r="P265" s="707">
        <v>0</v>
      </c>
      <c r="Q265" s="273"/>
      <c r="R265" s="508" t="e">
        <v>#VALUE!</v>
      </c>
      <c r="S265" s="450"/>
      <c r="T265" s="450"/>
      <c r="U265" s="273"/>
      <c r="V265" s="378">
        <f t="shared" ca="1" si="91"/>
        <v>1</v>
      </c>
      <c r="W265" s="292">
        <f t="shared" ca="1" si="89"/>
        <v>1900</v>
      </c>
      <c r="X265" s="291" t="str">
        <f t="shared" ca="1" si="90"/>
        <v>0 WEEK</v>
      </c>
      <c r="Y265" s="436">
        <f t="shared" si="79"/>
        <v>0</v>
      </c>
      <c r="Z265" s="541" cm="1">
        <f t="array" aca="1" ref="Z265" ca="1">_xlfn.IFS(AD265&lt;100,Y265,Y265&lt;TODAY(),TODAY(),Y265&gt;TODAY(),Y265,Y265=TODAY(),Y265)</f>
        <v>0</v>
      </c>
      <c r="AA265" s="450"/>
      <c r="AB265" s="676"/>
      <c r="AC265" s="451"/>
      <c r="AD265" s="298">
        <f t="shared" si="82"/>
        <v>0</v>
      </c>
      <c r="AE265" s="299" t="str">
        <f t="shared" si="83"/>
        <v>Complete</v>
      </c>
      <c r="AF265" s="273"/>
      <c r="AG265" s="451"/>
      <c r="AH265" s="451"/>
      <c r="AI265" s="301">
        <f t="shared" ca="1" si="80"/>
        <v>0</v>
      </c>
      <c r="AJ265" s="302">
        <f t="shared" ca="1" si="81"/>
        <v>0</v>
      </c>
      <c r="AL265" s="303">
        <f t="shared" si="84"/>
        <v>0</v>
      </c>
      <c r="AM265" s="303">
        <f t="shared" si="85"/>
        <v>0</v>
      </c>
      <c r="AN265" s="303">
        <f t="shared" si="86"/>
        <v>0</v>
      </c>
      <c r="AO265" s="304">
        <f t="shared" si="87"/>
        <v>0</v>
      </c>
      <c r="AP265" s="273">
        <f t="shared" si="92"/>
        <v>1</v>
      </c>
      <c r="AQ265" s="273" t="str">
        <f t="shared" ca="1" si="88"/>
        <v>11900</v>
      </c>
    </row>
    <row r="266" spans="1:43" customFormat="1" ht="16.5">
      <c r="A266" s="274">
        <v>11</v>
      </c>
      <c r="B266" s="708" t="s">
        <v>1912</v>
      </c>
      <c r="C266" s="703" t="s">
        <v>1913</v>
      </c>
      <c r="D266" s="277" t="s">
        <v>602</v>
      </c>
      <c r="E266" s="704">
        <v>45370</v>
      </c>
      <c r="F266" s="674">
        <v>3</v>
      </c>
      <c r="G266" s="625">
        <v>7441050</v>
      </c>
      <c r="H266" s="299">
        <v>892926</v>
      </c>
      <c r="I266" s="634">
        <v>8333976</v>
      </c>
      <c r="J266" s="634"/>
      <c r="K266" s="291" t="s">
        <v>1914</v>
      </c>
      <c r="L266" s="291" t="s">
        <v>1915</v>
      </c>
      <c r="M266" s="583">
        <v>0.05</v>
      </c>
      <c r="N266" s="291" t="s">
        <v>1593</v>
      </c>
      <c r="O266" s="584" t="s">
        <v>1916</v>
      </c>
      <c r="P266" s="709">
        <v>45504</v>
      </c>
      <c r="Q266" s="629" t="s">
        <v>1917</v>
      </c>
      <c r="R266" s="530">
        <v>8333976</v>
      </c>
      <c r="S266" s="530"/>
      <c r="T266" s="530">
        <v>30</v>
      </c>
      <c r="U266" s="294">
        <v>45550</v>
      </c>
      <c r="V266" s="378">
        <f t="shared" ca="1" si="91"/>
        <v>8</v>
      </c>
      <c r="W266" s="292">
        <f t="shared" ca="1" si="89"/>
        <v>2024</v>
      </c>
      <c r="X266" s="291" t="str">
        <f t="shared" ca="1" si="90"/>
        <v>5 WEEK</v>
      </c>
      <c r="Y266" s="436">
        <f t="shared" si="79"/>
        <v>45534</v>
      </c>
      <c r="Z266" s="341" cm="1">
        <f t="array" aca="1" ref="Z266" ca="1">_xlfn.IFS(AD266&lt;100,Y266,Y266&lt;TODAY(),TODAY(),Y266&gt;TODAY(),Y266,Y266=TODAY(),Y266)</f>
        <v>45534</v>
      </c>
      <c r="AA266" s="710">
        <f>SUM(I266:I281)*M266</f>
        <v>8624177.1500000004</v>
      </c>
      <c r="AB266" s="299">
        <f>AA266-AC266</f>
        <v>8615552.9728500005</v>
      </c>
      <c r="AC266" s="299">
        <f>AA266*0.1%</f>
        <v>8624.1771500000013</v>
      </c>
      <c r="AD266" s="298">
        <f t="shared" si="82"/>
        <v>0</v>
      </c>
      <c r="AE266" s="299" t="str">
        <f t="shared" si="83"/>
        <v>Complete</v>
      </c>
      <c r="AF266" s="291"/>
      <c r="AG266" s="532">
        <v>45362</v>
      </c>
      <c r="AH266" s="318"/>
      <c r="AI266" s="301">
        <f t="shared" ca="1" si="80"/>
        <v>0</v>
      </c>
      <c r="AJ266" s="302">
        <f t="shared" ca="1" si="81"/>
        <v>0</v>
      </c>
      <c r="AL266" s="303">
        <f t="shared" si="84"/>
        <v>8333976</v>
      </c>
      <c r="AM266" s="303">
        <f t="shared" si="85"/>
        <v>0</v>
      </c>
      <c r="AN266" s="303">
        <f t="shared" si="86"/>
        <v>8333976</v>
      </c>
      <c r="AO266" s="304">
        <f t="shared" si="87"/>
        <v>0</v>
      </c>
      <c r="AP266" s="273">
        <f t="shared" si="92"/>
        <v>7</v>
      </c>
      <c r="AQ266" s="273" t="str">
        <f t="shared" ca="1" si="88"/>
        <v>72024</v>
      </c>
    </row>
    <row r="267" spans="1:43" customFormat="1" ht="16.5">
      <c r="A267" s="587">
        <v>11</v>
      </c>
      <c r="B267" s="711" t="s">
        <v>1912</v>
      </c>
      <c r="C267" s="712" t="s">
        <v>1913</v>
      </c>
      <c r="D267" s="277" t="s">
        <v>602</v>
      </c>
      <c r="E267" s="713">
        <v>45370</v>
      </c>
      <c r="F267" s="690">
        <v>3</v>
      </c>
      <c r="G267" s="348">
        <v>44646300</v>
      </c>
      <c r="H267" s="301">
        <v>5357556</v>
      </c>
      <c r="I267" s="349">
        <v>50003856</v>
      </c>
      <c r="J267" s="349"/>
      <c r="K267" s="340" t="s">
        <v>1918</v>
      </c>
      <c r="L267" s="340" t="s">
        <v>1919</v>
      </c>
      <c r="M267" s="592">
        <v>0.3</v>
      </c>
      <c r="N267" s="340" t="s">
        <v>1593</v>
      </c>
      <c r="O267" s="593" t="s">
        <v>1920</v>
      </c>
      <c r="P267" s="611">
        <v>45526</v>
      </c>
      <c r="Q267" s="481" t="s">
        <v>1921</v>
      </c>
      <c r="R267" s="315">
        <v>50003856</v>
      </c>
      <c r="S267" s="315"/>
      <c r="T267" s="315">
        <v>30</v>
      </c>
      <c r="U267" s="341">
        <v>45550</v>
      </c>
      <c r="V267" s="378">
        <f t="shared" ca="1" si="91"/>
        <v>9</v>
      </c>
      <c r="W267" s="292">
        <f t="shared" ca="1" si="89"/>
        <v>2024</v>
      </c>
      <c r="X267" s="291" t="str">
        <f t="shared" ca="1" si="90"/>
        <v>3 WEEK</v>
      </c>
      <c r="Y267" s="329">
        <f t="shared" si="79"/>
        <v>45556</v>
      </c>
      <c r="Z267" s="476" cm="1">
        <f t="array" aca="1" ref="Z267" ca="1">_xlfn.IFS(AD267&lt;100,Y267,Y267&lt;TODAY(),TODAY(),Y267&gt;TODAY(),Y267,Y267=TODAY(),Y267)</f>
        <v>45556</v>
      </c>
      <c r="AA267" s="330">
        <f>SUM(I266:I281)*M267</f>
        <v>51745062.899999999</v>
      </c>
      <c r="AB267" s="301">
        <f t="shared" ref="AB267:AB269" si="93">AA267-AC267</f>
        <v>51693317.837099999</v>
      </c>
      <c r="AC267" s="301">
        <f>AA267*0.1%</f>
        <v>51745.062899999997</v>
      </c>
      <c r="AD267" s="298">
        <f t="shared" si="82"/>
        <v>0</v>
      </c>
      <c r="AE267" s="299" t="str">
        <f t="shared" si="83"/>
        <v>Complete</v>
      </c>
      <c r="AF267" s="340"/>
      <c r="AG267" s="301"/>
      <c r="AH267" s="343"/>
      <c r="AI267" s="301">
        <f t="shared" ca="1" si="80"/>
        <v>0</v>
      </c>
      <c r="AJ267" s="302">
        <f t="shared" ca="1" si="81"/>
        <v>0</v>
      </c>
      <c r="AL267" s="303">
        <f t="shared" si="84"/>
        <v>50003856</v>
      </c>
      <c r="AM267" s="303">
        <f t="shared" si="85"/>
        <v>0</v>
      </c>
      <c r="AN267" s="303">
        <f t="shared" si="86"/>
        <v>50003856</v>
      </c>
      <c r="AO267" s="304">
        <f t="shared" si="87"/>
        <v>0</v>
      </c>
      <c r="AP267" s="273">
        <f t="shared" si="92"/>
        <v>8</v>
      </c>
      <c r="AQ267" s="273" t="str">
        <f t="shared" ca="1" si="88"/>
        <v>82024</v>
      </c>
    </row>
    <row r="268" spans="1:43" customFormat="1" ht="16.5">
      <c r="A268" s="587">
        <v>11</v>
      </c>
      <c r="B268" s="711" t="s">
        <v>1912</v>
      </c>
      <c r="C268" s="712" t="s">
        <v>1913</v>
      </c>
      <c r="D268" s="277" t="s">
        <v>602</v>
      </c>
      <c r="E268" s="713">
        <v>45370</v>
      </c>
      <c r="F268" s="690">
        <v>3</v>
      </c>
      <c r="G268" s="348">
        <v>29764200</v>
      </c>
      <c r="H268" s="301">
        <v>5357556</v>
      </c>
      <c r="I268" s="349">
        <v>35121756</v>
      </c>
      <c r="J268" s="349"/>
      <c r="K268" s="340" t="s">
        <v>1922</v>
      </c>
      <c r="L268" s="340" t="s">
        <v>1923</v>
      </c>
      <c r="M268" s="592">
        <v>0.2</v>
      </c>
      <c r="N268" s="340" t="s">
        <v>1593</v>
      </c>
      <c r="O268" s="593" t="s">
        <v>1924</v>
      </c>
      <c r="P268" s="611">
        <v>45346</v>
      </c>
      <c r="Q268" s="481" t="s">
        <v>1925</v>
      </c>
      <c r="R268" s="315">
        <v>35121756</v>
      </c>
      <c r="S268" s="315"/>
      <c r="T268" s="315">
        <v>30</v>
      </c>
      <c r="U268" s="341">
        <v>45550</v>
      </c>
      <c r="V268" s="378">
        <f t="shared" ca="1" si="91"/>
        <v>3</v>
      </c>
      <c r="W268" s="292">
        <f t="shared" ca="1" si="89"/>
        <v>2024</v>
      </c>
      <c r="X268" s="291" t="str">
        <f t="shared" ca="1" si="90"/>
        <v>4 WEEK</v>
      </c>
      <c r="Y268" s="329">
        <f t="shared" si="79"/>
        <v>45376</v>
      </c>
      <c r="Z268" s="476" cm="1">
        <f t="array" aca="1" ref="Z268" ca="1">_xlfn.IFS(AD268&lt;100,Y268,Y268&lt;TODAY(),TODAY(),Y268&gt;TODAY(),Y268,Y268=TODAY(),Y268)</f>
        <v>45376</v>
      </c>
      <c r="AA268" s="330">
        <f>SUM(I266:I281)*M268</f>
        <v>34496708.600000001</v>
      </c>
      <c r="AB268" s="301">
        <f t="shared" si="93"/>
        <v>34462211.891400002</v>
      </c>
      <c r="AC268" s="301">
        <f>AA268*0.1%</f>
        <v>34496.708600000005</v>
      </c>
      <c r="AD268" s="298">
        <f t="shared" si="82"/>
        <v>0</v>
      </c>
      <c r="AE268" s="299" t="str">
        <f t="shared" si="83"/>
        <v>Complete</v>
      </c>
      <c r="AF268" s="340"/>
      <c r="AG268" s="301"/>
      <c r="AH268" s="343"/>
      <c r="AI268" s="301">
        <f t="shared" ca="1" si="80"/>
        <v>0</v>
      </c>
      <c r="AJ268" s="302">
        <f t="shared" ca="1" si="81"/>
        <v>0</v>
      </c>
      <c r="AL268" s="303">
        <f t="shared" si="84"/>
        <v>35121756</v>
      </c>
      <c r="AM268" s="303">
        <f t="shared" si="85"/>
        <v>0</v>
      </c>
      <c r="AN268" s="303">
        <f t="shared" si="86"/>
        <v>35121756</v>
      </c>
      <c r="AO268" s="304">
        <f t="shared" si="87"/>
        <v>0</v>
      </c>
      <c r="AP268" s="273">
        <f t="shared" si="92"/>
        <v>2</v>
      </c>
      <c r="AQ268" s="273" t="str">
        <f t="shared" ca="1" si="88"/>
        <v>22024</v>
      </c>
    </row>
    <row r="269" spans="1:43" customFormat="1" ht="16.5">
      <c r="A269" s="587">
        <v>11</v>
      </c>
      <c r="B269" s="711" t="s">
        <v>1912</v>
      </c>
      <c r="C269" s="712" t="s">
        <v>1913</v>
      </c>
      <c r="D269" s="277" t="s">
        <v>602</v>
      </c>
      <c r="E269" s="713">
        <v>45370</v>
      </c>
      <c r="F269" s="690">
        <v>3</v>
      </c>
      <c r="G269" s="348">
        <v>7441050</v>
      </c>
      <c r="H269" s="301">
        <v>1339389</v>
      </c>
      <c r="I269" s="349">
        <v>8780439</v>
      </c>
      <c r="J269" s="349"/>
      <c r="K269" s="340" t="s">
        <v>1926</v>
      </c>
      <c r="L269" s="340" t="s">
        <v>1927</v>
      </c>
      <c r="M269" s="592">
        <v>0.05</v>
      </c>
      <c r="N269" s="340" t="s">
        <v>1593</v>
      </c>
      <c r="O269" s="593" t="s">
        <v>1928</v>
      </c>
      <c r="P269" s="611">
        <v>45521</v>
      </c>
      <c r="Q269" s="481" t="s">
        <v>1929</v>
      </c>
      <c r="R269" s="315">
        <v>8780439</v>
      </c>
      <c r="S269" s="315"/>
      <c r="T269" s="315">
        <v>30</v>
      </c>
      <c r="U269" s="341">
        <f>E269+180</f>
        <v>45550</v>
      </c>
      <c r="V269" s="378">
        <f t="shared" ca="1" si="91"/>
        <v>9</v>
      </c>
      <c r="W269" s="292">
        <f t="shared" ca="1" si="89"/>
        <v>2024</v>
      </c>
      <c r="X269" s="291" t="str">
        <f t="shared" ca="1" si="90"/>
        <v>3 WEEK</v>
      </c>
      <c r="Y269" s="329">
        <f>P269+T269</f>
        <v>45551</v>
      </c>
      <c r="Z269" s="341" cm="1">
        <f t="array" aca="1" ref="Z269" ca="1">_xlfn.IFS(AD269&lt;100,Y269,Y269&lt;TODAY(),TODAY(),Y269&gt;TODAY(),Y269,Y269=TODAY(),Y269)</f>
        <v>45551</v>
      </c>
      <c r="AA269" s="330">
        <f>SUM(I266:I281)*M269</f>
        <v>8624177.1500000004</v>
      </c>
      <c r="AB269" s="301">
        <f t="shared" si="93"/>
        <v>8615552.9728500005</v>
      </c>
      <c r="AC269" s="301">
        <f>AA269*0.1%</f>
        <v>8624.1771500000013</v>
      </c>
      <c r="AD269" s="298">
        <f t="shared" si="82"/>
        <v>0</v>
      </c>
      <c r="AE269" s="299" t="str">
        <f t="shared" si="83"/>
        <v>Complete</v>
      </c>
      <c r="AF269" s="340"/>
      <c r="AG269" s="476"/>
      <c r="AH269" s="343"/>
      <c r="AI269" s="301">
        <f t="shared" ca="1" si="80"/>
        <v>0</v>
      </c>
      <c r="AJ269" s="302">
        <f t="shared" ca="1" si="81"/>
        <v>0</v>
      </c>
      <c r="AL269" s="303">
        <f t="shared" si="84"/>
        <v>8780439</v>
      </c>
      <c r="AM269" s="303">
        <f t="shared" si="85"/>
        <v>0</v>
      </c>
      <c r="AN269" s="303">
        <f t="shared" si="86"/>
        <v>8780439</v>
      </c>
      <c r="AO269" s="304">
        <f t="shared" si="87"/>
        <v>0</v>
      </c>
      <c r="AP269" s="273">
        <f t="shared" si="92"/>
        <v>8</v>
      </c>
      <c r="AQ269" s="273" t="str">
        <f t="shared" ca="1" si="88"/>
        <v>82024</v>
      </c>
    </row>
    <row r="270" spans="1:43" customFormat="1" ht="16.5">
      <c r="A270" s="587">
        <v>11</v>
      </c>
      <c r="B270" s="711" t="s">
        <v>1912</v>
      </c>
      <c r="C270" s="712" t="s">
        <v>1913</v>
      </c>
      <c r="D270" s="277" t="s">
        <v>602</v>
      </c>
      <c r="E270" s="713">
        <v>45370</v>
      </c>
      <c r="F270" s="690">
        <v>3</v>
      </c>
      <c r="G270" s="348">
        <v>14882100</v>
      </c>
      <c r="H270" s="301">
        <v>2678778</v>
      </c>
      <c r="I270" s="349">
        <v>17560878</v>
      </c>
      <c r="J270" s="349"/>
      <c r="K270" s="340" t="s">
        <v>1930</v>
      </c>
      <c r="L270" s="340" t="s">
        <v>1639</v>
      </c>
      <c r="M270" s="592">
        <v>0.1</v>
      </c>
      <c r="N270" s="340" t="s">
        <v>1618</v>
      </c>
      <c r="O270" s="593" t="s">
        <v>1931</v>
      </c>
      <c r="P270" s="611">
        <v>45744</v>
      </c>
      <c r="Q270" s="481" t="s">
        <v>1932</v>
      </c>
      <c r="R270" s="315">
        <v>17560878</v>
      </c>
      <c r="S270" s="315"/>
      <c r="T270" s="315">
        <v>30</v>
      </c>
      <c r="U270" s="341">
        <v>45550</v>
      </c>
      <c r="V270" s="378">
        <f t="shared" ca="1" si="91"/>
        <v>10</v>
      </c>
      <c r="W270" s="292">
        <f t="shared" ca="1" si="89"/>
        <v>2025</v>
      </c>
      <c r="X270" s="291" t="str">
        <f t="shared" ca="1" si="90"/>
        <v>1 WEEK</v>
      </c>
      <c r="Y270" s="329">
        <f t="shared" ref="Y270" si="94">P270+T270</f>
        <v>45774</v>
      </c>
      <c r="Z270" s="476" cm="1">
        <f t="array" aca="1" ref="Z270" ca="1">_xlfn.IFS(AD270&lt;100,Y270,Y270&lt;TODAY(),TODAY(),Y270&gt;TODAY(),Y270,Y270=TODAY(),Y270)</f>
        <v>45935</v>
      </c>
      <c r="AA270" s="330">
        <f>SUM(I266:I281)*M270</f>
        <v>17248354.300000001</v>
      </c>
      <c r="AB270" s="301">
        <f>110568323-AB266-AB267-AB268-AB269</f>
        <v>7181687.3258000035</v>
      </c>
      <c r="AC270" s="301">
        <f>AB270/98%*2%</f>
        <v>146565.04746530621</v>
      </c>
      <c r="AD270" s="298">
        <f t="shared" si="82"/>
        <v>9920102</v>
      </c>
      <c r="AE270" s="299" t="str">
        <f t="shared" si="83"/>
        <v>Incomplete</v>
      </c>
      <c r="AF270" s="340"/>
      <c r="AG270" s="301"/>
      <c r="AH270" s="343"/>
      <c r="AI270" s="301">
        <f t="shared" ca="1" si="80"/>
        <v>161</v>
      </c>
      <c r="AJ270" s="302" t="str">
        <f t="shared" ca="1" si="81"/>
        <v>Delayed</v>
      </c>
      <c r="AL270" s="303">
        <f t="shared" si="84"/>
        <v>17560878</v>
      </c>
      <c r="AM270" s="303">
        <f t="shared" si="85"/>
        <v>0</v>
      </c>
      <c r="AN270" s="303">
        <f t="shared" si="86"/>
        <v>17560878</v>
      </c>
      <c r="AO270" s="304">
        <f t="shared" si="87"/>
        <v>0</v>
      </c>
      <c r="AP270" s="273">
        <f t="shared" si="92"/>
        <v>3</v>
      </c>
      <c r="AQ270" s="273" t="str">
        <f t="shared" ca="1" si="88"/>
        <v>32025</v>
      </c>
    </row>
    <row r="271" spans="1:43" customFormat="1" ht="16.5">
      <c r="A271" s="587">
        <v>11</v>
      </c>
      <c r="B271" s="711" t="s">
        <v>1912</v>
      </c>
      <c r="C271" s="712" t="s">
        <v>1913</v>
      </c>
      <c r="D271" s="277" t="s">
        <v>602</v>
      </c>
      <c r="E271" s="713">
        <v>45370</v>
      </c>
      <c r="F271" s="690">
        <v>3</v>
      </c>
      <c r="G271" s="348">
        <v>14882100</v>
      </c>
      <c r="H271" s="301">
        <v>2678778</v>
      </c>
      <c r="I271" s="349">
        <v>17560878</v>
      </c>
      <c r="J271" s="349"/>
      <c r="K271" s="340" t="s">
        <v>1933</v>
      </c>
      <c r="L271" s="340" t="s">
        <v>1643</v>
      </c>
      <c r="M271" s="592">
        <v>0.1</v>
      </c>
      <c r="N271" s="340" t="s">
        <v>1618</v>
      </c>
      <c r="O271" s="593" t="s">
        <v>1934</v>
      </c>
      <c r="P271" s="714">
        <v>45869</v>
      </c>
      <c r="Q271" s="715"/>
      <c r="R271" s="315"/>
      <c r="S271" s="315"/>
      <c r="T271" s="315">
        <v>30</v>
      </c>
      <c r="U271" s="341">
        <v>45550</v>
      </c>
      <c r="V271" s="378">
        <f t="shared" ca="1" si="91"/>
        <v>10</v>
      </c>
      <c r="W271" s="292">
        <f t="shared" ca="1" si="89"/>
        <v>2025</v>
      </c>
      <c r="X271" s="291" t="str">
        <f t="shared" ca="1" si="90"/>
        <v>1 WEEK</v>
      </c>
      <c r="Y271" s="716">
        <f>P271+T271</f>
        <v>45899</v>
      </c>
      <c r="Z271" s="476" cm="1">
        <f t="array" aca="1" ref="Z271" ca="1">_xlfn.IFS(AD271&lt;100,Y271,Y271&lt;TODAY(),TODAY(),Y271&gt;TODAY(),Y271,Y271=TODAY(),Y271)</f>
        <v>45935</v>
      </c>
      <c r="AA271" s="330">
        <f>SUM(I266:I281)*M271</f>
        <v>17248354.300000001</v>
      </c>
      <c r="AB271" s="301"/>
      <c r="AC271" s="301"/>
      <c r="AD271" s="298">
        <f t="shared" si="82"/>
        <v>17248354</v>
      </c>
      <c r="AE271" s="299" t="str">
        <f t="shared" si="83"/>
        <v>Incomplete</v>
      </c>
      <c r="AF271" s="340"/>
      <c r="AG271" s="301"/>
      <c r="AH271" s="343"/>
      <c r="AI271" s="301">
        <f t="shared" ca="1" si="80"/>
        <v>36</v>
      </c>
      <c r="AJ271" s="302" t="str">
        <f t="shared" ca="1" si="81"/>
        <v>Delayed</v>
      </c>
      <c r="AL271" s="303">
        <f t="shared" si="84"/>
        <v>17560878</v>
      </c>
      <c r="AM271" s="303">
        <f t="shared" si="85"/>
        <v>17560878</v>
      </c>
      <c r="AN271" s="303">
        <f t="shared" si="86"/>
        <v>0</v>
      </c>
      <c r="AO271" s="304">
        <f t="shared" si="87"/>
        <v>0</v>
      </c>
      <c r="AP271" s="273">
        <f t="shared" si="92"/>
        <v>7</v>
      </c>
      <c r="AQ271" s="273" t="str">
        <f t="shared" ca="1" si="88"/>
        <v>72025</v>
      </c>
    </row>
    <row r="272" spans="1:43" customFormat="1" ht="16.5">
      <c r="A272" s="587">
        <v>11</v>
      </c>
      <c r="B272" s="711" t="s">
        <v>1912</v>
      </c>
      <c r="C272" s="712" t="s">
        <v>1913</v>
      </c>
      <c r="D272" s="277" t="s">
        <v>602</v>
      </c>
      <c r="E272" s="713">
        <v>45370</v>
      </c>
      <c r="F272" s="690">
        <v>3</v>
      </c>
      <c r="G272" s="348">
        <v>2232315</v>
      </c>
      <c r="H272" s="301">
        <v>401816.7</v>
      </c>
      <c r="I272" s="349">
        <v>2634132</v>
      </c>
      <c r="J272" s="349"/>
      <c r="K272" s="340" t="s">
        <v>1935</v>
      </c>
      <c r="L272" s="340" t="s">
        <v>1936</v>
      </c>
      <c r="M272" s="592">
        <v>1.4999999999999999E-2</v>
      </c>
      <c r="N272" s="340" t="s">
        <v>1618</v>
      </c>
      <c r="O272" s="593" t="s">
        <v>1937</v>
      </c>
      <c r="P272" s="436">
        <v>46234</v>
      </c>
      <c r="Q272" s="715"/>
      <c r="R272" s="315"/>
      <c r="S272" s="315"/>
      <c r="T272" s="315">
        <v>30</v>
      </c>
      <c r="U272" s="341">
        <v>45550</v>
      </c>
      <c r="V272" s="378">
        <f t="shared" ca="1" si="91"/>
        <v>8</v>
      </c>
      <c r="W272" s="292">
        <f t="shared" ca="1" si="89"/>
        <v>2026</v>
      </c>
      <c r="X272" s="291" t="str">
        <f t="shared" ca="1" si="90"/>
        <v>5 WEEK</v>
      </c>
      <c r="Y272" s="595">
        <f t="shared" ref="Y272:Y285" si="95">P272+T272</f>
        <v>46264</v>
      </c>
      <c r="Z272" s="476" cm="1">
        <f t="array" aca="1" ref="Z272" ca="1">_xlfn.IFS(AD272&lt;100,Y272,Y272&lt;TODAY(),TODAY(),Y272&gt;TODAY(),Y272,Y272=TODAY(),Y272)</f>
        <v>46264</v>
      </c>
      <c r="AA272" s="330">
        <f>SUM(I266:I281)*M272</f>
        <v>2587253.145</v>
      </c>
      <c r="AB272" s="301"/>
      <c r="AC272" s="301"/>
      <c r="AD272" s="298">
        <f t="shared" si="82"/>
        <v>2587253</v>
      </c>
      <c r="AE272" s="299" t="str">
        <f t="shared" si="83"/>
        <v>Incomplete</v>
      </c>
      <c r="AF272" s="340"/>
      <c r="AG272" s="301"/>
      <c r="AH272" s="343"/>
      <c r="AI272" s="301">
        <f t="shared" ca="1" si="80"/>
        <v>0</v>
      </c>
      <c r="AJ272" s="302">
        <f t="shared" ca="1" si="81"/>
        <v>0</v>
      </c>
      <c r="AL272" s="303">
        <f t="shared" si="84"/>
        <v>2634132</v>
      </c>
      <c r="AM272" s="303">
        <f t="shared" si="85"/>
        <v>2634132</v>
      </c>
      <c r="AN272" s="303">
        <f t="shared" si="86"/>
        <v>0</v>
      </c>
      <c r="AO272" s="304">
        <f t="shared" si="87"/>
        <v>0</v>
      </c>
      <c r="AP272" s="273">
        <f t="shared" si="92"/>
        <v>7</v>
      </c>
      <c r="AQ272" s="273" t="str">
        <f t="shared" ca="1" si="88"/>
        <v>72026</v>
      </c>
    </row>
    <row r="273" spans="1:43" customFormat="1" ht="16.5">
      <c r="A273" s="587">
        <v>11</v>
      </c>
      <c r="B273" s="711" t="s">
        <v>1912</v>
      </c>
      <c r="C273" s="712" t="s">
        <v>1913</v>
      </c>
      <c r="D273" s="277" t="s">
        <v>602</v>
      </c>
      <c r="E273" s="713">
        <v>45370</v>
      </c>
      <c r="F273" s="690">
        <v>3</v>
      </c>
      <c r="G273" s="348">
        <v>2232315</v>
      </c>
      <c r="H273" s="301">
        <v>401816.7</v>
      </c>
      <c r="I273" s="349">
        <v>2634132</v>
      </c>
      <c r="J273" s="349"/>
      <c r="K273" s="340" t="s">
        <v>1935</v>
      </c>
      <c r="L273" s="340" t="s">
        <v>1938</v>
      </c>
      <c r="M273" s="592">
        <v>1.4999999999999999E-2</v>
      </c>
      <c r="N273" s="340" t="s">
        <v>1618</v>
      </c>
      <c r="O273" s="593" t="s">
        <v>1939</v>
      </c>
      <c r="P273" s="436">
        <v>46599</v>
      </c>
      <c r="Q273" s="715"/>
      <c r="R273" s="315"/>
      <c r="S273" s="315"/>
      <c r="T273" s="315">
        <v>30</v>
      </c>
      <c r="U273" s="341">
        <v>45550</v>
      </c>
      <c r="V273" s="378">
        <f t="shared" ca="1" si="91"/>
        <v>8</v>
      </c>
      <c r="W273" s="292">
        <f t="shared" ca="1" si="89"/>
        <v>2027</v>
      </c>
      <c r="X273" s="291" t="str">
        <f t="shared" ca="1" si="90"/>
        <v>5 WEEK</v>
      </c>
      <c r="Y273" s="595">
        <f t="shared" si="95"/>
        <v>46629</v>
      </c>
      <c r="Z273" s="476" cm="1">
        <f t="array" aca="1" ref="Z273" ca="1">_xlfn.IFS(AD273&lt;100,Y273,Y273&lt;TODAY(),TODAY(),Y273&gt;TODAY(),Y273,Y273=TODAY(),Y273)</f>
        <v>46629</v>
      </c>
      <c r="AA273" s="330">
        <f>SUM(I266:I281)*M273</f>
        <v>2587253.145</v>
      </c>
      <c r="AB273" s="301"/>
      <c r="AC273" s="301"/>
      <c r="AD273" s="298">
        <f t="shared" si="82"/>
        <v>2587253</v>
      </c>
      <c r="AE273" s="299" t="str">
        <f t="shared" si="83"/>
        <v>Incomplete</v>
      </c>
      <c r="AF273" s="340"/>
      <c r="AG273" s="301"/>
      <c r="AH273" s="343"/>
      <c r="AI273" s="301">
        <f t="shared" ca="1" si="80"/>
        <v>0</v>
      </c>
      <c r="AJ273" s="302">
        <f t="shared" ca="1" si="81"/>
        <v>0</v>
      </c>
      <c r="AL273" s="303">
        <f t="shared" si="84"/>
        <v>2634132</v>
      </c>
      <c r="AM273" s="303">
        <f t="shared" si="85"/>
        <v>2634132</v>
      </c>
      <c r="AN273" s="303">
        <f t="shared" si="86"/>
        <v>0</v>
      </c>
      <c r="AO273" s="304">
        <f t="shared" si="87"/>
        <v>0</v>
      </c>
      <c r="AP273" s="273">
        <f t="shared" si="92"/>
        <v>7</v>
      </c>
      <c r="AQ273" s="273" t="str">
        <f t="shared" ca="1" si="88"/>
        <v>72027</v>
      </c>
    </row>
    <row r="274" spans="1:43" customFormat="1" ht="16.5">
      <c r="A274" s="587">
        <v>11</v>
      </c>
      <c r="B274" s="711" t="s">
        <v>1912</v>
      </c>
      <c r="C274" s="712" t="s">
        <v>1913</v>
      </c>
      <c r="D274" s="277" t="s">
        <v>602</v>
      </c>
      <c r="E274" s="713">
        <v>45370</v>
      </c>
      <c r="F274" s="690">
        <v>3</v>
      </c>
      <c r="G274" s="348">
        <v>2232315</v>
      </c>
      <c r="H274" s="301">
        <v>401816.7</v>
      </c>
      <c r="I274" s="349">
        <v>2634132</v>
      </c>
      <c r="J274" s="349"/>
      <c r="K274" s="340" t="s">
        <v>1935</v>
      </c>
      <c r="L274" s="340" t="s">
        <v>1940</v>
      </c>
      <c r="M274" s="592">
        <v>1.4999999999999999E-2</v>
      </c>
      <c r="N274" s="340" t="s">
        <v>1618</v>
      </c>
      <c r="O274" s="593" t="s">
        <v>1941</v>
      </c>
      <c r="P274" s="436">
        <v>46964</v>
      </c>
      <c r="Q274" s="715"/>
      <c r="R274" s="315"/>
      <c r="S274" s="315"/>
      <c r="T274" s="315">
        <v>30</v>
      </c>
      <c r="U274" s="341">
        <v>45550</v>
      </c>
      <c r="V274" s="378">
        <f t="shared" ca="1" si="91"/>
        <v>8</v>
      </c>
      <c r="W274" s="292">
        <f t="shared" ca="1" si="89"/>
        <v>2028</v>
      </c>
      <c r="X274" s="291" t="str">
        <f t="shared" ca="1" si="90"/>
        <v>5 WEEK</v>
      </c>
      <c r="Y274" s="595">
        <f t="shared" si="95"/>
        <v>46994</v>
      </c>
      <c r="Z274" s="476" cm="1">
        <f t="array" aca="1" ref="Z274" ca="1">_xlfn.IFS(AD274&lt;100,Y274,Y274&lt;TODAY(),TODAY(),Y274&gt;TODAY(),Y274,Y274=TODAY(),Y274)</f>
        <v>46994</v>
      </c>
      <c r="AA274" s="330">
        <f>SUM(I266:I281)*M274</f>
        <v>2587253.145</v>
      </c>
      <c r="AB274" s="301"/>
      <c r="AC274" s="301"/>
      <c r="AD274" s="298">
        <f t="shared" si="82"/>
        <v>2587253</v>
      </c>
      <c r="AE274" s="299" t="str">
        <f t="shared" si="83"/>
        <v>Incomplete</v>
      </c>
      <c r="AF274" s="340"/>
      <c r="AG274" s="301"/>
      <c r="AH274" s="343"/>
      <c r="AI274" s="301">
        <f t="shared" ca="1" si="80"/>
        <v>0</v>
      </c>
      <c r="AJ274" s="302">
        <f t="shared" ca="1" si="81"/>
        <v>0</v>
      </c>
      <c r="AL274" s="303">
        <f t="shared" si="84"/>
        <v>2634132</v>
      </c>
      <c r="AM274" s="303">
        <f t="shared" si="85"/>
        <v>2634132</v>
      </c>
      <c r="AN274" s="303">
        <f t="shared" si="86"/>
        <v>0</v>
      </c>
      <c r="AO274" s="304">
        <f t="shared" si="87"/>
        <v>0</v>
      </c>
      <c r="AP274" s="273">
        <f t="shared" si="92"/>
        <v>7</v>
      </c>
      <c r="AQ274" s="273" t="str">
        <f t="shared" ca="1" si="88"/>
        <v>72028</v>
      </c>
    </row>
    <row r="275" spans="1:43" customFormat="1" ht="16.5">
      <c r="A275" s="587">
        <v>11</v>
      </c>
      <c r="B275" s="711" t="s">
        <v>1912</v>
      </c>
      <c r="C275" s="712" t="s">
        <v>1913</v>
      </c>
      <c r="D275" s="277" t="s">
        <v>602</v>
      </c>
      <c r="E275" s="713">
        <v>45370</v>
      </c>
      <c r="F275" s="690">
        <v>3</v>
      </c>
      <c r="G275" s="348">
        <v>2232315</v>
      </c>
      <c r="H275" s="301">
        <v>401816.7</v>
      </c>
      <c r="I275" s="349">
        <v>2634132</v>
      </c>
      <c r="J275" s="349"/>
      <c r="K275" s="340" t="s">
        <v>1935</v>
      </c>
      <c r="L275" s="340" t="s">
        <v>1942</v>
      </c>
      <c r="M275" s="592">
        <v>1.4999999999999999E-2</v>
      </c>
      <c r="N275" s="340" t="s">
        <v>1618</v>
      </c>
      <c r="O275" s="593" t="s">
        <v>1943</v>
      </c>
      <c r="P275" s="436">
        <v>47329</v>
      </c>
      <c r="Q275" s="715"/>
      <c r="R275" s="315"/>
      <c r="S275" s="315"/>
      <c r="T275" s="315">
        <v>30</v>
      </c>
      <c r="U275" s="341">
        <v>45550</v>
      </c>
      <c r="V275" s="378">
        <f t="shared" ca="1" si="91"/>
        <v>8</v>
      </c>
      <c r="W275" s="292">
        <f t="shared" ca="1" si="89"/>
        <v>2029</v>
      </c>
      <c r="X275" s="291" t="str">
        <f t="shared" ca="1" si="90"/>
        <v>5 WEEK</v>
      </c>
      <c r="Y275" s="595">
        <f t="shared" si="95"/>
        <v>47359</v>
      </c>
      <c r="Z275" s="476" cm="1">
        <f t="array" aca="1" ref="Z275" ca="1">_xlfn.IFS(AD275&lt;100,Y275,Y275&lt;TODAY(),TODAY(),Y275&gt;TODAY(),Y275,Y275=TODAY(),Y275)</f>
        <v>47359</v>
      </c>
      <c r="AA275" s="330">
        <f>SUM(I266:I281)*M275</f>
        <v>2587253.145</v>
      </c>
      <c r="AB275" s="301"/>
      <c r="AC275" s="301"/>
      <c r="AD275" s="298">
        <f t="shared" si="82"/>
        <v>2587253</v>
      </c>
      <c r="AE275" s="299" t="str">
        <f t="shared" si="83"/>
        <v>Incomplete</v>
      </c>
      <c r="AF275" s="340"/>
      <c r="AG275" s="301"/>
      <c r="AH275" s="343"/>
      <c r="AI275" s="301">
        <f t="shared" ca="1" si="80"/>
        <v>0</v>
      </c>
      <c r="AJ275" s="302">
        <f t="shared" ca="1" si="81"/>
        <v>0</v>
      </c>
      <c r="AL275" s="303">
        <f t="shared" si="84"/>
        <v>2634132</v>
      </c>
      <c r="AM275" s="303">
        <f t="shared" si="85"/>
        <v>2634132</v>
      </c>
      <c r="AN275" s="303">
        <f t="shared" si="86"/>
        <v>0</v>
      </c>
      <c r="AO275" s="304">
        <f t="shared" si="87"/>
        <v>0</v>
      </c>
      <c r="AP275" s="273">
        <f t="shared" si="92"/>
        <v>7</v>
      </c>
      <c r="AQ275" s="273" t="str">
        <f t="shared" ca="1" si="88"/>
        <v>72029</v>
      </c>
    </row>
    <row r="276" spans="1:43" customFormat="1" ht="16.5">
      <c r="A276" s="587">
        <v>11</v>
      </c>
      <c r="B276" s="711" t="s">
        <v>1912</v>
      </c>
      <c r="C276" s="712" t="s">
        <v>1913</v>
      </c>
      <c r="D276" s="277" t="s">
        <v>602</v>
      </c>
      <c r="E276" s="713">
        <v>45370</v>
      </c>
      <c r="F276" s="690">
        <v>3</v>
      </c>
      <c r="G276" s="348">
        <v>2232315</v>
      </c>
      <c r="H276" s="301">
        <v>401816.7</v>
      </c>
      <c r="I276" s="349">
        <v>2634132</v>
      </c>
      <c r="J276" s="349"/>
      <c r="K276" s="340" t="s">
        <v>1935</v>
      </c>
      <c r="L276" s="340" t="s">
        <v>1944</v>
      </c>
      <c r="M276" s="592">
        <v>1.4999999999999999E-2</v>
      </c>
      <c r="N276" s="340" t="s">
        <v>1618</v>
      </c>
      <c r="O276" s="593" t="s">
        <v>1945</v>
      </c>
      <c r="P276" s="436">
        <v>47694</v>
      </c>
      <c r="Q276" s="715"/>
      <c r="R276" s="315"/>
      <c r="S276" s="315"/>
      <c r="T276" s="315">
        <v>30</v>
      </c>
      <c r="U276" s="341">
        <v>45550</v>
      </c>
      <c r="V276" s="378">
        <f t="shared" ca="1" si="91"/>
        <v>8</v>
      </c>
      <c r="W276" s="292">
        <f t="shared" ca="1" si="89"/>
        <v>2030</v>
      </c>
      <c r="X276" s="291" t="str">
        <f t="shared" ca="1" si="90"/>
        <v>5 WEEK</v>
      </c>
      <c r="Y276" s="595">
        <f t="shared" si="95"/>
        <v>47724</v>
      </c>
      <c r="Z276" s="476" cm="1">
        <f t="array" aca="1" ref="Z276" ca="1">_xlfn.IFS(AD276&lt;100,Y276,Y276&lt;TODAY(),TODAY(),Y276&gt;TODAY(),Y276,Y276=TODAY(),Y276)</f>
        <v>47724</v>
      </c>
      <c r="AA276" s="330">
        <f>SUM(I266:I281)*M276</f>
        <v>2587253.145</v>
      </c>
      <c r="AB276" s="301"/>
      <c r="AC276" s="301"/>
      <c r="AD276" s="298">
        <f t="shared" si="82"/>
        <v>2587253</v>
      </c>
      <c r="AE276" s="299" t="str">
        <f t="shared" si="83"/>
        <v>Incomplete</v>
      </c>
      <c r="AF276" s="340"/>
      <c r="AG276" s="301"/>
      <c r="AH276" s="343"/>
      <c r="AI276" s="301">
        <f t="shared" ca="1" si="80"/>
        <v>0</v>
      </c>
      <c r="AJ276" s="302">
        <f t="shared" ca="1" si="81"/>
        <v>0</v>
      </c>
      <c r="AL276" s="303">
        <f t="shared" si="84"/>
        <v>2634132</v>
      </c>
      <c r="AM276" s="303">
        <f t="shared" si="85"/>
        <v>2634132</v>
      </c>
      <c r="AN276" s="303">
        <f t="shared" si="86"/>
        <v>0</v>
      </c>
      <c r="AO276" s="304">
        <f t="shared" si="87"/>
        <v>0</v>
      </c>
      <c r="AP276" s="273">
        <f t="shared" si="92"/>
        <v>7</v>
      </c>
      <c r="AQ276" s="273" t="str">
        <f t="shared" ca="1" si="88"/>
        <v>72030</v>
      </c>
    </row>
    <row r="277" spans="1:43" customFormat="1" ht="16.5">
      <c r="A277" s="587">
        <v>11</v>
      </c>
      <c r="B277" s="711" t="s">
        <v>1912</v>
      </c>
      <c r="C277" s="712" t="s">
        <v>1913</v>
      </c>
      <c r="D277" s="277" t="s">
        <v>602</v>
      </c>
      <c r="E277" s="713">
        <v>45370</v>
      </c>
      <c r="F277" s="690">
        <v>3</v>
      </c>
      <c r="G277" s="348">
        <v>3720525</v>
      </c>
      <c r="H277" s="301">
        <v>669694.5</v>
      </c>
      <c r="I277" s="349">
        <v>4390220</v>
      </c>
      <c r="J277" s="349"/>
      <c r="K277" s="340" t="s">
        <v>1946</v>
      </c>
      <c r="L277" s="340" t="s">
        <v>1947</v>
      </c>
      <c r="M277" s="592">
        <v>2.5000000000000001E-2</v>
      </c>
      <c r="N277" s="340" t="s">
        <v>1618</v>
      </c>
      <c r="O277" s="593" t="s">
        <v>1948</v>
      </c>
      <c r="P277" s="436">
        <v>48059</v>
      </c>
      <c r="Q277" s="715"/>
      <c r="R277" s="315"/>
      <c r="S277" s="315"/>
      <c r="T277" s="315">
        <v>30</v>
      </c>
      <c r="U277" s="341">
        <v>45550</v>
      </c>
      <c r="V277" s="378">
        <f t="shared" ca="1" si="91"/>
        <v>8</v>
      </c>
      <c r="W277" s="292">
        <f t="shared" ca="1" si="89"/>
        <v>2031</v>
      </c>
      <c r="X277" s="291" t="str">
        <f t="shared" ca="1" si="90"/>
        <v>5 WEEK</v>
      </c>
      <c r="Y277" s="595">
        <f t="shared" si="95"/>
        <v>48089</v>
      </c>
      <c r="Z277" s="476" cm="1">
        <f t="array" aca="1" ref="Z277" ca="1">_xlfn.IFS(AD277&lt;100,Y277,Y277&lt;TODAY(),TODAY(),Y277&gt;TODAY(),Y277,Y277=TODAY(),Y277)</f>
        <v>48089</v>
      </c>
      <c r="AA277" s="330">
        <f>SUM(I266:I281)*M277</f>
        <v>4312088.5750000002</v>
      </c>
      <c r="AB277" s="301"/>
      <c r="AC277" s="301"/>
      <c r="AD277" s="298">
        <f t="shared" si="82"/>
        <v>4312089</v>
      </c>
      <c r="AE277" s="299" t="str">
        <f t="shared" si="83"/>
        <v>Incomplete</v>
      </c>
      <c r="AF277" s="340"/>
      <c r="AG277" s="301"/>
      <c r="AH277" s="343"/>
      <c r="AI277" s="301">
        <f t="shared" ca="1" si="80"/>
        <v>0</v>
      </c>
      <c r="AJ277" s="302">
        <f t="shared" ca="1" si="81"/>
        <v>0</v>
      </c>
      <c r="AL277" s="303">
        <f t="shared" si="84"/>
        <v>4390220</v>
      </c>
      <c r="AM277" s="303">
        <f t="shared" si="85"/>
        <v>4390220</v>
      </c>
      <c r="AN277" s="303">
        <f t="shared" si="86"/>
        <v>0</v>
      </c>
      <c r="AO277" s="304">
        <f t="shared" si="87"/>
        <v>0</v>
      </c>
      <c r="AP277" s="273">
        <f t="shared" si="92"/>
        <v>7</v>
      </c>
      <c r="AQ277" s="273" t="str">
        <f t="shared" ca="1" si="88"/>
        <v>72031</v>
      </c>
    </row>
    <row r="278" spans="1:43" customFormat="1" ht="16.5">
      <c r="A278" s="587">
        <v>11</v>
      </c>
      <c r="B278" s="711" t="s">
        <v>1912</v>
      </c>
      <c r="C278" s="712" t="s">
        <v>1913</v>
      </c>
      <c r="D278" s="277" t="s">
        <v>602</v>
      </c>
      <c r="E278" s="713">
        <v>45370</v>
      </c>
      <c r="F278" s="690">
        <v>3</v>
      </c>
      <c r="G278" s="348">
        <v>3720525</v>
      </c>
      <c r="H278" s="301">
        <v>669694.5</v>
      </c>
      <c r="I278" s="349">
        <v>4390220</v>
      </c>
      <c r="J278" s="349"/>
      <c r="K278" s="340" t="s">
        <v>1946</v>
      </c>
      <c r="L278" s="340" t="s">
        <v>1949</v>
      </c>
      <c r="M278" s="592">
        <v>2.5000000000000001E-2</v>
      </c>
      <c r="N278" s="340" t="s">
        <v>1618</v>
      </c>
      <c r="O278" s="593" t="s">
        <v>1950</v>
      </c>
      <c r="P278" s="436">
        <v>48424</v>
      </c>
      <c r="Q278" s="715"/>
      <c r="R278" s="315"/>
      <c r="S278" s="315"/>
      <c r="T278" s="315">
        <v>30</v>
      </c>
      <c r="U278" s="341">
        <v>45550</v>
      </c>
      <c r="V278" s="378">
        <f t="shared" ca="1" si="91"/>
        <v>8</v>
      </c>
      <c r="W278" s="292">
        <f t="shared" ca="1" si="89"/>
        <v>2032</v>
      </c>
      <c r="X278" s="291" t="str">
        <f t="shared" ca="1" si="90"/>
        <v>4 WEEK</v>
      </c>
      <c r="Y278" s="595">
        <f t="shared" si="95"/>
        <v>48454</v>
      </c>
      <c r="Z278" s="476" cm="1">
        <f t="array" aca="1" ref="Z278" ca="1">_xlfn.IFS(AD278&lt;100,Y278,Y278&lt;TODAY(),TODAY(),Y278&gt;TODAY(),Y278,Y278=TODAY(),Y278)</f>
        <v>48454</v>
      </c>
      <c r="AA278" s="330">
        <f>SUM(I266:I281)*M278</f>
        <v>4312088.5750000002</v>
      </c>
      <c r="AB278" s="301"/>
      <c r="AC278" s="301"/>
      <c r="AD278" s="298">
        <f t="shared" si="82"/>
        <v>4312089</v>
      </c>
      <c r="AE278" s="299" t="str">
        <f t="shared" si="83"/>
        <v>Incomplete</v>
      </c>
      <c r="AF278" s="340"/>
      <c r="AG278" s="301"/>
      <c r="AH278" s="343"/>
      <c r="AI278" s="301">
        <f t="shared" ca="1" si="80"/>
        <v>0</v>
      </c>
      <c r="AJ278" s="302">
        <f t="shared" ca="1" si="81"/>
        <v>0</v>
      </c>
      <c r="AL278" s="303">
        <f t="shared" si="84"/>
        <v>4390220</v>
      </c>
      <c r="AM278" s="303">
        <f t="shared" si="85"/>
        <v>4390220</v>
      </c>
      <c r="AN278" s="303">
        <f t="shared" si="86"/>
        <v>0</v>
      </c>
      <c r="AO278" s="304">
        <f t="shared" si="87"/>
        <v>0</v>
      </c>
      <c r="AP278" s="273">
        <f t="shared" si="92"/>
        <v>7</v>
      </c>
      <c r="AQ278" s="273" t="str">
        <f t="shared" ca="1" si="88"/>
        <v>72032</v>
      </c>
    </row>
    <row r="279" spans="1:43" customFormat="1" ht="16.5">
      <c r="A279" s="587">
        <v>11</v>
      </c>
      <c r="B279" s="711" t="s">
        <v>1912</v>
      </c>
      <c r="C279" s="712" t="s">
        <v>1913</v>
      </c>
      <c r="D279" s="277" t="s">
        <v>602</v>
      </c>
      <c r="E279" s="713">
        <v>45370</v>
      </c>
      <c r="F279" s="690">
        <v>3</v>
      </c>
      <c r="G279" s="348">
        <v>3720525</v>
      </c>
      <c r="H279" s="301">
        <v>669694.5</v>
      </c>
      <c r="I279" s="349">
        <v>4390220</v>
      </c>
      <c r="J279" s="349"/>
      <c r="K279" s="340" t="s">
        <v>1946</v>
      </c>
      <c r="L279" s="340" t="s">
        <v>1951</v>
      </c>
      <c r="M279" s="592">
        <v>2.5000000000000001E-2</v>
      </c>
      <c r="N279" s="340" t="s">
        <v>1618</v>
      </c>
      <c r="O279" s="593" t="s">
        <v>1952</v>
      </c>
      <c r="P279" s="436">
        <v>48789</v>
      </c>
      <c r="Q279" s="715"/>
      <c r="R279" s="315"/>
      <c r="S279" s="315"/>
      <c r="T279" s="315">
        <v>30</v>
      </c>
      <c r="U279" s="341">
        <v>45550</v>
      </c>
      <c r="V279" s="378">
        <f t="shared" ca="1" si="91"/>
        <v>8</v>
      </c>
      <c r="W279" s="292">
        <f t="shared" ca="1" si="89"/>
        <v>2033</v>
      </c>
      <c r="X279" s="291" t="str">
        <f t="shared" ca="1" si="90"/>
        <v>4 WEEK</v>
      </c>
      <c r="Y279" s="595">
        <f t="shared" si="95"/>
        <v>48819</v>
      </c>
      <c r="Z279" s="476" cm="1">
        <f t="array" aca="1" ref="Z279" ca="1">_xlfn.IFS(AD279&lt;100,Y279,Y279&lt;TODAY(),TODAY(),Y279&gt;TODAY(),Y279,Y279=TODAY(),Y279)</f>
        <v>48819</v>
      </c>
      <c r="AA279" s="330">
        <f>SUM(I266:I281)*M279</f>
        <v>4312088.5750000002</v>
      </c>
      <c r="AB279" s="301"/>
      <c r="AC279" s="301"/>
      <c r="AD279" s="298">
        <f t="shared" si="82"/>
        <v>4312089</v>
      </c>
      <c r="AE279" s="299" t="str">
        <f t="shared" si="83"/>
        <v>Incomplete</v>
      </c>
      <c r="AF279" s="340"/>
      <c r="AG279" s="301"/>
      <c r="AH279" s="343"/>
      <c r="AI279" s="301">
        <f t="shared" ca="1" si="80"/>
        <v>0</v>
      </c>
      <c r="AJ279" s="302">
        <f t="shared" ca="1" si="81"/>
        <v>0</v>
      </c>
      <c r="AL279" s="303">
        <f t="shared" si="84"/>
        <v>4390220</v>
      </c>
      <c r="AM279" s="303">
        <f t="shared" si="85"/>
        <v>4390220</v>
      </c>
      <c r="AN279" s="303">
        <f t="shared" si="86"/>
        <v>0</v>
      </c>
      <c r="AO279" s="304">
        <f t="shared" si="87"/>
        <v>0</v>
      </c>
      <c r="AP279" s="273">
        <f t="shared" si="92"/>
        <v>7</v>
      </c>
      <c r="AQ279" s="273" t="str">
        <f t="shared" ca="1" si="88"/>
        <v>72033</v>
      </c>
    </row>
    <row r="280" spans="1:43" customFormat="1" ht="16.5">
      <c r="A280" s="587">
        <v>11</v>
      </c>
      <c r="B280" s="711" t="s">
        <v>1912</v>
      </c>
      <c r="C280" s="712" t="s">
        <v>1913</v>
      </c>
      <c r="D280" s="277" t="s">
        <v>602</v>
      </c>
      <c r="E280" s="713">
        <v>45370</v>
      </c>
      <c r="F280" s="690">
        <v>3</v>
      </c>
      <c r="G280" s="348">
        <v>3720525</v>
      </c>
      <c r="H280" s="301">
        <v>669694.5</v>
      </c>
      <c r="I280" s="349">
        <v>4390220</v>
      </c>
      <c r="J280" s="349"/>
      <c r="K280" s="340" t="s">
        <v>1946</v>
      </c>
      <c r="L280" s="340" t="s">
        <v>1953</v>
      </c>
      <c r="M280" s="592">
        <v>2.5000000000000001E-2</v>
      </c>
      <c r="N280" s="340" t="s">
        <v>1618</v>
      </c>
      <c r="O280" s="593" t="s">
        <v>1954</v>
      </c>
      <c r="P280" s="436">
        <v>49154</v>
      </c>
      <c r="Q280" s="715"/>
      <c r="R280" s="315"/>
      <c r="S280" s="315"/>
      <c r="T280" s="315">
        <v>30</v>
      </c>
      <c r="U280" s="341">
        <v>45550</v>
      </c>
      <c r="V280" s="378">
        <f t="shared" ca="1" si="91"/>
        <v>8</v>
      </c>
      <c r="W280" s="292">
        <f t="shared" ca="1" si="89"/>
        <v>2034</v>
      </c>
      <c r="X280" s="291" t="str">
        <f t="shared" ca="1" si="90"/>
        <v>4 WEEK</v>
      </c>
      <c r="Y280" s="595">
        <f t="shared" si="95"/>
        <v>49184</v>
      </c>
      <c r="Z280" s="476" cm="1">
        <f t="array" aca="1" ref="Z280" ca="1">_xlfn.IFS(AD280&lt;100,Y280,Y280&lt;TODAY(),TODAY(),Y280&gt;TODAY(),Y280,Y280=TODAY(),Y280)</f>
        <v>49184</v>
      </c>
      <c r="AA280" s="330">
        <f>SUM(I266:I281)*M280</f>
        <v>4312088.5750000002</v>
      </c>
      <c r="AB280" s="301"/>
      <c r="AC280" s="301"/>
      <c r="AD280" s="298">
        <f t="shared" si="82"/>
        <v>4312089</v>
      </c>
      <c r="AE280" s="299" t="str">
        <f t="shared" si="83"/>
        <v>Incomplete</v>
      </c>
      <c r="AF280" s="340"/>
      <c r="AG280" s="301"/>
      <c r="AH280" s="343"/>
      <c r="AI280" s="301">
        <f t="shared" ca="1" si="80"/>
        <v>0</v>
      </c>
      <c r="AJ280" s="302">
        <f t="shared" ca="1" si="81"/>
        <v>0</v>
      </c>
      <c r="AL280" s="303">
        <f t="shared" si="84"/>
        <v>4390220</v>
      </c>
      <c r="AM280" s="303">
        <f t="shared" si="85"/>
        <v>4390220</v>
      </c>
      <c r="AN280" s="303">
        <f t="shared" si="86"/>
        <v>0</v>
      </c>
      <c r="AO280" s="304">
        <f t="shared" si="87"/>
        <v>0</v>
      </c>
      <c r="AP280" s="273">
        <f t="shared" si="92"/>
        <v>7</v>
      </c>
      <c r="AQ280" s="273" t="str">
        <f t="shared" ca="1" si="88"/>
        <v>72034</v>
      </c>
    </row>
    <row r="281" spans="1:43" customFormat="1" ht="16.5">
      <c r="A281" s="717">
        <v>11</v>
      </c>
      <c r="B281" s="718" t="s">
        <v>1912</v>
      </c>
      <c r="C281" s="719" t="s">
        <v>1913</v>
      </c>
      <c r="D281" s="277" t="s">
        <v>602</v>
      </c>
      <c r="E281" s="720">
        <v>45370</v>
      </c>
      <c r="F281" s="695">
        <v>3</v>
      </c>
      <c r="G281" s="373">
        <v>3720525</v>
      </c>
      <c r="H281" s="376">
        <v>669694.5</v>
      </c>
      <c r="I281" s="696">
        <v>4390220</v>
      </c>
      <c r="J281" s="696"/>
      <c r="K281" s="378" t="s">
        <v>1946</v>
      </c>
      <c r="L281" s="378" t="s">
        <v>1955</v>
      </c>
      <c r="M281" s="697">
        <v>2.5000000000000001E-2</v>
      </c>
      <c r="N281" s="340" t="s">
        <v>1618</v>
      </c>
      <c r="O281" s="721" t="s">
        <v>1956</v>
      </c>
      <c r="P281" s="722">
        <v>49519</v>
      </c>
      <c r="Q281" s="273"/>
      <c r="R281" s="314"/>
      <c r="S281" s="423"/>
      <c r="T281" s="423">
        <v>30</v>
      </c>
      <c r="U281" s="380">
        <v>45550</v>
      </c>
      <c r="V281" s="378">
        <f t="shared" ca="1" si="91"/>
        <v>8</v>
      </c>
      <c r="W281" s="292">
        <f t="shared" ca="1" si="89"/>
        <v>2035</v>
      </c>
      <c r="X281" s="291" t="str">
        <f t="shared" ca="1" si="90"/>
        <v>4 WEEK</v>
      </c>
      <c r="Y281" s="723">
        <f t="shared" si="95"/>
        <v>49549</v>
      </c>
      <c r="Z281" s="724" cm="1">
        <f t="array" aca="1" ref="Z281" ca="1">_xlfn.IFS(AD281&lt;100,Y281,Y281&lt;TODAY(),TODAY(),Y281&gt;TODAY(),Y281,Y281=TODAY(),Y281)</f>
        <v>49549</v>
      </c>
      <c r="AA281" s="424">
        <f>SUM(I266:I281)*M281</f>
        <v>4312088.5750000002</v>
      </c>
      <c r="AB281" s="376"/>
      <c r="AC281" s="376"/>
      <c r="AD281" s="298">
        <f t="shared" si="82"/>
        <v>4312089</v>
      </c>
      <c r="AE281" s="299" t="str">
        <f t="shared" si="83"/>
        <v>Incomplete</v>
      </c>
      <c r="AF281" s="378"/>
      <c r="AG281" s="376"/>
      <c r="AH281" s="382"/>
      <c r="AI281" s="301">
        <f t="shared" ca="1" si="80"/>
        <v>0</v>
      </c>
      <c r="AJ281" s="302">
        <f t="shared" ca="1" si="81"/>
        <v>0</v>
      </c>
      <c r="AL281" s="303">
        <f t="shared" si="84"/>
        <v>4390220</v>
      </c>
      <c r="AM281" s="303">
        <f t="shared" si="85"/>
        <v>4390220</v>
      </c>
      <c r="AN281" s="303">
        <f t="shared" si="86"/>
        <v>0</v>
      </c>
      <c r="AO281" s="304">
        <f t="shared" si="87"/>
        <v>0</v>
      </c>
      <c r="AP281" s="273">
        <f t="shared" si="92"/>
        <v>7</v>
      </c>
      <c r="AQ281" s="273" t="str">
        <f t="shared" ca="1" si="88"/>
        <v>72035</v>
      </c>
    </row>
    <row r="282" spans="1:43" customFormat="1" ht="16.5">
      <c r="A282" s="383">
        <v>11</v>
      </c>
      <c r="B282" s="718" t="s">
        <v>1912</v>
      </c>
      <c r="C282" s="719" t="s">
        <v>1913</v>
      </c>
      <c r="D282" s="277" t="s">
        <v>602</v>
      </c>
      <c r="E282" s="720">
        <v>45370</v>
      </c>
      <c r="F282" s="695">
        <v>3</v>
      </c>
      <c r="G282" s="386"/>
      <c r="H282" s="389"/>
      <c r="I282" s="492"/>
      <c r="J282" s="492"/>
      <c r="K282" s="390"/>
      <c r="L282" s="390"/>
      <c r="M282" s="659"/>
      <c r="N282" s="390"/>
      <c r="O282" s="661"/>
      <c r="P282" s="431">
        <v>0</v>
      </c>
      <c r="Q282" s="725"/>
      <c r="R282" s="423"/>
      <c r="S282" s="434"/>
      <c r="T282" s="434"/>
      <c r="U282" s="575"/>
      <c r="V282" s="378">
        <f t="shared" ca="1" si="91"/>
        <v>1</v>
      </c>
      <c r="W282" s="292">
        <f t="shared" ca="1" si="89"/>
        <v>1900</v>
      </c>
      <c r="X282" s="291" t="str">
        <f t="shared" ca="1" si="90"/>
        <v>0 WEEK</v>
      </c>
      <c r="Y282" s="723">
        <f t="shared" si="95"/>
        <v>0</v>
      </c>
      <c r="Z282" s="724" cm="1">
        <f t="array" aca="1" ref="Z282" ca="1">_xlfn.IFS(AD282&lt;100,Y282,Y282&lt;TODAY(),TODAY(),Y282&gt;TODAY(),Y282,Y282=TODAY(),Y282)</f>
        <v>0</v>
      </c>
      <c r="AA282" s="438"/>
      <c r="AB282" s="389"/>
      <c r="AC282" s="389"/>
      <c r="AD282" s="298">
        <f t="shared" si="82"/>
        <v>0</v>
      </c>
      <c r="AE282" s="299" t="str">
        <f t="shared" si="83"/>
        <v>Complete</v>
      </c>
      <c r="AF282" s="390"/>
      <c r="AG282" s="389"/>
      <c r="AH282" s="391"/>
      <c r="AI282" s="301">
        <f t="shared" ca="1" si="80"/>
        <v>0</v>
      </c>
      <c r="AJ282" s="302">
        <f t="shared" ca="1" si="81"/>
        <v>0</v>
      </c>
      <c r="AL282" s="303">
        <f t="shared" si="84"/>
        <v>0</v>
      </c>
      <c r="AM282" s="303">
        <f t="shared" si="85"/>
        <v>0</v>
      </c>
      <c r="AN282" s="303">
        <f t="shared" si="86"/>
        <v>0</v>
      </c>
      <c r="AO282" s="304">
        <f t="shared" si="87"/>
        <v>0</v>
      </c>
      <c r="AP282" s="273">
        <f t="shared" si="92"/>
        <v>1</v>
      </c>
      <c r="AQ282" s="273" t="str">
        <f t="shared" ca="1" si="88"/>
        <v>11900</v>
      </c>
    </row>
    <row r="283" spans="1:43" customFormat="1" ht="16.5">
      <c r="A283" s="312"/>
      <c r="B283" s="726"/>
      <c r="C283" s="727"/>
      <c r="D283" s="277"/>
      <c r="E283" s="728"/>
      <c r="F283" s="729"/>
      <c r="G283" s="705"/>
      <c r="H283" s="451"/>
      <c r="I283" s="455"/>
      <c r="J283" s="455"/>
      <c r="K283" s="273"/>
      <c r="L283" s="273"/>
      <c r="M283" s="665"/>
      <c r="N283" s="273"/>
      <c r="O283" s="671"/>
      <c r="P283" s="707">
        <v>0</v>
      </c>
      <c r="Q283" s="730"/>
      <c r="R283" s="450"/>
      <c r="S283" s="450"/>
      <c r="T283" s="450"/>
      <c r="U283" s="731"/>
      <c r="V283" s="378">
        <f t="shared" ca="1" si="91"/>
        <v>1</v>
      </c>
      <c r="W283" s="292">
        <f t="shared" ca="1" si="89"/>
        <v>1900</v>
      </c>
      <c r="X283" s="291" t="str">
        <f t="shared" ca="1" si="90"/>
        <v>0 WEEK</v>
      </c>
      <c r="Y283" s="723">
        <f t="shared" si="95"/>
        <v>0</v>
      </c>
      <c r="Z283" s="724" cm="1">
        <f t="array" aca="1" ref="Z283" ca="1">_xlfn.IFS(AD283&lt;100,Y283,Y283&lt;TODAY(),TODAY(),Y283&gt;TODAY(),Y283,Y283=TODAY(),Y283)</f>
        <v>0</v>
      </c>
      <c r="AA283" s="452"/>
      <c r="AB283" s="451"/>
      <c r="AC283" s="451"/>
      <c r="AD283" s="298">
        <f t="shared" si="82"/>
        <v>0</v>
      </c>
      <c r="AE283" s="299" t="str">
        <f t="shared" si="83"/>
        <v>Complete</v>
      </c>
      <c r="AF283" s="273"/>
      <c r="AG283" s="451"/>
      <c r="AH283" s="451"/>
      <c r="AI283" s="301">
        <f t="shared" ca="1" si="80"/>
        <v>0</v>
      </c>
      <c r="AJ283" s="302">
        <f t="shared" ca="1" si="81"/>
        <v>0</v>
      </c>
      <c r="AL283" s="303">
        <f t="shared" si="84"/>
        <v>0</v>
      </c>
      <c r="AM283" s="303">
        <f t="shared" si="85"/>
        <v>0</v>
      </c>
      <c r="AN283" s="303">
        <f t="shared" si="86"/>
        <v>0</v>
      </c>
      <c r="AO283" s="304">
        <f t="shared" si="87"/>
        <v>0</v>
      </c>
      <c r="AP283" s="273">
        <f t="shared" si="92"/>
        <v>1</v>
      </c>
      <c r="AQ283" s="273" t="str">
        <f t="shared" ca="1" si="88"/>
        <v>11900</v>
      </c>
    </row>
    <row r="284" spans="1:43" customFormat="1" ht="18">
      <c r="A284" s="274">
        <v>12</v>
      </c>
      <c r="B284" s="677" t="s">
        <v>1957</v>
      </c>
      <c r="C284" s="276" t="s">
        <v>1958</v>
      </c>
      <c r="D284" s="277" t="s">
        <v>1959</v>
      </c>
      <c r="E284" s="630">
        <v>45757</v>
      </c>
      <c r="F284" s="279">
        <f>120.95/1000</f>
        <v>0.12095</v>
      </c>
      <c r="G284" s="705"/>
      <c r="H284" s="451"/>
      <c r="I284" s="455"/>
      <c r="J284" s="455"/>
      <c r="K284" s="273"/>
      <c r="L284" s="273"/>
      <c r="M284" s="665"/>
      <c r="N284" s="273"/>
      <c r="O284" s="671"/>
      <c r="P284" s="707">
        <v>0</v>
      </c>
      <c r="Q284" s="730"/>
      <c r="R284" s="508" t="e">
        <v>#VALUE!</v>
      </c>
      <c r="S284" s="450"/>
      <c r="T284" s="450"/>
      <c r="U284" s="731"/>
      <c r="V284" s="378">
        <f t="shared" ca="1" si="91"/>
        <v>1</v>
      </c>
      <c r="W284" s="292">
        <f t="shared" ca="1" si="89"/>
        <v>1900</v>
      </c>
      <c r="X284" s="291" t="str">
        <f t="shared" ca="1" si="90"/>
        <v>0 WEEK</v>
      </c>
      <c r="Y284" s="723">
        <f t="shared" si="95"/>
        <v>0</v>
      </c>
      <c r="Z284" s="724" cm="1">
        <f t="array" aca="1" ref="Z284" ca="1">_xlfn.IFS(AD284&lt;100,Y284,Y284&lt;TODAY(),TODAY(),Y284&gt;TODAY(),Y284,Y284=TODAY(),Y284)</f>
        <v>0</v>
      </c>
      <c r="AA284" s="452"/>
      <c r="AB284" s="676"/>
      <c r="AC284" s="451"/>
      <c r="AD284" s="298">
        <f t="shared" si="82"/>
        <v>0</v>
      </c>
      <c r="AE284" s="299" t="str">
        <f t="shared" si="83"/>
        <v>Complete</v>
      </c>
      <c r="AF284" s="273"/>
      <c r="AG284" s="451"/>
      <c r="AH284" s="451"/>
      <c r="AI284" s="301">
        <f t="shared" ca="1" si="80"/>
        <v>0</v>
      </c>
      <c r="AJ284" s="302">
        <f t="shared" ca="1" si="81"/>
        <v>0</v>
      </c>
      <c r="AL284" s="303">
        <f t="shared" si="84"/>
        <v>0</v>
      </c>
      <c r="AM284" s="303">
        <f t="shared" si="85"/>
        <v>0</v>
      </c>
      <c r="AN284" s="303">
        <f t="shared" si="86"/>
        <v>0</v>
      </c>
      <c r="AO284" s="304">
        <f t="shared" si="87"/>
        <v>0</v>
      </c>
      <c r="AP284" s="273">
        <f t="shared" si="92"/>
        <v>1</v>
      </c>
      <c r="AQ284" s="273" t="str">
        <f t="shared" ca="1" si="88"/>
        <v>11900</v>
      </c>
    </row>
    <row r="285" spans="1:43" customFormat="1" ht="16.5">
      <c r="A285" s="312">
        <v>12</v>
      </c>
      <c r="B285" s="677" t="s">
        <v>1957</v>
      </c>
      <c r="C285" s="276" t="s">
        <v>1958</v>
      </c>
      <c r="D285" s="277" t="s">
        <v>1959</v>
      </c>
      <c r="E285" s="630">
        <v>45757</v>
      </c>
      <c r="F285" s="279">
        <f>120.95/1000</f>
        <v>0.12095</v>
      </c>
      <c r="G285" s="625"/>
      <c r="H285" s="299"/>
      <c r="I285" s="634"/>
      <c r="J285" s="634"/>
      <c r="K285" s="291" t="s">
        <v>1960</v>
      </c>
      <c r="L285" s="732" t="s">
        <v>1592</v>
      </c>
      <c r="M285" s="583">
        <v>0.3</v>
      </c>
      <c r="N285" s="291" t="s">
        <v>1593</v>
      </c>
      <c r="O285" s="291"/>
      <c r="P285" s="598">
        <v>0</v>
      </c>
      <c r="Q285" s="291"/>
      <c r="R285" s="530"/>
      <c r="S285" s="530"/>
      <c r="T285" s="423">
        <v>30</v>
      </c>
      <c r="U285" s="630">
        <v>45847</v>
      </c>
      <c r="V285" s="378">
        <f t="shared" ca="1" si="91"/>
        <v>1</v>
      </c>
      <c r="W285" s="292">
        <f t="shared" ca="1" si="89"/>
        <v>1900</v>
      </c>
      <c r="X285" s="291" t="str">
        <f t="shared" ca="1" si="90"/>
        <v>5 WEEK</v>
      </c>
      <c r="Y285" s="723">
        <f t="shared" si="95"/>
        <v>30</v>
      </c>
      <c r="Z285" s="724" cm="1">
        <f t="array" aca="1" ref="Z285" ca="1">_xlfn.IFS(AD285&lt;100,Y285,Y285&lt;TODAY(),TODAY(),Y285&gt;TODAY(),Y285,Y285=TODAY(),Y285)</f>
        <v>30</v>
      </c>
      <c r="AA285" s="733">
        <f>SUM(I285:I290)*M285</f>
        <v>1190732.9939999999</v>
      </c>
      <c r="AB285" s="299">
        <f>1189938</f>
        <v>1189938</v>
      </c>
      <c r="AC285" s="299">
        <f>AB285/99.9%*0.1%</f>
        <v>1191.1291291291291</v>
      </c>
      <c r="AD285" s="298">
        <f t="shared" si="82"/>
        <v>-396</v>
      </c>
      <c r="AE285" s="299" t="str">
        <f t="shared" si="83"/>
        <v>Complete</v>
      </c>
      <c r="AF285" s="291"/>
      <c r="AG285" s="299"/>
      <c r="AH285" s="318"/>
      <c r="AI285" s="301">
        <f t="shared" ca="1" si="80"/>
        <v>0</v>
      </c>
      <c r="AJ285" s="302">
        <f t="shared" ca="1" si="81"/>
        <v>0</v>
      </c>
      <c r="AL285" s="303">
        <f t="shared" si="84"/>
        <v>0</v>
      </c>
      <c r="AM285" s="303">
        <f t="shared" si="85"/>
        <v>0</v>
      </c>
      <c r="AN285" s="303">
        <f t="shared" si="86"/>
        <v>0</v>
      </c>
      <c r="AO285" s="304">
        <f t="shared" si="87"/>
        <v>0</v>
      </c>
      <c r="AP285" s="273">
        <f t="shared" si="92"/>
        <v>1</v>
      </c>
      <c r="AQ285" s="273" t="str">
        <f t="shared" ca="1" si="88"/>
        <v>11900</v>
      </c>
    </row>
    <row r="286" spans="1:43" customFormat="1" ht="16.5">
      <c r="A286" s="587">
        <v>12</v>
      </c>
      <c r="B286" s="684" t="s">
        <v>1957</v>
      </c>
      <c r="C286" s="332" t="s">
        <v>1958</v>
      </c>
      <c r="D286" s="277" t="s">
        <v>1959</v>
      </c>
      <c r="E286" s="406">
        <v>45757</v>
      </c>
      <c r="F286" s="334">
        <f t="shared" ref="F286:F292" si="96">120.95/1000</f>
        <v>0.12095</v>
      </c>
      <c r="G286" s="348">
        <v>2168633</v>
      </c>
      <c r="H286" s="301">
        <f>G286*12%</f>
        <v>260235.96</v>
      </c>
      <c r="I286" s="349">
        <f>G286+H286</f>
        <v>2428868.96</v>
      </c>
      <c r="J286" s="349"/>
      <c r="K286" s="340" t="s">
        <v>1961</v>
      </c>
      <c r="L286" s="610" t="s">
        <v>1595</v>
      </c>
      <c r="M286" s="592">
        <v>0.6</v>
      </c>
      <c r="N286" s="340" t="s">
        <v>1593</v>
      </c>
      <c r="O286" s="340" t="s">
        <v>1629</v>
      </c>
      <c r="P286" s="578">
        <v>0</v>
      </c>
      <c r="Q286" s="340"/>
      <c r="R286" s="315">
        <v>0</v>
      </c>
      <c r="S286" s="315"/>
      <c r="T286" s="423">
        <v>30</v>
      </c>
      <c r="U286" s="630">
        <v>45847</v>
      </c>
      <c r="V286" s="378">
        <f t="shared" ca="1" si="91"/>
        <v>10</v>
      </c>
      <c r="W286" s="292">
        <f t="shared" ca="1" si="89"/>
        <v>2025</v>
      </c>
      <c r="X286" s="291" t="str">
        <f t="shared" ca="1" si="90"/>
        <v>1 WEEK</v>
      </c>
      <c r="Y286" s="329">
        <v>45868</v>
      </c>
      <c r="Z286" s="341" cm="1">
        <f t="array" aca="1" ref="Z286" ca="1">_xlfn.IFS(AD286&lt;100,Y286,Y286&lt;TODAY(),TODAY(),Y286&gt;TODAY(),Y286,Y286=TODAY(),Y286)</f>
        <v>45935</v>
      </c>
      <c r="AA286" s="597">
        <f>SUM(I286:I290)*M286</f>
        <v>2381465.9879999999</v>
      </c>
      <c r="AB286" s="301">
        <v>0</v>
      </c>
      <c r="AC286" s="301"/>
      <c r="AD286" s="298">
        <f t="shared" si="82"/>
        <v>2381466</v>
      </c>
      <c r="AE286" s="299" t="str">
        <f t="shared" si="83"/>
        <v>Incomplete</v>
      </c>
      <c r="AF286" s="340"/>
      <c r="AG286" s="301"/>
      <c r="AH286" s="343"/>
      <c r="AI286" s="301">
        <f t="shared" ca="1" si="80"/>
        <v>67</v>
      </c>
      <c r="AJ286" s="302" t="str">
        <f t="shared" ca="1" si="81"/>
        <v>Delayed</v>
      </c>
      <c r="AL286" s="303">
        <f t="shared" si="84"/>
        <v>2428868.96</v>
      </c>
      <c r="AM286" s="303">
        <f t="shared" si="85"/>
        <v>2428868.96</v>
      </c>
      <c r="AN286" s="303">
        <f t="shared" si="86"/>
        <v>0</v>
      </c>
      <c r="AO286" s="304">
        <f t="shared" si="87"/>
        <v>0</v>
      </c>
      <c r="AP286" s="273">
        <f t="shared" si="92"/>
        <v>1</v>
      </c>
      <c r="AQ286" s="273" t="str">
        <f t="shared" ca="1" si="88"/>
        <v>12025</v>
      </c>
    </row>
    <row r="287" spans="1:43" customFormat="1" ht="16.5">
      <c r="A287" s="587">
        <v>12</v>
      </c>
      <c r="B287" s="684" t="s">
        <v>1957</v>
      </c>
      <c r="C287" s="332" t="s">
        <v>1958</v>
      </c>
      <c r="D287" s="277" t="s">
        <v>1959</v>
      </c>
      <c r="E287" s="406">
        <v>45757</v>
      </c>
      <c r="F287" s="334">
        <f t="shared" si="96"/>
        <v>0.12095</v>
      </c>
      <c r="G287" s="348">
        <v>233433.5</v>
      </c>
      <c r="H287" s="301">
        <f>G287*12%</f>
        <v>28012.02</v>
      </c>
      <c r="I287" s="349">
        <f t="shared" ref="I287:I290" si="97">G287+H287</f>
        <v>261445.52</v>
      </c>
      <c r="J287" s="349"/>
      <c r="K287" s="340" t="s">
        <v>1961</v>
      </c>
      <c r="L287" s="610" t="s">
        <v>1595</v>
      </c>
      <c r="M287" s="592">
        <v>0.6</v>
      </c>
      <c r="N287" s="340" t="s">
        <v>1593</v>
      </c>
      <c r="O287" s="340" t="s">
        <v>1962</v>
      </c>
      <c r="P287" s="578">
        <v>0</v>
      </c>
      <c r="Q287" s="340"/>
      <c r="R287" s="315"/>
      <c r="S287" s="315"/>
      <c r="T287" s="423">
        <v>30</v>
      </c>
      <c r="U287" s="630">
        <v>45847</v>
      </c>
      <c r="V287" s="378">
        <f t="shared" ca="1" si="91"/>
        <v>7</v>
      </c>
      <c r="W287" s="292">
        <f t="shared" ca="1" si="89"/>
        <v>2025</v>
      </c>
      <c r="X287" s="291" t="str">
        <f t="shared" ca="1" si="90"/>
        <v>5 WEEK</v>
      </c>
      <c r="Y287" s="329">
        <v>45868</v>
      </c>
      <c r="Z287" s="541" cm="1">
        <f t="array" aca="1" ref="Z287" ca="1">_xlfn.IFS(AD287&lt;100,Y287,Y287&lt;TODAY(),TODAY(),Y287&gt;TODAY(),Y287,Y287=TODAY(),Y287)</f>
        <v>45868</v>
      </c>
      <c r="AA287" s="594"/>
      <c r="AB287" s="301"/>
      <c r="AC287" s="301"/>
      <c r="AD287" s="298">
        <f t="shared" si="82"/>
        <v>0</v>
      </c>
      <c r="AE287" s="299" t="str">
        <f t="shared" si="83"/>
        <v>Complete</v>
      </c>
      <c r="AF287" s="340"/>
      <c r="AG287" s="301"/>
      <c r="AH287" s="343"/>
      <c r="AI287" s="301">
        <f t="shared" ca="1" si="80"/>
        <v>0</v>
      </c>
      <c r="AJ287" s="302">
        <f t="shared" ca="1" si="81"/>
        <v>0</v>
      </c>
      <c r="AL287" s="303">
        <f t="shared" si="84"/>
        <v>261445.52</v>
      </c>
      <c r="AM287" s="303">
        <f t="shared" si="85"/>
        <v>261445.52</v>
      </c>
      <c r="AN287" s="303">
        <f t="shared" si="86"/>
        <v>0</v>
      </c>
      <c r="AO287" s="304">
        <f t="shared" si="87"/>
        <v>0</v>
      </c>
      <c r="AP287" s="273">
        <f t="shared" si="92"/>
        <v>1</v>
      </c>
      <c r="AQ287" s="273" t="str">
        <f t="shared" ca="1" si="88"/>
        <v>12025</v>
      </c>
    </row>
    <row r="288" spans="1:43" customFormat="1" ht="16.5">
      <c r="A288" s="587">
        <v>12</v>
      </c>
      <c r="B288" s="684" t="s">
        <v>1957</v>
      </c>
      <c r="C288" s="332" t="s">
        <v>1958</v>
      </c>
      <c r="D288" s="277" t="s">
        <v>1959</v>
      </c>
      <c r="E288" s="406">
        <v>45757</v>
      </c>
      <c r="F288" s="334">
        <f t="shared" si="96"/>
        <v>0.12095</v>
      </c>
      <c r="G288" s="348">
        <v>800680</v>
      </c>
      <c r="H288" s="301">
        <f>G288*18%</f>
        <v>144122.4</v>
      </c>
      <c r="I288" s="349">
        <f t="shared" si="97"/>
        <v>944802.4</v>
      </c>
      <c r="J288" s="349"/>
      <c r="K288" s="340" t="s">
        <v>1961</v>
      </c>
      <c r="L288" s="610" t="s">
        <v>1595</v>
      </c>
      <c r="M288" s="592">
        <v>0.6</v>
      </c>
      <c r="N288" s="340" t="s">
        <v>1593</v>
      </c>
      <c r="O288" s="340" t="s">
        <v>1963</v>
      </c>
      <c r="P288" s="734">
        <v>45877</v>
      </c>
      <c r="Q288" s="735" t="s">
        <v>1964</v>
      </c>
      <c r="R288" s="315">
        <v>359028.94760000001</v>
      </c>
      <c r="S288" s="315"/>
      <c r="T288" s="423">
        <v>30</v>
      </c>
      <c r="U288" s="630">
        <v>45847</v>
      </c>
      <c r="V288" s="378">
        <f t="shared" ca="1" si="91"/>
        <v>7</v>
      </c>
      <c r="W288" s="292">
        <f t="shared" ca="1" si="89"/>
        <v>2025</v>
      </c>
      <c r="X288" s="291" t="str">
        <f t="shared" ca="1" si="90"/>
        <v>5 WEEK</v>
      </c>
      <c r="Y288" s="329">
        <v>45868</v>
      </c>
      <c r="Z288" s="541" cm="1">
        <f t="array" aca="1" ref="Z288" ca="1">_xlfn.IFS(AD288&lt;100,Y288,Y288&lt;TODAY(),TODAY(),Y288&gt;TODAY(),Y288,Y288=TODAY(),Y288)</f>
        <v>45868</v>
      </c>
      <c r="AA288" s="594"/>
      <c r="AB288" s="301"/>
      <c r="AC288" s="301"/>
      <c r="AD288" s="298">
        <f t="shared" si="82"/>
        <v>0</v>
      </c>
      <c r="AE288" s="299" t="str">
        <f t="shared" si="83"/>
        <v>Complete</v>
      </c>
      <c r="AF288" s="340"/>
      <c r="AG288" s="301"/>
      <c r="AH288" s="343"/>
      <c r="AI288" s="301">
        <f t="shared" ca="1" si="80"/>
        <v>0</v>
      </c>
      <c r="AJ288" s="302">
        <f t="shared" ca="1" si="81"/>
        <v>0</v>
      </c>
      <c r="AL288" s="303">
        <f t="shared" si="84"/>
        <v>944802.4</v>
      </c>
      <c r="AM288" s="303">
        <f t="shared" si="85"/>
        <v>585773.45240000007</v>
      </c>
      <c r="AN288" s="303">
        <f t="shared" si="86"/>
        <v>359028.94760000001</v>
      </c>
      <c r="AO288" s="304">
        <f t="shared" si="87"/>
        <v>0</v>
      </c>
      <c r="AP288" s="273">
        <f t="shared" si="92"/>
        <v>8</v>
      </c>
      <c r="AQ288" s="273" t="str">
        <f t="shared" ca="1" si="88"/>
        <v>82025</v>
      </c>
    </row>
    <row r="289" spans="1:43" customFormat="1" ht="16.5">
      <c r="A289" s="587">
        <v>12</v>
      </c>
      <c r="B289" s="684" t="s">
        <v>1957</v>
      </c>
      <c r="C289" s="332" t="s">
        <v>1958</v>
      </c>
      <c r="D289" s="277" t="s">
        <v>1959</v>
      </c>
      <c r="E289" s="406">
        <v>45757</v>
      </c>
      <c r="F289" s="334">
        <f t="shared" si="96"/>
        <v>0.12095</v>
      </c>
      <c r="G289" s="301">
        <v>150000</v>
      </c>
      <c r="H289" s="301">
        <f t="shared" ref="H289:H290" si="98">G289*18%</f>
        <v>27000</v>
      </c>
      <c r="I289" s="349">
        <f t="shared" si="97"/>
        <v>177000</v>
      </c>
      <c r="J289" s="349"/>
      <c r="K289" s="340" t="s">
        <v>1961</v>
      </c>
      <c r="L289" s="610" t="s">
        <v>1595</v>
      </c>
      <c r="M289" s="592">
        <v>0.6</v>
      </c>
      <c r="N289" s="340" t="s">
        <v>1593</v>
      </c>
      <c r="O289" s="340" t="s">
        <v>1965</v>
      </c>
      <c r="P289" s="734">
        <v>45880</v>
      </c>
      <c r="Q289" s="735" t="s">
        <v>1966</v>
      </c>
      <c r="R289" s="315">
        <v>151170.08319999999</v>
      </c>
      <c r="S289" s="315"/>
      <c r="T289" s="423">
        <v>30</v>
      </c>
      <c r="U289" s="630">
        <v>45847</v>
      </c>
      <c r="V289" s="378">
        <f t="shared" ca="1" si="91"/>
        <v>7</v>
      </c>
      <c r="W289" s="292">
        <f t="shared" ca="1" si="89"/>
        <v>2025</v>
      </c>
      <c r="X289" s="291" t="str">
        <f t="shared" ca="1" si="90"/>
        <v>5 WEEK</v>
      </c>
      <c r="Y289" s="329">
        <v>45868</v>
      </c>
      <c r="Z289" s="541" cm="1">
        <f t="array" aca="1" ref="Z289" ca="1">_xlfn.IFS(AD289&lt;100,Y289,Y289&lt;TODAY(),TODAY(),Y289&gt;TODAY(),Y289,Y289=TODAY(),Y289)</f>
        <v>45868</v>
      </c>
      <c r="AA289" s="594"/>
      <c r="AB289" s="301"/>
      <c r="AC289" s="301"/>
      <c r="AD289" s="298">
        <f t="shared" si="82"/>
        <v>0</v>
      </c>
      <c r="AE289" s="299" t="str">
        <f t="shared" si="83"/>
        <v>Complete</v>
      </c>
      <c r="AF289" s="340"/>
      <c r="AG289" s="301"/>
      <c r="AH289" s="343"/>
      <c r="AI289" s="301">
        <f t="shared" ca="1" si="80"/>
        <v>0</v>
      </c>
      <c r="AJ289" s="302">
        <f t="shared" ca="1" si="81"/>
        <v>0</v>
      </c>
      <c r="AL289" s="303">
        <f t="shared" si="84"/>
        <v>177000</v>
      </c>
      <c r="AM289" s="303">
        <f t="shared" si="85"/>
        <v>25829.916800000006</v>
      </c>
      <c r="AN289" s="303">
        <f t="shared" si="86"/>
        <v>151170.08319999999</v>
      </c>
      <c r="AO289" s="304">
        <f t="shared" si="87"/>
        <v>0</v>
      </c>
      <c r="AP289" s="273">
        <f t="shared" si="92"/>
        <v>8</v>
      </c>
      <c r="AQ289" s="273" t="str">
        <f t="shared" ca="1" si="88"/>
        <v>82025</v>
      </c>
    </row>
    <row r="290" spans="1:43" customFormat="1" ht="15.75">
      <c r="A290" s="587">
        <v>12</v>
      </c>
      <c r="B290" s="684" t="s">
        <v>1957</v>
      </c>
      <c r="C290" s="332" t="s">
        <v>1958</v>
      </c>
      <c r="D290" s="277" t="s">
        <v>1959</v>
      </c>
      <c r="E290" s="406">
        <v>45757</v>
      </c>
      <c r="F290" s="334">
        <f t="shared" si="96"/>
        <v>0.12095</v>
      </c>
      <c r="G290" s="301">
        <v>133045</v>
      </c>
      <c r="H290" s="301">
        <f t="shared" si="98"/>
        <v>23948.1</v>
      </c>
      <c r="I290" s="349">
        <f t="shared" si="97"/>
        <v>156993.1</v>
      </c>
      <c r="J290" s="349"/>
      <c r="K290" s="340" t="s">
        <v>1967</v>
      </c>
      <c r="L290" s="340" t="s">
        <v>1639</v>
      </c>
      <c r="M290" s="592">
        <v>0.05</v>
      </c>
      <c r="N290" s="340" t="s">
        <v>1618</v>
      </c>
      <c r="O290" s="340" t="s">
        <v>1968</v>
      </c>
      <c r="P290" s="578">
        <v>0</v>
      </c>
      <c r="Q290" s="340"/>
      <c r="R290" s="315"/>
      <c r="S290" s="315"/>
      <c r="T290" s="423">
        <v>30</v>
      </c>
      <c r="U290" s="630">
        <v>45847</v>
      </c>
      <c r="V290" s="378">
        <f t="shared" ca="1" si="91"/>
        <v>10</v>
      </c>
      <c r="W290" s="292">
        <f t="shared" ca="1" si="89"/>
        <v>2025</v>
      </c>
      <c r="X290" s="291" t="str">
        <f t="shared" ca="1" si="90"/>
        <v>1 WEEK</v>
      </c>
      <c r="Y290" s="329">
        <v>45868</v>
      </c>
      <c r="Z290" s="341" cm="1">
        <f t="array" aca="1" ref="Z290" ca="1">_xlfn.IFS(AD290&lt;100,Y290,Y290&lt;TODAY(),TODAY(),Y290&gt;TODAY(),Y290,Y290=TODAY(),Y290)</f>
        <v>45935</v>
      </c>
      <c r="AA290" s="330">
        <f>SUM(I286:I290)*M290</f>
        <v>198455.49900000001</v>
      </c>
      <c r="AB290" s="301"/>
      <c r="AC290" s="301"/>
      <c r="AD290" s="298">
        <f t="shared" si="82"/>
        <v>198455</v>
      </c>
      <c r="AE290" s="299" t="str">
        <f t="shared" si="83"/>
        <v>Incomplete</v>
      </c>
      <c r="AF290" s="340"/>
      <c r="AG290" s="301"/>
      <c r="AH290" s="343"/>
      <c r="AI290" s="301">
        <f t="shared" ca="1" si="80"/>
        <v>67</v>
      </c>
      <c r="AJ290" s="302" t="str">
        <f t="shared" ca="1" si="81"/>
        <v>Delayed</v>
      </c>
      <c r="AL290" s="303">
        <f t="shared" si="84"/>
        <v>156993.1</v>
      </c>
      <c r="AM290" s="303">
        <f t="shared" si="85"/>
        <v>156993.1</v>
      </c>
      <c r="AN290" s="303">
        <f t="shared" si="86"/>
        <v>0</v>
      </c>
      <c r="AO290" s="304">
        <f t="shared" si="87"/>
        <v>0</v>
      </c>
      <c r="AP290" s="273">
        <f t="shared" si="92"/>
        <v>1</v>
      </c>
      <c r="AQ290" s="273" t="str">
        <f t="shared" ca="1" si="88"/>
        <v>12025</v>
      </c>
    </row>
    <row r="291" spans="1:43" customFormat="1" ht="15.75">
      <c r="A291" s="717">
        <v>12</v>
      </c>
      <c r="B291" s="510" t="s">
        <v>1957</v>
      </c>
      <c r="C291" s="369" t="s">
        <v>1958</v>
      </c>
      <c r="D291" s="277" t="s">
        <v>1959</v>
      </c>
      <c r="E291" s="736">
        <v>45757</v>
      </c>
      <c r="F291" s="370">
        <f t="shared" si="96"/>
        <v>0.12095</v>
      </c>
      <c r="G291" s="376"/>
      <c r="H291" s="376"/>
      <c r="I291" s="696"/>
      <c r="J291" s="696"/>
      <c r="K291" s="378" t="s">
        <v>1969</v>
      </c>
      <c r="L291" s="378" t="s">
        <v>1643</v>
      </c>
      <c r="M291" s="697">
        <v>0.05</v>
      </c>
      <c r="N291" s="378" t="s">
        <v>1618</v>
      </c>
      <c r="O291" s="378" t="s">
        <v>1968</v>
      </c>
      <c r="P291" s="573">
        <v>0</v>
      </c>
      <c r="Q291" s="273"/>
      <c r="R291" s="314"/>
      <c r="S291" s="423"/>
      <c r="T291" s="423">
        <v>30</v>
      </c>
      <c r="U291" s="630">
        <v>45847</v>
      </c>
      <c r="V291" s="378">
        <f t="shared" ca="1" si="91"/>
        <v>10</v>
      </c>
      <c r="W291" s="737">
        <f t="shared" ca="1" si="89"/>
        <v>2025</v>
      </c>
      <c r="X291" s="390" t="str">
        <f t="shared" ca="1" si="90"/>
        <v>1 WEEK</v>
      </c>
      <c r="Y291" s="738">
        <f>Y290+T291</f>
        <v>45898</v>
      </c>
      <c r="Z291" s="380" cm="1">
        <f t="array" aca="1" ref="Z291" ca="1">_xlfn.IFS(AD291&lt;100,Y291,Y291&lt;TODAY(),TODAY(),Y291&gt;TODAY(),Y291,Y291=TODAY(),Y291)</f>
        <v>45935</v>
      </c>
      <c r="AA291" s="424">
        <f>SUM(I286:I290)*M291+SUM(H285:H290)*M285</f>
        <v>343451.04300000001</v>
      </c>
      <c r="AB291" s="376"/>
      <c r="AC291" s="376"/>
      <c r="AD291" s="298">
        <f t="shared" si="82"/>
        <v>343451</v>
      </c>
      <c r="AE291" s="299" t="str">
        <f t="shared" si="83"/>
        <v>Incomplete</v>
      </c>
      <c r="AF291" s="378"/>
      <c r="AG291" s="376"/>
      <c r="AH291" s="382"/>
      <c r="AI291" s="301">
        <f t="shared" ca="1" si="80"/>
        <v>37</v>
      </c>
      <c r="AJ291" s="302" t="str">
        <f t="shared" ca="1" si="81"/>
        <v>Delayed</v>
      </c>
      <c r="AL291" s="303">
        <f t="shared" si="84"/>
        <v>0</v>
      </c>
      <c r="AM291" s="303">
        <f t="shared" si="85"/>
        <v>0</v>
      </c>
      <c r="AN291" s="303">
        <f t="shared" si="86"/>
        <v>0</v>
      </c>
      <c r="AO291" s="304">
        <f t="shared" si="87"/>
        <v>0</v>
      </c>
      <c r="AP291" s="273">
        <f t="shared" si="92"/>
        <v>1</v>
      </c>
      <c r="AQ291" s="273" t="str">
        <f t="shared" ca="1" si="88"/>
        <v>12025</v>
      </c>
    </row>
    <row r="292" spans="1:43" customFormat="1" ht="15.75">
      <c r="A292" s="312">
        <v>12</v>
      </c>
      <c r="B292" s="672" t="s">
        <v>1957</v>
      </c>
      <c r="C292" s="277" t="s">
        <v>1958</v>
      </c>
      <c r="D292" s="277" t="s">
        <v>1959</v>
      </c>
      <c r="E292" s="440">
        <v>45757</v>
      </c>
      <c r="F292" s="739">
        <f t="shared" si="96"/>
        <v>0.12095</v>
      </c>
      <c r="G292" s="451"/>
      <c r="H292" s="451"/>
      <c r="I292" s="455"/>
      <c r="J292" s="455"/>
      <c r="K292" s="273"/>
      <c r="L292" s="273"/>
      <c r="M292" s="665"/>
      <c r="N292" s="273"/>
      <c r="O292" s="273"/>
      <c r="P292" s="707">
        <v>0</v>
      </c>
      <c r="Q292" s="273"/>
      <c r="R292" s="450"/>
      <c r="S292" s="450"/>
      <c r="T292" s="450"/>
      <c r="U292" s="273"/>
      <c r="V292" s="378">
        <f t="shared" ca="1" si="91"/>
        <v>8</v>
      </c>
      <c r="W292" s="737">
        <f t="shared" ca="1" si="89"/>
        <v>2025</v>
      </c>
      <c r="X292" s="390" t="str">
        <f t="shared" ca="1" si="90"/>
        <v>5 WEEK</v>
      </c>
      <c r="Y292" s="738">
        <f t="shared" ref="Y292:Y295" si="99">Y291+T292</f>
        <v>45898</v>
      </c>
      <c r="Z292" s="380" cm="1">
        <f t="array" aca="1" ref="Z292" ca="1">_xlfn.IFS(AD292&lt;100,Y292,Y292&lt;TODAY(),TODAY(),Y292&gt;TODAY(),Y292,Y292=TODAY(),Y292)</f>
        <v>45898</v>
      </c>
      <c r="AA292" s="452"/>
      <c r="AB292" s="451"/>
      <c r="AC292" s="451"/>
      <c r="AD292" s="298">
        <f t="shared" si="82"/>
        <v>0</v>
      </c>
      <c r="AE292" s="299" t="str">
        <f t="shared" si="83"/>
        <v>Complete</v>
      </c>
      <c r="AF292" s="273"/>
      <c r="AG292" s="451"/>
      <c r="AH292" s="451"/>
      <c r="AI292" s="301">
        <f t="shared" ca="1" si="80"/>
        <v>0</v>
      </c>
      <c r="AJ292" s="302">
        <f t="shared" ca="1" si="81"/>
        <v>0</v>
      </c>
      <c r="AL292" s="303">
        <f t="shared" si="84"/>
        <v>0</v>
      </c>
      <c r="AM292" s="303">
        <f t="shared" si="85"/>
        <v>0</v>
      </c>
      <c r="AN292" s="303">
        <f t="shared" si="86"/>
        <v>0</v>
      </c>
      <c r="AO292" s="304">
        <f t="shared" si="87"/>
        <v>0</v>
      </c>
      <c r="AP292" s="273">
        <f t="shared" si="92"/>
        <v>1</v>
      </c>
      <c r="AQ292" s="273" t="str">
        <f t="shared" ca="1" si="88"/>
        <v>12025</v>
      </c>
    </row>
    <row r="293" spans="1:43" customFormat="1" ht="15.75">
      <c r="A293" s="312"/>
      <c r="B293" s="672"/>
      <c r="C293" s="277"/>
      <c r="D293" s="277"/>
      <c r="E293" s="440"/>
      <c r="F293" s="739"/>
      <c r="G293" s="451"/>
      <c r="H293" s="451"/>
      <c r="I293" s="455"/>
      <c r="J293" s="455"/>
      <c r="K293" s="273"/>
      <c r="L293" s="273"/>
      <c r="M293" s="665"/>
      <c r="N293" s="273"/>
      <c r="O293" s="273"/>
      <c r="P293" s="707">
        <v>0</v>
      </c>
      <c r="Q293" s="273"/>
      <c r="R293" s="450"/>
      <c r="S293" s="450"/>
      <c r="T293" s="450"/>
      <c r="U293" s="273"/>
      <c r="V293" s="378">
        <f t="shared" ca="1" si="91"/>
        <v>8</v>
      </c>
      <c r="W293" s="737">
        <f t="shared" ca="1" si="89"/>
        <v>2025</v>
      </c>
      <c r="X293" s="390" t="str">
        <f t="shared" ca="1" si="90"/>
        <v>5 WEEK</v>
      </c>
      <c r="Y293" s="738">
        <f t="shared" si="99"/>
        <v>45898</v>
      </c>
      <c r="Z293" s="380" cm="1">
        <f t="array" aca="1" ref="Z293" ca="1">_xlfn.IFS(AD293&lt;100,Y293,Y293&lt;TODAY(),TODAY(),Y293&gt;TODAY(),Y293,Y293=TODAY(),Y293)</f>
        <v>45898</v>
      </c>
      <c r="AA293" s="452"/>
      <c r="AB293" s="451"/>
      <c r="AC293" s="451"/>
      <c r="AD293" s="298">
        <f t="shared" si="82"/>
        <v>0</v>
      </c>
      <c r="AE293" s="299" t="str">
        <f t="shared" si="83"/>
        <v>Complete</v>
      </c>
      <c r="AF293" s="273"/>
      <c r="AG293" s="451"/>
      <c r="AH293" s="451"/>
      <c r="AI293" s="301">
        <f t="shared" ca="1" si="80"/>
        <v>0</v>
      </c>
      <c r="AJ293" s="302">
        <f t="shared" ca="1" si="81"/>
        <v>0</v>
      </c>
      <c r="AL293" s="303">
        <f t="shared" si="84"/>
        <v>0</v>
      </c>
      <c r="AM293" s="303">
        <f t="shared" si="85"/>
        <v>0</v>
      </c>
      <c r="AN293" s="303">
        <f t="shared" si="86"/>
        <v>0</v>
      </c>
      <c r="AO293" s="304">
        <f t="shared" si="87"/>
        <v>0</v>
      </c>
      <c r="AP293" s="273">
        <f t="shared" si="92"/>
        <v>1</v>
      </c>
      <c r="AQ293" s="273" t="str">
        <f t="shared" ca="1" si="88"/>
        <v>12025</v>
      </c>
    </row>
    <row r="294" spans="1:43" customFormat="1" ht="18">
      <c r="A294" s="525">
        <v>13</v>
      </c>
      <c r="B294" s="740" t="s">
        <v>1970</v>
      </c>
      <c r="C294" s="276" t="s">
        <v>1971</v>
      </c>
      <c r="D294" s="277" t="s">
        <v>1972</v>
      </c>
      <c r="E294" s="630">
        <v>45373</v>
      </c>
      <c r="F294" s="279">
        <v>1.8</v>
      </c>
      <c r="G294" s="451"/>
      <c r="H294" s="451"/>
      <c r="I294" s="455"/>
      <c r="J294" s="455"/>
      <c r="K294" s="273"/>
      <c r="L294" s="273"/>
      <c r="M294" s="665"/>
      <c r="N294" s="273"/>
      <c r="O294" s="273"/>
      <c r="P294" s="707">
        <v>0</v>
      </c>
      <c r="Q294" s="273"/>
      <c r="R294" s="741" t="e">
        <v>#VALUE!</v>
      </c>
      <c r="S294" s="450"/>
      <c r="T294" s="450"/>
      <c r="U294" s="273"/>
      <c r="V294" s="378">
        <f t="shared" ca="1" si="91"/>
        <v>8</v>
      </c>
      <c r="W294" s="737">
        <f t="shared" ca="1" si="89"/>
        <v>2025</v>
      </c>
      <c r="X294" s="390" t="str">
        <f t="shared" ca="1" si="90"/>
        <v>5 WEEK</v>
      </c>
      <c r="Y294" s="738">
        <f t="shared" si="99"/>
        <v>45898</v>
      </c>
      <c r="Z294" s="380" cm="1">
        <f t="array" aca="1" ref="Z294" ca="1">_xlfn.IFS(AD294&lt;100,Y294,Y294&lt;TODAY(),TODAY(),Y294&gt;TODAY(),Y294,Y294=TODAY(),Y294)</f>
        <v>45898</v>
      </c>
      <c r="AA294" s="452"/>
      <c r="AB294" s="676"/>
      <c r="AC294" s="451"/>
      <c r="AD294" s="298">
        <f t="shared" si="82"/>
        <v>0</v>
      </c>
      <c r="AE294" s="299" t="str">
        <f t="shared" si="83"/>
        <v>Complete</v>
      </c>
      <c r="AF294" s="273"/>
      <c r="AG294" s="451"/>
      <c r="AH294" s="451"/>
      <c r="AI294" s="301">
        <f t="shared" ca="1" si="80"/>
        <v>0</v>
      </c>
      <c r="AJ294" s="302">
        <f t="shared" ca="1" si="81"/>
        <v>0</v>
      </c>
      <c r="AL294" s="303">
        <f t="shared" si="84"/>
        <v>0</v>
      </c>
      <c r="AM294" s="303">
        <f t="shared" si="85"/>
        <v>0</v>
      </c>
      <c r="AN294" s="303">
        <f t="shared" si="86"/>
        <v>0</v>
      </c>
      <c r="AO294" s="304">
        <f t="shared" si="87"/>
        <v>0</v>
      </c>
      <c r="AP294" s="273">
        <f t="shared" si="92"/>
        <v>1</v>
      </c>
      <c r="AQ294" s="273" t="str">
        <f t="shared" ca="1" si="88"/>
        <v>12025</v>
      </c>
    </row>
    <row r="295" spans="1:43" customFormat="1" ht="15.75">
      <c r="A295" s="312">
        <v>13</v>
      </c>
      <c r="B295" s="740" t="s">
        <v>1970</v>
      </c>
      <c r="C295" s="276" t="s">
        <v>1971</v>
      </c>
      <c r="D295" s="277" t="s">
        <v>1972</v>
      </c>
      <c r="E295" s="630">
        <v>45373</v>
      </c>
      <c r="F295" s="279">
        <v>1.8</v>
      </c>
      <c r="G295" s="299"/>
      <c r="H295" s="299"/>
      <c r="I295" s="634"/>
      <c r="J295" s="634"/>
      <c r="K295" s="291" t="s">
        <v>1973</v>
      </c>
      <c r="L295" s="291" t="s">
        <v>1592</v>
      </c>
      <c r="M295" s="583">
        <v>0.1</v>
      </c>
      <c r="N295" s="291" t="s">
        <v>1593</v>
      </c>
      <c r="O295" s="291"/>
      <c r="P295" s="598">
        <v>0</v>
      </c>
      <c r="Q295" s="291"/>
      <c r="R295" s="314"/>
      <c r="S295" s="742">
        <f t="shared" ref="S295:S328" si="100">R295/SUM($I$295:$I$328)</f>
        <v>0</v>
      </c>
      <c r="T295" s="530">
        <v>7</v>
      </c>
      <c r="U295" s="294">
        <f t="shared" ref="U295:U358" si="101">E295+20*7</f>
        <v>45513</v>
      </c>
      <c r="V295" s="378">
        <f t="shared" ca="1" si="91"/>
        <v>9</v>
      </c>
      <c r="W295" s="737">
        <f t="shared" ca="1" si="89"/>
        <v>2025</v>
      </c>
      <c r="X295" s="390" t="str">
        <f t="shared" ca="1" si="90"/>
        <v>1 WEEK</v>
      </c>
      <c r="Y295" s="738">
        <f t="shared" si="99"/>
        <v>45905</v>
      </c>
      <c r="Z295" s="380" cm="1">
        <f t="array" aca="1" ref="Z295" ca="1">_xlfn.IFS(AD295&lt;100,Y295,Y295&lt;TODAY(),TODAY(),Y295&gt;TODAY(),Y295,Y295=TODAY(),Y295)</f>
        <v>45905</v>
      </c>
      <c r="AA295" s="710">
        <f>SUM(G295:G328)*M295</f>
        <v>1050000</v>
      </c>
      <c r="AB295" s="533">
        <f>AA295-AC295</f>
        <v>1048950</v>
      </c>
      <c r="AC295" s="299">
        <f>AA295*0.1%</f>
        <v>1050</v>
      </c>
      <c r="AD295" s="298">
        <f t="shared" si="82"/>
        <v>0</v>
      </c>
      <c r="AE295" s="299" t="str">
        <f t="shared" si="83"/>
        <v>Complete</v>
      </c>
      <c r="AF295" s="291"/>
      <c r="AG295" s="299"/>
      <c r="AH295" s="318"/>
      <c r="AI295" s="301">
        <f t="shared" ca="1" si="80"/>
        <v>0</v>
      </c>
      <c r="AJ295" s="302">
        <f t="shared" ca="1" si="81"/>
        <v>0</v>
      </c>
      <c r="AL295" s="303">
        <f t="shared" si="84"/>
        <v>0</v>
      </c>
      <c r="AM295" s="303">
        <f t="shared" si="85"/>
        <v>0</v>
      </c>
      <c r="AN295" s="303">
        <f t="shared" si="86"/>
        <v>0</v>
      </c>
      <c r="AO295" s="304">
        <f t="shared" si="87"/>
        <v>0</v>
      </c>
      <c r="AP295" s="273">
        <f t="shared" si="92"/>
        <v>1</v>
      </c>
      <c r="AQ295" s="273" t="str">
        <f t="shared" ca="1" si="88"/>
        <v>12025</v>
      </c>
    </row>
    <row r="296" spans="1:43" customFormat="1" ht="16.5">
      <c r="A296" s="392">
        <v>13</v>
      </c>
      <c r="B296" s="743" t="s">
        <v>1970</v>
      </c>
      <c r="C296" s="332" t="s">
        <v>1971</v>
      </c>
      <c r="D296" s="277" t="s">
        <v>1972</v>
      </c>
      <c r="E296" s="406">
        <v>45373</v>
      </c>
      <c r="F296" s="334">
        <v>1.8</v>
      </c>
      <c r="G296" s="301">
        <v>1260000</v>
      </c>
      <c r="H296" s="301">
        <v>226800</v>
      </c>
      <c r="I296" s="349">
        <v>1486800</v>
      </c>
      <c r="J296" s="349"/>
      <c r="K296" s="340" t="s">
        <v>1974</v>
      </c>
      <c r="L296" s="340" t="s">
        <v>1915</v>
      </c>
      <c r="M296" s="592">
        <v>2.5000000000000001E-2</v>
      </c>
      <c r="N296" s="340" t="s">
        <v>1593</v>
      </c>
      <c r="O296" s="610" t="s">
        <v>1975</v>
      </c>
      <c r="P296" s="611">
        <v>45544</v>
      </c>
      <c r="Q296" s="481" t="s">
        <v>1976</v>
      </c>
      <c r="R296" s="315">
        <v>1486800</v>
      </c>
      <c r="S296" s="612">
        <f t="shared" si="100"/>
        <v>0.12</v>
      </c>
      <c r="T296" s="315">
        <v>15</v>
      </c>
      <c r="U296" s="341">
        <f t="shared" si="101"/>
        <v>45513</v>
      </c>
      <c r="V296" s="378">
        <f t="shared" ca="1" si="91"/>
        <v>9</v>
      </c>
      <c r="W296" s="292">
        <f t="shared" ca="1" si="89"/>
        <v>2024</v>
      </c>
      <c r="X296" s="291" t="str">
        <f t="shared" ca="1" si="90"/>
        <v>2 WEEK</v>
      </c>
      <c r="Y296" s="484">
        <v>45547</v>
      </c>
      <c r="Z296" s="341" cm="1">
        <f t="array" aca="1" ref="Z296" ca="1">_xlfn.IFS(AD296&lt;100,Y296,Y296&lt;TODAY(),TODAY(),Y296&gt;TODAY(),Y296,Y296=TODAY(),Y296)</f>
        <v>45547</v>
      </c>
      <c r="AA296" s="330">
        <f>SUM(I295:I328)*M296</f>
        <v>309750</v>
      </c>
      <c r="AB296" s="518">
        <f>AA296-AC296</f>
        <v>309440.25</v>
      </c>
      <c r="AC296" s="301">
        <f>AA296*0.1%</f>
        <v>309.75</v>
      </c>
      <c r="AD296" s="298">
        <f t="shared" si="82"/>
        <v>0</v>
      </c>
      <c r="AE296" s="299" t="str">
        <f t="shared" si="83"/>
        <v>Complete</v>
      </c>
      <c r="AF296" s="340"/>
      <c r="AG296" s="301"/>
      <c r="AH296" s="343"/>
      <c r="AI296" s="301">
        <f t="shared" ca="1" si="80"/>
        <v>0</v>
      </c>
      <c r="AJ296" s="302">
        <f t="shared" ca="1" si="81"/>
        <v>0</v>
      </c>
      <c r="AL296" s="303">
        <f t="shared" si="84"/>
        <v>1486800</v>
      </c>
      <c r="AM296" s="303">
        <f t="shared" si="85"/>
        <v>0</v>
      </c>
      <c r="AN296" s="303">
        <f t="shared" si="86"/>
        <v>1486800</v>
      </c>
      <c r="AO296" s="304">
        <f t="shared" si="87"/>
        <v>0</v>
      </c>
      <c r="AP296" s="273">
        <f t="shared" si="92"/>
        <v>9</v>
      </c>
      <c r="AQ296" s="273" t="str">
        <f t="shared" ca="1" si="88"/>
        <v>92024</v>
      </c>
    </row>
    <row r="297" spans="1:43" customFormat="1" ht="16.5">
      <c r="A297" s="392">
        <v>13</v>
      </c>
      <c r="B297" s="743" t="s">
        <v>1970</v>
      </c>
      <c r="C297" s="332" t="s">
        <v>1971</v>
      </c>
      <c r="D297" s="277" t="s">
        <v>1972</v>
      </c>
      <c r="E297" s="406">
        <v>45373</v>
      </c>
      <c r="F297" s="334">
        <v>1.8</v>
      </c>
      <c r="G297" s="348"/>
      <c r="H297" s="301"/>
      <c r="I297" s="349">
        <v>0</v>
      </c>
      <c r="J297" s="349"/>
      <c r="K297" s="340" t="s">
        <v>1977</v>
      </c>
      <c r="L297" s="340" t="s">
        <v>1919</v>
      </c>
      <c r="M297" s="592">
        <v>2.5000000000000001E-2</v>
      </c>
      <c r="N297" s="340" t="s">
        <v>1593</v>
      </c>
      <c r="O297" s="610" t="s">
        <v>1978</v>
      </c>
      <c r="P297" s="611">
        <v>45506</v>
      </c>
      <c r="Q297" s="481" t="s">
        <v>1979</v>
      </c>
      <c r="R297" s="315">
        <v>-247800</v>
      </c>
      <c r="S297" s="612">
        <f t="shared" si="100"/>
        <v>-0.02</v>
      </c>
      <c r="T297" s="315">
        <v>15</v>
      </c>
      <c r="U297" s="341">
        <f t="shared" si="101"/>
        <v>45513</v>
      </c>
      <c r="V297" s="378">
        <f t="shared" ca="1" si="91"/>
        <v>8</v>
      </c>
      <c r="W297" s="292">
        <f t="shared" ca="1" si="89"/>
        <v>2024</v>
      </c>
      <c r="X297" s="291" t="str">
        <f t="shared" ca="1" si="90"/>
        <v>3 WEEK</v>
      </c>
      <c r="Y297" s="329">
        <f t="shared" ref="Y297:Y300" si="102">P297+T297</f>
        <v>45521</v>
      </c>
      <c r="Z297" s="341" cm="1">
        <f t="array" aca="1" ref="Z297" ca="1">_xlfn.IFS(AD297&lt;100,Y297,Y297&lt;TODAY(),TODAY(),Y297&gt;TODAY(),Y297,Y297=TODAY(),Y297)</f>
        <v>45521</v>
      </c>
      <c r="AA297" s="330">
        <f>SUM(I295:I328)*M297</f>
        <v>309750</v>
      </c>
      <c r="AB297" s="518">
        <f>AA297-AC297</f>
        <v>309440.25</v>
      </c>
      <c r="AC297" s="301">
        <f>AA297*0.1%</f>
        <v>309.75</v>
      </c>
      <c r="AD297" s="298">
        <f t="shared" si="82"/>
        <v>0</v>
      </c>
      <c r="AE297" s="299" t="str">
        <f t="shared" si="83"/>
        <v>Complete</v>
      </c>
      <c r="AF297" s="340"/>
      <c r="AG297" s="340"/>
      <c r="AH297" s="744"/>
      <c r="AI297" s="301">
        <f t="shared" ca="1" si="80"/>
        <v>0</v>
      </c>
      <c r="AJ297" s="302">
        <f t="shared" ca="1" si="81"/>
        <v>0</v>
      </c>
      <c r="AL297" s="303">
        <f t="shared" si="84"/>
        <v>0</v>
      </c>
      <c r="AM297" s="303">
        <f t="shared" si="85"/>
        <v>247800</v>
      </c>
      <c r="AN297" s="303">
        <f t="shared" si="86"/>
        <v>-247800</v>
      </c>
      <c r="AO297" s="304">
        <f t="shared" si="87"/>
        <v>0</v>
      </c>
      <c r="AP297" s="273">
        <f t="shared" si="92"/>
        <v>8</v>
      </c>
      <c r="AQ297" s="273" t="str">
        <f t="shared" ca="1" si="88"/>
        <v>82024</v>
      </c>
    </row>
    <row r="298" spans="1:43" customFormat="1" ht="16.5">
      <c r="A298" s="392">
        <v>13</v>
      </c>
      <c r="B298" s="743" t="s">
        <v>1970</v>
      </c>
      <c r="C298" s="332" t="s">
        <v>1971</v>
      </c>
      <c r="D298" s="277" t="s">
        <v>1972</v>
      </c>
      <c r="E298" s="406">
        <v>45373</v>
      </c>
      <c r="F298" s="334">
        <v>1.8</v>
      </c>
      <c r="G298" s="348">
        <v>945000</v>
      </c>
      <c r="H298" s="301">
        <v>170100</v>
      </c>
      <c r="I298" s="349">
        <v>1115100</v>
      </c>
      <c r="J298" s="349"/>
      <c r="K298" s="340" t="s">
        <v>1977</v>
      </c>
      <c r="L298" s="340" t="s">
        <v>1919</v>
      </c>
      <c r="M298" s="592">
        <v>2.5000000000000001E-2</v>
      </c>
      <c r="N298" s="340" t="s">
        <v>1593</v>
      </c>
      <c r="O298" s="610" t="s">
        <v>1980</v>
      </c>
      <c r="P298" s="611">
        <v>45544</v>
      </c>
      <c r="Q298" s="745" t="s">
        <v>1981</v>
      </c>
      <c r="R298" s="746">
        <v>1115100</v>
      </c>
      <c r="S298" s="747">
        <f t="shared" si="100"/>
        <v>0.09</v>
      </c>
      <c r="T298" s="315">
        <v>15</v>
      </c>
      <c r="U298" s="341">
        <f t="shared" si="101"/>
        <v>45513</v>
      </c>
      <c r="V298" s="378">
        <f t="shared" ca="1" si="91"/>
        <v>9</v>
      </c>
      <c r="W298" s="292">
        <f t="shared" ca="1" si="89"/>
        <v>2024</v>
      </c>
      <c r="X298" s="291" t="str">
        <f t="shared" ca="1" si="90"/>
        <v>4 WEEK</v>
      </c>
      <c r="Y298" s="329">
        <f t="shared" si="102"/>
        <v>45559</v>
      </c>
      <c r="Z298" s="341" cm="1">
        <f t="array" aca="1" ref="Z298" ca="1">_xlfn.IFS(AD298&lt;100,Y298,Y298&lt;TODAY(),TODAY(),Y298&gt;TODAY(),Y298,Y298=TODAY(),Y298)</f>
        <v>45559</v>
      </c>
      <c r="AA298" s="594"/>
      <c r="AB298" s="301"/>
      <c r="AC298" s="301"/>
      <c r="AD298" s="298">
        <f t="shared" si="82"/>
        <v>0</v>
      </c>
      <c r="AE298" s="299" t="str">
        <f t="shared" si="83"/>
        <v>Complete</v>
      </c>
      <c r="AF298" s="340"/>
      <c r="AG298" s="340"/>
      <c r="AH298" s="744"/>
      <c r="AI298" s="301">
        <f t="shared" ca="1" si="80"/>
        <v>0</v>
      </c>
      <c r="AJ298" s="302">
        <f t="shared" ca="1" si="81"/>
        <v>0</v>
      </c>
      <c r="AL298" s="303">
        <f t="shared" si="84"/>
        <v>1115100</v>
      </c>
      <c r="AM298" s="303">
        <f t="shared" si="85"/>
        <v>0</v>
      </c>
      <c r="AN298" s="303">
        <f t="shared" si="86"/>
        <v>1115100</v>
      </c>
      <c r="AO298" s="304">
        <f t="shared" si="87"/>
        <v>0</v>
      </c>
      <c r="AP298" s="273">
        <f t="shared" si="92"/>
        <v>9</v>
      </c>
      <c r="AQ298" s="273" t="str">
        <f t="shared" ca="1" si="88"/>
        <v>92024</v>
      </c>
    </row>
    <row r="299" spans="1:43" customFormat="1" ht="16.5">
      <c r="A299" s="392">
        <v>13</v>
      </c>
      <c r="B299" s="743" t="s">
        <v>1970</v>
      </c>
      <c r="C299" s="332" t="s">
        <v>1971</v>
      </c>
      <c r="D299" s="277" t="s">
        <v>1972</v>
      </c>
      <c r="E299" s="406">
        <v>45373</v>
      </c>
      <c r="F299" s="334">
        <v>1.8</v>
      </c>
      <c r="G299" s="348">
        <v>945000</v>
      </c>
      <c r="H299" s="301">
        <v>170100</v>
      </c>
      <c r="I299" s="349">
        <v>1115100</v>
      </c>
      <c r="J299" s="349"/>
      <c r="K299" s="340" t="s">
        <v>1977</v>
      </c>
      <c r="L299" s="340" t="s">
        <v>1919</v>
      </c>
      <c r="M299" s="592">
        <v>2.5000000000000001E-2</v>
      </c>
      <c r="N299" s="340" t="s">
        <v>1593</v>
      </c>
      <c r="O299" s="610" t="s">
        <v>1982</v>
      </c>
      <c r="P299" s="611">
        <v>45612</v>
      </c>
      <c r="Q299" s="481" t="s">
        <v>1983</v>
      </c>
      <c r="R299" s="315">
        <v>1115100</v>
      </c>
      <c r="S299" s="612">
        <f t="shared" si="100"/>
        <v>0.09</v>
      </c>
      <c r="T299" s="315">
        <v>15</v>
      </c>
      <c r="U299" s="341">
        <f t="shared" si="101"/>
        <v>45513</v>
      </c>
      <c r="V299" s="378">
        <f t="shared" ca="1" si="91"/>
        <v>12</v>
      </c>
      <c r="W299" s="292">
        <f t="shared" ca="1" si="89"/>
        <v>2024</v>
      </c>
      <c r="X299" s="291" t="str">
        <f t="shared" ca="1" si="90"/>
        <v>1 WEEK</v>
      </c>
      <c r="Y299" s="329">
        <f t="shared" si="102"/>
        <v>45627</v>
      </c>
      <c r="Z299" s="341" cm="1">
        <f t="array" aca="1" ref="Z299" ca="1">_xlfn.IFS(AD299&lt;100,Y299,Y299&lt;TODAY(),TODAY(),Y299&gt;TODAY(),Y299,Y299=TODAY(),Y299)</f>
        <v>45627</v>
      </c>
      <c r="AA299" s="594"/>
      <c r="AB299" s="301"/>
      <c r="AC299" s="301"/>
      <c r="AD299" s="298">
        <f t="shared" si="82"/>
        <v>0</v>
      </c>
      <c r="AE299" s="299" t="str">
        <f t="shared" si="83"/>
        <v>Complete</v>
      </c>
      <c r="AF299" s="340"/>
      <c r="AG299" s="340"/>
      <c r="AH299" s="744"/>
      <c r="AI299" s="301">
        <f t="shared" ca="1" si="80"/>
        <v>0</v>
      </c>
      <c r="AJ299" s="302">
        <f t="shared" ca="1" si="81"/>
        <v>0</v>
      </c>
      <c r="AL299" s="303">
        <f t="shared" si="84"/>
        <v>1115100</v>
      </c>
      <c r="AM299" s="303">
        <f t="shared" si="85"/>
        <v>0</v>
      </c>
      <c r="AN299" s="303">
        <f t="shared" si="86"/>
        <v>1115100</v>
      </c>
      <c r="AO299" s="304">
        <f t="shared" si="87"/>
        <v>0</v>
      </c>
      <c r="AP299" s="273">
        <f t="shared" si="92"/>
        <v>11</v>
      </c>
      <c r="AQ299" s="273" t="str">
        <f t="shared" ca="1" si="88"/>
        <v>112024</v>
      </c>
    </row>
    <row r="300" spans="1:43" customFormat="1" ht="16.5">
      <c r="A300" s="392">
        <v>13</v>
      </c>
      <c r="B300" s="743" t="s">
        <v>1970</v>
      </c>
      <c r="C300" s="332" t="s">
        <v>1971</v>
      </c>
      <c r="D300" s="277" t="s">
        <v>1972</v>
      </c>
      <c r="E300" s="406">
        <v>45373</v>
      </c>
      <c r="F300" s="334">
        <v>1.8</v>
      </c>
      <c r="G300" s="748">
        <v>630000</v>
      </c>
      <c r="H300" s="749">
        <v>113400</v>
      </c>
      <c r="I300" s="750">
        <v>743400</v>
      </c>
      <c r="J300" s="750"/>
      <c r="K300" s="340" t="s">
        <v>1977</v>
      </c>
      <c r="L300" s="340" t="s">
        <v>1919</v>
      </c>
      <c r="M300" s="592">
        <v>2.5000000000000001E-2</v>
      </c>
      <c r="N300" s="340" t="s">
        <v>1593</v>
      </c>
      <c r="O300" s="610" t="s">
        <v>1984</v>
      </c>
      <c r="P300" s="611">
        <v>45612</v>
      </c>
      <c r="Q300" s="481" t="s">
        <v>1983</v>
      </c>
      <c r="R300" s="315">
        <v>743400</v>
      </c>
      <c r="S300" s="612">
        <f t="shared" si="100"/>
        <v>0.06</v>
      </c>
      <c r="T300" s="315">
        <v>15</v>
      </c>
      <c r="U300" s="341">
        <f t="shared" si="101"/>
        <v>45513</v>
      </c>
      <c r="V300" s="378">
        <f t="shared" ca="1" si="91"/>
        <v>12</v>
      </c>
      <c r="W300" s="292">
        <f t="shared" ca="1" si="89"/>
        <v>2024</v>
      </c>
      <c r="X300" s="291" t="str">
        <f t="shared" ca="1" si="90"/>
        <v>1 WEEK</v>
      </c>
      <c r="Y300" s="329">
        <f t="shared" si="102"/>
        <v>45627</v>
      </c>
      <c r="Z300" s="341" cm="1">
        <f t="array" aca="1" ref="Z300" ca="1">_xlfn.IFS(AD300&lt;100,Y300,Y300&lt;TODAY(),TODAY(),Y300&gt;TODAY(),Y300,Y300=TODAY(),Y300)</f>
        <v>45627</v>
      </c>
      <c r="AA300" s="594"/>
      <c r="AB300" s="301"/>
      <c r="AC300" s="301"/>
      <c r="AD300" s="298">
        <f t="shared" si="82"/>
        <v>0</v>
      </c>
      <c r="AE300" s="299" t="str">
        <f t="shared" si="83"/>
        <v>Complete</v>
      </c>
      <c r="AF300" s="340"/>
      <c r="AG300" s="340"/>
      <c r="AH300" s="744"/>
      <c r="AI300" s="301">
        <f t="shared" ca="1" si="80"/>
        <v>0</v>
      </c>
      <c r="AJ300" s="302">
        <f t="shared" ca="1" si="81"/>
        <v>0</v>
      </c>
      <c r="AL300" s="303">
        <f t="shared" si="84"/>
        <v>743400</v>
      </c>
      <c r="AM300" s="303">
        <f t="shared" si="85"/>
        <v>0</v>
      </c>
      <c r="AN300" s="303">
        <f t="shared" si="86"/>
        <v>743400</v>
      </c>
      <c r="AO300" s="304">
        <f t="shared" si="87"/>
        <v>0</v>
      </c>
      <c r="AP300" s="273">
        <f t="shared" si="92"/>
        <v>11</v>
      </c>
      <c r="AQ300" s="273" t="str">
        <f t="shared" ca="1" si="88"/>
        <v>112024</v>
      </c>
    </row>
    <row r="301" spans="1:43" customFormat="1" ht="16.5">
      <c r="A301" s="392">
        <v>13</v>
      </c>
      <c r="B301" s="743" t="s">
        <v>1970</v>
      </c>
      <c r="C301" s="332" t="s">
        <v>1971</v>
      </c>
      <c r="D301" s="277" t="s">
        <v>1972</v>
      </c>
      <c r="E301" s="406">
        <v>45373</v>
      </c>
      <c r="F301" s="334">
        <v>1.8</v>
      </c>
      <c r="G301" s="301">
        <v>1575000</v>
      </c>
      <c r="H301" s="301">
        <v>283500</v>
      </c>
      <c r="I301" s="349">
        <v>1858500</v>
      </c>
      <c r="J301" s="349"/>
      <c r="K301" s="340" t="s">
        <v>1985</v>
      </c>
      <c r="L301" s="340" t="s">
        <v>1595</v>
      </c>
      <c r="M301" s="751">
        <v>0.75</v>
      </c>
      <c r="N301" s="340" t="s">
        <v>1593</v>
      </c>
      <c r="O301" s="610" t="s">
        <v>1986</v>
      </c>
      <c r="P301" s="611">
        <v>45544</v>
      </c>
      <c r="Q301" s="481" t="s">
        <v>1976</v>
      </c>
      <c r="R301" s="315">
        <v>1858500</v>
      </c>
      <c r="S301" s="612">
        <f t="shared" si="100"/>
        <v>0.15</v>
      </c>
      <c r="T301" s="315">
        <v>15</v>
      </c>
      <c r="U301" s="341">
        <f t="shared" si="101"/>
        <v>45513</v>
      </c>
      <c r="V301" s="378">
        <f t="shared" ca="1" si="91"/>
        <v>10</v>
      </c>
      <c r="W301" s="292">
        <f t="shared" ca="1" si="89"/>
        <v>2024</v>
      </c>
      <c r="X301" s="291" t="str">
        <f t="shared" ca="1" si="90"/>
        <v>4 WEEK</v>
      </c>
      <c r="Y301" s="484">
        <v>45590</v>
      </c>
      <c r="Z301" s="341" cm="1">
        <f t="array" aca="1" ref="Z301" ca="1">_xlfn.IFS(AD301&lt;100,Y301,Y301&lt;TODAY(),TODAY(),Y301&gt;TODAY(),Y301,Y301=TODAY(),Y301)</f>
        <v>45590</v>
      </c>
      <c r="AA301" s="330">
        <f>SUM(I295:I328)*M301</f>
        <v>9292500</v>
      </c>
      <c r="AB301" s="518">
        <f>AA301-AC301</f>
        <v>9283207.5</v>
      </c>
      <c r="AC301" s="301">
        <f>AA301*0.1%</f>
        <v>9292.5</v>
      </c>
      <c r="AD301" s="298">
        <f t="shared" si="82"/>
        <v>0</v>
      </c>
      <c r="AE301" s="299" t="str">
        <f t="shared" si="83"/>
        <v>Complete</v>
      </c>
      <c r="AF301" s="340"/>
      <c r="AG301" s="301"/>
      <c r="AH301" s="343"/>
      <c r="AI301" s="301">
        <f t="shared" ca="1" si="80"/>
        <v>0</v>
      </c>
      <c r="AJ301" s="302">
        <f t="shared" ca="1" si="81"/>
        <v>0</v>
      </c>
      <c r="AL301" s="303">
        <f t="shared" si="84"/>
        <v>1858500</v>
      </c>
      <c r="AM301" s="303">
        <f t="shared" si="85"/>
        <v>0</v>
      </c>
      <c r="AN301" s="303">
        <f t="shared" si="86"/>
        <v>1858500</v>
      </c>
      <c r="AO301" s="304">
        <f t="shared" si="87"/>
        <v>0</v>
      </c>
      <c r="AP301" s="273">
        <f t="shared" si="92"/>
        <v>9</v>
      </c>
      <c r="AQ301" s="273" t="str">
        <f t="shared" ca="1" si="88"/>
        <v>92024</v>
      </c>
    </row>
    <row r="302" spans="1:43" customFormat="1" ht="16.5">
      <c r="A302" s="392">
        <v>13</v>
      </c>
      <c r="B302" s="743" t="s">
        <v>1970</v>
      </c>
      <c r="C302" s="332" t="s">
        <v>1971</v>
      </c>
      <c r="D302" s="277" t="s">
        <v>1972</v>
      </c>
      <c r="E302" s="406">
        <v>45373</v>
      </c>
      <c r="F302" s="334">
        <v>1.8</v>
      </c>
      <c r="G302" s="301">
        <v>315000</v>
      </c>
      <c r="H302" s="301">
        <v>56700</v>
      </c>
      <c r="I302" s="349">
        <v>371700</v>
      </c>
      <c r="J302" s="349"/>
      <c r="K302" s="340" t="s">
        <v>1985</v>
      </c>
      <c r="L302" s="340" t="s">
        <v>1595</v>
      </c>
      <c r="M302" s="751">
        <v>0.75</v>
      </c>
      <c r="N302" s="340" t="s">
        <v>1593</v>
      </c>
      <c r="O302" s="610" t="s">
        <v>1986</v>
      </c>
      <c r="P302" s="611">
        <v>45580</v>
      </c>
      <c r="Q302" s="481" t="s">
        <v>1987</v>
      </c>
      <c r="R302" s="315">
        <v>123900</v>
      </c>
      <c r="S302" s="612">
        <f t="shared" si="100"/>
        <v>0.01</v>
      </c>
      <c r="T302" s="315">
        <v>15</v>
      </c>
      <c r="U302" s="341">
        <f t="shared" si="101"/>
        <v>45513</v>
      </c>
      <c r="V302" s="378">
        <f t="shared" ca="1" si="91"/>
        <v>12</v>
      </c>
      <c r="W302" s="292">
        <f t="shared" ca="1" si="89"/>
        <v>2024</v>
      </c>
      <c r="X302" s="291" t="str">
        <f t="shared" ca="1" si="90"/>
        <v>2 WEEK</v>
      </c>
      <c r="Y302" s="484">
        <v>45639</v>
      </c>
      <c r="Z302" s="341" cm="1">
        <f t="array" aca="1" ref="Z302" ca="1">_xlfn.IFS(AD302&lt;100,Y302,Y302&lt;TODAY(),TODAY(),Y302&gt;TODAY(),Y302,Y302=TODAY(),Y302)</f>
        <v>45639</v>
      </c>
      <c r="AA302" s="330"/>
      <c r="AB302" s="518"/>
      <c r="AC302" s="301"/>
      <c r="AD302" s="298">
        <f t="shared" si="82"/>
        <v>0</v>
      </c>
      <c r="AE302" s="299" t="str">
        <f t="shared" si="83"/>
        <v>Complete</v>
      </c>
      <c r="AF302" s="340"/>
      <c r="AG302" s="301"/>
      <c r="AH302" s="343"/>
      <c r="AI302" s="301">
        <f t="shared" ca="1" si="80"/>
        <v>0</v>
      </c>
      <c r="AJ302" s="302">
        <f t="shared" ca="1" si="81"/>
        <v>0</v>
      </c>
      <c r="AL302" s="303">
        <f t="shared" si="84"/>
        <v>371700</v>
      </c>
      <c r="AM302" s="303">
        <f t="shared" si="85"/>
        <v>247800</v>
      </c>
      <c r="AN302" s="303">
        <f t="shared" si="86"/>
        <v>123900</v>
      </c>
      <c r="AO302" s="304">
        <f t="shared" si="87"/>
        <v>0</v>
      </c>
      <c r="AP302" s="273">
        <f t="shared" si="92"/>
        <v>10</v>
      </c>
      <c r="AQ302" s="273" t="str">
        <f t="shared" ca="1" si="88"/>
        <v>102024</v>
      </c>
    </row>
    <row r="303" spans="1:43" customFormat="1" ht="16.5" customHeight="1">
      <c r="A303" s="392">
        <v>13</v>
      </c>
      <c r="B303" s="743" t="s">
        <v>1970</v>
      </c>
      <c r="C303" s="332" t="s">
        <v>1971</v>
      </c>
      <c r="D303" s="277" t="s">
        <v>1972</v>
      </c>
      <c r="E303" s="406">
        <v>45373</v>
      </c>
      <c r="F303" s="334">
        <v>1.8</v>
      </c>
      <c r="G303" s="301"/>
      <c r="H303" s="301"/>
      <c r="I303" s="349"/>
      <c r="J303" s="349"/>
      <c r="K303" s="340" t="s">
        <v>1985</v>
      </c>
      <c r="L303" s="340" t="s">
        <v>1595</v>
      </c>
      <c r="M303" s="751">
        <v>0.75</v>
      </c>
      <c r="N303" s="340" t="s">
        <v>1593</v>
      </c>
      <c r="O303" s="610" t="s">
        <v>1986</v>
      </c>
      <c r="P303" s="611">
        <v>45612</v>
      </c>
      <c r="Q303" s="481" t="s">
        <v>1983</v>
      </c>
      <c r="R303" s="315">
        <v>247800</v>
      </c>
      <c r="S303" s="612">
        <f t="shared" si="100"/>
        <v>0.02</v>
      </c>
      <c r="T303" s="315">
        <v>15</v>
      </c>
      <c r="U303" s="341">
        <f t="shared" si="101"/>
        <v>45513</v>
      </c>
      <c r="V303" s="378">
        <f t="shared" ca="1" si="91"/>
        <v>12</v>
      </c>
      <c r="W303" s="292">
        <f t="shared" ca="1" si="89"/>
        <v>2024</v>
      </c>
      <c r="X303" s="291" t="str">
        <f t="shared" ca="1" si="90"/>
        <v>3 WEEK</v>
      </c>
      <c r="Y303" s="484">
        <v>45647</v>
      </c>
      <c r="Z303" s="341" cm="1">
        <f t="array" aca="1" ref="Z303" ca="1">_xlfn.IFS(AD303&lt;100,Y303,Y303&lt;TODAY(),TODAY(),Y303&gt;TODAY(),Y303,Y303=TODAY(),Y303)</f>
        <v>45647</v>
      </c>
      <c r="AA303" s="330"/>
      <c r="AB303" s="518"/>
      <c r="AC303" s="301"/>
      <c r="AD303" s="298">
        <f t="shared" si="82"/>
        <v>0</v>
      </c>
      <c r="AE303" s="299" t="str">
        <f t="shared" si="83"/>
        <v>Complete</v>
      </c>
      <c r="AF303" s="340"/>
      <c r="AG303" s="301"/>
      <c r="AH303" s="343"/>
      <c r="AI303" s="301">
        <f t="shared" ca="1" si="80"/>
        <v>0</v>
      </c>
      <c r="AJ303" s="302">
        <f t="shared" ca="1" si="81"/>
        <v>0</v>
      </c>
      <c r="AL303" s="303">
        <f t="shared" si="84"/>
        <v>0</v>
      </c>
      <c r="AM303" s="303">
        <f t="shared" si="85"/>
        <v>-247800</v>
      </c>
      <c r="AN303" s="303">
        <f t="shared" si="86"/>
        <v>247800</v>
      </c>
      <c r="AO303" s="304">
        <f t="shared" si="87"/>
        <v>0</v>
      </c>
      <c r="AP303" s="273">
        <f t="shared" si="92"/>
        <v>11</v>
      </c>
      <c r="AQ303" s="273" t="str">
        <f t="shared" ca="1" si="88"/>
        <v>112024</v>
      </c>
    </row>
    <row r="304" spans="1:43" customFormat="1" ht="16.5">
      <c r="A304" s="392">
        <v>13</v>
      </c>
      <c r="B304" s="743" t="s">
        <v>1970</v>
      </c>
      <c r="C304" s="332" t="s">
        <v>1971</v>
      </c>
      <c r="D304" s="277" t="s">
        <v>1972</v>
      </c>
      <c r="E304" s="406">
        <v>45373</v>
      </c>
      <c r="F304" s="334">
        <v>1.8</v>
      </c>
      <c r="G304" s="301"/>
      <c r="H304" s="301"/>
      <c r="I304" s="349"/>
      <c r="J304" s="349"/>
      <c r="K304" s="340" t="s">
        <v>1985</v>
      </c>
      <c r="L304" s="340" t="s">
        <v>1595</v>
      </c>
      <c r="M304" s="751">
        <v>0.75</v>
      </c>
      <c r="N304" s="340" t="s">
        <v>1593</v>
      </c>
      <c r="O304" s="610" t="s">
        <v>1986</v>
      </c>
      <c r="P304" s="611">
        <v>45707</v>
      </c>
      <c r="Q304" s="481" t="s">
        <v>1988</v>
      </c>
      <c r="R304" s="315">
        <v>-123900</v>
      </c>
      <c r="S304" s="612">
        <f t="shared" si="100"/>
        <v>-0.01</v>
      </c>
      <c r="T304" s="315">
        <v>15</v>
      </c>
      <c r="U304" s="341">
        <f t="shared" si="101"/>
        <v>45513</v>
      </c>
      <c r="V304" s="378">
        <f t="shared" ca="1" si="91"/>
        <v>4</v>
      </c>
      <c r="W304" s="292">
        <f t="shared" ca="1" si="89"/>
        <v>2025</v>
      </c>
      <c r="X304" s="291" t="str">
        <f t="shared" ca="1" si="90"/>
        <v>3 WEEK</v>
      </c>
      <c r="Y304" s="484">
        <v>45764</v>
      </c>
      <c r="Z304" s="341" cm="1">
        <f t="array" aca="1" ref="Z304" ca="1">_xlfn.IFS(AD304&lt;100,Y304,Y304&lt;TODAY(),TODAY(),Y304&gt;TODAY(),Y304,Y304=TODAY(),Y304)</f>
        <v>45764</v>
      </c>
      <c r="AA304" s="330"/>
      <c r="AB304" s="518"/>
      <c r="AC304" s="301"/>
      <c r="AD304" s="298">
        <f t="shared" si="82"/>
        <v>0</v>
      </c>
      <c r="AE304" s="299" t="str">
        <f t="shared" si="83"/>
        <v>Complete</v>
      </c>
      <c r="AF304" s="340"/>
      <c r="AG304" s="301"/>
      <c r="AH304" s="343"/>
      <c r="AI304" s="301">
        <f t="shared" ca="1" si="80"/>
        <v>0</v>
      </c>
      <c r="AJ304" s="302">
        <f t="shared" ca="1" si="81"/>
        <v>0</v>
      </c>
      <c r="AL304" s="303">
        <f t="shared" si="84"/>
        <v>0</v>
      </c>
      <c r="AM304" s="303">
        <f t="shared" si="85"/>
        <v>123900</v>
      </c>
      <c r="AN304" s="303">
        <f t="shared" si="86"/>
        <v>-123900</v>
      </c>
      <c r="AO304" s="304">
        <f t="shared" si="87"/>
        <v>0</v>
      </c>
      <c r="AP304" s="273">
        <f t="shared" si="92"/>
        <v>2</v>
      </c>
      <c r="AQ304" s="273" t="str">
        <f t="shared" ca="1" si="88"/>
        <v>22025</v>
      </c>
    </row>
    <row r="305" spans="1:43" customFormat="1" ht="16.5">
      <c r="A305" s="392">
        <v>13</v>
      </c>
      <c r="B305" s="743" t="s">
        <v>1970</v>
      </c>
      <c r="C305" s="332" t="s">
        <v>1971</v>
      </c>
      <c r="D305" s="277" t="s">
        <v>1972</v>
      </c>
      <c r="E305" s="406">
        <v>45373</v>
      </c>
      <c r="F305" s="334">
        <v>1.8</v>
      </c>
      <c r="G305" s="348"/>
      <c r="H305" s="301"/>
      <c r="I305" s="349"/>
      <c r="J305" s="349"/>
      <c r="K305" s="340" t="s">
        <v>1985</v>
      </c>
      <c r="L305" s="340" t="s">
        <v>1595</v>
      </c>
      <c r="M305" s="751">
        <v>0.75</v>
      </c>
      <c r="N305" s="340" t="s">
        <v>1593</v>
      </c>
      <c r="O305" s="610" t="s">
        <v>1989</v>
      </c>
      <c r="P305" s="611">
        <v>45707</v>
      </c>
      <c r="Q305" s="481" t="s">
        <v>1990</v>
      </c>
      <c r="R305" s="315">
        <v>123900</v>
      </c>
      <c r="S305" s="612">
        <f t="shared" si="100"/>
        <v>0.01</v>
      </c>
      <c r="T305" s="315">
        <v>15</v>
      </c>
      <c r="U305" s="341">
        <f t="shared" si="101"/>
        <v>45513</v>
      </c>
      <c r="V305" s="378">
        <f t="shared" ca="1" si="91"/>
        <v>3</v>
      </c>
      <c r="W305" s="292">
        <f t="shared" ca="1" si="89"/>
        <v>2025</v>
      </c>
      <c r="X305" s="291" t="str">
        <f t="shared" ca="1" si="90"/>
        <v>1 WEEK</v>
      </c>
      <c r="Y305" s="329">
        <f t="shared" ref="Y305:Y368" si="103">P305+T305</f>
        <v>45722</v>
      </c>
      <c r="Z305" s="341" cm="1">
        <f t="array" aca="1" ref="Z305" ca="1">_xlfn.IFS(AD305&lt;100,Y305,Y305&lt;TODAY(),TODAY(),Y305&gt;TODAY(),Y305,Y305=TODAY(),Y305)</f>
        <v>45722</v>
      </c>
      <c r="AA305" s="594"/>
      <c r="AB305" s="301"/>
      <c r="AC305" s="301"/>
      <c r="AD305" s="298">
        <f t="shared" si="82"/>
        <v>0</v>
      </c>
      <c r="AE305" s="299" t="str">
        <f t="shared" si="83"/>
        <v>Complete</v>
      </c>
      <c r="AF305" s="340"/>
      <c r="AG305" s="301"/>
      <c r="AH305" s="343"/>
      <c r="AI305" s="301">
        <f t="shared" ca="1" si="80"/>
        <v>0</v>
      </c>
      <c r="AJ305" s="302">
        <f t="shared" ca="1" si="81"/>
        <v>0</v>
      </c>
      <c r="AL305" s="303">
        <f t="shared" si="84"/>
        <v>0</v>
      </c>
      <c r="AM305" s="303">
        <f t="shared" si="85"/>
        <v>-123900</v>
      </c>
      <c r="AN305" s="303">
        <f t="shared" si="86"/>
        <v>123900</v>
      </c>
      <c r="AO305" s="304">
        <f t="shared" si="87"/>
        <v>0</v>
      </c>
      <c r="AP305" s="273">
        <f t="shared" si="92"/>
        <v>2</v>
      </c>
      <c r="AQ305" s="273" t="str">
        <f t="shared" ca="1" si="88"/>
        <v>22025</v>
      </c>
    </row>
    <row r="306" spans="1:43" customFormat="1" ht="16.5">
      <c r="A306" s="392">
        <v>13</v>
      </c>
      <c r="B306" s="743" t="s">
        <v>1970</v>
      </c>
      <c r="C306" s="332" t="s">
        <v>1971</v>
      </c>
      <c r="D306" s="277" t="s">
        <v>1972</v>
      </c>
      <c r="E306" s="406">
        <v>45373</v>
      </c>
      <c r="F306" s="334">
        <v>1.8</v>
      </c>
      <c r="G306" s="348">
        <v>630000</v>
      </c>
      <c r="H306" s="301">
        <v>113400</v>
      </c>
      <c r="I306" s="349">
        <v>743400</v>
      </c>
      <c r="J306" s="349"/>
      <c r="K306" s="340" t="s">
        <v>1985</v>
      </c>
      <c r="L306" s="340" t="s">
        <v>1595</v>
      </c>
      <c r="M306" s="751">
        <v>0.75</v>
      </c>
      <c r="N306" s="340" t="s">
        <v>1593</v>
      </c>
      <c r="O306" s="610" t="s">
        <v>1989</v>
      </c>
      <c r="P306" s="611">
        <v>45544</v>
      </c>
      <c r="Q306" s="481" t="s">
        <v>1976</v>
      </c>
      <c r="R306" s="315">
        <v>743400</v>
      </c>
      <c r="S306" s="612">
        <f t="shared" si="100"/>
        <v>0.06</v>
      </c>
      <c r="T306" s="315">
        <v>15</v>
      </c>
      <c r="U306" s="341">
        <f t="shared" si="101"/>
        <v>45513</v>
      </c>
      <c r="V306" s="378">
        <f t="shared" ca="1" si="91"/>
        <v>9</v>
      </c>
      <c r="W306" s="292">
        <f t="shared" ca="1" si="89"/>
        <v>2024</v>
      </c>
      <c r="X306" s="291" t="str">
        <f t="shared" ca="1" si="90"/>
        <v>4 WEEK</v>
      </c>
      <c r="Y306" s="329">
        <f t="shared" si="103"/>
        <v>45559</v>
      </c>
      <c r="Z306" s="341" cm="1">
        <f t="array" aca="1" ref="Z306" ca="1">_xlfn.IFS(AD306&lt;100,Y306,Y306&lt;TODAY(),TODAY(),Y306&gt;TODAY(),Y306,Y306=TODAY(),Y306)</f>
        <v>45559</v>
      </c>
      <c r="AA306" s="594"/>
      <c r="AB306" s="301"/>
      <c r="AC306" s="301"/>
      <c r="AD306" s="298">
        <f t="shared" si="82"/>
        <v>0</v>
      </c>
      <c r="AE306" s="299" t="str">
        <f t="shared" si="83"/>
        <v>Complete</v>
      </c>
      <c r="AF306" s="406"/>
      <c r="AG306" s="301"/>
      <c r="AH306" s="343"/>
      <c r="AI306" s="301">
        <f t="shared" ca="1" si="80"/>
        <v>0</v>
      </c>
      <c r="AJ306" s="302">
        <f t="shared" ca="1" si="81"/>
        <v>0</v>
      </c>
      <c r="AL306" s="303">
        <f t="shared" si="84"/>
        <v>743400</v>
      </c>
      <c r="AM306" s="303">
        <f t="shared" si="85"/>
        <v>0</v>
      </c>
      <c r="AN306" s="303">
        <f t="shared" si="86"/>
        <v>743400</v>
      </c>
      <c r="AO306" s="304">
        <f t="shared" si="87"/>
        <v>0</v>
      </c>
      <c r="AP306" s="273">
        <f t="shared" si="92"/>
        <v>9</v>
      </c>
      <c r="AQ306" s="273" t="str">
        <f t="shared" ca="1" si="88"/>
        <v>92024</v>
      </c>
    </row>
    <row r="307" spans="1:43" customFormat="1" ht="16.5">
      <c r="A307" s="392">
        <v>13</v>
      </c>
      <c r="B307" s="743" t="s">
        <v>1970</v>
      </c>
      <c r="C307" s="332" t="s">
        <v>1971</v>
      </c>
      <c r="D307" s="277" t="s">
        <v>1972</v>
      </c>
      <c r="E307" s="406">
        <v>45373</v>
      </c>
      <c r="F307" s="334">
        <v>1.8</v>
      </c>
      <c r="G307" s="348"/>
      <c r="H307" s="301"/>
      <c r="I307" s="349">
        <v>0</v>
      </c>
      <c r="J307" s="349"/>
      <c r="K307" s="340" t="s">
        <v>1985</v>
      </c>
      <c r="L307" s="340" t="s">
        <v>1595</v>
      </c>
      <c r="M307" s="751">
        <v>0.75</v>
      </c>
      <c r="N307" s="340" t="s">
        <v>1593</v>
      </c>
      <c r="O307" s="610" t="s">
        <v>1989</v>
      </c>
      <c r="P307" s="611">
        <v>45580</v>
      </c>
      <c r="Q307" s="481" t="s">
        <v>1987</v>
      </c>
      <c r="R307" s="315">
        <v>123900</v>
      </c>
      <c r="S307" s="612">
        <f t="shared" si="100"/>
        <v>0.01</v>
      </c>
      <c r="T307" s="315">
        <v>15</v>
      </c>
      <c r="U307" s="341">
        <f t="shared" si="101"/>
        <v>45513</v>
      </c>
      <c r="V307" s="378">
        <f t="shared" ca="1" si="91"/>
        <v>10</v>
      </c>
      <c r="W307" s="292">
        <f t="shared" ca="1" si="89"/>
        <v>2024</v>
      </c>
      <c r="X307" s="291" t="str">
        <f t="shared" ca="1" si="90"/>
        <v>5 WEEK</v>
      </c>
      <c r="Y307" s="329">
        <f t="shared" si="103"/>
        <v>45595</v>
      </c>
      <c r="Z307" s="341" cm="1">
        <f t="array" aca="1" ref="Z307" ca="1">_xlfn.IFS(AD307&lt;100,Y307,Y307&lt;TODAY(),TODAY(),Y307&gt;TODAY(),Y307,Y307=TODAY(),Y307)</f>
        <v>45595</v>
      </c>
      <c r="AA307" s="594"/>
      <c r="AB307" s="301"/>
      <c r="AC307" s="301"/>
      <c r="AD307" s="298">
        <f t="shared" si="82"/>
        <v>0</v>
      </c>
      <c r="AE307" s="299" t="str">
        <f t="shared" si="83"/>
        <v>Complete</v>
      </c>
      <c r="AF307" s="340"/>
      <c r="AG307" s="301"/>
      <c r="AH307" s="343"/>
      <c r="AI307" s="301">
        <f t="shared" ca="1" si="80"/>
        <v>0</v>
      </c>
      <c r="AJ307" s="302">
        <f t="shared" ca="1" si="81"/>
        <v>0</v>
      </c>
      <c r="AL307" s="303">
        <f t="shared" si="84"/>
        <v>0</v>
      </c>
      <c r="AM307" s="303">
        <f t="shared" si="85"/>
        <v>-123900</v>
      </c>
      <c r="AN307" s="303">
        <f t="shared" si="86"/>
        <v>123900</v>
      </c>
      <c r="AO307" s="304">
        <f t="shared" si="87"/>
        <v>0</v>
      </c>
      <c r="AP307" s="273">
        <f t="shared" si="92"/>
        <v>10</v>
      </c>
      <c r="AQ307" s="273" t="str">
        <f t="shared" ca="1" si="88"/>
        <v>102024</v>
      </c>
    </row>
    <row r="308" spans="1:43" customFormat="1" ht="16.5">
      <c r="A308" s="392">
        <v>13</v>
      </c>
      <c r="B308" s="743" t="s">
        <v>1970</v>
      </c>
      <c r="C308" s="332" t="s">
        <v>1971</v>
      </c>
      <c r="D308" s="277" t="s">
        <v>1972</v>
      </c>
      <c r="E308" s="406">
        <v>45373</v>
      </c>
      <c r="F308" s="334">
        <v>1.8</v>
      </c>
      <c r="G308" s="348"/>
      <c r="H308" s="301"/>
      <c r="I308" s="349"/>
      <c r="J308" s="349"/>
      <c r="K308" s="340" t="s">
        <v>1985</v>
      </c>
      <c r="L308" s="340" t="s">
        <v>1595</v>
      </c>
      <c r="M308" s="751">
        <v>0.75</v>
      </c>
      <c r="N308" s="340" t="s">
        <v>1593</v>
      </c>
      <c r="O308" s="610" t="s">
        <v>1989</v>
      </c>
      <c r="P308" s="611">
        <v>45582</v>
      </c>
      <c r="Q308" s="481" t="s">
        <v>1991</v>
      </c>
      <c r="R308" s="315">
        <v>123900</v>
      </c>
      <c r="S308" s="612">
        <f t="shared" si="100"/>
        <v>0.01</v>
      </c>
      <c r="T308" s="315">
        <v>15</v>
      </c>
      <c r="U308" s="341">
        <f t="shared" si="101"/>
        <v>45513</v>
      </c>
      <c r="V308" s="378">
        <f t="shared" ca="1" si="91"/>
        <v>11</v>
      </c>
      <c r="W308" s="292">
        <f t="shared" ca="1" si="89"/>
        <v>2024</v>
      </c>
      <c r="X308" s="291" t="str">
        <f t="shared" ca="1" si="90"/>
        <v>1 WEEK</v>
      </c>
      <c r="Y308" s="329">
        <f t="shared" si="103"/>
        <v>45597</v>
      </c>
      <c r="Z308" s="341" cm="1">
        <f t="array" aca="1" ref="Z308" ca="1">_xlfn.IFS(AD308&lt;100,Y308,Y308&lt;TODAY(),TODAY(),Y308&gt;TODAY(),Y308,Y308=TODAY(),Y308)</f>
        <v>45597</v>
      </c>
      <c r="AA308" s="594"/>
      <c r="AB308" s="301"/>
      <c r="AC308" s="301"/>
      <c r="AD308" s="298">
        <f t="shared" si="82"/>
        <v>0</v>
      </c>
      <c r="AE308" s="299" t="str">
        <f t="shared" si="83"/>
        <v>Complete</v>
      </c>
      <c r="AF308" s="340"/>
      <c r="AG308" s="340"/>
      <c r="AH308" s="744"/>
      <c r="AI308" s="301">
        <f t="shared" ca="1" si="80"/>
        <v>0</v>
      </c>
      <c r="AJ308" s="302">
        <f t="shared" ca="1" si="81"/>
        <v>0</v>
      </c>
      <c r="AL308" s="303">
        <f t="shared" si="84"/>
        <v>0</v>
      </c>
      <c r="AM308" s="303">
        <f t="shared" si="85"/>
        <v>-123900</v>
      </c>
      <c r="AN308" s="303">
        <f t="shared" si="86"/>
        <v>123900</v>
      </c>
      <c r="AO308" s="304">
        <f t="shared" si="87"/>
        <v>0</v>
      </c>
      <c r="AP308" s="273">
        <f t="shared" si="92"/>
        <v>10</v>
      </c>
      <c r="AQ308" s="273" t="str">
        <f t="shared" ca="1" si="88"/>
        <v>102024</v>
      </c>
    </row>
    <row r="309" spans="1:43" customFormat="1" ht="16.5">
      <c r="A309" s="392">
        <v>13</v>
      </c>
      <c r="B309" s="743" t="s">
        <v>1970</v>
      </c>
      <c r="C309" s="332" t="s">
        <v>1971</v>
      </c>
      <c r="D309" s="277" t="s">
        <v>1972</v>
      </c>
      <c r="E309" s="406">
        <v>45373</v>
      </c>
      <c r="F309" s="334">
        <v>1.8</v>
      </c>
      <c r="G309" s="752">
        <v>630000</v>
      </c>
      <c r="H309" s="753">
        <v>113400</v>
      </c>
      <c r="I309" s="750">
        <v>743400</v>
      </c>
      <c r="J309" s="750"/>
      <c r="K309" s="340" t="s">
        <v>1985</v>
      </c>
      <c r="L309" s="340" t="s">
        <v>1595</v>
      </c>
      <c r="M309" s="751">
        <v>0.75</v>
      </c>
      <c r="N309" s="340" t="s">
        <v>1593</v>
      </c>
      <c r="O309" s="610" t="s">
        <v>1992</v>
      </c>
      <c r="P309" s="611">
        <v>45612</v>
      </c>
      <c r="Q309" s="481" t="s">
        <v>1983</v>
      </c>
      <c r="R309" s="315">
        <v>743400</v>
      </c>
      <c r="S309" s="612">
        <f t="shared" si="100"/>
        <v>0.06</v>
      </c>
      <c r="T309" s="315">
        <v>15</v>
      </c>
      <c r="U309" s="341">
        <f t="shared" si="101"/>
        <v>45513</v>
      </c>
      <c r="V309" s="378">
        <f t="shared" ca="1" si="91"/>
        <v>12</v>
      </c>
      <c r="W309" s="292">
        <f t="shared" ca="1" si="89"/>
        <v>2024</v>
      </c>
      <c r="X309" s="291" t="str">
        <f t="shared" ca="1" si="90"/>
        <v>1 WEEK</v>
      </c>
      <c r="Y309" s="329">
        <f t="shared" si="103"/>
        <v>45627</v>
      </c>
      <c r="Z309" s="341" cm="1">
        <f t="array" aca="1" ref="Z309" ca="1">_xlfn.IFS(AD309&lt;100,Y309,Y309&lt;TODAY(),TODAY(),Y309&gt;TODAY(),Y309,Y309=TODAY(),Y309)</f>
        <v>45627</v>
      </c>
      <c r="AA309" s="594"/>
      <c r="AB309" s="301"/>
      <c r="AC309" s="301"/>
      <c r="AD309" s="298">
        <f t="shared" si="82"/>
        <v>0</v>
      </c>
      <c r="AE309" s="299" t="str">
        <f t="shared" si="83"/>
        <v>Complete</v>
      </c>
      <c r="AF309" s="340"/>
      <c r="AG309" s="340"/>
      <c r="AH309" s="744"/>
      <c r="AI309" s="301">
        <f t="shared" ca="1" si="80"/>
        <v>0</v>
      </c>
      <c r="AJ309" s="302">
        <f t="shared" ca="1" si="81"/>
        <v>0</v>
      </c>
      <c r="AL309" s="303">
        <f t="shared" si="84"/>
        <v>743400</v>
      </c>
      <c r="AM309" s="303">
        <f t="shared" si="85"/>
        <v>0</v>
      </c>
      <c r="AN309" s="303">
        <f t="shared" si="86"/>
        <v>743400</v>
      </c>
      <c r="AO309" s="304">
        <f t="shared" si="87"/>
        <v>0</v>
      </c>
      <c r="AP309" s="273">
        <f t="shared" si="92"/>
        <v>11</v>
      </c>
      <c r="AQ309" s="273" t="str">
        <f t="shared" ca="1" si="88"/>
        <v>112024</v>
      </c>
    </row>
    <row r="310" spans="1:43" customFormat="1" ht="16.5">
      <c r="A310" s="392">
        <v>13</v>
      </c>
      <c r="B310" s="743" t="s">
        <v>1970</v>
      </c>
      <c r="C310" s="332" t="s">
        <v>1971</v>
      </c>
      <c r="D310" s="277" t="s">
        <v>1972</v>
      </c>
      <c r="E310" s="406">
        <v>45373</v>
      </c>
      <c r="F310" s="334">
        <v>1.8</v>
      </c>
      <c r="G310" s="752">
        <v>630000</v>
      </c>
      <c r="H310" s="753">
        <v>113400</v>
      </c>
      <c r="I310" s="750">
        <v>743400</v>
      </c>
      <c r="J310" s="750"/>
      <c r="K310" s="340" t="s">
        <v>1985</v>
      </c>
      <c r="L310" s="340" t="s">
        <v>1595</v>
      </c>
      <c r="M310" s="751">
        <v>0.75</v>
      </c>
      <c r="N310" s="340" t="s">
        <v>1593</v>
      </c>
      <c r="O310" s="610" t="s">
        <v>1993</v>
      </c>
      <c r="P310" s="611">
        <v>45612</v>
      </c>
      <c r="Q310" s="481" t="s">
        <v>1983</v>
      </c>
      <c r="R310" s="315">
        <v>743400</v>
      </c>
      <c r="S310" s="612">
        <f t="shared" si="100"/>
        <v>0.06</v>
      </c>
      <c r="T310" s="315">
        <v>15</v>
      </c>
      <c r="U310" s="341">
        <f t="shared" si="101"/>
        <v>45513</v>
      </c>
      <c r="V310" s="378">
        <f t="shared" ca="1" si="91"/>
        <v>12</v>
      </c>
      <c r="W310" s="292">
        <f t="shared" ca="1" si="89"/>
        <v>2024</v>
      </c>
      <c r="X310" s="291" t="str">
        <f t="shared" ca="1" si="90"/>
        <v>1 WEEK</v>
      </c>
      <c r="Y310" s="329">
        <f t="shared" si="103"/>
        <v>45627</v>
      </c>
      <c r="Z310" s="341" cm="1">
        <f t="array" aca="1" ref="Z310" ca="1">_xlfn.IFS(AD310&lt;100,Y310,Y310&lt;TODAY(),TODAY(),Y310&gt;TODAY(),Y310,Y310=TODAY(),Y310)</f>
        <v>45627</v>
      </c>
      <c r="AA310" s="594"/>
      <c r="AB310" s="301"/>
      <c r="AC310" s="301"/>
      <c r="AD310" s="298">
        <f t="shared" si="82"/>
        <v>0</v>
      </c>
      <c r="AE310" s="299" t="str">
        <f t="shared" si="83"/>
        <v>Complete</v>
      </c>
      <c r="AF310" s="340"/>
      <c r="AG310" s="340"/>
      <c r="AH310" s="744"/>
      <c r="AI310" s="301">
        <f t="shared" ca="1" si="80"/>
        <v>0</v>
      </c>
      <c r="AJ310" s="302">
        <f t="shared" ca="1" si="81"/>
        <v>0</v>
      </c>
      <c r="AL310" s="303">
        <f t="shared" si="84"/>
        <v>743400</v>
      </c>
      <c r="AM310" s="303">
        <f t="shared" si="85"/>
        <v>0</v>
      </c>
      <c r="AN310" s="303">
        <f t="shared" si="86"/>
        <v>743400</v>
      </c>
      <c r="AO310" s="304">
        <f t="shared" si="87"/>
        <v>0</v>
      </c>
      <c r="AP310" s="273">
        <f t="shared" si="92"/>
        <v>11</v>
      </c>
      <c r="AQ310" s="273" t="str">
        <f t="shared" ca="1" si="88"/>
        <v>112024</v>
      </c>
    </row>
    <row r="311" spans="1:43" customFormat="1" ht="16.5">
      <c r="A311" s="392">
        <v>13</v>
      </c>
      <c r="B311" s="743" t="s">
        <v>1970</v>
      </c>
      <c r="C311" s="332" t="s">
        <v>1971</v>
      </c>
      <c r="D311" s="277" t="s">
        <v>1972</v>
      </c>
      <c r="E311" s="406">
        <v>45373</v>
      </c>
      <c r="F311" s="334">
        <v>1.8</v>
      </c>
      <c r="G311" s="754">
        <v>945000</v>
      </c>
      <c r="H311" s="755">
        <v>170100</v>
      </c>
      <c r="I311" s="750">
        <v>1115100</v>
      </c>
      <c r="J311" s="750"/>
      <c r="K311" s="340" t="s">
        <v>1985</v>
      </c>
      <c r="L311" s="340" t="s">
        <v>1595</v>
      </c>
      <c r="M311" s="751">
        <v>0.75</v>
      </c>
      <c r="N311" s="340" t="s">
        <v>1593</v>
      </c>
      <c r="O311" s="610" t="s">
        <v>1994</v>
      </c>
      <c r="P311" s="611">
        <v>45612</v>
      </c>
      <c r="Q311" s="481" t="s">
        <v>1983</v>
      </c>
      <c r="R311" s="315">
        <v>1115100</v>
      </c>
      <c r="S311" s="612">
        <f t="shared" si="100"/>
        <v>0.09</v>
      </c>
      <c r="T311" s="315">
        <v>15</v>
      </c>
      <c r="U311" s="341">
        <f t="shared" si="101"/>
        <v>45513</v>
      </c>
      <c r="V311" s="378">
        <f t="shared" ca="1" si="91"/>
        <v>12</v>
      </c>
      <c r="W311" s="292">
        <f t="shared" ca="1" si="89"/>
        <v>2024</v>
      </c>
      <c r="X311" s="291" t="str">
        <f t="shared" ca="1" si="90"/>
        <v>1 WEEK</v>
      </c>
      <c r="Y311" s="329">
        <f t="shared" si="103"/>
        <v>45627</v>
      </c>
      <c r="Z311" s="341" cm="1">
        <f t="array" aca="1" ref="Z311" ca="1">_xlfn.IFS(AD311&lt;100,Y311,Y311&lt;TODAY(),TODAY(),Y311&gt;TODAY(),Y311,Y311=TODAY(),Y311)</f>
        <v>45627</v>
      </c>
      <c r="AA311" s="594"/>
      <c r="AB311" s="301"/>
      <c r="AC311" s="301"/>
      <c r="AD311" s="298">
        <f t="shared" si="82"/>
        <v>0</v>
      </c>
      <c r="AE311" s="299" t="str">
        <f t="shared" si="83"/>
        <v>Complete</v>
      </c>
      <c r="AF311" s="340"/>
      <c r="AG311" s="340"/>
      <c r="AH311" s="744"/>
      <c r="AI311" s="301">
        <f t="shared" ca="1" si="80"/>
        <v>0</v>
      </c>
      <c r="AJ311" s="302">
        <f t="shared" ca="1" si="81"/>
        <v>0</v>
      </c>
      <c r="AL311" s="303">
        <f t="shared" si="84"/>
        <v>1115100</v>
      </c>
      <c r="AM311" s="303">
        <f t="shared" si="85"/>
        <v>0</v>
      </c>
      <c r="AN311" s="303">
        <f t="shared" si="86"/>
        <v>1115100</v>
      </c>
      <c r="AO311" s="304">
        <f t="shared" si="87"/>
        <v>0</v>
      </c>
      <c r="AP311" s="273">
        <f t="shared" si="92"/>
        <v>11</v>
      </c>
      <c r="AQ311" s="273" t="str">
        <f t="shared" ca="1" si="88"/>
        <v>112024</v>
      </c>
    </row>
    <row r="312" spans="1:43" customFormat="1" ht="16.5">
      <c r="A312" s="392">
        <v>13</v>
      </c>
      <c r="B312" s="743" t="s">
        <v>1970</v>
      </c>
      <c r="C312" s="332" t="s">
        <v>1971</v>
      </c>
      <c r="D312" s="277" t="s">
        <v>1972</v>
      </c>
      <c r="E312" s="406">
        <v>45373</v>
      </c>
      <c r="F312" s="334">
        <v>1.8</v>
      </c>
      <c r="G312" s="756">
        <v>210000</v>
      </c>
      <c r="H312" s="757">
        <v>37800</v>
      </c>
      <c r="I312" s="758">
        <v>247800</v>
      </c>
      <c r="J312" s="758"/>
      <c r="K312" s="340" t="s">
        <v>1985</v>
      </c>
      <c r="L312" s="340" t="s">
        <v>1595</v>
      </c>
      <c r="M312" s="751">
        <v>0.75</v>
      </c>
      <c r="N312" s="340" t="s">
        <v>1593</v>
      </c>
      <c r="O312" s="610" t="s">
        <v>1994</v>
      </c>
      <c r="P312" s="611">
        <v>45580</v>
      </c>
      <c r="Q312" s="481" t="s">
        <v>1987</v>
      </c>
      <c r="R312" s="315">
        <v>123900</v>
      </c>
      <c r="S312" s="612">
        <f t="shared" si="100"/>
        <v>0.01</v>
      </c>
      <c r="T312" s="315">
        <v>15</v>
      </c>
      <c r="U312" s="341">
        <f t="shared" si="101"/>
        <v>45513</v>
      </c>
      <c r="V312" s="378">
        <f t="shared" ca="1" si="91"/>
        <v>10</v>
      </c>
      <c r="W312" s="292">
        <f t="shared" ca="1" si="89"/>
        <v>2024</v>
      </c>
      <c r="X312" s="291" t="str">
        <f t="shared" ca="1" si="90"/>
        <v>5 WEEK</v>
      </c>
      <c r="Y312" s="329">
        <f t="shared" si="103"/>
        <v>45595</v>
      </c>
      <c r="Z312" s="341" cm="1">
        <f t="array" aca="1" ref="Z312" ca="1">_xlfn.IFS(AD312&lt;100,Y312,Y312&lt;TODAY(),TODAY(),Y312&gt;TODAY(),Y312,Y312=TODAY(),Y312)</f>
        <v>45595</v>
      </c>
      <c r="AA312" s="594"/>
      <c r="AB312" s="301"/>
      <c r="AC312" s="301"/>
      <c r="AD312" s="298">
        <f t="shared" si="82"/>
        <v>0</v>
      </c>
      <c r="AE312" s="299" t="str">
        <f t="shared" si="83"/>
        <v>Complete</v>
      </c>
      <c r="AF312" s="340"/>
      <c r="AG312" s="340"/>
      <c r="AH312" s="744"/>
      <c r="AI312" s="301">
        <f t="shared" ca="1" si="80"/>
        <v>0</v>
      </c>
      <c r="AJ312" s="302">
        <f t="shared" ca="1" si="81"/>
        <v>0</v>
      </c>
      <c r="AL312" s="303">
        <f t="shared" si="84"/>
        <v>247800</v>
      </c>
      <c r="AM312" s="303">
        <f t="shared" si="85"/>
        <v>123900</v>
      </c>
      <c r="AN312" s="303">
        <f t="shared" si="86"/>
        <v>123900</v>
      </c>
      <c r="AO312" s="304">
        <f t="shared" si="87"/>
        <v>0</v>
      </c>
      <c r="AP312" s="273">
        <f t="shared" si="92"/>
        <v>10</v>
      </c>
      <c r="AQ312" s="273" t="str">
        <f t="shared" ca="1" si="88"/>
        <v>102024</v>
      </c>
    </row>
    <row r="313" spans="1:43" customFormat="1" ht="16.5">
      <c r="A313" s="392">
        <v>13</v>
      </c>
      <c r="B313" s="743" t="s">
        <v>1970</v>
      </c>
      <c r="C313" s="332" t="s">
        <v>1971</v>
      </c>
      <c r="D313" s="277" t="s">
        <v>1972</v>
      </c>
      <c r="E313" s="406">
        <v>45373</v>
      </c>
      <c r="F313" s="334">
        <v>1.8</v>
      </c>
      <c r="G313" s="756"/>
      <c r="H313" s="757"/>
      <c r="I313" s="758"/>
      <c r="J313" s="758"/>
      <c r="K313" s="340" t="s">
        <v>1985</v>
      </c>
      <c r="L313" s="340" t="s">
        <v>1595</v>
      </c>
      <c r="M313" s="751">
        <v>0.75</v>
      </c>
      <c r="N313" s="340" t="s">
        <v>1593</v>
      </c>
      <c r="O313" s="610" t="s">
        <v>1994</v>
      </c>
      <c r="P313" s="611">
        <v>45506</v>
      </c>
      <c r="Q313" s="481" t="s">
        <v>1979</v>
      </c>
      <c r="R313" s="315">
        <v>-123900</v>
      </c>
      <c r="S313" s="612">
        <f t="shared" si="100"/>
        <v>-0.01</v>
      </c>
      <c r="T313" s="315">
        <v>15</v>
      </c>
      <c r="U313" s="341">
        <f t="shared" si="101"/>
        <v>45513</v>
      </c>
      <c r="V313" s="378">
        <f t="shared" ca="1" si="91"/>
        <v>8</v>
      </c>
      <c r="W313" s="292">
        <f t="shared" ca="1" si="89"/>
        <v>2024</v>
      </c>
      <c r="X313" s="291" t="str">
        <f t="shared" ca="1" si="90"/>
        <v>3 WEEK</v>
      </c>
      <c r="Y313" s="329">
        <f t="shared" si="103"/>
        <v>45521</v>
      </c>
      <c r="Z313" s="341" cm="1">
        <f t="array" aca="1" ref="Z313" ca="1">_xlfn.IFS(AD313&lt;100,Y313,Y313&lt;TODAY(),TODAY(),Y313&gt;TODAY(),Y313,Y313=TODAY(),Y313)</f>
        <v>45521</v>
      </c>
      <c r="AA313" s="594"/>
      <c r="AB313" s="301"/>
      <c r="AC313" s="301"/>
      <c r="AD313" s="298">
        <f t="shared" si="82"/>
        <v>0</v>
      </c>
      <c r="AE313" s="299" t="str">
        <f t="shared" si="83"/>
        <v>Complete</v>
      </c>
      <c r="AF313" s="340"/>
      <c r="AG313" s="340"/>
      <c r="AH313" s="744"/>
      <c r="AI313" s="301">
        <f t="shared" ca="1" si="80"/>
        <v>0</v>
      </c>
      <c r="AJ313" s="302">
        <f t="shared" ca="1" si="81"/>
        <v>0</v>
      </c>
      <c r="AL313" s="303">
        <f t="shared" si="84"/>
        <v>0</v>
      </c>
      <c r="AM313" s="303">
        <f t="shared" si="85"/>
        <v>123900</v>
      </c>
      <c r="AN313" s="303">
        <f t="shared" si="86"/>
        <v>-123900</v>
      </c>
      <c r="AO313" s="304">
        <f t="shared" si="87"/>
        <v>0</v>
      </c>
      <c r="AP313" s="273">
        <f t="shared" si="92"/>
        <v>8</v>
      </c>
      <c r="AQ313" s="273" t="str">
        <f t="shared" ca="1" si="88"/>
        <v>82024</v>
      </c>
    </row>
    <row r="314" spans="1:43" customFormat="1" ht="16.5">
      <c r="A314" s="392">
        <v>13</v>
      </c>
      <c r="B314" s="743" t="s">
        <v>1970</v>
      </c>
      <c r="C314" s="332" t="s">
        <v>1971</v>
      </c>
      <c r="D314" s="277" t="s">
        <v>1972</v>
      </c>
      <c r="E314" s="406">
        <v>45373</v>
      </c>
      <c r="F314" s="334">
        <v>1.8</v>
      </c>
      <c r="G314" s="756"/>
      <c r="H314" s="757"/>
      <c r="I314" s="758"/>
      <c r="J314" s="758"/>
      <c r="K314" s="340" t="s">
        <v>1985</v>
      </c>
      <c r="L314" s="340" t="s">
        <v>1595</v>
      </c>
      <c r="M314" s="751">
        <v>0.75</v>
      </c>
      <c r="N314" s="340" t="s">
        <v>1593</v>
      </c>
      <c r="O314" s="610" t="s">
        <v>1995</v>
      </c>
      <c r="P314" s="611">
        <v>45506</v>
      </c>
      <c r="Q314" s="481" t="s">
        <v>1996</v>
      </c>
      <c r="R314" s="315">
        <v>247800</v>
      </c>
      <c r="S314" s="612">
        <f t="shared" si="100"/>
        <v>0.02</v>
      </c>
      <c r="T314" s="315">
        <v>15</v>
      </c>
      <c r="U314" s="341">
        <f t="shared" si="101"/>
        <v>45513</v>
      </c>
      <c r="V314" s="378">
        <f t="shared" ca="1" si="91"/>
        <v>8</v>
      </c>
      <c r="W314" s="292">
        <f t="shared" ca="1" si="89"/>
        <v>2024</v>
      </c>
      <c r="X314" s="291" t="str">
        <f t="shared" ca="1" si="90"/>
        <v>3 WEEK</v>
      </c>
      <c r="Y314" s="329">
        <f t="shared" si="103"/>
        <v>45521</v>
      </c>
      <c r="Z314" s="341" cm="1">
        <f t="array" aca="1" ref="Z314" ca="1">_xlfn.IFS(AD314&lt;100,Y314,Y314&lt;TODAY(),TODAY(),Y314&gt;TODAY(),Y314,Y314=TODAY(),Y314)</f>
        <v>45521</v>
      </c>
      <c r="AA314" s="594"/>
      <c r="AB314" s="301"/>
      <c r="AC314" s="301"/>
      <c r="AD314" s="298">
        <f t="shared" si="82"/>
        <v>0</v>
      </c>
      <c r="AE314" s="299" t="str">
        <f t="shared" si="83"/>
        <v>Complete</v>
      </c>
      <c r="AF314" s="340"/>
      <c r="AG314" s="340"/>
      <c r="AH314" s="744"/>
      <c r="AI314" s="301">
        <f t="shared" ca="1" si="80"/>
        <v>0</v>
      </c>
      <c r="AJ314" s="302">
        <f t="shared" ca="1" si="81"/>
        <v>0</v>
      </c>
      <c r="AL314" s="303">
        <f t="shared" si="84"/>
        <v>0</v>
      </c>
      <c r="AM314" s="303">
        <f t="shared" si="85"/>
        <v>-247800</v>
      </c>
      <c r="AN314" s="303">
        <f t="shared" si="86"/>
        <v>247800</v>
      </c>
      <c r="AO314" s="304">
        <f t="shared" si="87"/>
        <v>0</v>
      </c>
      <c r="AP314" s="273">
        <f t="shared" si="92"/>
        <v>8</v>
      </c>
      <c r="AQ314" s="273" t="str">
        <f t="shared" ca="1" si="88"/>
        <v>82024</v>
      </c>
    </row>
    <row r="315" spans="1:43" customFormat="1" ht="16.5">
      <c r="A315" s="392">
        <v>13</v>
      </c>
      <c r="B315" s="743" t="s">
        <v>1970</v>
      </c>
      <c r="C315" s="332" t="s">
        <v>1971</v>
      </c>
      <c r="D315" s="277" t="s">
        <v>1972</v>
      </c>
      <c r="E315" s="406">
        <v>45373</v>
      </c>
      <c r="F315" s="334">
        <v>1.8</v>
      </c>
      <c r="G315" s="756">
        <v>210000</v>
      </c>
      <c r="H315" s="757">
        <v>37800</v>
      </c>
      <c r="I315" s="758">
        <v>247800</v>
      </c>
      <c r="J315" s="758"/>
      <c r="K315" s="340" t="s">
        <v>1985</v>
      </c>
      <c r="L315" s="340" t="s">
        <v>1595</v>
      </c>
      <c r="M315" s="751">
        <v>0.75</v>
      </c>
      <c r="N315" s="340" t="s">
        <v>1593</v>
      </c>
      <c r="O315" s="610" t="s">
        <v>1997</v>
      </c>
      <c r="P315" s="611">
        <v>45612</v>
      </c>
      <c r="Q315" s="481" t="s">
        <v>1983</v>
      </c>
      <c r="R315" s="315">
        <v>247800</v>
      </c>
      <c r="S315" s="612">
        <f t="shared" si="100"/>
        <v>0.02</v>
      </c>
      <c r="T315" s="315">
        <v>15</v>
      </c>
      <c r="U315" s="341">
        <f t="shared" si="101"/>
        <v>45513</v>
      </c>
      <c r="V315" s="378">
        <f t="shared" ca="1" si="91"/>
        <v>12</v>
      </c>
      <c r="W315" s="292">
        <f t="shared" ca="1" si="89"/>
        <v>2024</v>
      </c>
      <c r="X315" s="291" t="str">
        <f t="shared" ca="1" si="90"/>
        <v>1 WEEK</v>
      </c>
      <c r="Y315" s="329">
        <f t="shared" si="103"/>
        <v>45627</v>
      </c>
      <c r="Z315" s="341" cm="1">
        <f t="array" aca="1" ref="Z315" ca="1">_xlfn.IFS(AD315&lt;100,Y315,Y315&lt;TODAY(),TODAY(),Y315&gt;TODAY(),Y315,Y315=TODAY(),Y315)</f>
        <v>45627</v>
      </c>
      <c r="AA315" s="594"/>
      <c r="AB315" s="301"/>
      <c r="AC315" s="301"/>
      <c r="AD315" s="298">
        <f t="shared" si="82"/>
        <v>0</v>
      </c>
      <c r="AE315" s="299" t="str">
        <f t="shared" si="83"/>
        <v>Complete</v>
      </c>
      <c r="AF315" s="340"/>
      <c r="AG315" s="340"/>
      <c r="AH315" s="744"/>
      <c r="AI315" s="301">
        <f t="shared" ca="1" si="80"/>
        <v>0</v>
      </c>
      <c r="AJ315" s="302">
        <f t="shared" ca="1" si="81"/>
        <v>0</v>
      </c>
      <c r="AL315" s="303">
        <f t="shared" si="84"/>
        <v>247800</v>
      </c>
      <c r="AM315" s="303">
        <f t="shared" si="85"/>
        <v>0</v>
      </c>
      <c r="AN315" s="303">
        <f t="shared" si="86"/>
        <v>247800</v>
      </c>
      <c r="AO315" s="304">
        <f t="shared" si="87"/>
        <v>0</v>
      </c>
      <c r="AP315" s="273">
        <f t="shared" si="92"/>
        <v>11</v>
      </c>
      <c r="AQ315" s="273" t="str">
        <f t="shared" ca="1" si="88"/>
        <v>112024</v>
      </c>
    </row>
    <row r="316" spans="1:43" customFormat="1" ht="16.5">
      <c r="A316" s="392">
        <v>13</v>
      </c>
      <c r="B316" s="743" t="s">
        <v>1970</v>
      </c>
      <c r="C316" s="332" t="s">
        <v>1971</v>
      </c>
      <c r="D316" s="277" t="s">
        <v>1972</v>
      </c>
      <c r="E316" s="406">
        <v>45373</v>
      </c>
      <c r="F316" s="334">
        <v>1.8</v>
      </c>
      <c r="G316" s="752">
        <v>210000</v>
      </c>
      <c r="H316" s="753">
        <v>37800</v>
      </c>
      <c r="I316" s="750">
        <v>247800</v>
      </c>
      <c r="J316" s="750"/>
      <c r="K316" s="340" t="s">
        <v>1985</v>
      </c>
      <c r="L316" s="340" t="s">
        <v>1595</v>
      </c>
      <c r="M316" s="751">
        <v>0.75</v>
      </c>
      <c r="N316" s="340" t="s">
        <v>1593</v>
      </c>
      <c r="O316" s="610" t="s">
        <v>1998</v>
      </c>
      <c r="P316" s="611">
        <v>45612</v>
      </c>
      <c r="Q316" s="481" t="s">
        <v>1983</v>
      </c>
      <c r="R316" s="315">
        <v>247800</v>
      </c>
      <c r="S316" s="612">
        <f t="shared" si="100"/>
        <v>0.02</v>
      </c>
      <c r="T316" s="315">
        <v>15</v>
      </c>
      <c r="U316" s="341">
        <f t="shared" si="101"/>
        <v>45513</v>
      </c>
      <c r="V316" s="378">
        <f t="shared" ca="1" si="91"/>
        <v>12</v>
      </c>
      <c r="W316" s="292">
        <f t="shared" ca="1" si="89"/>
        <v>2024</v>
      </c>
      <c r="X316" s="291" t="str">
        <f t="shared" ca="1" si="90"/>
        <v>1 WEEK</v>
      </c>
      <c r="Y316" s="329">
        <f t="shared" si="103"/>
        <v>45627</v>
      </c>
      <c r="Z316" s="341" cm="1">
        <f t="array" aca="1" ref="Z316" ca="1">_xlfn.IFS(AD316&lt;100,Y316,Y316&lt;TODAY(),TODAY(),Y316&gt;TODAY(),Y316,Y316=TODAY(),Y316)</f>
        <v>45627</v>
      </c>
      <c r="AA316" s="594"/>
      <c r="AB316" s="301"/>
      <c r="AC316" s="301"/>
      <c r="AD316" s="298">
        <f t="shared" si="82"/>
        <v>0</v>
      </c>
      <c r="AE316" s="299" t="str">
        <f t="shared" si="83"/>
        <v>Complete</v>
      </c>
      <c r="AF316" s="340"/>
      <c r="AG316" s="340"/>
      <c r="AH316" s="744"/>
      <c r="AI316" s="301">
        <f t="shared" ca="1" si="80"/>
        <v>0</v>
      </c>
      <c r="AJ316" s="302">
        <f t="shared" ca="1" si="81"/>
        <v>0</v>
      </c>
      <c r="AL316" s="303">
        <f t="shared" si="84"/>
        <v>247800</v>
      </c>
      <c r="AM316" s="303">
        <f t="shared" si="85"/>
        <v>0</v>
      </c>
      <c r="AN316" s="303">
        <f t="shared" si="86"/>
        <v>247800</v>
      </c>
      <c r="AO316" s="304">
        <f t="shared" si="87"/>
        <v>0</v>
      </c>
      <c r="AP316" s="273">
        <f t="shared" si="92"/>
        <v>11</v>
      </c>
      <c r="AQ316" s="273" t="str">
        <f t="shared" ca="1" si="88"/>
        <v>112024</v>
      </c>
    </row>
    <row r="317" spans="1:43" customFormat="1" ht="16.5">
      <c r="A317" s="392">
        <v>13</v>
      </c>
      <c r="B317" s="743" t="s">
        <v>1970</v>
      </c>
      <c r="C317" s="332" t="s">
        <v>1971</v>
      </c>
      <c r="D317" s="277" t="s">
        <v>1972</v>
      </c>
      <c r="E317" s="406">
        <v>45373</v>
      </c>
      <c r="F317" s="334">
        <v>1.8</v>
      </c>
      <c r="G317" s="752">
        <v>210000</v>
      </c>
      <c r="H317" s="753">
        <v>37800</v>
      </c>
      <c r="I317" s="750">
        <v>247800</v>
      </c>
      <c r="J317" s="750"/>
      <c r="K317" s="340" t="s">
        <v>1985</v>
      </c>
      <c r="L317" s="340" t="s">
        <v>1595</v>
      </c>
      <c r="M317" s="751">
        <v>0.75</v>
      </c>
      <c r="N317" s="340" t="s">
        <v>1593</v>
      </c>
      <c r="O317" s="610" t="s">
        <v>1999</v>
      </c>
      <c r="P317" s="611">
        <v>45612</v>
      </c>
      <c r="Q317" s="481" t="s">
        <v>1983</v>
      </c>
      <c r="R317" s="315">
        <v>247800</v>
      </c>
      <c r="S317" s="612">
        <f t="shared" si="100"/>
        <v>0.02</v>
      </c>
      <c r="T317" s="315">
        <v>15</v>
      </c>
      <c r="U317" s="341">
        <f t="shared" si="101"/>
        <v>45513</v>
      </c>
      <c r="V317" s="378">
        <f t="shared" ca="1" si="91"/>
        <v>12</v>
      </c>
      <c r="W317" s="292">
        <f t="shared" ca="1" si="89"/>
        <v>2024</v>
      </c>
      <c r="X317" s="291" t="str">
        <f t="shared" ca="1" si="90"/>
        <v>1 WEEK</v>
      </c>
      <c r="Y317" s="329">
        <f t="shared" si="103"/>
        <v>45627</v>
      </c>
      <c r="Z317" s="341" cm="1">
        <f t="array" aca="1" ref="Z317" ca="1">_xlfn.IFS(AD317&lt;100,Y317,Y317&lt;TODAY(),TODAY(),Y317&gt;TODAY(),Y317,Y317=TODAY(),Y317)</f>
        <v>45627</v>
      </c>
      <c r="AA317" s="594"/>
      <c r="AB317" s="301"/>
      <c r="AC317" s="301"/>
      <c r="AD317" s="298">
        <f t="shared" si="82"/>
        <v>0</v>
      </c>
      <c r="AE317" s="299" t="str">
        <f t="shared" si="83"/>
        <v>Complete</v>
      </c>
      <c r="AF317" s="340"/>
      <c r="AG317" s="340"/>
      <c r="AH317" s="744"/>
      <c r="AI317" s="301">
        <f t="shared" ca="1" si="80"/>
        <v>0</v>
      </c>
      <c r="AJ317" s="302">
        <f t="shared" ca="1" si="81"/>
        <v>0</v>
      </c>
      <c r="AL317" s="303">
        <f t="shared" si="84"/>
        <v>247800</v>
      </c>
      <c r="AM317" s="303">
        <f t="shared" si="85"/>
        <v>0</v>
      </c>
      <c r="AN317" s="303">
        <f t="shared" si="86"/>
        <v>247800</v>
      </c>
      <c r="AO317" s="304">
        <f t="shared" si="87"/>
        <v>0</v>
      </c>
      <c r="AP317" s="273">
        <f t="shared" si="92"/>
        <v>11</v>
      </c>
      <c r="AQ317" s="273" t="str">
        <f t="shared" ca="1" si="88"/>
        <v>112024</v>
      </c>
    </row>
    <row r="318" spans="1:43" customFormat="1" ht="16.5">
      <c r="A318" s="392">
        <v>13</v>
      </c>
      <c r="B318" s="743" t="s">
        <v>1970</v>
      </c>
      <c r="C318" s="332" t="s">
        <v>1971</v>
      </c>
      <c r="D318" s="277" t="s">
        <v>1972</v>
      </c>
      <c r="E318" s="406">
        <v>45373</v>
      </c>
      <c r="F318" s="334">
        <v>1.8</v>
      </c>
      <c r="G318" s="752">
        <v>315000</v>
      </c>
      <c r="H318" s="753">
        <v>56700</v>
      </c>
      <c r="I318" s="750">
        <v>371700</v>
      </c>
      <c r="J318" s="750"/>
      <c r="K318" s="340" t="s">
        <v>1985</v>
      </c>
      <c r="L318" s="340" t="s">
        <v>1595</v>
      </c>
      <c r="M318" s="751">
        <v>0.75</v>
      </c>
      <c r="N318" s="340" t="s">
        <v>1593</v>
      </c>
      <c r="O318" s="610" t="s">
        <v>1999</v>
      </c>
      <c r="P318" s="611">
        <v>45554</v>
      </c>
      <c r="Q318" s="481" t="s">
        <v>2000</v>
      </c>
      <c r="R318" s="315">
        <v>247800</v>
      </c>
      <c r="S318" s="612">
        <f t="shared" si="100"/>
        <v>0.02</v>
      </c>
      <c r="T318" s="315">
        <v>15</v>
      </c>
      <c r="U318" s="341">
        <f t="shared" si="101"/>
        <v>45513</v>
      </c>
      <c r="V318" s="378">
        <f t="shared" ca="1" si="91"/>
        <v>10</v>
      </c>
      <c r="W318" s="292">
        <f t="shared" ca="1" si="89"/>
        <v>2024</v>
      </c>
      <c r="X318" s="291" t="str">
        <f t="shared" ca="1" si="90"/>
        <v>1 WEEK</v>
      </c>
      <c r="Y318" s="329">
        <f t="shared" si="103"/>
        <v>45569</v>
      </c>
      <c r="Z318" s="341" cm="1">
        <f t="array" aca="1" ref="Z318" ca="1">_xlfn.IFS(AD318&lt;100,Y318,Y318&lt;TODAY(),TODAY(),Y318&gt;TODAY(),Y318,Y318=TODAY(),Y318)</f>
        <v>45569</v>
      </c>
      <c r="AA318" s="594"/>
      <c r="AB318" s="301"/>
      <c r="AC318" s="301"/>
      <c r="AD318" s="298">
        <f t="shared" si="82"/>
        <v>0</v>
      </c>
      <c r="AE318" s="299" t="str">
        <f t="shared" si="83"/>
        <v>Complete</v>
      </c>
      <c r="AF318" s="340"/>
      <c r="AG318" s="340"/>
      <c r="AH318" s="744"/>
      <c r="AI318" s="301">
        <f t="shared" ca="1" si="80"/>
        <v>0</v>
      </c>
      <c r="AJ318" s="302">
        <f t="shared" ca="1" si="81"/>
        <v>0</v>
      </c>
      <c r="AL318" s="303">
        <f t="shared" si="84"/>
        <v>371700</v>
      </c>
      <c r="AM318" s="303">
        <f t="shared" si="85"/>
        <v>123900</v>
      </c>
      <c r="AN318" s="303">
        <f t="shared" si="86"/>
        <v>247800</v>
      </c>
      <c r="AO318" s="304">
        <f t="shared" si="87"/>
        <v>0</v>
      </c>
      <c r="AP318" s="273">
        <f t="shared" si="92"/>
        <v>9</v>
      </c>
      <c r="AQ318" s="273" t="str">
        <f t="shared" ca="1" si="88"/>
        <v>92024</v>
      </c>
    </row>
    <row r="319" spans="1:43" customFormat="1" ht="16.5">
      <c r="A319" s="392">
        <v>13</v>
      </c>
      <c r="B319" s="743" t="s">
        <v>1970</v>
      </c>
      <c r="C319" s="332" t="s">
        <v>1971</v>
      </c>
      <c r="D319" s="277" t="s">
        <v>1972</v>
      </c>
      <c r="E319" s="406">
        <v>45373</v>
      </c>
      <c r="F319" s="334">
        <v>1.8</v>
      </c>
      <c r="G319" s="752"/>
      <c r="H319" s="753"/>
      <c r="I319" s="750"/>
      <c r="J319" s="750"/>
      <c r="K319" s="340" t="s">
        <v>1985</v>
      </c>
      <c r="L319" s="340" t="s">
        <v>1595</v>
      </c>
      <c r="M319" s="751">
        <v>0.75</v>
      </c>
      <c r="N319" s="340" t="s">
        <v>1593</v>
      </c>
      <c r="O319" s="610" t="s">
        <v>1999</v>
      </c>
      <c r="P319" s="611">
        <v>45580</v>
      </c>
      <c r="Q319" s="481" t="s">
        <v>1987</v>
      </c>
      <c r="R319" s="315">
        <v>123900</v>
      </c>
      <c r="S319" s="612">
        <f t="shared" si="100"/>
        <v>0.01</v>
      </c>
      <c r="T319" s="315">
        <v>15</v>
      </c>
      <c r="U319" s="341">
        <f t="shared" si="101"/>
        <v>45513</v>
      </c>
      <c r="V319" s="378">
        <f t="shared" ca="1" si="91"/>
        <v>10</v>
      </c>
      <c r="W319" s="292">
        <f t="shared" ca="1" si="89"/>
        <v>2024</v>
      </c>
      <c r="X319" s="291" t="str">
        <f t="shared" ca="1" si="90"/>
        <v>5 WEEK</v>
      </c>
      <c r="Y319" s="329">
        <f t="shared" si="103"/>
        <v>45595</v>
      </c>
      <c r="Z319" s="341" cm="1">
        <f t="array" aca="1" ref="Z319" ca="1">_xlfn.IFS(AD319&lt;100,Y319,Y319&lt;TODAY(),TODAY(),Y319&gt;TODAY(),Y319,Y319=TODAY(),Y319)</f>
        <v>45595</v>
      </c>
      <c r="AA319" s="594"/>
      <c r="AB319" s="301"/>
      <c r="AC319" s="301"/>
      <c r="AD319" s="298">
        <f t="shared" si="82"/>
        <v>0</v>
      </c>
      <c r="AE319" s="299" t="str">
        <f t="shared" si="83"/>
        <v>Complete</v>
      </c>
      <c r="AF319" s="340"/>
      <c r="AG319" s="340"/>
      <c r="AH319" s="744"/>
      <c r="AI319" s="301">
        <f t="shared" ca="1" si="80"/>
        <v>0</v>
      </c>
      <c r="AJ319" s="302">
        <f t="shared" ca="1" si="81"/>
        <v>0</v>
      </c>
      <c r="AL319" s="303">
        <f t="shared" si="84"/>
        <v>0</v>
      </c>
      <c r="AM319" s="303">
        <f t="shared" si="85"/>
        <v>-123900</v>
      </c>
      <c r="AN319" s="303">
        <f t="shared" si="86"/>
        <v>123900</v>
      </c>
      <c r="AO319" s="304">
        <f t="shared" si="87"/>
        <v>0</v>
      </c>
      <c r="AP319" s="273">
        <f t="shared" si="92"/>
        <v>10</v>
      </c>
      <c r="AQ319" s="273" t="str">
        <f t="shared" ca="1" si="88"/>
        <v>102024</v>
      </c>
    </row>
    <row r="320" spans="1:43" customFormat="1" ht="16.5">
      <c r="A320" s="392">
        <v>13</v>
      </c>
      <c r="B320" s="743" t="s">
        <v>1970</v>
      </c>
      <c r="C320" s="332" t="s">
        <v>1971</v>
      </c>
      <c r="D320" s="277" t="s">
        <v>1972</v>
      </c>
      <c r="E320" s="406">
        <v>45373</v>
      </c>
      <c r="F320" s="334">
        <v>1.8</v>
      </c>
      <c r="G320" s="752"/>
      <c r="H320" s="753"/>
      <c r="I320" s="750"/>
      <c r="J320" s="750"/>
      <c r="K320" s="340" t="s">
        <v>1985</v>
      </c>
      <c r="L320" s="340" t="s">
        <v>1595</v>
      </c>
      <c r="M320" s="751">
        <v>0.75</v>
      </c>
      <c r="N320" s="340" t="s">
        <v>1593</v>
      </c>
      <c r="O320" s="610" t="s">
        <v>1999</v>
      </c>
      <c r="P320" s="611">
        <v>45588</v>
      </c>
      <c r="Q320" s="481" t="s">
        <v>2001</v>
      </c>
      <c r="R320" s="315">
        <v>123928</v>
      </c>
      <c r="S320" s="612">
        <f t="shared" si="100"/>
        <v>1.0002259887005649E-2</v>
      </c>
      <c r="T320" s="315">
        <v>15</v>
      </c>
      <c r="U320" s="341">
        <f t="shared" si="101"/>
        <v>45513</v>
      </c>
      <c r="V320" s="378">
        <f t="shared" ca="1" si="91"/>
        <v>11</v>
      </c>
      <c r="W320" s="292">
        <f t="shared" ca="1" si="89"/>
        <v>2024</v>
      </c>
      <c r="X320" s="291" t="str">
        <f t="shared" ca="1" si="90"/>
        <v>1 WEEK</v>
      </c>
      <c r="Y320" s="329">
        <f t="shared" si="103"/>
        <v>45603</v>
      </c>
      <c r="Z320" s="341" cm="1">
        <f t="array" aca="1" ref="Z320" ca="1">_xlfn.IFS(AD320&lt;100,Y320,Y320&lt;TODAY(),TODAY(),Y320&gt;TODAY(),Y320,Y320=TODAY(),Y320)</f>
        <v>45603</v>
      </c>
      <c r="AA320" s="594"/>
      <c r="AB320" s="301"/>
      <c r="AC320" s="301"/>
      <c r="AD320" s="298">
        <f t="shared" si="82"/>
        <v>0</v>
      </c>
      <c r="AE320" s="299" t="str">
        <f t="shared" si="83"/>
        <v>Complete</v>
      </c>
      <c r="AF320" s="340"/>
      <c r="AG320" s="340"/>
      <c r="AH320" s="744"/>
      <c r="AI320" s="301">
        <f t="shared" ca="1" si="80"/>
        <v>0</v>
      </c>
      <c r="AJ320" s="302">
        <f t="shared" ca="1" si="81"/>
        <v>0</v>
      </c>
      <c r="AL320" s="303">
        <f t="shared" si="84"/>
        <v>0</v>
      </c>
      <c r="AM320" s="303">
        <f t="shared" si="85"/>
        <v>-123928</v>
      </c>
      <c r="AN320" s="303">
        <f t="shared" si="86"/>
        <v>123928</v>
      </c>
      <c r="AO320" s="304">
        <f t="shared" si="87"/>
        <v>0</v>
      </c>
      <c r="AP320" s="273">
        <f t="shared" si="92"/>
        <v>10</v>
      </c>
      <c r="AQ320" s="273" t="str">
        <f t="shared" ca="1" si="88"/>
        <v>102024</v>
      </c>
    </row>
    <row r="321" spans="1:43" customFormat="1" ht="16.5">
      <c r="A321" s="392">
        <v>13</v>
      </c>
      <c r="B321" s="743" t="s">
        <v>1970</v>
      </c>
      <c r="C321" s="332" t="s">
        <v>1971</v>
      </c>
      <c r="D321" s="277" t="s">
        <v>1972</v>
      </c>
      <c r="E321" s="406">
        <v>45373</v>
      </c>
      <c r="F321" s="334">
        <v>1.8</v>
      </c>
      <c r="G321" s="752"/>
      <c r="H321" s="753"/>
      <c r="I321" s="750"/>
      <c r="J321" s="750"/>
      <c r="K321" s="340" t="s">
        <v>1985</v>
      </c>
      <c r="L321" s="340" t="s">
        <v>1595</v>
      </c>
      <c r="M321" s="751">
        <v>0.75</v>
      </c>
      <c r="N321" s="340" t="s">
        <v>1593</v>
      </c>
      <c r="O321" s="610" t="s">
        <v>1999</v>
      </c>
      <c r="P321" s="611">
        <v>45506</v>
      </c>
      <c r="Q321" s="481" t="s">
        <v>2002</v>
      </c>
      <c r="R321" s="315">
        <v>-123928.32000000001</v>
      </c>
      <c r="S321" s="612">
        <f t="shared" si="100"/>
        <v>-1.0002285714285715E-2</v>
      </c>
      <c r="T321" s="315">
        <v>15</v>
      </c>
      <c r="U321" s="341">
        <f t="shared" si="101"/>
        <v>45513</v>
      </c>
      <c r="V321" s="378">
        <f t="shared" ca="1" si="91"/>
        <v>8</v>
      </c>
      <c r="W321" s="292">
        <f t="shared" ca="1" si="89"/>
        <v>2024</v>
      </c>
      <c r="X321" s="291" t="str">
        <f t="shared" ca="1" si="90"/>
        <v>3 WEEK</v>
      </c>
      <c r="Y321" s="329">
        <f t="shared" si="103"/>
        <v>45521</v>
      </c>
      <c r="Z321" s="341" cm="1">
        <f t="array" aca="1" ref="Z321" ca="1">_xlfn.IFS(AD321&lt;100,Y321,Y321&lt;TODAY(),TODAY(),Y321&gt;TODAY(),Y321,Y321=TODAY(),Y321)</f>
        <v>45521</v>
      </c>
      <c r="AA321" s="594"/>
      <c r="AB321" s="301"/>
      <c r="AC321" s="301"/>
      <c r="AD321" s="298">
        <f t="shared" si="82"/>
        <v>0</v>
      </c>
      <c r="AE321" s="299" t="str">
        <f t="shared" si="83"/>
        <v>Complete</v>
      </c>
      <c r="AF321" s="340"/>
      <c r="AG321" s="340"/>
      <c r="AH321" s="744"/>
      <c r="AI321" s="301">
        <f t="shared" ca="1" si="80"/>
        <v>0</v>
      </c>
      <c r="AJ321" s="302">
        <f t="shared" ca="1" si="81"/>
        <v>0</v>
      </c>
      <c r="AL321" s="303">
        <f t="shared" si="84"/>
        <v>0</v>
      </c>
      <c r="AM321" s="303">
        <f t="shared" si="85"/>
        <v>123928.32000000001</v>
      </c>
      <c r="AN321" s="303">
        <f t="shared" si="86"/>
        <v>-123928.32000000001</v>
      </c>
      <c r="AO321" s="304">
        <f t="shared" si="87"/>
        <v>0</v>
      </c>
      <c r="AP321" s="273">
        <f t="shared" si="92"/>
        <v>8</v>
      </c>
      <c r="AQ321" s="273" t="str">
        <f t="shared" ca="1" si="88"/>
        <v>82024</v>
      </c>
    </row>
    <row r="322" spans="1:43" customFormat="1" ht="16.5">
      <c r="A322" s="392">
        <v>13</v>
      </c>
      <c r="B322" s="743" t="s">
        <v>1970</v>
      </c>
      <c r="C322" s="332" t="s">
        <v>1971</v>
      </c>
      <c r="D322" s="277" t="s">
        <v>1972</v>
      </c>
      <c r="E322" s="406">
        <v>45373</v>
      </c>
      <c r="F322" s="334">
        <v>1.8</v>
      </c>
      <c r="G322" s="752"/>
      <c r="H322" s="753"/>
      <c r="I322" s="750"/>
      <c r="J322" s="750"/>
      <c r="K322" s="340" t="s">
        <v>1985</v>
      </c>
      <c r="L322" s="340" t="s">
        <v>1595</v>
      </c>
      <c r="M322" s="751">
        <v>0.75</v>
      </c>
      <c r="N322" s="340" t="s">
        <v>1593</v>
      </c>
      <c r="O322" s="610" t="s">
        <v>1999</v>
      </c>
      <c r="P322" s="611">
        <v>45707</v>
      </c>
      <c r="Q322" s="481" t="s">
        <v>1988</v>
      </c>
      <c r="R322" s="315">
        <v>-123900</v>
      </c>
      <c r="S322" s="612">
        <f t="shared" si="100"/>
        <v>-0.01</v>
      </c>
      <c r="T322" s="315">
        <v>15</v>
      </c>
      <c r="U322" s="341">
        <f t="shared" si="101"/>
        <v>45513</v>
      </c>
      <c r="V322" s="378">
        <f t="shared" ca="1" si="91"/>
        <v>3</v>
      </c>
      <c r="W322" s="292">
        <f t="shared" ca="1" si="89"/>
        <v>2025</v>
      </c>
      <c r="X322" s="291" t="str">
        <f t="shared" ca="1" si="90"/>
        <v>1 WEEK</v>
      </c>
      <c r="Y322" s="329">
        <f t="shared" si="103"/>
        <v>45722</v>
      </c>
      <c r="Z322" s="341" cm="1">
        <f t="array" aca="1" ref="Z322" ca="1">_xlfn.IFS(AD322&lt;100,Y322,Y322&lt;TODAY(),TODAY(),Y322&gt;TODAY(),Y322,Y322=TODAY(),Y322)</f>
        <v>45722</v>
      </c>
      <c r="AA322" s="594"/>
      <c r="AB322" s="301"/>
      <c r="AC322" s="301"/>
      <c r="AD322" s="298">
        <f t="shared" si="82"/>
        <v>0</v>
      </c>
      <c r="AE322" s="299" t="str">
        <f t="shared" si="83"/>
        <v>Complete</v>
      </c>
      <c r="AF322" s="340"/>
      <c r="AG322" s="340"/>
      <c r="AH322" s="744"/>
      <c r="AI322" s="301">
        <f t="shared" ref="AI322:AI385" ca="1" si="104">Z322-Y322</f>
        <v>0</v>
      </c>
      <c r="AJ322" s="302">
        <f t="shared" ref="AJ322:AJ385" ca="1" si="105">IF(AI322&gt;1,"Delayed",0)</f>
        <v>0</v>
      </c>
      <c r="AL322" s="303">
        <f t="shared" si="84"/>
        <v>0</v>
      </c>
      <c r="AM322" s="303">
        <f t="shared" si="85"/>
        <v>123900</v>
      </c>
      <c r="AN322" s="303">
        <f t="shared" si="86"/>
        <v>-123900</v>
      </c>
      <c r="AO322" s="304">
        <f t="shared" si="87"/>
        <v>0</v>
      </c>
      <c r="AP322" s="273">
        <f t="shared" si="92"/>
        <v>2</v>
      </c>
      <c r="AQ322" s="273" t="str">
        <f t="shared" ca="1" si="88"/>
        <v>22025</v>
      </c>
    </row>
    <row r="323" spans="1:43" customFormat="1" ht="16.5">
      <c r="A323" s="392">
        <v>13</v>
      </c>
      <c r="B323" s="743" t="s">
        <v>1970</v>
      </c>
      <c r="C323" s="332" t="s">
        <v>1971</v>
      </c>
      <c r="D323" s="277" t="s">
        <v>1972</v>
      </c>
      <c r="E323" s="406">
        <v>45373</v>
      </c>
      <c r="F323" s="334">
        <v>1.8</v>
      </c>
      <c r="G323" s="752"/>
      <c r="H323" s="753"/>
      <c r="I323" s="750"/>
      <c r="J323" s="750"/>
      <c r="K323" s="340" t="s">
        <v>1985</v>
      </c>
      <c r="L323" s="340" t="s">
        <v>1595</v>
      </c>
      <c r="M323" s="751">
        <v>0.75</v>
      </c>
      <c r="N323" s="340" t="s">
        <v>1593</v>
      </c>
      <c r="O323" s="610" t="s">
        <v>2003</v>
      </c>
      <c r="P323" s="611">
        <v>45707</v>
      </c>
      <c r="Q323" s="481" t="s">
        <v>1990</v>
      </c>
      <c r="R323" s="315">
        <v>123900</v>
      </c>
      <c r="S323" s="612">
        <f t="shared" si="100"/>
        <v>0.01</v>
      </c>
      <c r="T323" s="315">
        <v>15</v>
      </c>
      <c r="U323" s="341">
        <f t="shared" si="101"/>
        <v>45513</v>
      </c>
      <c r="V323" s="378">
        <f t="shared" ca="1" si="91"/>
        <v>3</v>
      </c>
      <c r="W323" s="292">
        <f t="shared" ca="1" si="89"/>
        <v>2025</v>
      </c>
      <c r="X323" s="291" t="str">
        <f t="shared" ca="1" si="90"/>
        <v>1 WEEK</v>
      </c>
      <c r="Y323" s="329">
        <f t="shared" si="103"/>
        <v>45722</v>
      </c>
      <c r="Z323" s="341" cm="1">
        <f t="array" aca="1" ref="Z323" ca="1">_xlfn.IFS(AD323&lt;100,Y323,Y323&lt;TODAY(),TODAY(),Y323&gt;TODAY(),Y323,Y323=TODAY(),Y323)</f>
        <v>45722</v>
      </c>
      <c r="AA323" s="594"/>
      <c r="AB323" s="301"/>
      <c r="AC323" s="301"/>
      <c r="AD323" s="298">
        <f t="shared" ref="AD323:AD386" si="106">ROUND(AA323-AB323-AC323,0)</f>
        <v>0</v>
      </c>
      <c r="AE323" s="299" t="str">
        <f t="shared" ref="AE323:AE386" si="107">IF(AD323&lt;100,"Complete","Incomplete")</f>
        <v>Complete</v>
      </c>
      <c r="AF323" s="340"/>
      <c r="AG323" s="340"/>
      <c r="AH323" s="744"/>
      <c r="AI323" s="301">
        <f t="shared" ca="1" si="104"/>
        <v>0</v>
      </c>
      <c r="AJ323" s="302">
        <f t="shared" ca="1" si="105"/>
        <v>0</v>
      </c>
      <c r="AL323" s="303">
        <f t="shared" ref="AL323:AL386" si="108">I323-J323</f>
        <v>0</v>
      </c>
      <c r="AM323" s="303">
        <f t="shared" ref="AM323:AM386" si="109">IFERROR(I323-R323,0)</f>
        <v>-123900</v>
      </c>
      <c r="AN323" s="303">
        <f t="shared" ref="AN323:AN386" si="110">IFERROR(R323-J323,0)</f>
        <v>123900</v>
      </c>
      <c r="AO323" s="304">
        <f t="shared" ref="AO323:AO386" si="111">IFERROR(P323/J323,0)</f>
        <v>0</v>
      </c>
      <c r="AP323" s="273">
        <f t="shared" si="92"/>
        <v>2</v>
      </c>
      <c r="AQ323" s="273" t="str">
        <f t="shared" ref="AQ323:AQ386" ca="1" si="112">AP323&amp;W323</f>
        <v>22025</v>
      </c>
    </row>
    <row r="324" spans="1:43" customFormat="1" ht="16.5">
      <c r="A324" s="392">
        <v>13</v>
      </c>
      <c r="B324" s="743" t="s">
        <v>1970</v>
      </c>
      <c r="C324" s="332" t="s">
        <v>1971</v>
      </c>
      <c r="D324" s="277" t="s">
        <v>1972</v>
      </c>
      <c r="E324" s="406">
        <v>45373</v>
      </c>
      <c r="F324" s="334">
        <v>1.8</v>
      </c>
      <c r="G324" s="752">
        <v>315000</v>
      </c>
      <c r="H324" s="753">
        <v>56700</v>
      </c>
      <c r="I324" s="750">
        <v>371700</v>
      </c>
      <c r="J324" s="750"/>
      <c r="K324" s="340" t="s">
        <v>1985</v>
      </c>
      <c r="L324" s="340" t="s">
        <v>1595</v>
      </c>
      <c r="M324" s="751">
        <v>0.75</v>
      </c>
      <c r="N324" s="340" t="s">
        <v>1593</v>
      </c>
      <c r="O324" s="610" t="s">
        <v>2003</v>
      </c>
      <c r="P324" s="611">
        <v>45554</v>
      </c>
      <c r="Q324" s="481" t="s">
        <v>2000</v>
      </c>
      <c r="R324" s="315">
        <v>123900</v>
      </c>
      <c r="S324" s="612">
        <f t="shared" si="100"/>
        <v>0.01</v>
      </c>
      <c r="T324" s="315">
        <v>15</v>
      </c>
      <c r="U324" s="341">
        <f t="shared" si="101"/>
        <v>45513</v>
      </c>
      <c r="V324" s="378">
        <f t="shared" ca="1" si="91"/>
        <v>10</v>
      </c>
      <c r="W324" s="292">
        <f t="shared" ca="1" si="89"/>
        <v>2024</v>
      </c>
      <c r="X324" s="291" t="str">
        <f t="shared" ca="1" si="90"/>
        <v>1 WEEK</v>
      </c>
      <c r="Y324" s="329">
        <f t="shared" si="103"/>
        <v>45569</v>
      </c>
      <c r="Z324" s="341" cm="1">
        <f t="array" aca="1" ref="Z324" ca="1">_xlfn.IFS(AD324&lt;100,Y324,Y324&lt;TODAY(),TODAY(),Y324&gt;TODAY(),Y324,Y324=TODAY(),Y324)</f>
        <v>45569</v>
      </c>
      <c r="AA324" s="594"/>
      <c r="AB324" s="301"/>
      <c r="AC324" s="301"/>
      <c r="AD324" s="298">
        <f t="shared" si="106"/>
        <v>0</v>
      </c>
      <c r="AE324" s="299" t="str">
        <f t="shared" si="107"/>
        <v>Complete</v>
      </c>
      <c r="AF324" s="340"/>
      <c r="AG324" s="340"/>
      <c r="AH324" s="744"/>
      <c r="AI324" s="301">
        <f t="shared" ca="1" si="104"/>
        <v>0</v>
      </c>
      <c r="AJ324" s="302">
        <f t="shared" ca="1" si="105"/>
        <v>0</v>
      </c>
      <c r="AL324" s="303">
        <f t="shared" si="108"/>
        <v>371700</v>
      </c>
      <c r="AM324" s="303">
        <f t="shared" si="109"/>
        <v>247800</v>
      </c>
      <c r="AN324" s="303">
        <f t="shared" si="110"/>
        <v>123900</v>
      </c>
      <c r="AO324" s="304">
        <f t="shared" si="111"/>
        <v>0</v>
      </c>
      <c r="AP324" s="273">
        <f t="shared" si="92"/>
        <v>9</v>
      </c>
      <c r="AQ324" s="273" t="str">
        <f t="shared" ca="1" si="112"/>
        <v>92024</v>
      </c>
    </row>
    <row r="325" spans="1:43" customFormat="1" ht="16.5">
      <c r="A325" s="392">
        <v>13</v>
      </c>
      <c r="B325" s="743" t="s">
        <v>1970</v>
      </c>
      <c r="C325" s="332" t="s">
        <v>1971</v>
      </c>
      <c r="D325" s="277" t="s">
        <v>1972</v>
      </c>
      <c r="E325" s="406">
        <v>45373</v>
      </c>
      <c r="F325" s="334">
        <v>1.8</v>
      </c>
      <c r="G325" s="752"/>
      <c r="H325" s="753"/>
      <c r="I325" s="750"/>
      <c r="J325" s="750"/>
      <c r="K325" s="340" t="s">
        <v>1985</v>
      </c>
      <c r="L325" s="340" t="s">
        <v>1595</v>
      </c>
      <c r="M325" s="751">
        <v>0.75</v>
      </c>
      <c r="N325" s="340" t="s">
        <v>1593</v>
      </c>
      <c r="O325" s="610" t="s">
        <v>2004</v>
      </c>
      <c r="P325" s="611">
        <v>45612</v>
      </c>
      <c r="Q325" s="481" t="s">
        <v>1983</v>
      </c>
      <c r="R325" s="315">
        <v>247800</v>
      </c>
      <c r="S325" s="612">
        <f t="shared" si="100"/>
        <v>0.02</v>
      </c>
      <c r="T325" s="315">
        <v>15</v>
      </c>
      <c r="U325" s="341">
        <f t="shared" si="101"/>
        <v>45513</v>
      </c>
      <c r="V325" s="378">
        <f t="shared" ca="1" si="91"/>
        <v>12</v>
      </c>
      <c r="W325" s="292">
        <f t="shared" ca="1" si="89"/>
        <v>2024</v>
      </c>
      <c r="X325" s="291" t="str">
        <f t="shared" ca="1" si="90"/>
        <v>1 WEEK</v>
      </c>
      <c r="Y325" s="329">
        <f t="shared" si="103"/>
        <v>45627</v>
      </c>
      <c r="Z325" s="341" cm="1">
        <f t="array" aca="1" ref="Z325" ca="1">_xlfn.IFS(AD325&lt;100,Y325,Y325&lt;TODAY(),TODAY(),Y325&gt;TODAY(),Y325,Y325=TODAY(),Y325)</f>
        <v>45627</v>
      </c>
      <c r="AA325" s="594"/>
      <c r="AB325" s="301"/>
      <c r="AC325" s="301"/>
      <c r="AD325" s="298">
        <f t="shared" si="106"/>
        <v>0</v>
      </c>
      <c r="AE325" s="299" t="str">
        <f t="shared" si="107"/>
        <v>Complete</v>
      </c>
      <c r="AF325" s="340"/>
      <c r="AG325" s="340"/>
      <c r="AH325" s="744"/>
      <c r="AI325" s="301">
        <f t="shared" ca="1" si="104"/>
        <v>0</v>
      </c>
      <c r="AJ325" s="302">
        <f t="shared" ca="1" si="105"/>
        <v>0</v>
      </c>
      <c r="AL325" s="303">
        <f t="shared" si="108"/>
        <v>0</v>
      </c>
      <c r="AM325" s="303">
        <f t="shared" si="109"/>
        <v>-247800</v>
      </c>
      <c r="AN325" s="303">
        <f t="shared" si="110"/>
        <v>247800</v>
      </c>
      <c r="AO325" s="304">
        <f t="shared" si="111"/>
        <v>0</v>
      </c>
      <c r="AP325" s="273">
        <f t="shared" ref="AP325:AP388" si="113">MONTH(P325)</f>
        <v>11</v>
      </c>
      <c r="AQ325" s="273" t="str">
        <f t="shared" ca="1" si="112"/>
        <v>112024</v>
      </c>
    </row>
    <row r="326" spans="1:43" customFormat="1" ht="16.5">
      <c r="A326" s="392">
        <v>13</v>
      </c>
      <c r="B326" s="743" t="s">
        <v>1970</v>
      </c>
      <c r="C326" s="332" t="s">
        <v>1971</v>
      </c>
      <c r="D326" s="277" t="s">
        <v>1972</v>
      </c>
      <c r="E326" s="406">
        <v>45373</v>
      </c>
      <c r="F326" s="334">
        <v>1.8</v>
      </c>
      <c r="G326" s="752">
        <v>210000</v>
      </c>
      <c r="H326" s="753">
        <v>37800</v>
      </c>
      <c r="I326" s="750">
        <v>247800</v>
      </c>
      <c r="J326" s="750"/>
      <c r="K326" s="340" t="s">
        <v>1985</v>
      </c>
      <c r="L326" s="340" t="s">
        <v>1595</v>
      </c>
      <c r="M326" s="751">
        <v>0.75</v>
      </c>
      <c r="N326" s="340" t="s">
        <v>1593</v>
      </c>
      <c r="O326" s="610" t="s">
        <v>2005</v>
      </c>
      <c r="P326" s="611">
        <v>45506</v>
      </c>
      <c r="Q326" s="481" t="s">
        <v>1996</v>
      </c>
      <c r="R326" s="315">
        <v>247800</v>
      </c>
      <c r="S326" s="612">
        <f t="shared" si="100"/>
        <v>0.02</v>
      </c>
      <c r="T326" s="315">
        <v>15</v>
      </c>
      <c r="U326" s="341">
        <f t="shared" si="101"/>
        <v>45513</v>
      </c>
      <c r="V326" s="378">
        <f t="shared" ca="1" si="91"/>
        <v>8</v>
      </c>
      <c r="W326" s="292">
        <f t="shared" ca="1" si="89"/>
        <v>2024</v>
      </c>
      <c r="X326" s="291" t="str">
        <f t="shared" ca="1" si="90"/>
        <v>3 WEEK</v>
      </c>
      <c r="Y326" s="329">
        <f t="shared" si="103"/>
        <v>45521</v>
      </c>
      <c r="Z326" s="341" cm="1">
        <f t="array" aca="1" ref="Z326" ca="1">_xlfn.IFS(AD326&lt;100,Y326,Y326&lt;TODAY(),TODAY(),Y326&gt;TODAY(),Y326,Y326=TODAY(),Y326)</f>
        <v>45521</v>
      </c>
      <c r="AA326" s="594"/>
      <c r="AB326" s="301"/>
      <c r="AC326" s="301"/>
      <c r="AD326" s="298">
        <f t="shared" si="106"/>
        <v>0</v>
      </c>
      <c r="AE326" s="299" t="str">
        <f t="shared" si="107"/>
        <v>Complete</v>
      </c>
      <c r="AF326" s="340"/>
      <c r="AG326" s="340"/>
      <c r="AH326" s="744"/>
      <c r="AI326" s="301">
        <f t="shared" ca="1" si="104"/>
        <v>0</v>
      </c>
      <c r="AJ326" s="302">
        <f t="shared" ca="1" si="105"/>
        <v>0</v>
      </c>
      <c r="AL326" s="303">
        <f t="shared" si="108"/>
        <v>247800</v>
      </c>
      <c r="AM326" s="303">
        <f t="shared" si="109"/>
        <v>0</v>
      </c>
      <c r="AN326" s="303">
        <f t="shared" si="110"/>
        <v>247800</v>
      </c>
      <c r="AO326" s="304">
        <f t="shared" si="111"/>
        <v>0</v>
      </c>
      <c r="AP326" s="273">
        <f t="shared" si="113"/>
        <v>8</v>
      </c>
      <c r="AQ326" s="273" t="str">
        <f t="shared" ca="1" si="112"/>
        <v>82024</v>
      </c>
    </row>
    <row r="327" spans="1:43" customFormat="1" ht="16.5">
      <c r="A327" s="392">
        <v>13</v>
      </c>
      <c r="B327" s="743" t="s">
        <v>1970</v>
      </c>
      <c r="C327" s="332" t="s">
        <v>1971</v>
      </c>
      <c r="D327" s="277" t="s">
        <v>1972</v>
      </c>
      <c r="E327" s="406">
        <v>45373</v>
      </c>
      <c r="F327" s="334">
        <v>1.8</v>
      </c>
      <c r="G327" s="752">
        <v>315000</v>
      </c>
      <c r="H327" s="753">
        <v>56700</v>
      </c>
      <c r="I327" s="750">
        <v>371700</v>
      </c>
      <c r="J327" s="750"/>
      <c r="K327" s="340" t="s">
        <v>1985</v>
      </c>
      <c r="L327" s="340" t="s">
        <v>1595</v>
      </c>
      <c r="M327" s="751">
        <v>0.75</v>
      </c>
      <c r="N327" s="340" t="s">
        <v>1593</v>
      </c>
      <c r="O327" s="610" t="s">
        <v>2005</v>
      </c>
      <c r="P327" s="611">
        <v>45612</v>
      </c>
      <c r="Q327" s="481" t="s">
        <v>1983</v>
      </c>
      <c r="R327" s="315">
        <v>371700</v>
      </c>
      <c r="S327" s="612">
        <f t="shared" si="100"/>
        <v>0.03</v>
      </c>
      <c r="T327" s="315">
        <v>15</v>
      </c>
      <c r="U327" s="341">
        <f t="shared" si="101"/>
        <v>45513</v>
      </c>
      <c r="V327" s="378">
        <f t="shared" ca="1" si="91"/>
        <v>12</v>
      </c>
      <c r="W327" s="292">
        <f t="shared" ca="1" si="89"/>
        <v>2024</v>
      </c>
      <c r="X327" s="291" t="str">
        <f t="shared" ca="1" si="90"/>
        <v>1 WEEK</v>
      </c>
      <c r="Y327" s="329">
        <f t="shared" si="103"/>
        <v>45627</v>
      </c>
      <c r="Z327" s="341" cm="1">
        <f t="array" aca="1" ref="Z327" ca="1">_xlfn.IFS(AD327&lt;100,Y327,Y327&lt;TODAY(),TODAY(),Y327&gt;TODAY(),Y327,Y327=TODAY(),Y327)</f>
        <v>45627</v>
      </c>
      <c r="AA327" s="594"/>
      <c r="AB327" s="301"/>
      <c r="AC327" s="301"/>
      <c r="AD327" s="298">
        <f t="shared" si="106"/>
        <v>0</v>
      </c>
      <c r="AE327" s="299" t="str">
        <f t="shared" si="107"/>
        <v>Complete</v>
      </c>
      <c r="AF327" s="340"/>
      <c r="AG327" s="340"/>
      <c r="AH327" s="744"/>
      <c r="AI327" s="301">
        <f t="shared" ca="1" si="104"/>
        <v>0</v>
      </c>
      <c r="AJ327" s="302">
        <f t="shared" ca="1" si="105"/>
        <v>0</v>
      </c>
      <c r="AL327" s="303">
        <f t="shared" si="108"/>
        <v>371700</v>
      </c>
      <c r="AM327" s="303">
        <f t="shared" si="109"/>
        <v>0</v>
      </c>
      <c r="AN327" s="303">
        <f t="shared" si="110"/>
        <v>371700</v>
      </c>
      <c r="AO327" s="304">
        <f t="shared" si="111"/>
        <v>0</v>
      </c>
      <c r="AP327" s="273">
        <f t="shared" si="113"/>
        <v>11</v>
      </c>
      <c r="AQ327" s="273" t="str">
        <f t="shared" ca="1" si="112"/>
        <v>112024</v>
      </c>
    </row>
    <row r="328" spans="1:43" customFormat="1" ht="16.5">
      <c r="A328" s="392">
        <v>13</v>
      </c>
      <c r="B328" s="743" t="s">
        <v>1970</v>
      </c>
      <c r="C328" s="332" t="s">
        <v>1971</v>
      </c>
      <c r="D328" s="277" t="s">
        <v>1972</v>
      </c>
      <c r="E328" s="406">
        <v>45373</v>
      </c>
      <c r="F328" s="334">
        <v>1.8</v>
      </c>
      <c r="G328" s="756"/>
      <c r="H328" s="757"/>
      <c r="I328" s="758"/>
      <c r="J328" s="758"/>
      <c r="K328" s="340" t="s">
        <v>2006</v>
      </c>
      <c r="L328" s="340" t="s">
        <v>1617</v>
      </c>
      <c r="M328" s="751">
        <v>0.1</v>
      </c>
      <c r="N328" s="340" t="s">
        <v>1593</v>
      </c>
      <c r="O328" s="759"/>
      <c r="P328" s="617">
        <v>0</v>
      </c>
      <c r="Q328" s="340"/>
      <c r="R328" s="315"/>
      <c r="S328" s="742">
        <f t="shared" si="100"/>
        <v>0</v>
      </c>
      <c r="T328" s="315">
        <v>15</v>
      </c>
      <c r="U328" s="341">
        <f t="shared" si="101"/>
        <v>45513</v>
      </c>
      <c r="V328" s="378">
        <f t="shared" ca="1" si="91"/>
        <v>1</v>
      </c>
      <c r="W328" s="760">
        <f t="shared" ca="1" si="89"/>
        <v>1900</v>
      </c>
      <c r="X328" s="291" t="str">
        <f t="shared" ca="1" si="90"/>
        <v>3 WEEK</v>
      </c>
      <c r="Y328" s="436">
        <f t="shared" si="103"/>
        <v>15</v>
      </c>
      <c r="Z328" s="541" cm="1">
        <f t="array" aca="1" ref="Z328" ca="1">_xlfn.IFS(AD328&lt;100,Y328,Y328&lt;TODAY(),TODAY(),Y328&gt;TODAY(),Y328,Y328=TODAY(),Y328)</f>
        <v>15</v>
      </c>
      <c r="AA328" s="330">
        <f>SUM(I295:I328)*M328+SUM(H295:H328)*M295</f>
        <v>1428000</v>
      </c>
      <c r="AB328" s="301">
        <f>AA328-AC328</f>
        <v>1399440</v>
      </c>
      <c r="AC328" s="301">
        <f>AA328*2%</f>
        <v>28560</v>
      </c>
      <c r="AD328" s="298">
        <f t="shared" si="106"/>
        <v>0</v>
      </c>
      <c r="AE328" s="299" t="str">
        <f t="shared" si="107"/>
        <v>Complete</v>
      </c>
      <c r="AF328" s="340"/>
      <c r="AG328" s="340"/>
      <c r="AH328" s="744"/>
      <c r="AI328" s="301">
        <f t="shared" ca="1" si="104"/>
        <v>0</v>
      </c>
      <c r="AJ328" s="302">
        <f t="shared" ca="1" si="105"/>
        <v>0</v>
      </c>
      <c r="AL328" s="303">
        <f t="shared" si="108"/>
        <v>0</v>
      </c>
      <c r="AM328" s="303">
        <f t="shared" si="109"/>
        <v>0</v>
      </c>
      <c r="AN328" s="303">
        <f t="shared" si="110"/>
        <v>0</v>
      </c>
      <c r="AO328" s="304">
        <f t="shared" si="111"/>
        <v>0</v>
      </c>
      <c r="AP328" s="273">
        <f t="shared" si="113"/>
        <v>1</v>
      </c>
      <c r="AQ328" s="273" t="str">
        <f t="shared" ca="1" si="112"/>
        <v>11900</v>
      </c>
    </row>
    <row r="329" spans="1:43" customFormat="1" ht="16.5">
      <c r="A329" s="761">
        <v>14</v>
      </c>
      <c r="B329" s="762" t="s">
        <v>1970</v>
      </c>
      <c r="C329" s="369" t="s">
        <v>1971</v>
      </c>
      <c r="D329" s="277" t="s">
        <v>1972</v>
      </c>
      <c r="E329" s="736">
        <v>45373</v>
      </c>
      <c r="F329" s="370">
        <v>1.8</v>
      </c>
      <c r="G329" s="763"/>
      <c r="H329" s="764"/>
      <c r="I329" s="765"/>
      <c r="J329" s="765"/>
      <c r="K329" s="340" t="s">
        <v>1973</v>
      </c>
      <c r="L329" s="390" t="s">
        <v>1592</v>
      </c>
      <c r="M329" s="751">
        <v>0.1</v>
      </c>
      <c r="N329" s="766" t="s">
        <v>2007</v>
      </c>
      <c r="O329" s="767"/>
      <c r="P329" s="617">
        <v>0</v>
      </c>
      <c r="Q329" s="390"/>
      <c r="R329" s="434"/>
      <c r="S329" s="768">
        <f>R329/SUM($I$329:$I$352)</f>
        <v>0</v>
      </c>
      <c r="T329" s="423">
        <v>15</v>
      </c>
      <c r="U329" s="731">
        <f t="shared" si="101"/>
        <v>45513</v>
      </c>
      <c r="V329" s="378">
        <f t="shared" ca="1" si="91"/>
        <v>1</v>
      </c>
      <c r="W329" s="737">
        <f t="shared" ca="1" si="89"/>
        <v>1900</v>
      </c>
      <c r="X329" s="390" t="str">
        <f t="shared" ca="1" si="90"/>
        <v>3 WEEK</v>
      </c>
      <c r="Y329" s="436">
        <f t="shared" si="103"/>
        <v>15</v>
      </c>
      <c r="Z329" s="541" cm="1">
        <f t="array" aca="1" ref="Z329" ca="1">_xlfn.IFS(AD329&lt;100,Y329,Y329&lt;TODAY(),TODAY(),Y329&gt;TODAY(),Y329,Y329=TODAY(),Y329)</f>
        <v>15</v>
      </c>
      <c r="AA329" s="452">
        <f>SUM(G329:G354)*M329</f>
        <v>184000</v>
      </c>
      <c r="AB329" s="451">
        <f>AA329-AC329</f>
        <v>180320</v>
      </c>
      <c r="AC329" s="451">
        <f>AA329*2%</f>
        <v>3680</v>
      </c>
      <c r="AD329" s="298">
        <f t="shared" si="106"/>
        <v>0</v>
      </c>
      <c r="AE329" s="299" t="str">
        <f t="shared" si="107"/>
        <v>Complete</v>
      </c>
      <c r="AF329" s="273"/>
      <c r="AG329" s="273"/>
      <c r="AH329" s="273"/>
      <c r="AI329" s="301">
        <f t="shared" ca="1" si="104"/>
        <v>0</v>
      </c>
      <c r="AJ329" s="302">
        <f t="shared" ca="1" si="105"/>
        <v>0</v>
      </c>
      <c r="AL329" s="303">
        <f t="shared" si="108"/>
        <v>0</v>
      </c>
      <c r="AM329" s="303">
        <f t="shared" si="109"/>
        <v>0</v>
      </c>
      <c r="AN329" s="303">
        <f t="shared" si="110"/>
        <v>0</v>
      </c>
      <c r="AO329" s="304">
        <f t="shared" si="111"/>
        <v>0</v>
      </c>
      <c r="AP329" s="273">
        <f t="shared" si="113"/>
        <v>1</v>
      </c>
      <c r="AQ329" s="273" t="str">
        <f t="shared" ca="1" si="112"/>
        <v>11900</v>
      </c>
    </row>
    <row r="330" spans="1:43" customFormat="1" ht="16.5">
      <c r="A330" s="312">
        <v>14</v>
      </c>
      <c r="B330" s="769" t="s">
        <v>1970</v>
      </c>
      <c r="C330" s="277" t="s">
        <v>1971</v>
      </c>
      <c r="D330" s="277" t="s">
        <v>1972</v>
      </c>
      <c r="E330" s="630">
        <v>45373</v>
      </c>
      <c r="F330" s="739">
        <v>1.8</v>
      </c>
      <c r="G330" s="770">
        <v>552000</v>
      </c>
      <c r="H330" s="771">
        <v>99360</v>
      </c>
      <c r="I330" s="772">
        <v>651360</v>
      </c>
      <c r="J330" s="772"/>
      <c r="K330" s="340" t="s">
        <v>2008</v>
      </c>
      <c r="L330" s="291" t="s">
        <v>1617</v>
      </c>
      <c r="M330" s="751">
        <v>0.7</v>
      </c>
      <c r="N330" s="766" t="s">
        <v>2007</v>
      </c>
      <c r="O330" s="732" t="s">
        <v>2009</v>
      </c>
      <c r="P330" s="773">
        <v>45637</v>
      </c>
      <c r="Q330" s="774" t="s">
        <v>2010</v>
      </c>
      <c r="R330" s="530">
        <v>434240</v>
      </c>
      <c r="S330" s="768">
        <f t="shared" ref="S330:S352" si="114">R330/SUM($I$329:$I$352)</f>
        <v>0.2</v>
      </c>
      <c r="T330" s="450">
        <v>15</v>
      </c>
      <c r="U330" s="731">
        <f t="shared" si="101"/>
        <v>45513</v>
      </c>
      <c r="V330" s="390">
        <f t="shared" ca="1" si="91"/>
        <v>12</v>
      </c>
      <c r="W330" s="292">
        <f t="shared" ca="1" si="89"/>
        <v>2024</v>
      </c>
      <c r="X330" s="291" t="str">
        <f t="shared" ca="1" si="90"/>
        <v>4 WEEK</v>
      </c>
      <c r="Y330" s="329">
        <f t="shared" si="103"/>
        <v>45652</v>
      </c>
      <c r="Z330" s="341" cm="1">
        <f t="array" aca="1" ref="Z330" ca="1">_xlfn.IFS(AD330&lt;100,Y330,Y330&lt;TODAY(),TODAY(),Y330&gt;TODAY(),Y330,Y330=TODAY(),Y330)</f>
        <v>45652</v>
      </c>
      <c r="AA330" s="452">
        <f t="shared" ref="AA330:AA352" si="115">SUM($I$329:$I$354)*M330*S330</f>
        <v>303968</v>
      </c>
      <c r="AB330" s="451">
        <f>AA330-AC330</f>
        <v>297888.64000000001</v>
      </c>
      <c r="AC330" s="451">
        <f>AA330*2%</f>
        <v>6079.36</v>
      </c>
      <c r="AD330" s="298">
        <f t="shared" si="106"/>
        <v>0</v>
      </c>
      <c r="AE330" s="299" t="str">
        <f t="shared" si="107"/>
        <v>Complete</v>
      </c>
      <c r="AF330" s="273"/>
      <c r="AG330" s="273"/>
      <c r="AH330" s="273"/>
      <c r="AI330" s="301">
        <f t="shared" ca="1" si="104"/>
        <v>0</v>
      </c>
      <c r="AJ330" s="302">
        <f t="shared" ca="1" si="105"/>
        <v>0</v>
      </c>
      <c r="AL330" s="303">
        <f t="shared" si="108"/>
        <v>651360</v>
      </c>
      <c r="AM330" s="303">
        <f t="shared" si="109"/>
        <v>217120</v>
      </c>
      <c r="AN330" s="303">
        <f t="shared" si="110"/>
        <v>434240</v>
      </c>
      <c r="AO330" s="304">
        <f t="shared" si="111"/>
        <v>0</v>
      </c>
      <c r="AP330" s="273">
        <f t="shared" si="113"/>
        <v>12</v>
      </c>
      <c r="AQ330" s="273" t="str">
        <f t="shared" ca="1" si="112"/>
        <v>122024</v>
      </c>
    </row>
    <row r="331" spans="1:43" customFormat="1" ht="16.5">
      <c r="A331" s="761">
        <v>14</v>
      </c>
      <c r="B331" s="769" t="s">
        <v>1970</v>
      </c>
      <c r="C331" s="277" t="s">
        <v>1971</v>
      </c>
      <c r="D331" s="277" t="s">
        <v>1972</v>
      </c>
      <c r="E331" s="406">
        <v>45373</v>
      </c>
      <c r="F331" s="739">
        <v>1.8</v>
      </c>
      <c r="G331" s="775"/>
      <c r="H331" s="753"/>
      <c r="I331" s="776"/>
      <c r="J331" s="776"/>
      <c r="K331" s="340" t="s">
        <v>2008</v>
      </c>
      <c r="L331" s="340" t="s">
        <v>1617</v>
      </c>
      <c r="M331" s="751">
        <v>0.7</v>
      </c>
      <c r="N331" s="777" t="s">
        <v>2007</v>
      </c>
      <c r="O331" s="610" t="s">
        <v>2009</v>
      </c>
      <c r="P331" s="595">
        <v>45741</v>
      </c>
      <c r="Q331" s="778" t="s">
        <v>2011</v>
      </c>
      <c r="R331" s="315">
        <v>217120</v>
      </c>
      <c r="S331" s="768">
        <f t="shared" si="114"/>
        <v>0.1</v>
      </c>
      <c r="T331" s="450">
        <v>15</v>
      </c>
      <c r="U331" s="731">
        <f t="shared" si="101"/>
        <v>45513</v>
      </c>
      <c r="V331" s="378">
        <f t="shared" ca="1" si="91"/>
        <v>4</v>
      </c>
      <c r="W331" s="292">
        <f t="shared" ca="1" si="89"/>
        <v>2025</v>
      </c>
      <c r="X331" s="291" t="str">
        <f t="shared" ca="1" si="90"/>
        <v>2 WEEK</v>
      </c>
      <c r="Y331" s="688">
        <f t="shared" si="103"/>
        <v>45756</v>
      </c>
      <c r="Z331" s="731" cm="1">
        <f t="array" aca="1" ref="Z331" ca="1">_xlfn.IFS(AD331&lt;100,Y331,Y331&lt;TODAY(),TODAY(),Y331&gt;TODAY(),Y331,Y331=TODAY(),Y331)</f>
        <v>45756</v>
      </c>
      <c r="AA331" s="452">
        <f t="shared" si="115"/>
        <v>151984</v>
      </c>
      <c r="AB331" s="451">
        <f t="shared" ref="AB331:AB333" si="116">AA331-AC331</f>
        <v>148944.32000000001</v>
      </c>
      <c r="AC331" s="451">
        <f t="shared" ref="AC331:AC333" si="117">AA331*2%</f>
        <v>3039.68</v>
      </c>
      <c r="AD331" s="298">
        <f t="shared" si="106"/>
        <v>0</v>
      </c>
      <c r="AE331" s="299" t="str">
        <f t="shared" si="107"/>
        <v>Complete</v>
      </c>
      <c r="AF331" s="273"/>
      <c r="AG331" s="273"/>
      <c r="AH331" s="273"/>
      <c r="AI331" s="301">
        <f t="shared" ca="1" si="104"/>
        <v>0</v>
      </c>
      <c r="AJ331" s="302">
        <f t="shared" ca="1" si="105"/>
        <v>0</v>
      </c>
      <c r="AL331" s="303">
        <f t="shared" si="108"/>
        <v>0</v>
      </c>
      <c r="AM331" s="303">
        <f t="shared" si="109"/>
        <v>-217120</v>
      </c>
      <c r="AN331" s="303">
        <f t="shared" si="110"/>
        <v>217120</v>
      </c>
      <c r="AO331" s="304">
        <f t="shared" si="111"/>
        <v>0</v>
      </c>
      <c r="AP331" s="273">
        <f t="shared" si="113"/>
        <v>3</v>
      </c>
      <c r="AQ331" s="273" t="str">
        <f t="shared" ca="1" si="112"/>
        <v>32025</v>
      </c>
    </row>
    <row r="332" spans="1:43" customFormat="1" ht="16.5">
      <c r="A332" s="761">
        <v>14</v>
      </c>
      <c r="B332" s="769" t="s">
        <v>1970</v>
      </c>
      <c r="C332" s="277" t="s">
        <v>1971</v>
      </c>
      <c r="D332" s="277" t="s">
        <v>1972</v>
      </c>
      <c r="E332" s="406">
        <v>45373</v>
      </c>
      <c r="F332" s="739">
        <v>1.8</v>
      </c>
      <c r="G332" s="775">
        <v>110400</v>
      </c>
      <c r="H332" s="753">
        <v>19872</v>
      </c>
      <c r="I332" s="776">
        <v>130272</v>
      </c>
      <c r="J332" s="776"/>
      <c r="K332" s="340" t="s">
        <v>2008</v>
      </c>
      <c r="L332" s="340" t="s">
        <v>1617</v>
      </c>
      <c r="M332" s="751">
        <v>0.7</v>
      </c>
      <c r="N332" s="777" t="s">
        <v>2007</v>
      </c>
      <c r="O332" s="610" t="s">
        <v>2012</v>
      </c>
      <c r="P332" s="595">
        <v>45637</v>
      </c>
      <c r="Q332" s="778" t="s">
        <v>2010</v>
      </c>
      <c r="R332" s="315">
        <v>130272</v>
      </c>
      <c r="S332" s="768">
        <f t="shared" si="114"/>
        <v>0.06</v>
      </c>
      <c r="T332" s="450">
        <v>15</v>
      </c>
      <c r="U332" s="731">
        <f t="shared" si="101"/>
        <v>45513</v>
      </c>
      <c r="V332" s="378">
        <f t="shared" ca="1" si="91"/>
        <v>12</v>
      </c>
      <c r="W332" s="292">
        <f t="shared" ca="1" si="89"/>
        <v>2024</v>
      </c>
      <c r="X332" s="291" t="str">
        <f t="shared" ca="1" si="90"/>
        <v>4 WEEK</v>
      </c>
      <c r="Y332" s="688">
        <f t="shared" si="103"/>
        <v>45652</v>
      </c>
      <c r="Z332" s="731" cm="1">
        <f t="array" aca="1" ref="Z332" ca="1">_xlfn.IFS(AD332&lt;100,Y332,Y332&lt;TODAY(),TODAY(),Y332&gt;TODAY(),Y332,Y332=TODAY(),Y332)</f>
        <v>45652</v>
      </c>
      <c r="AA332" s="452">
        <f t="shared" si="115"/>
        <v>91190.399999999994</v>
      </c>
      <c r="AB332" s="451">
        <f t="shared" si="116"/>
        <v>89366.59199999999</v>
      </c>
      <c r="AC332" s="451">
        <f t="shared" si="117"/>
        <v>1823.808</v>
      </c>
      <c r="AD332" s="298">
        <f t="shared" si="106"/>
        <v>0</v>
      </c>
      <c r="AE332" s="299" t="str">
        <f t="shared" si="107"/>
        <v>Complete</v>
      </c>
      <c r="AF332" s="273"/>
      <c r="AG332" s="273"/>
      <c r="AH332" s="273"/>
      <c r="AI332" s="301">
        <f t="shared" ca="1" si="104"/>
        <v>0</v>
      </c>
      <c r="AJ332" s="302">
        <f t="shared" ca="1" si="105"/>
        <v>0</v>
      </c>
      <c r="AL332" s="303">
        <f t="shared" si="108"/>
        <v>130272</v>
      </c>
      <c r="AM332" s="303">
        <f t="shared" si="109"/>
        <v>0</v>
      </c>
      <c r="AN332" s="303">
        <f t="shared" si="110"/>
        <v>130272</v>
      </c>
      <c r="AO332" s="304">
        <f t="shared" si="111"/>
        <v>0</v>
      </c>
      <c r="AP332" s="273">
        <f t="shared" si="113"/>
        <v>12</v>
      </c>
      <c r="AQ332" s="273" t="str">
        <f t="shared" ca="1" si="112"/>
        <v>122024</v>
      </c>
    </row>
    <row r="333" spans="1:43" customFormat="1" ht="16.5">
      <c r="A333" s="761">
        <v>14</v>
      </c>
      <c r="B333" s="769" t="s">
        <v>1970</v>
      </c>
      <c r="C333" s="277" t="s">
        <v>1971</v>
      </c>
      <c r="D333" s="277" t="s">
        <v>1972</v>
      </c>
      <c r="E333" s="406">
        <v>45373</v>
      </c>
      <c r="F333" s="739">
        <v>1.8</v>
      </c>
      <c r="G333" s="779">
        <v>276000</v>
      </c>
      <c r="H333" s="755">
        <v>49680</v>
      </c>
      <c r="I333" s="776">
        <v>325680</v>
      </c>
      <c r="J333" s="776"/>
      <c r="K333" s="340" t="s">
        <v>2008</v>
      </c>
      <c r="L333" s="340" t="s">
        <v>1617</v>
      </c>
      <c r="M333" s="751">
        <v>0.7</v>
      </c>
      <c r="N333" s="777" t="s">
        <v>2007</v>
      </c>
      <c r="O333" s="610" t="s">
        <v>2013</v>
      </c>
      <c r="P333" s="595">
        <v>45637</v>
      </c>
      <c r="Q333" s="778" t="s">
        <v>2010</v>
      </c>
      <c r="R333" s="315">
        <v>217120</v>
      </c>
      <c r="S333" s="768">
        <f t="shared" si="114"/>
        <v>0.1</v>
      </c>
      <c r="T333" s="450">
        <v>15</v>
      </c>
      <c r="U333" s="731">
        <f t="shared" si="101"/>
        <v>45513</v>
      </c>
      <c r="V333" s="378">
        <f t="shared" ca="1" si="91"/>
        <v>12</v>
      </c>
      <c r="W333" s="292">
        <f t="shared" ca="1" si="89"/>
        <v>2024</v>
      </c>
      <c r="X333" s="291" t="str">
        <f t="shared" ca="1" si="90"/>
        <v>4 WEEK</v>
      </c>
      <c r="Y333" s="688">
        <f t="shared" si="103"/>
        <v>45652</v>
      </c>
      <c r="Z333" s="731" cm="1">
        <f t="array" aca="1" ref="Z333" ca="1">_xlfn.IFS(AD333&lt;100,Y333,Y333&lt;TODAY(),TODAY(),Y333&gt;TODAY(),Y333,Y333=TODAY(),Y333)</f>
        <v>45652</v>
      </c>
      <c r="AA333" s="452">
        <f t="shared" si="115"/>
        <v>151984</v>
      </c>
      <c r="AB333" s="451">
        <f t="shared" si="116"/>
        <v>148944.32000000001</v>
      </c>
      <c r="AC333" s="451">
        <f t="shared" si="117"/>
        <v>3039.68</v>
      </c>
      <c r="AD333" s="298">
        <f t="shared" si="106"/>
        <v>0</v>
      </c>
      <c r="AE333" s="299" t="str">
        <f t="shared" si="107"/>
        <v>Complete</v>
      </c>
      <c r="AF333" s="273"/>
      <c r="AG333" s="273"/>
      <c r="AH333" s="273"/>
      <c r="AI333" s="301">
        <f t="shared" ca="1" si="104"/>
        <v>0</v>
      </c>
      <c r="AJ333" s="302">
        <f t="shared" ca="1" si="105"/>
        <v>0</v>
      </c>
      <c r="AL333" s="303">
        <f t="shared" si="108"/>
        <v>325680</v>
      </c>
      <c r="AM333" s="303">
        <f t="shared" si="109"/>
        <v>108560</v>
      </c>
      <c r="AN333" s="303">
        <f t="shared" si="110"/>
        <v>217120</v>
      </c>
      <c r="AO333" s="304">
        <f t="shared" si="111"/>
        <v>0</v>
      </c>
      <c r="AP333" s="273">
        <f t="shared" si="113"/>
        <v>12</v>
      </c>
      <c r="AQ333" s="273" t="str">
        <f t="shared" ca="1" si="112"/>
        <v>122024</v>
      </c>
    </row>
    <row r="334" spans="1:43" customFormat="1" ht="16.5">
      <c r="A334" s="761">
        <v>14</v>
      </c>
      <c r="B334" s="769" t="s">
        <v>1970</v>
      </c>
      <c r="C334" s="277" t="s">
        <v>1971</v>
      </c>
      <c r="D334" s="277" t="s">
        <v>1972</v>
      </c>
      <c r="E334" s="406">
        <v>45373</v>
      </c>
      <c r="F334" s="739">
        <v>1.8</v>
      </c>
      <c r="G334" s="757"/>
      <c r="H334" s="757"/>
      <c r="I334" s="780"/>
      <c r="J334" s="780"/>
      <c r="K334" s="340" t="s">
        <v>2008</v>
      </c>
      <c r="L334" s="340" t="s">
        <v>1617</v>
      </c>
      <c r="M334" s="751">
        <v>0.7</v>
      </c>
      <c r="N334" s="777" t="s">
        <v>2007</v>
      </c>
      <c r="O334" s="610" t="s">
        <v>2013</v>
      </c>
      <c r="P334" s="595">
        <v>45447</v>
      </c>
      <c r="Q334" s="778" t="s">
        <v>2014</v>
      </c>
      <c r="R334" s="315">
        <v>108560</v>
      </c>
      <c r="S334" s="768">
        <f t="shared" si="114"/>
        <v>0.05</v>
      </c>
      <c r="T334" s="450">
        <v>15</v>
      </c>
      <c r="U334" s="731">
        <f t="shared" si="101"/>
        <v>45513</v>
      </c>
      <c r="V334" s="378">
        <f t="shared" ca="1" si="91"/>
        <v>10</v>
      </c>
      <c r="W334" s="292">
        <f t="shared" ca="1" si="89"/>
        <v>2025</v>
      </c>
      <c r="X334" s="291" t="str">
        <f t="shared" ca="1" si="90"/>
        <v>1 WEEK</v>
      </c>
      <c r="Y334" s="688">
        <f t="shared" si="103"/>
        <v>45462</v>
      </c>
      <c r="Z334" s="731" cm="1">
        <f t="array" aca="1" ref="Z334" ca="1">_xlfn.IFS(AD334&lt;100,Y334,Y334&lt;TODAY(),TODAY(),Y334&gt;TODAY(),Y334,Y334=TODAY(),Y334)</f>
        <v>45935</v>
      </c>
      <c r="AA334" s="452">
        <f t="shared" si="115"/>
        <v>75992</v>
      </c>
      <c r="AB334" s="451">
        <v>30372</v>
      </c>
      <c r="AC334" s="451">
        <f>AB334/98%*2%</f>
        <v>619.83673469387759</v>
      </c>
      <c r="AD334" s="298">
        <f t="shared" si="106"/>
        <v>45000</v>
      </c>
      <c r="AE334" s="299" t="str">
        <f t="shared" si="107"/>
        <v>Incomplete</v>
      </c>
      <c r="AF334" s="273"/>
      <c r="AG334" s="273"/>
      <c r="AH334" s="273"/>
      <c r="AI334" s="301">
        <f t="shared" ca="1" si="104"/>
        <v>473</v>
      </c>
      <c r="AJ334" s="302" t="str">
        <f t="shared" ca="1" si="105"/>
        <v>Delayed</v>
      </c>
      <c r="AL334" s="303">
        <f t="shared" si="108"/>
        <v>0</v>
      </c>
      <c r="AM334" s="303">
        <f t="shared" si="109"/>
        <v>-108560</v>
      </c>
      <c r="AN334" s="303">
        <f t="shared" si="110"/>
        <v>108560</v>
      </c>
      <c r="AO334" s="304">
        <f t="shared" si="111"/>
        <v>0</v>
      </c>
      <c r="AP334" s="273">
        <f t="shared" si="113"/>
        <v>6</v>
      </c>
      <c r="AQ334" s="273" t="str">
        <f t="shared" ca="1" si="112"/>
        <v>62025</v>
      </c>
    </row>
    <row r="335" spans="1:43" customFormat="1" ht="16.5">
      <c r="A335" s="761">
        <v>14</v>
      </c>
      <c r="B335" s="769" t="s">
        <v>1970</v>
      </c>
      <c r="C335" s="277" t="s">
        <v>1971</v>
      </c>
      <c r="D335" s="277" t="s">
        <v>1972</v>
      </c>
      <c r="E335" s="406">
        <v>45373</v>
      </c>
      <c r="F335" s="739">
        <v>1.8</v>
      </c>
      <c r="G335" s="757">
        <v>110400</v>
      </c>
      <c r="H335" s="757">
        <v>19872</v>
      </c>
      <c r="I335" s="780">
        <v>130272</v>
      </c>
      <c r="J335" s="780"/>
      <c r="K335" s="340" t="s">
        <v>2008</v>
      </c>
      <c r="L335" s="340" t="s">
        <v>1617</v>
      </c>
      <c r="M335" s="751">
        <v>0.7</v>
      </c>
      <c r="N335" s="777" t="s">
        <v>2007</v>
      </c>
      <c r="O335" s="610" t="s">
        <v>2015</v>
      </c>
      <c r="P335" s="595">
        <v>45637</v>
      </c>
      <c r="Q335" s="778" t="s">
        <v>2010</v>
      </c>
      <c r="R335" s="315">
        <v>86848</v>
      </c>
      <c r="S335" s="768">
        <f t="shared" si="114"/>
        <v>0.04</v>
      </c>
      <c r="T335" s="450">
        <v>15</v>
      </c>
      <c r="U335" s="731">
        <f t="shared" si="101"/>
        <v>45513</v>
      </c>
      <c r="V335" s="378">
        <f t="shared" ca="1" si="91"/>
        <v>10</v>
      </c>
      <c r="W335" s="292">
        <f t="shared" ca="1" si="89"/>
        <v>2025</v>
      </c>
      <c r="X335" s="291" t="str">
        <f t="shared" ref="X335:X398" ca="1" si="118">INT((DAY(Z335)-1)/7)+1&amp;" WEEK"</f>
        <v>1 WEEK</v>
      </c>
      <c r="Y335" s="688">
        <f t="shared" si="103"/>
        <v>45652</v>
      </c>
      <c r="Z335" s="731" cm="1">
        <f t="array" aca="1" ref="Z335" ca="1">_xlfn.IFS(AD335&lt;100,Y335,Y335&lt;TODAY(),TODAY(),Y335&gt;TODAY(),Y335,Y335=TODAY(),Y335)</f>
        <v>45935</v>
      </c>
      <c r="AA335" s="452">
        <f t="shared" si="115"/>
        <v>60793.599999999999</v>
      </c>
      <c r="AB335" s="451"/>
      <c r="AC335" s="451"/>
      <c r="AD335" s="298">
        <f t="shared" si="106"/>
        <v>60794</v>
      </c>
      <c r="AE335" s="299" t="str">
        <f t="shared" si="107"/>
        <v>Incomplete</v>
      </c>
      <c r="AF335" s="273"/>
      <c r="AG335" s="273"/>
      <c r="AH335" s="273"/>
      <c r="AI335" s="301">
        <f t="shared" ca="1" si="104"/>
        <v>283</v>
      </c>
      <c r="AJ335" s="302" t="str">
        <f t="shared" ca="1" si="105"/>
        <v>Delayed</v>
      </c>
      <c r="AL335" s="303">
        <f t="shared" si="108"/>
        <v>130272</v>
      </c>
      <c r="AM335" s="303">
        <f t="shared" si="109"/>
        <v>43424</v>
      </c>
      <c r="AN335" s="303">
        <f t="shared" si="110"/>
        <v>86848</v>
      </c>
      <c r="AO335" s="304">
        <f t="shared" si="111"/>
        <v>0</v>
      </c>
      <c r="AP335" s="273">
        <f t="shared" si="113"/>
        <v>12</v>
      </c>
      <c r="AQ335" s="273" t="str">
        <f t="shared" ca="1" si="112"/>
        <v>122025</v>
      </c>
    </row>
    <row r="336" spans="1:43" customFormat="1" ht="16.5">
      <c r="A336" s="761">
        <v>14</v>
      </c>
      <c r="B336" s="769" t="s">
        <v>1970</v>
      </c>
      <c r="C336" s="277" t="s">
        <v>1971</v>
      </c>
      <c r="D336" s="277" t="s">
        <v>1972</v>
      </c>
      <c r="E336" s="406">
        <v>45373</v>
      </c>
      <c r="F336" s="739">
        <v>1.8</v>
      </c>
      <c r="G336" s="775"/>
      <c r="H336" s="753"/>
      <c r="I336" s="776"/>
      <c r="J336" s="776"/>
      <c r="K336" s="340" t="s">
        <v>2008</v>
      </c>
      <c r="L336" s="340" t="s">
        <v>1617</v>
      </c>
      <c r="M336" s="751">
        <v>0.7</v>
      </c>
      <c r="N336" s="777" t="s">
        <v>2007</v>
      </c>
      <c r="O336" s="610" t="s">
        <v>2015</v>
      </c>
      <c r="P336" s="595">
        <v>45741</v>
      </c>
      <c r="Q336" s="778" t="s">
        <v>2011</v>
      </c>
      <c r="R336" s="315">
        <v>43424</v>
      </c>
      <c r="S336" s="768">
        <f t="shared" si="114"/>
        <v>0.02</v>
      </c>
      <c r="T336" s="450">
        <v>15</v>
      </c>
      <c r="U336" s="731">
        <f t="shared" si="101"/>
        <v>45513</v>
      </c>
      <c r="V336" s="378">
        <f t="shared" ca="1" si="91"/>
        <v>10</v>
      </c>
      <c r="W336" s="292">
        <f t="shared" ca="1" si="89"/>
        <v>2025</v>
      </c>
      <c r="X336" s="291" t="str">
        <f t="shared" ca="1" si="118"/>
        <v>1 WEEK</v>
      </c>
      <c r="Y336" s="688">
        <f t="shared" si="103"/>
        <v>45756</v>
      </c>
      <c r="Z336" s="731" cm="1">
        <f t="array" aca="1" ref="Z336" ca="1">_xlfn.IFS(AD336&lt;100,Y336,Y336&lt;TODAY(),TODAY(),Y336&gt;TODAY(),Y336,Y336=TODAY(),Y336)</f>
        <v>45935</v>
      </c>
      <c r="AA336" s="452">
        <f t="shared" si="115"/>
        <v>30396.799999999999</v>
      </c>
      <c r="AB336" s="451"/>
      <c r="AC336" s="451"/>
      <c r="AD336" s="298">
        <f t="shared" si="106"/>
        <v>30397</v>
      </c>
      <c r="AE336" s="299" t="str">
        <f t="shared" si="107"/>
        <v>Incomplete</v>
      </c>
      <c r="AF336" s="273"/>
      <c r="AG336" s="273"/>
      <c r="AH336" s="273"/>
      <c r="AI336" s="301">
        <f t="shared" ca="1" si="104"/>
        <v>179</v>
      </c>
      <c r="AJ336" s="302" t="str">
        <f t="shared" ca="1" si="105"/>
        <v>Delayed</v>
      </c>
      <c r="AL336" s="303">
        <f t="shared" si="108"/>
        <v>0</v>
      </c>
      <c r="AM336" s="303">
        <f t="shared" si="109"/>
        <v>-43424</v>
      </c>
      <c r="AN336" s="303">
        <f t="shared" si="110"/>
        <v>43424</v>
      </c>
      <c r="AO336" s="304">
        <f t="shared" si="111"/>
        <v>0</v>
      </c>
      <c r="AP336" s="273">
        <f t="shared" si="113"/>
        <v>3</v>
      </c>
      <c r="AQ336" s="273" t="str">
        <f t="shared" ca="1" si="112"/>
        <v>32025</v>
      </c>
    </row>
    <row r="337" spans="1:43" customFormat="1" ht="16.5">
      <c r="A337" s="761">
        <v>14</v>
      </c>
      <c r="B337" s="769" t="s">
        <v>1970</v>
      </c>
      <c r="C337" s="277" t="s">
        <v>1971</v>
      </c>
      <c r="D337" s="277" t="s">
        <v>1972</v>
      </c>
      <c r="E337" s="406">
        <v>45373</v>
      </c>
      <c r="F337" s="739">
        <v>1.8</v>
      </c>
      <c r="G337" s="775">
        <v>110400</v>
      </c>
      <c r="H337" s="753">
        <v>19872</v>
      </c>
      <c r="I337" s="776">
        <v>130272</v>
      </c>
      <c r="J337" s="776"/>
      <c r="K337" s="340" t="s">
        <v>2008</v>
      </c>
      <c r="L337" s="340" t="s">
        <v>1617</v>
      </c>
      <c r="M337" s="751">
        <v>0.7</v>
      </c>
      <c r="N337" s="777" t="s">
        <v>2007</v>
      </c>
      <c r="O337" s="610" t="s">
        <v>2016</v>
      </c>
      <c r="P337" s="595">
        <v>45637</v>
      </c>
      <c r="Q337" s="778" t="s">
        <v>2010</v>
      </c>
      <c r="R337" s="315">
        <v>130272</v>
      </c>
      <c r="S337" s="768">
        <f t="shared" si="114"/>
        <v>0.06</v>
      </c>
      <c r="T337" s="450">
        <v>15</v>
      </c>
      <c r="U337" s="731">
        <f t="shared" si="101"/>
        <v>45513</v>
      </c>
      <c r="V337" s="378">
        <f t="shared" ref="V337:V386" ca="1" si="119">MONTH(Z337)</f>
        <v>10</v>
      </c>
      <c r="W337" s="292">
        <f t="shared" ca="1" si="89"/>
        <v>2025</v>
      </c>
      <c r="X337" s="291" t="str">
        <f t="shared" ca="1" si="118"/>
        <v>1 WEEK</v>
      </c>
      <c r="Y337" s="688">
        <f t="shared" si="103"/>
        <v>45652</v>
      </c>
      <c r="Z337" s="731" cm="1">
        <f t="array" aca="1" ref="Z337" ca="1">_xlfn.IFS(AD337&lt;100,Y337,Y337&lt;TODAY(),TODAY(),Y337&gt;TODAY(),Y337,Y337=TODAY(),Y337)</f>
        <v>45935</v>
      </c>
      <c r="AA337" s="452">
        <f t="shared" si="115"/>
        <v>91190.399999999994</v>
      </c>
      <c r="AB337" s="451"/>
      <c r="AC337" s="451"/>
      <c r="AD337" s="298">
        <f t="shared" si="106"/>
        <v>91190</v>
      </c>
      <c r="AE337" s="299" t="str">
        <f t="shared" si="107"/>
        <v>Incomplete</v>
      </c>
      <c r="AF337" s="273"/>
      <c r="AG337" s="273"/>
      <c r="AH337" s="273"/>
      <c r="AI337" s="301">
        <f t="shared" ca="1" si="104"/>
        <v>283</v>
      </c>
      <c r="AJ337" s="302" t="str">
        <f t="shared" ca="1" si="105"/>
        <v>Delayed</v>
      </c>
      <c r="AL337" s="303">
        <f t="shared" si="108"/>
        <v>130272</v>
      </c>
      <c r="AM337" s="303">
        <f t="shared" si="109"/>
        <v>0</v>
      </c>
      <c r="AN337" s="303">
        <f t="shared" si="110"/>
        <v>130272</v>
      </c>
      <c r="AO337" s="304">
        <f t="shared" si="111"/>
        <v>0</v>
      </c>
      <c r="AP337" s="273">
        <f t="shared" si="113"/>
        <v>12</v>
      </c>
      <c r="AQ337" s="273" t="str">
        <f t="shared" ca="1" si="112"/>
        <v>122025</v>
      </c>
    </row>
    <row r="338" spans="1:43" customFormat="1" ht="16.5">
      <c r="A338" s="761">
        <v>14</v>
      </c>
      <c r="B338" s="769" t="s">
        <v>1970</v>
      </c>
      <c r="C338" s="277" t="s">
        <v>1971</v>
      </c>
      <c r="D338" s="277" t="s">
        <v>1972</v>
      </c>
      <c r="E338" s="406">
        <v>45373</v>
      </c>
      <c r="F338" s="739">
        <v>1.8</v>
      </c>
      <c r="G338" s="779">
        <v>110400</v>
      </c>
      <c r="H338" s="755">
        <v>19872</v>
      </c>
      <c r="I338" s="776">
        <v>130272</v>
      </c>
      <c r="J338" s="776"/>
      <c r="K338" s="340" t="s">
        <v>2008</v>
      </c>
      <c r="L338" s="340" t="s">
        <v>1617</v>
      </c>
      <c r="M338" s="751">
        <v>0.7</v>
      </c>
      <c r="N338" s="777" t="s">
        <v>2007</v>
      </c>
      <c r="O338" s="610" t="s">
        <v>2017</v>
      </c>
      <c r="P338" s="595">
        <v>45637</v>
      </c>
      <c r="Q338" s="778" t="s">
        <v>2010</v>
      </c>
      <c r="R338" s="315">
        <v>86848</v>
      </c>
      <c r="S338" s="768">
        <f t="shared" si="114"/>
        <v>0.04</v>
      </c>
      <c r="T338" s="450">
        <v>15</v>
      </c>
      <c r="U338" s="731">
        <f t="shared" si="101"/>
        <v>45513</v>
      </c>
      <c r="V338" s="378">
        <f t="shared" ca="1" si="119"/>
        <v>10</v>
      </c>
      <c r="W338" s="292">
        <f t="shared" ca="1" si="89"/>
        <v>2025</v>
      </c>
      <c r="X338" s="291" t="str">
        <f t="shared" ca="1" si="118"/>
        <v>1 WEEK</v>
      </c>
      <c r="Y338" s="688">
        <f t="shared" si="103"/>
        <v>45652</v>
      </c>
      <c r="Z338" s="731" cm="1">
        <f t="array" aca="1" ref="Z338" ca="1">_xlfn.IFS(AD338&lt;100,Y338,Y338&lt;TODAY(),TODAY(),Y338&gt;TODAY(),Y338,Y338=TODAY(),Y338)</f>
        <v>45935</v>
      </c>
      <c r="AA338" s="452">
        <f t="shared" si="115"/>
        <v>60793.599999999999</v>
      </c>
      <c r="AB338" s="451"/>
      <c r="AC338" s="451"/>
      <c r="AD338" s="298">
        <f t="shared" si="106"/>
        <v>60794</v>
      </c>
      <c r="AE338" s="299" t="str">
        <f t="shared" si="107"/>
        <v>Incomplete</v>
      </c>
      <c r="AF338" s="273"/>
      <c r="AG338" s="273"/>
      <c r="AH338" s="273"/>
      <c r="AI338" s="301">
        <f t="shared" ca="1" si="104"/>
        <v>283</v>
      </c>
      <c r="AJ338" s="302" t="str">
        <f t="shared" ca="1" si="105"/>
        <v>Delayed</v>
      </c>
      <c r="AL338" s="303">
        <f t="shared" si="108"/>
        <v>130272</v>
      </c>
      <c r="AM338" s="303">
        <f t="shared" si="109"/>
        <v>43424</v>
      </c>
      <c r="AN338" s="303">
        <f t="shared" si="110"/>
        <v>86848</v>
      </c>
      <c r="AO338" s="304">
        <f t="shared" si="111"/>
        <v>0</v>
      </c>
      <c r="AP338" s="273">
        <f t="shared" si="113"/>
        <v>12</v>
      </c>
      <c r="AQ338" s="273" t="str">
        <f t="shared" ca="1" si="112"/>
        <v>122025</v>
      </c>
    </row>
    <row r="339" spans="1:43" customFormat="1" ht="16.5">
      <c r="A339" s="761">
        <v>14</v>
      </c>
      <c r="B339" s="769" t="s">
        <v>1970</v>
      </c>
      <c r="C339" s="277" t="s">
        <v>1971</v>
      </c>
      <c r="D339" s="277" t="s">
        <v>1972</v>
      </c>
      <c r="E339" s="406">
        <v>45373</v>
      </c>
      <c r="F339" s="739">
        <v>1.8</v>
      </c>
      <c r="G339" s="757"/>
      <c r="H339" s="757"/>
      <c r="I339" s="780"/>
      <c r="J339" s="780"/>
      <c r="K339" s="340" t="s">
        <v>2008</v>
      </c>
      <c r="L339" s="340" t="s">
        <v>1617</v>
      </c>
      <c r="M339" s="751">
        <v>0.7</v>
      </c>
      <c r="N339" s="777" t="s">
        <v>2007</v>
      </c>
      <c r="O339" s="610" t="s">
        <v>2017</v>
      </c>
      <c r="P339" s="595">
        <v>45447</v>
      </c>
      <c r="Q339" s="778" t="s">
        <v>2014</v>
      </c>
      <c r="R339" s="315">
        <v>43424</v>
      </c>
      <c r="S339" s="768">
        <f t="shared" si="114"/>
        <v>0.02</v>
      </c>
      <c r="T339" s="450">
        <v>15</v>
      </c>
      <c r="U339" s="731">
        <f t="shared" si="101"/>
        <v>45513</v>
      </c>
      <c r="V339" s="378">
        <f t="shared" ca="1" si="119"/>
        <v>10</v>
      </c>
      <c r="W339" s="292">
        <f t="shared" ref="W339:W386" ca="1" si="120">YEAR(Z339)</f>
        <v>2025</v>
      </c>
      <c r="X339" s="291" t="str">
        <f t="shared" ca="1" si="118"/>
        <v>1 WEEK</v>
      </c>
      <c r="Y339" s="688">
        <f t="shared" si="103"/>
        <v>45462</v>
      </c>
      <c r="Z339" s="731" cm="1">
        <f t="array" aca="1" ref="Z339" ca="1">_xlfn.IFS(AD339&lt;100,Y339,Y339&lt;TODAY(),TODAY(),Y339&gt;TODAY(),Y339,Y339=TODAY(),Y339)</f>
        <v>45935</v>
      </c>
      <c r="AA339" s="452">
        <f t="shared" si="115"/>
        <v>30396.799999999999</v>
      </c>
      <c r="AB339" s="451"/>
      <c r="AC339" s="451"/>
      <c r="AD339" s="298">
        <f t="shared" si="106"/>
        <v>30397</v>
      </c>
      <c r="AE339" s="299" t="str">
        <f t="shared" si="107"/>
        <v>Incomplete</v>
      </c>
      <c r="AF339" s="273"/>
      <c r="AG339" s="273"/>
      <c r="AH339" s="273"/>
      <c r="AI339" s="301">
        <f t="shared" ca="1" si="104"/>
        <v>473</v>
      </c>
      <c r="AJ339" s="302" t="str">
        <f t="shared" ca="1" si="105"/>
        <v>Delayed</v>
      </c>
      <c r="AL339" s="303">
        <f t="shared" si="108"/>
        <v>0</v>
      </c>
      <c r="AM339" s="303">
        <f t="shared" si="109"/>
        <v>-43424</v>
      </c>
      <c r="AN339" s="303">
        <f t="shared" si="110"/>
        <v>43424</v>
      </c>
      <c r="AO339" s="304">
        <f t="shared" si="111"/>
        <v>0</v>
      </c>
      <c r="AP339" s="273">
        <f t="shared" si="113"/>
        <v>6</v>
      </c>
      <c r="AQ339" s="273" t="str">
        <f t="shared" ca="1" si="112"/>
        <v>62025</v>
      </c>
    </row>
    <row r="340" spans="1:43" customFormat="1" ht="16.5">
      <c r="A340" s="761">
        <v>14</v>
      </c>
      <c r="B340" s="769" t="s">
        <v>1970</v>
      </c>
      <c r="C340" s="277" t="s">
        <v>1971</v>
      </c>
      <c r="D340" s="277" t="s">
        <v>1972</v>
      </c>
      <c r="E340" s="406">
        <v>45373</v>
      </c>
      <c r="F340" s="739">
        <v>1.8</v>
      </c>
      <c r="G340" s="757">
        <v>55200</v>
      </c>
      <c r="H340" s="757">
        <v>9936</v>
      </c>
      <c r="I340" s="780">
        <v>65136</v>
      </c>
      <c r="J340" s="780"/>
      <c r="K340" s="340" t="s">
        <v>2008</v>
      </c>
      <c r="L340" s="340" t="s">
        <v>1617</v>
      </c>
      <c r="M340" s="751">
        <v>0.7</v>
      </c>
      <c r="N340" s="777" t="s">
        <v>2007</v>
      </c>
      <c r="O340" s="610" t="s">
        <v>2018</v>
      </c>
      <c r="P340" s="595">
        <v>45637</v>
      </c>
      <c r="Q340" s="778" t="s">
        <v>2010</v>
      </c>
      <c r="R340" s="315">
        <v>65136</v>
      </c>
      <c r="S340" s="768">
        <f t="shared" si="114"/>
        <v>0.03</v>
      </c>
      <c r="T340" s="450">
        <v>15</v>
      </c>
      <c r="U340" s="731">
        <f t="shared" si="101"/>
        <v>45513</v>
      </c>
      <c r="V340" s="378">
        <f t="shared" ca="1" si="119"/>
        <v>10</v>
      </c>
      <c r="W340" s="292">
        <f t="shared" ca="1" si="120"/>
        <v>2025</v>
      </c>
      <c r="X340" s="291" t="str">
        <f t="shared" ca="1" si="118"/>
        <v>1 WEEK</v>
      </c>
      <c r="Y340" s="688">
        <f t="shared" si="103"/>
        <v>45652</v>
      </c>
      <c r="Z340" s="731" cm="1">
        <f t="array" aca="1" ref="Z340" ca="1">_xlfn.IFS(AD340&lt;100,Y340,Y340&lt;TODAY(),TODAY(),Y340&gt;TODAY(),Y340,Y340=TODAY(),Y340)</f>
        <v>45935</v>
      </c>
      <c r="AA340" s="452">
        <f t="shared" si="115"/>
        <v>45595.199999999997</v>
      </c>
      <c r="AB340" s="451"/>
      <c r="AC340" s="451"/>
      <c r="AD340" s="298">
        <f t="shared" si="106"/>
        <v>45595</v>
      </c>
      <c r="AE340" s="299" t="str">
        <f t="shared" si="107"/>
        <v>Incomplete</v>
      </c>
      <c r="AF340" s="273"/>
      <c r="AG340" s="273"/>
      <c r="AH340" s="273"/>
      <c r="AI340" s="301">
        <f t="shared" ca="1" si="104"/>
        <v>283</v>
      </c>
      <c r="AJ340" s="302" t="str">
        <f t="shared" ca="1" si="105"/>
        <v>Delayed</v>
      </c>
      <c r="AL340" s="303">
        <f t="shared" si="108"/>
        <v>65136</v>
      </c>
      <c r="AM340" s="303">
        <f t="shared" si="109"/>
        <v>0</v>
      </c>
      <c r="AN340" s="303">
        <f t="shared" si="110"/>
        <v>65136</v>
      </c>
      <c r="AO340" s="304">
        <f t="shared" si="111"/>
        <v>0</v>
      </c>
      <c r="AP340" s="273">
        <f t="shared" si="113"/>
        <v>12</v>
      </c>
      <c r="AQ340" s="273" t="str">
        <f t="shared" ca="1" si="112"/>
        <v>122025</v>
      </c>
    </row>
    <row r="341" spans="1:43" customFormat="1" ht="16.5">
      <c r="A341" s="761">
        <v>14</v>
      </c>
      <c r="B341" s="769" t="s">
        <v>1970</v>
      </c>
      <c r="C341" s="277" t="s">
        <v>1971</v>
      </c>
      <c r="D341" s="277" t="s">
        <v>1972</v>
      </c>
      <c r="E341" s="406">
        <v>45373</v>
      </c>
      <c r="F341" s="739">
        <v>1.8</v>
      </c>
      <c r="G341" s="775">
        <v>55200</v>
      </c>
      <c r="H341" s="753">
        <v>9936</v>
      </c>
      <c r="I341" s="776">
        <v>65136</v>
      </c>
      <c r="J341" s="776"/>
      <c r="K341" s="340" t="s">
        <v>2008</v>
      </c>
      <c r="L341" s="340" t="s">
        <v>1617</v>
      </c>
      <c r="M341" s="751">
        <v>0.7</v>
      </c>
      <c r="N341" s="777" t="s">
        <v>2007</v>
      </c>
      <c r="O341" s="610" t="s">
        <v>2019</v>
      </c>
      <c r="P341" s="595">
        <v>45741</v>
      </c>
      <c r="Q341" s="778" t="s">
        <v>2011</v>
      </c>
      <c r="R341" s="315">
        <v>43424</v>
      </c>
      <c r="S341" s="768">
        <f t="shared" si="114"/>
        <v>0.02</v>
      </c>
      <c r="T341" s="450">
        <v>15</v>
      </c>
      <c r="U341" s="731">
        <f t="shared" si="101"/>
        <v>45513</v>
      </c>
      <c r="V341" s="378">
        <f t="shared" ca="1" si="119"/>
        <v>10</v>
      </c>
      <c r="W341" s="292">
        <f t="shared" ca="1" si="120"/>
        <v>2025</v>
      </c>
      <c r="X341" s="291" t="str">
        <f t="shared" ca="1" si="118"/>
        <v>1 WEEK</v>
      </c>
      <c r="Y341" s="688">
        <f t="shared" si="103"/>
        <v>45756</v>
      </c>
      <c r="Z341" s="731" cm="1">
        <f t="array" aca="1" ref="Z341" ca="1">_xlfn.IFS(AD341&lt;100,Y341,Y341&lt;TODAY(),TODAY(),Y341&gt;TODAY(),Y341,Y341=TODAY(),Y341)</f>
        <v>45935</v>
      </c>
      <c r="AA341" s="452">
        <f t="shared" si="115"/>
        <v>30396.799999999999</v>
      </c>
      <c r="AB341" s="451"/>
      <c r="AC341" s="451"/>
      <c r="AD341" s="298">
        <f t="shared" si="106"/>
        <v>30397</v>
      </c>
      <c r="AE341" s="299" t="str">
        <f t="shared" si="107"/>
        <v>Incomplete</v>
      </c>
      <c r="AF341" s="273"/>
      <c r="AG341" s="273"/>
      <c r="AH341" s="273"/>
      <c r="AI341" s="301">
        <f t="shared" ca="1" si="104"/>
        <v>179</v>
      </c>
      <c r="AJ341" s="302" t="str">
        <f t="shared" ca="1" si="105"/>
        <v>Delayed</v>
      </c>
      <c r="AL341" s="303">
        <f t="shared" si="108"/>
        <v>65136</v>
      </c>
      <c r="AM341" s="303">
        <f t="shared" si="109"/>
        <v>21712</v>
      </c>
      <c r="AN341" s="303">
        <f t="shared" si="110"/>
        <v>43424</v>
      </c>
      <c r="AO341" s="304">
        <f t="shared" si="111"/>
        <v>0</v>
      </c>
      <c r="AP341" s="273">
        <f t="shared" si="113"/>
        <v>3</v>
      </c>
      <c r="AQ341" s="273" t="str">
        <f t="shared" ca="1" si="112"/>
        <v>32025</v>
      </c>
    </row>
    <row r="342" spans="1:43" customFormat="1" ht="16.5">
      <c r="A342" s="761">
        <v>14</v>
      </c>
      <c r="B342" s="769" t="s">
        <v>1970</v>
      </c>
      <c r="C342" s="277" t="s">
        <v>1971</v>
      </c>
      <c r="D342" s="277" t="s">
        <v>1972</v>
      </c>
      <c r="E342" s="406">
        <v>45373</v>
      </c>
      <c r="F342" s="739">
        <v>1.8</v>
      </c>
      <c r="G342" s="775"/>
      <c r="H342" s="753"/>
      <c r="I342" s="776"/>
      <c r="J342" s="776"/>
      <c r="K342" s="340" t="s">
        <v>2008</v>
      </c>
      <c r="L342" s="340" t="s">
        <v>1617</v>
      </c>
      <c r="M342" s="751">
        <v>0.7</v>
      </c>
      <c r="N342" s="777" t="s">
        <v>2007</v>
      </c>
      <c r="O342" s="610" t="s">
        <v>2019</v>
      </c>
      <c r="P342" s="595">
        <v>45447</v>
      </c>
      <c r="Q342" s="778" t="s">
        <v>2014</v>
      </c>
      <c r="R342" s="315">
        <v>21712</v>
      </c>
      <c r="S342" s="768">
        <f t="shared" si="114"/>
        <v>0.01</v>
      </c>
      <c r="T342" s="450">
        <v>15</v>
      </c>
      <c r="U342" s="731">
        <f t="shared" si="101"/>
        <v>45513</v>
      </c>
      <c r="V342" s="378">
        <f t="shared" ca="1" si="119"/>
        <v>10</v>
      </c>
      <c r="W342" s="292">
        <f t="shared" ca="1" si="120"/>
        <v>2025</v>
      </c>
      <c r="X342" s="291" t="str">
        <f t="shared" ca="1" si="118"/>
        <v>1 WEEK</v>
      </c>
      <c r="Y342" s="688">
        <f t="shared" si="103"/>
        <v>45462</v>
      </c>
      <c r="Z342" s="731" cm="1">
        <f t="array" aca="1" ref="Z342" ca="1">_xlfn.IFS(AD342&lt;100,Y342,Y342&lt;TODAY(),TODAY(),Y342&gt;TODAY(),Y342,Y342=TODAY(),Y342)</f>
        <v>45935</v>
      </c>
      <c r="AA342" s="452">
        <f t="shared" si="115"/>
        <v>15198.4</v>
      </c>
      <c r="AB342" s="451"/>
      <c r="AC342" s="451"/>
      <c r="AD342" s="298">
        <f t="shared" si="106"/>
        <v>15198</v>
      </c>
      <c r="AE342" s="299" t="str">
        <f t="shared" si="107"/>
        <v>Incomplete</v>
      </c>
      <c r="AF342" s="273"/>
      <c r="AG342" s="273"/>
      <c r="AH342" s="273"/>
      <c r="AI342" s="301">
        <f t="shared" ca="1" si="104"/>
        <v>473</v>
      </c>
      <c r="AJ342" s="302" t="str">
        <f t="shared" ca="1" si="105"/>
        <v>Delayed</v>
      </c>
      <c r="AL342" s="303">
        <f t="shared" si="108"/>
        <v>0</v>
      </c>
      <c r="AM342" s="303">
        <f t="shared" si="109"/>
        <v>-21712</v>
      </c>
      <c r="AN342" s="303">
        <f t="shared" si="110"/>
        <v>21712</v>
      </c>
      <c r="AO342" s="304">
        <f t="shared" si="111"/>
        <v>0</v>
      </c>
      <c r="AP342" s="273">
        <f t="shared" si="113"/>
        <v>6</v>
      </c>
      <c r="AQ342" s="273" t="str">
        <f t="shared" ca="1" si="112"/>
        <v>62025</v>
      </c>
    </row>
    <row r="343" spans="1:43" customFormat="1" ht="16.5">
      <c r="A343" s="761">
        <v>14</v>
      </c>
      <c r="B343" s="769" t="s">
        <v>1970</v>
      </c>
      <c r="C343" s="277" t="s">
        <v>1971</v>
      </c>
      <c r="D343" s="277" t="s">
        <v>1972</v>
      </c>
      <c r="E343" s="406">
        <v>45373</v>
      </c>
      <c r="F343" s="739">
        <v>1.8</v>
      </c>
      <c r="G343" s="779">
        <v>73600</v>
      </c>
      <c r="H343" s="755">
        <v>13248</v>
      </c>
      <c r="I343" s="776">
        <v>86848</v>
      </c>
      <c r="J343" s="776"/>
      <c r="K343" s="340" t="s">
        <v>2008</v>
      </c>
      <c r="L343" s="340" t="s">
        <v>1617</v>
      </c>
      <c r="M343" s="751">
        <v>0.7</v>
      </c>
      <c r="N343" s="777" t="s">
        <v>2007</v>
      </c>
      <c r="O343" s="610" t="s">
        <v>2020</v>
      </c>
      <c r="P343" s="595">
        <v>45741</v>
      </c>
      <c r="Q343" s="778" t="s">
        <v>2011</v>
      </c>
      <c r="R343" s="315">
        <v>86848</v>
      </c>
      <c r="S343" s="768">
        <f t="shared" si="114"/>
        <v>0.04</v>
      </c>
      <c r="T343" s="450">
        <v>15</v>
      </c>
      <c r="U343" s="731">
        <f t="shared" si="101"/>
        <v>45513</v>
      </c>
      <c r="V343" s="378">
        <f t="shared" ca="1" si="119"/>
        <v>10</v>
      </c>
      <c r="W343" s="292">
        <f t="shared" ca="1" si="120"/>
        <v>2025</v>
      </c>
      <c r="X343" s="291" t="str">
        <f t="shared" ca="1" si="118"/>
        <v>1 WEEK</v>
      </c>
      <c r="Y343" s="688">
        <f t="shared" si="103"/>
        <v>45756</v>
      </c>
      <c r="Z343" s="731" cm="1">
        <f t="array" aca="1" ref="Z343" ca="1">_xlfn.IFS(AD343&lt;100,Y343,Y343&lt;TODAY(),TODAY(),Y343&gt;TODAY(),Y343,Y343=TODAY(),Y343)</f>
        <v>45935</v>
      </c>
      <c r="AA343" s="452">
        <f t="shared" si="115"/>
        <v>60793.599999999999</v>
      </c>
      <c r="AB343" s="451"/>
      <c r="AC343" s="451"/>
      <c r="AD343" s="298">
        <f t="shared" si="106"/>
        <v>60794</v>
      </c>
      <c r="AE343" s="299" t="str">
        <f t="shared" si="107"/>
        <v>Incomplete</v>
      </c>
      <c r="AF343" s="273"/>
      <c r="AG343" s="273"/>
      <c r="AH343" s="273"/>
      <c r="AI343" s="301">
        <f t="shared" ca="1" si="104"/>
        <v>179</v>
      </c>
      <c r="AJ343" s="302" t="str">
        <f t="shared" ca="1" si="105"/>
        <v>Delayed</v>
      </c>
      <c r="AL343" s="303">
        <f t="shared" si="108"/>
        <v>86848</v>
      </c>
      <c r="AM343" s="303">
        <f t="shared" si="109"/>
        <v>0</v>
      </c>
      <c r="AN343" s="303">
        <f t="shared" si="110"/>
        <v>86848</v>
      </c>
      <c r="AO343" s="304">
        <f t="shared" si="111"/>
        <v>0</v>
      </c>
      <c r="AP343" s="273">
        <f t="shared" si="113"/>
        <v>3</v>
      </c>
      <c r="AQ343" s="273" t="str">
        <f t="shared" ca="1" si="112"/>
        <v>32025</v>
      </c>
    </row>
    <row r="344" spans="1:43" customFormat="1" ht="16.5">
      <c r="A344" s="761">
        <v>14</v>
      </c>
      <c r="B344" s="769" t="s">
        <v>1970</v>
      </c>
      <c r="C344" s="277" t="s">
        <v>1971</v>
      </c>
      <c r="D344" s="277" t="s">
        <v>1972</v>
      </c>
      <c r="E344" s="406">
        <v>45373</v>
      </c>
      <c r="F344" s="739">
        <v>1.8</v>
      </c>
      <c r="G344" s="757">
        <v>55200</v>
      </c>
      <c r="H344" s="757">
        <v>9936</v>
      </c>
      <c r="I344" s="780">
        <v>65136</v>
      </c>
      <c r="J344" s="780"/>
      <c r="K344" s="340" t="s">
        <v>2008</v>
      </c>
      <c r="L344" s="340" t="s">
        <v>1617</v>
      </c>
      <c r="M344" s="751">
        <v>0.7</v>
      </c>
      <c r="N344" s="777" t="s">
        <v>2007</v>
      </c>
      <c r="O344" s="610" t="s">
        <v>2021</v>
      </c>
      <c r="P344" s="595">
        <v>45637</v>
      </c>
      <c r="Q344" s="778" t="s">
        <v>2010</v>
      </c>
      <c r="R344" s="315">
        <v>65136</v>
      </c>
      <c r="S344" s="768">
        <f t="shared" si="114"/>
        <v>0.03</v>
      </c>
      <c r="T344" s="450">
        <v>15</v>
      </c>
      <c r="U344" s="731">
        <f t="shared" si="101"/>
        <v>45513</v>
      </c>
      <c r="V344" s="378">
        <f t="shared" ca="1" si="119"/>
        <v>10</v>
      </c>
      <c r="W344" s="292">
        <f t="shared" ca="1" si="120"/>
        <v>2025</v>
      </c>
      <c r="X344" s="291" t="str">
        <f t="shared" ca="1" si="118"/>
        <v>1 WEEK</v>
      </c>
      <c r="Y344" s="688">
        <f t="shared" si="103"/>
        <v>45652</v>
      </c>
      <c r="Z344" s="731" cm="1">
        <f t="array" aca="1" ref="Z344" ca="1">_xlfn.IFS(AD344&lt;100,Y344,Y344&lt;TODAY(),TODAY(),Y344&gt;TODAY(),Y344,Y344=TODAY(),Y344)</f>
        <v>45935</v>
      </c>
      <c r="AA344" s="452">
        <f t="shared" si="115"/>
        <v>45595.199999999997</v>
      </c>
      <c r="AB344" s="451"/>
      <c r="AC344" s="451"/>
      <c r="AD344" s="298">
        <f t="shared" si="106"/>
        <v>45595</v>
      </c>
      <c r="AE344" s="299" t="str">
        <f t="shared" si="107"/>
        <v>Incomplete</v>
      </c>
      <c r="AF344" s="273"/>
      <c r="AG344" s="273"/>
      <c r="AH344" s="273"/>
      <c r="AI344" s="301">
        <f t="shared" ca="1" si="104"/>
        <v>283</v>
      </c>
      <c r="AJ344" s="302" t="str">
        <f t="shared" ca="1" si="105"/>
        <v>Delayed</v>
      </c>
      <c r="AL344" s="303">
        <f t="shared" si="108"/>
        <v>65136</v>
      </c>
      <c r="AM344" s="303">
        <f t="shared" si="109"/>
        <v>0</v>
      </c>
      <c r="AN344" s="303">
        <f t="shared" si="110"/>
        <v>65136</v>
      </c>
      <c r="AO344" s="304">
        <f t="shared" si="111"/>
        <v>0</v>
      </c>
      <c r="AP344" s="273">
        <f t="shared" si="113"/>
        <v>12</v>
      </c>
      <c r="AQ344" s="273" t="str">
        <f t="shared" ca="1" si="112"/>
        <v>122025</v>
      </c>
    </row>
    <row r="345" spans="1:43" customFormat="1" ht="16.5">
      <c r="A345" s="761">
        <v>14</v>
      </c>
      <c r="B345" s="769" t="s">
        <v>1970</v>
      </c>
      <c r="C345" s="277" t="s">
        <v>1971</v>
      </c>
      <c r="D345" s="277" t="s">
        <v>1972</v>
      </c>
      <c r="E345" s="406">
        <v>45373</v>
      </c>
      <c r="F345" s="739">
        <v>1.8</v>
      </c>
      <c r="G345" s="775">
        <v>55200</v>
      </c>
      <c r="H345" s="753">
        <v>9936</v>
      </c>
      <c r="I345" s="776">
        <v>65136</v>
      </c>
      <c r="J345" s="776"/>
      <c r="K345" s="340" t="s">
        <v>2008</v>
      </c>
      <c r="L345" s="340" t="s">
        <v>1617</v>
      </c>
      <c r="M345" s="751">
        <v>0.7</v>
      </c>
      <c r="N345" s="777" t="s">
        <v>2007</v>
      </c>
      <c r="O345" s="610" t="s">
        <v>2022</v>
      </c>
      <c r="P345" s="595">
        <v>45637</v>
      </c>
      <c r="Q345" s="778" t="s">
        <v>2010</v>
      </c>
      <c r="R345" s="315">
        <v>65136</v>
      </c>
      <c r="S345" s="768">
        <f t="shared" si="114"/>
        <v>0.03</v>
      </c>
      <c r="T345" s="450">
        <v>15</v>
      </c>
      <c r="U345" s="731">
        <f t="shared" si="101"/>
        <v>45513</v>
      </c>
      <c r="V345" s="378">
        <f t="shared" ca="1" si="119"/>
        <v>10</v>
      </c>
      <c r="W345" s="292">
        <f t="shared" ca="1" si="120"/>
        <v>2025</v>
      </c>
      <c r="X345" s="291" t="str">
        <f t="shared" ca="1" si="118"/>
        <v>1 WEEK</v>
      </c>
      <c r="Y345" s="688">
        <f t="shared" si="103"/>
        <v>45652</v>
      </c>
      <c r="Z345" s="731" cm="1">
        <f t="array" aca="1" ref="Z345" ca="1">_xlfn.IFS(AD345&lt;100,Y345,Y345&lt;TODAY(),TODAY(),Y345&gt;TODAY(),Y345,Y345=TODAY(),Y345)</f>
        <v>45935</v>
      </c>
      <c r="AA345" s="452">
        <f t="shared" si="115"/>
        <v>45595.199999999997</v>
      </c>
      <c r="AB345" s="451"/>
      <c r="AC345" s="451"/>
      <c r="AD345" s="298">
        <f t="shared" si="106"/>
        <v>45595</v>
      </c>
      <c r="AE345" s="299" t="str">
        <f t="shared" si="107"/>
        <v>Incomplete</v>
      </c>
      <c r="AF345" s="273"/>
      <c r="AG345" s="273"/>
      <c r="AH345" s="273"/>
      <c r="AI345" s="301">
        <f t="shared" ca="1" si="104"/>
        <v>283</v>
      </c>
      <c r="AJ345" s="302" t="str">
        <f t="shared" ca="1" si="105"/>
        <v>Delayed</v>
      </c>
      <c r="AL345" s="303">
        <f t="shared" si="108"/>
        <v>65136</v>
      </c>
      <c r="AM345" s="303">
        <f t="shared" si="109"/>
        <v>0</v>
      </c>
      <c r="AN345" s="303">
        <f t="shared" si="110"/>
        <v>65136</v>
      </c>
      <c r="AO345" s="304">
        <f t="shared" si="111"/>
        <v>0</v>
      </c>
      <c r="AP345" s="273">
        <f t="shared" si="113"/>
        <v>12</v>
      </c>
      <c r="AQ345" s="273" t="str">
        <f t="shared" ca="1" si="112"/>
        <v>122025</v>
      </c>
    </row>
    <row r="346" spans="1:43" customFormat="1" ht="16.5">
      <c r="A346" s="761">
        <v>14</v>
      </c>
      <c r="B346" s="769" t="s">
        <v>1970</v>
      </c>
      <c r="C346" s="277" t="s">
        <v>1971</v>
      </c>
      <c r="D346" s="277" t="s">
        <v>1972</v>
      </c>
      <c r="E346" s="406">
        <v>45373</v>
      </c>
      <c r="F346" s="739">
        <v>1.8</v>
      </c>
      <c r="G346" s="775">
        <v>55200</v>
      </c>
      <c r="H346" s="753">
        <v>9936</v>
      </c>
      <c r="I346" s="776">
        <v>65136</v>
      </c>
      <c r="J346" s="776"/>
      <c r="K346" s="340" t="s">
        <v>2008</v>
      </c>
      <c r="L346" s="340" t="s">
        <v>1617</v>
      </c>
      <c r="M346" s="751">
        <v>0.7</v>
      </c>
      <c r="N346" s="777" t="s">
        <v>2007</v>
      </c>
      <c r="O346" s="610" t="s">
        <v>1980</v>
      </c>
      <c r="P346" s="595">
        <v>45637</v>
      </c>
      <c r="Q346" s="778" t="s">
        <v>2010</v>
      </c>
      <c r="R346" s="315">
        <v>65136</v>
      </c>
      <c r="S346" s="768">
        <f t="shared" si="114"/>
        <v>0.03</v>
      </c>
      <c r="T346" s="450">
        <v>15</v>
      </c>
      <c r="U346" s="731">
        <f t="shared" si="101"/>
        <v>45513</v>
      </c>
      <c r="V346" s="378">
        <f t="shared" ca="1" si="119"/>
        <v>10</v>
      </c>
      <c r="W346" s="292">
        <f t="shared" ca="1" si="120"/>
        <v>2025</v>
      </c>
      <c r="X346" s="291" t="str">
        <f t="shared" ca="1" si="118"/>
        <v>1 WEEK</v>
      </c>
      <c r="Y346" s="688">
        <f t="shared" si="103"/>
        <v>45652</v>
      </c>
      <c r="Z346" s="731" cm="1">
        <f t="array" aca="1" ref="Z346" ca="1">_xlfn.IFS(AD346&lt;100,Y346,Y346&lt;TODAY(),TODAY(),Y346&gt;TODAY(),Y346,Y346=TODAY(),Y346)</f>
        <v>45935</v>
      </c>
      <c r="AA346" s="452">
        <f t="shared" si="115"/>
        <v>45595.199999999997</v>
      </c>
      <c r="AB346" s="451"/>
      <c r="AC346" s="451"/>
      <c r="AD346" s="298">
        <f t="shared" si="106"/>
        <v>45595</v>
      </c>
      <c r="AE346" s="299" t="str">
        <f t="shared" si="107"/>
        <v>Incomplete</v>
      </c>
      <c r="AF346" s="273"/>
      <c r="AG346" s="273"/>
      <c r="AH346" s="273"/>
      <c r="AI346" s="301">
        <f t="shared" ca="1" si="104"/>
        <v>283</v>
      </c>
      <c r="AJ346" s="302" t="str">
        <f t="shared" ca="1" si="105"/>
        <v>Delayed</v>
      </c>
      <c r="AL346" s="303">
        <f t="shared" si="108"/>
        <v>65136</v>
      </c>
      <c r="AM346" s="303">
        <f t="shared" si="109"/>
        <v>0</v>
      </c>
      <c r="AN346" s="303">
        <f t="shared" si="110"/>
        <v>65136</v>
      </c>
      <c r="AO346" s="304">
        <f t="shared" si="111"/>
        <v>0</v>
      </c>
      <c r="AP346" s="273">
        <f t="shared" si="113"/>
        <v>12</v>
      </c>
      <c r="AQ346" s="273" t="str">
        <f t="shared" ca="1" si="112"/>
        <v>122025</v>
      </c>
    </row>
    <row r="347" spans="1:43" customFormat="1" ht="16.5">
      <c r="A347" s="761">
        <v>14</v>
      </c>
      <c r="B347" s="769" t="s">
        <v>1970</v>
      </c>
      <c r="C347" s="277" t="s">
        <v>1971</v>
      </c>
      <c r="D347" s="277" t="s">
        <v>1972</v>
      </c>
      <c r="E347" s="406">
        <v>45373</v>
      </c>
      <c r="F347" s="739">
        <v>1.8</v>
      </c>
      <c r="G347" s="779">
        <v>55200</v>
      </c>
      <c r="H347" s="755">
        <v>9936</v>
      </c>
      <c r="I347" s="776">
        <v>65136</v>
      </c>
      <c r="J347" s="776"/>
      <c r="K347" s="340" t="s">
        <v>2008</v>
      </c>
      <c r="L347" s="340" t="s">
        <v>1617</v>
      </c>
      <c r="M347" s="751">
        <v>0.7</v>
      </c>
      <c r="N347" s="777" t="s">
        <v>2007</v>
      </c>
      <c r="O347" s="610" t="s">
        <v>2023</v>
      </c>
      <c r="P347" s="595">
        <v>45637</v>
      </c>
      <c r="Q347" s="778" t="s">
        <v>2010</v>
      </c>
      <c r="R347" s="315">
        <v>43424</v>
      </c>
      <c r="S347" s="768">
        <f t="shared" si="114"/>
        <v>0.02</v>
      </c>
      <c r="T347" s="450">
        <v>15</v>
      </c>
      <c r="U347" s="731">
        <f t="shared" si="101"/>
        <v>45513</v>
      </c>
      <c r="V347" s="378">
        <f t="shared" ca="1" si="119"/>
        <v>10</v>
      </c>
      <c r="W347" s="292">
        <f t="shared" ca="1" si="120"/>
        <v>2025</v>
      </c>
      <c r="X347" s="291" t="str">
        <f t="shared" ca="1" si="118"/>
        <v>1 WEEK</v>
      </c>
      <c r="Y347" s="688">
        <f t="shared" si="103"/>
        <v>45652</v>
      </c>
      <c r="Z347" s="731" cm="1">
        <f t="array" aca="1" ref="Z347" ca="1">_xlfn.IFS(AD347&lt;100,Y347,Y347&lt;TODAY(),TODAY(),Y347&gt;TODAY(),Y347,Y347=TODAY(),Y347)</f>
        <v>45935</v>
      </c>
      <c r="AA347" s="452">
        <f t="shared" si="115"/>
        <v>30396.799999999999</v>
      </c>
      <c r="AB347" s="451"/>
      <c r="AC347" s="451"/>
      <c r="AD347" s="298">
        <f t="shared" si="106"/>
        <v>30397</v>
      </c>
      <c r="AE347" s="299" t="str">
        <f t="shared" si="107"/>
        <v>Incomplete</v>
      </c>
      <c r="AF347" s="273"/>
      <c r="AG347" s="273"/>
      <c r="AH347" s="273"/>
      <c r="AI347" s="301">
        <f t="shared" ca="1" si="104"/>
        <v>283</v>
      </c>
      <c r="AJ347" s="302" t="str">
        <f t="shared" ca="1" si="105"/>
        <v>Delayed</v>
      </c>
      <c r="AL347" s="303">
        <f t="shared" si="108"/>
        <v>65136</v>
      </c>
      <c r="AM347" s="303">
        <f t="shared" si="109"/>
        <v>21712</v>
      </c>
      <c r="AN347" s="303">
        <f t="shared" si="110"/>
        <v>43424</v>
      </c>
      <c r="AO347" s="304">
        <f t="shared" si="111"/>
        <v>0</v>
      </c>
      <c r="AP347" s="273">
        <f t="shared" si="113"/>
        <v>12</v>
      </c>
      <c r="AQ347" s="273" t="str">
        <f t="shared" ca="1" si="112"/>
        <v>122025</v>
      </c>
    </row>
    <row r="348" spans="1:43" customFormat="1" ht="16.5">
      <c r="A348" s="761">
        <v>14</v>
      </c>
      <c r="B348" s="769" t="s">
        <v>1970</v>
      </c>
      <c r="C348" s="277" t="s">
        <v>1971</v>
      </c>
      <c r="D348" s="277" t="s">
        <v>1972</v>
      </c>
      <c r="E348" s="406">
        <v>45373</v>
      </c>
      <c r="F348" s="739">
        <v>1.8</v>
      </c>
      <c r="G348" s="757"/>
      <c r="H348" s="757"/>
      <c r="I348" s="780"/>
      <c r="J348" s="780"/>
      <c r="K348" s="340" t="s">
        <v>2008</v>
      </c>
      <c r="L348" s="340" t="s">
        <v>1617</v>
      </c>
      <c r="M348" s="751">
        <v>0.7</v>
      </c>
      <c r="N348" s="777" t="s">
        <v>2007</v>
      </c>
      <c r="O348" s="610" t="s">
        <v>2023</v>
      </c>
      <c r="P348" s="595">
        <v>45741</v>
      </c>
      <c r="Q348" s="778" t="s">
        <v>2011</v>
      </c>
      <c r="R348" s="315">
        <v>21712</v>
      </c>
      <c r="S348" s="768">
        <f t="shared" si="114"/>
        <v>0.01</v>
      </c>
      <c r="T348" s="450">
        <v>15</v>
      </c>
      <c r="U348" s="731">
        <f t="shared" si="101"/>
        <v>45513</v>
      </c>
      <c r="V348" s="378">
        <f t="shared" ca="1" si="119"/>
        <v>10</v>
      </c>
      <c r="W348" s="292">
        <f t="shared" ca="1" si="120"/>
        <v>2025</v>
      </c>
      <c r="X348" s="291" t="str">
        <f t="shared" ca="1" si="118"/>
        <v>1 WEEK</v>
      </c>
      <c r="Y348" s="688">
        <f t="shared" si="103"/>
        <v>45756</v>
      </c>
      <c r="Z348" s="731" cm="1">
        <f t="array" aca="1" ref="Z348" ca="1">_xlfn.IFS(AD348&lt;100,Y348,Y348&lt;TODAY(),TODAY(),Y348&gt;TODAY(),Y348,Y348=TODAY(),Y348)</f>
        <v>45935</v>
      </c>
      <c r="AA348" s="452">
        <f t="shared" si="115"/>
        <v>15198.4</v>
      </c>
      <c r="AB348" s="451"/>
      <c r="AC348" s="451"/>
      <c r="AD348" s="298">
        <f t="shared" si="106"/>
        <v>15198</v>
      </c>
      <c r="AE348" s="299" t="str">
        <f t="shared" si="107"/>
        <v>Incomplete</v>
      </c>
      <c r="AF348" s="273"/>
      <c r="AG348" s="273"/>
      <c r="AH348" s="273"/>
      <c r="AI348" s="301">
        <f t="shared" ca="1" si="104"/>
        <v>179</v>
      </c>
      <c r="AJ348" s="302" t="str">
        <f t="shared" ca="1" si="105"/>
        <v>Delayed</v>
      </c>
      <c r="AL348" s="303">
        <f t="shared" si="108"/>
        <v>0</v>
      </c>
      <c r="AM348" s="303">
        <f t="shared" si="109"/>
        <v>-21712</v>
      </c>
      <c r="AN348" s="303">
        <f t="shared" si="110"/>
        <v>21712</v>
      </c>
      <c r="AO348" s="304">
        <f t="shared" si="111"/>
        <v>0</v>
      </c>
      <c r="AP348" s="273">
        <f t="shared" si="113"/>
        <v>3</v>
      </c>
      <c r="AQ348" s="273" t="str">
        <f t="shared" ca="1" si="112"/>
        <v>32025</v>
      </c>
    </row>
    <row r="349" spans="1:43" customFormat="1" ht="16.5">
      <c r="A349" s="761">
        <v>14</v>
      </c>
      <c r="B349" s="769" t="s">
        <v>1970</v>
      </c>
      <c r="C349" s="277" t="s">
        <v>1971</v>
      </c>
      <c r="D349" s="277" t="s">
        <v>1972</v>
      </c>
      <c r="E349" s="406">
        <v>45373</v>
      </c>
      <c r="F349" s="739">
        <v>1.8</v>
      </c>
      <c r="G349" s="757">
        <v>55200</v>
      </c>
      <c r="H349" s="757">
        <v>9936</v>
      </c>
      <c r="I349" s="780">
        <v>65136</v>
      </c>
      <c r="J349" s="780"/>
      <c r="K349" s="340" t="s">
        <v>2008</v>
      </c>
      <c r="L349" s="340" t="s">
        <v>1617</v>
      </c>
      <c r="M349" s="751">
        <v>0.7</v>
      </c>
      <c r="N349" s="777" t="s">
        <v>2007</v>
      </c>
      <c r="O349" s="610" t="s">
        <v>2024</v>
      </c>
      <c r="P349" s="595">
        <v>45637</v>
      </c>
      <c r="Q349" s="778" t="s">
        <v>2010</v>
      </c>
      <c r="R349" s="315">
        <v>65136</v>
      </c>
      <c r="S349" s="768">
        <f t="shared" si="114"/>
        <v>0.03</v>
      </c>
      <c r="T349" s="450">
        <v>15</v>
      </c>
      <c r="U349" s="731">
        <f t="shared" si="101"/>
        <v>45513</v>
      </c>
      <c r="V349" s="378">
        <f t="shared" ca="1" si="119"/>
        <v>10</v>
      </c>
      <c r="W349" s="292">
        <f t="shared" ca="1" si="120"/>
        <v>2025</v>
      </c>
      <c r="X349" s="291" t="str">
        <f t="shared" ca="1" si="118"/>
        <v>1 WEEK</v>
      </c>
      <c r="Y349" s="688">
        <f t="shared" si="103"/>
        <v>45652</v>
      </c>
      <c r="Z349" s="731" cm="1">
        <f t="array" aca="1" ref="Z349" ca="1">_xlfn.IFS(AD349&lt;100,Y349,Y349&lt;TODAY(),TODAY(),Y349&gt;TODAY(),Y349,Y349=TODAY(),Y349)</f>
        <v>45935</v>
      </c>
      <c r="AA349" s="452">
        <f t="shared" si="115"/>
        <v>45595.199999999997</v>
      </c>
      <c r="AB349" s="451"/>
      <c r="AC349" s="451"/>
      <c r="AD349" s="298">
        <f t="shared" si="106"/>
        <v>45595</v>
      </c>
      <c r="AE349" s="299" t="str">
        <f t="shared" si="107"/>
        <v>Incomplete</v>
      </c>
      <c r="AF349" s="273"/>
      <c r="AG349" s="273"/>
      <c r="AH349" s="273"/>
      <c r="AI349" s="301">
        <f t="shared" ca="1" si="104"/>
        <v>283</v>
      </c>
      <c r="AJ349" s="302" t="str">
        <f t="shared" ca="1" si="105"/>
        <v>Delayed</v>
      </c>
      <c r="AL349" s="303">
        <f t="shared" si="108"/>
        <v>65136</v>
      </c>
      <c r="AM349" s="303">
        <f t="shared" si="109"/>
        <v>0</v>
      </c>
      <c r="AN349" s="303">
        <f t="shared" si="110"/>
        <v>65136</v>
      </c>
      <c r="AO349" s="304">
        <f t="shared" si="111"/>
        <v>0</v>
      </c>
      <c r="AP349" s="273">
        <f t="shared" si="113"/>
        <v>12</v>
      </c>
      <c r="AQ349" s="273" t="str">
        <f t="shared" ca="1" si="112"/>
        <v>122025</v>
      </c>
    </row>
    <row r="350" spans="1:43" customFormat="1" ht="16.5">
      <c r="A350" s="761">
        <v>14</v>
      </c>
      <c r="B350" s="769" t="s">
        <v>1970</v>
      </c>
      <c r="C350" s="277" t="s">
        <v>1971</v>
      </c>
      <c r="D350" s="277" t="s">
        <v>1972</v>
      </c>
      <c r="E350" s="406">
        <v>45373</v>
      </c>
      <c r="F350" s="739">
        <v>1.8</v>
      </c>
      <c r="G350" s="775">
        <v>55200</v>
      </c>
      <c r="H350" s="753">
        <v>9936</v>
      </c>
      <c r="I350" s="776">
        <v>65136</v>
      </c>
      <c r="J350" s="776"/>
      <c r="K350" s="340" t="s">
        <v>2008</v>
      </c>
      <c r="L350" s="340" t="s">
        <v>1617</v>
      </c>
      <c r="M350" s="751">
        <v>0.7</v>
      </c>
      <c r="N350" s="777" t="s">
        <v>2007</v>
      </c>
      <c r="O350" s="610" t="s">
        <v>2025</v>
      </c>
      <c r="P350" s="595">
        <v>45741</v>
      </c>
      <c r="Q350" s="778" t="s">
        <v>2011</v>
      </c>
      <c r="R350" s="315">
        <v>65136</v>
      </c>
      <c r="S350" s="768">
        <f t="shared" si="114"/>
        <v>0.03</v>
      </c>
      <c r="T350" s="450">
        <v>15</v>
      </c>
      <c r="U350" s="731">
        <f t="shared" si="101"/>
        <v>45513</v>
      </c>
      <c r="V350" s="378">
        <f t="shared" ca="1" si="119"/>
        <v>10</v>
      </c>
      <c r="W350" s="292">
        <f t="shared" ca="1" si="120"/>
        <v>2025</v>
      </c>
      <c r="X350" s="291" t="str">
        <f t="shared" ca="1" si="118"/>
        <v>1 WEEK</v>
      </c>
      <c r="Y350" s="688">
        <f t="shared" si="103"/>
        <v>45756</v>
      </c>
      <c r="Z350" s="731" cm="1">
        <f t="array" aca="1" ref="Z350" ca="1">_xlfn.IFS(AD350&lt;100,Y350,Y350&lt;TODAY(),TODAY(),Y350&gt;TODAY(),Y350,Y350=TODAY(),Y350)</f>
        <v>45935</v>
      </c>
      <c r="AA350" s="452">
        <f t="shared" si="115"/>
        <v>45595.199999999997</v>
      </c>
      <c r="AB350" s="451"/>
      <c r="AC350" s="451"/>
      <c r="AD350" s="298">
        <f t="shared" si="106"/>
        <v>45595</v>
      </c>
      <c r="AE350" s="299" t="str">
        <f t="shared" si="107"/>
        <v>Incomplete</v>
      </c>
      <c r="AF350" s="273"/>
      <c r="AG350" s="273"/>
      <c r="AH350" s="273"/>
      <c r="AI350" s="301">
        <f t="shared" ca="1" si="104"/>
        <v>179</v>
      </c>
      <c r="AJ350" s="302" t="str">
        <f t="shared" ca="1" si="105"/>
        <v>Delayed</v>
      </c>
      <c r="AL350" s="303">
        <f t="shared" si="108"/>
        <v>65136</v>
      </c>
      <c r="AM350" s="303">
        <f t="shared" si="109"/>
        <v>0</v>
      </c>
      <c r="AN350" s="303">
        <f t="shared" si="110"/>
        <v>65136</v>
      </c>
      <c r="AO350" s="304">
        <f t="shared" si="111"/>
        <v>0</v>
      </c>
      <c r="AP350" s="273">
        <f t="shared" si="113"/>
        <v>3</v>
      </c>
      <c r="AQ350" s="273" t="str">
        <f t="shared" ca="1" si="112"/>
        <v>32025</v>
      </c>
    </row>
    <row r="351" spans="1:43" customFormat="1" ht="16.5">
      <c r="A351" s="761">
        <v>14</v>
      </c>
      <c r="B351" s="769" t="s">
        <v>1970</v>
      </c>
      <c r="C351" s="277" t="s">
        <v>1971</v>
      </c>
      <c r="D351" s="277" t="s">
        <v>1972</v>
      </c>
      <c r="E351" s="406">
        <v>45373</v>
      </c>
      <c r="F351" s="739">
        <v>1.8</v>
      </c>
      <c r="G351" s="775">
        <v>55200</v>
      </c>
      <c r="H351" s="753">
        <v>9936</v>
      </c>
      <c r="I351" s="776">
        <v>65136</v>
      </c>
      <c r="J351" s="776"/>
      <c r="K351" s="340" t="s">
        <v>2008</v>
      </c>
      <c r="L351" s="340" t="s">
        <v>1617</v>
      </c>
      <c r="M351" s="751">
        <v>0.7</v>
      </c>
      <c r="N351" s="777" t="s">
        <v>2007</v>
      </c>
      <c r="O351" s="610" t="s">
        <v>2026</v>
      </c>
      <c r="P351" s="595">
        <v>45741</v>
      </c>
      <c r="Q351" s="778" t="s">
        <v>2011</v>
      </c>
      <c r="R351" s="315">
        <v>43424</v>
      </c>
      <c r="S351" s="768">
        <f t="shared" si="114"/>
        <v>0.02</v>
      </c>
      <c r="T351" s="450">
        <v>15</v>
      </c>
      <c r="U351" s="731">
        <f t="shared" si="101"/>
        <v>45513</v>
      </c>
      <c r="V351" s="378">
        <f t="shared" ca="1" si="119"/>
        <v>10</v>
      </c>
      <c r="W351" s="292">
        <f t="shared" ca="1" si="120"/>
        <v>2025</v>
      </c>
      <c r="X351" s="291" t="str">
        <f t="shared" ca="1" si="118"/>
        <v>1 WEEK</v>
      </c>
      <c r="Y351" s="688">
        <f t="shared" si="103"/>
        <v>45756</v>
      </c>
      <c r="Z351" s="731" cm="1">
        <f t="array" aca="1" ref="Z351" ca="1">_xlfn.IFS(AD351&lt;100,Y351,Y351&lt;TODAY(),TODAY(),Y351&gt;TODAY(),Y351,Y351=TODAY(),Y351)</f>
        <v>45935</v>
      </c>
      <c r="AA351" s="452">
        <f t="shared" si="115"/>
        <v>30396.799999999999</v>
      </c>
      <c r="AB351" s="451"/>
      <c r="AC351" s="451"/>
      <c r="AD351" s="298">
        <f t="shared" si="106"/>
        <v>30397</v>
      </c>
      <c r="AE351" s="299" t="str">
        <f t="shared" si="107"/>
        <v>Incomplete</v>
      </c>
      <c r="AF351" s="273"/>
      <c r="AG351" s="273"/>
      <c r="AH351" s="273"/>
      <c r="AI351" s="301">
        <f t="shared" ca="1" si="104"/>
        <v>179</v>
      </c>
      <c r="AJ351" s="302" t="str">
        <f t="shared" ca="1" si="105"/>
        <v>Delayed</v>
      </c>
      <c r="AL351" s="303">
        <f t="shared" si="108"/>
        <v>65136</v>
      </c>
      <c r="AM351" s="303">
        <f t="shared" si="109"/>
        <v>21712</v>
      </c>
      <c r="AN351" s="303">
        <f t="shared" si="110"/>
        <v>43424</v>
      </c>
      <c r="AO351" s="304">
        <f t="shared" si="111"/>
        <v>0</v>
      </c>
      <c r="AP351" s="273">
        <f t="shared" si="113"/>
        <v>3</v>
      </c>
      <c r="AQ351" s="273" t="str">
        <f t="shared" ca="1" si="112"/>
        <v>32025</v>
      </c>
    </row>
    <row r="352" spans="1:43" customFormat="1" ht="16.5">
      <c r="A352" s="761">
        <v>14</v>
      </c>
      <c r="B352" s="769" t="s">
        <v>1970</v>
      </c>
      <c r="C352" s="277" t="s">
        <v>1971</v>
      </c>
      <c r="D352" s="277" t="s">
        <v>1972</v>
      </c>
      <c r="E352" s="736">
        <v>45373</v>
      </c>
      <c r="F352" s="739">
        <v>1.8</v>
      </c>
      <c r="G352" s="781"/>
      <c r="H352" s="782"/>
      <c r="I352" s="783"/>
      <c r="J352" s="783"/>
      <c r="K352" s="340" t="s">
        <v>2008</v>
      </c>
      <c r="L352" s="340" t="s">
        <v>1617</v>
      </c>
      <c r="M352" s="784">
        <v>0.7</v>
      </c>
      <c r="N352" s="777" t="s">
        <v>2007</v>
      </c>
      <c r="O352" s="785" t="s">
        <v>2026</v>
      </c>
      <c r="P352" s="723">
        <v>45447</v>
      </c>
      <c r="Q352" s="786" t="s">
        <v>2014</v>
      </c>
      <c r="R352" s="423">
        <v>21712</v>
      </c>
      <c r="S352" s="768">
        <f t="shared" si="114"/>
        <v>0.01</v>
      </c>
      <c r="T352" s="450">
        <v>15</v>
      </c>
      <c r="U352" s="731">
        <f t="shared" si="101"/>
        <v>45513</v>
      </c>
      <c r="V352" s="378">
        <f t="shared" ca="1" si="119"/>
        <v>10</v>
      </c>
      <c r="W352" s="737">
        <f t="shared" ca="1" si="120"/>
        <v>2025</v>
      </c>
      <c r="X352" s="390" t="str">
        <f t="shared" ca="1" si="118"/>
        <v>1 WEEK</v>
      </c>
      <c r="Y352" s="688">
        <f t="shared" si="103"/>
        <v>45462</v>
      </c>
      <c r="Z352" s="731" cm="1">
        <f t="array" aca="1" ref="Z352" ca="1">_xlfn.IFS(AD352&lt;100,Y352,Y352&lt;TODAY(),TODAY(),Y352&gt;TODAY(),Y352,Y352=TODAY(),Y352)</f>
        <v>45935</v>
      </c>
      <c r="AA352" s="452">
        <f t="shared" si="115"/>
        <v>15198.4</v>
      </c>
      <c r="AB352" s="787"/>
      <c r="AC352" s="787"/>
      <c r="AD352" s="298">
        <f t="shared" si="106"/>
        <v>15198</v>
      </c>
      <c r="AE352" s="299" t="str">
        <f t="shared" si="107"/>
        <v>Incomplete</v>
      </c>
      <c r="AF352" s="273"/>
      <c r="AG352" s="273"/>
      <c r="AH352" s="273"/>
      <c r="AI352" s="301">
        <f t="shared" ca="1" si="104"/>
        <v>473</v>
      </c>
      <c r="AJ352" s="302" t="str">
        <f t="shared" ca="1" si="105"/>
        <v>Delayed</v>
      </c>
      <c r="AL352" s="303">
        <f t="shared" si="108"/>
        <v>0</v>
      </c>
      <c r="AM352" s="303">
        <f t="shared" si="109"/>
        <v>-21712</v>
      </c>
      <c r="AN352" s="303">
        <f t="shared" si="110"/>
        <v>21712</v>
      </c>
      <c r="AO352" s="304">
        <f t="shared" si="111"/>
        <v>0</v>
      </c>
      <c r="AP352" s="273">
        <f t="shared" si="113"/>
        <v>6</v>
      </c>
      <c r="AQ352" s="273" t="str">
        <f t="shared" ca="1" si="112"/>
        <v>62025</v>
      </c>
    </row>
    <row r="353" spans="1:43" customFormat="1" ht="16.5">
      <c r="A353" s="312">
        <v>14</v>
      </c>
      <c r="B353" s="769" t="s">
        <v>1970</v>
      </c>
      <c r="C353" s="277" t="s">
        <v>1971</v>
      </c>
      <c r="D353" s="277" t="s">
        <v>1972</v>
      </c>
      <c r="E353" s="736">
        <v>45373</v>
      </c>
      <c r="F353" s="739">
        <v>1.8</v>
      </c>
      <c r="G353" s="788"/>
      <c r="H353" s="789"/>
      <c r="I353" s="790"/>
      <c r="J353" s="790"/>
      <c r="K353" s="378" t="s">
        <v>2027</v>
      </c>
      <c r="L353" s="378" t="s">
        <v>2028</v>
      </c>
      <c r="M353" s="784">
        <v>0.1</v>
      </c>
      <c r="N353" s="777" t="s">
        <v>2007</v>
      </c>
      <c r="O353" s="791"/>
      <c r="P353" s="792">
        <v>0</v>
      </c>
      <c r="Q353" s="793"/>
      <c r="R353" s="450"/>
      <c r="S353" s="768"/>
      <c r="T353" s="450"/>
      <c r="U353" s="731">
        <f t="shared" si="101"/>
        <v>45513</v>
      </c>
      <c r="V353" s="378">
        <f t="shared" ca="1" si="119"/>
        <v>10</v>
      </c>
      <c r="W353" s="737">
        <f t="shared" ca="1" si="120"/>
        <v>2025</v>
      </c>
      <c r="X353" s="390" t="str">
        <f t="shared" ca="1" si="118"/>
        <v>1 WEEK</v>
      </c>
      <c r="Y353" s="794">
        <f t="shared" si="103"/>
        <v>0</v>
      </c>
      <c r="Z353" s="731" cm="1">
        <f t="array" aca="1" ref="Z353" ca="1">_xlfn.IFS(AD353&lt;100,Y353,Y353&lt;TODAY(),TODAY(),Y353&gt;TODAY(),Y353,Y353=TODAY(),Y353)</f>
        <v>45935</v>
      </c>
      <c r="AA353" s="447">
        <f>SUM(I329:I351)*M353</f>
        <v>217120</v>
      </c>
      <c r="AB353" s="787"/>
      <c r="AC353" s="787"/>
      <c r="AD353" s="298">
        <f t="shared" si="106"/>
        <v>217120</v>
      </c>
      <c r="AE353" s="299" t="str">
        <f t="shared" si="107"/>
        <v>Incomplete</v>
      </c>
      <c r="AF353" s="273"/>
      <c r="AG353" s="273"/>
      <c r="AH353" s="273"/>
      <c r="AI353" s="301">
        <f t="shared" ca="1" si="104"/>
        <v>45935</v>
      </c>
      <c r="AJ353" s="302" t="str">
        <f t="shared" ca="1" si="105"/>
        <v>Delayed</v>
      </c>
      <c r="AL353" s="303">
        <f t="shared" si="108"/>
        <v>0</v>
      </c>
      <c r="AM353" s="303">
        <f t="shared" si="109"/>
        <v>0</v>
      </c>
      <c r="AN353" s="303">
        <f t="shared" si="110"/>
        <v>0</v>
      </c>
      <c r="AO353" s="304">
        <f t="shared" si="111"/>
        <v>0</v>
      </c>
      <c r="AP353" s="273">
        <f t="shared" si="113"/>
        <v>1</v>
      </c>
      <c r="AQ353" s="273" t="str">
        <f t="shared" ca="1" si="112"/>
        <v>12025</v>
      </c>
    </row>
    <row r="354" spans="1:43" customFormat="1" ht="16.5">
      <c r="A354" s="312">
        <v>14</v>
      </c>
      <c r="B354" s="769" t="s">
        <v>1970</v>
      </c>
      <c r="C354" s="277" t="s">
        <v>1971</v>
      </c>
      <c r="D354" s="277" t="s">
        <v>1972</v>
      </c>
      <c r="E354" s="736">
        <v>45373</v>
      </c>
      <c r="F354" s="739">
        <v>1.8</v>
      </c>
      <c r="G354" s="788"/>
      <c r="H354" s="789"/>
      <c r="I354" s="790"/>
      <c r="J354" s="790"/>
      <c r="K354" s="378" t="s">
        <v>2029</v>
      </c>
      <c r="L354" s="378" t="s">
        <v>2030</v>
      </c>
      <c r="M354" s="784">
        <v>0.1</v>
      </c>
      <c r="N354" s="777" t="s">
        <v>2007</v>
      </c>
      <c r="O354" s="791"/>
      <c r="P354" s="795">
        <v>0</v>
      </c>
      <c r="Q354" s="793"/>
      <c r="R354" s="450"/>
      <c r="S354" s="768"/>
      <c r="T354" s="450">
        <v>15</v>
      </c>
      <c r="U354" s="731">
        <f t="shared" si="101"/>
        <v>45513</v>
      </c>
      <c r="V354" s="378">
        <f t="shared" ca="1" si="119"/>
        <v>10</v>
      </c>
      <c r="W354" s="737">
        <f t="shared" ca="1" si="120"/>
        <v>2025</v>
      </c>
      <c r="X354" s="390" t="str">
        <f t="shared" ca="1" si="118"/>
        <v>1 WEEK</v>
      </c>
      <c r="Y354" s="794">
        <f t="shared" si="103"/>
        <v>15</v>
      </c>
      <c r="Z354" s="731" cm="1">
        <f t="array" aca="1" ref="Z354" ca="1">_xlfn.IFS(AD354&lt;100,Y354,Y354&lt;TODAY(),TODAY(),Y354&gt;TODAY(),Y354,Y354=TODAY(),Y354)</f>
        <v>45935</v>
      </c>
      <c r="AA354" s="447">
        <f>SUM(I329:I354)*M354+SUM(H329:H354)*M329</f>
        <v>250240</v>
      </c>
      <c r="AB354" s="787"/>
      <c r="AC354" s="787"/>
      <c r="AD354" s="298">
        <f t="shared" si="106"/>
        <v>250240</v>
      </c>
      <c r="AE354" s="299" t="str">
        <f t="shared" si="107"/>
        <v>Incomplete</v>
      </c>
      <c r="AF354" s="273"/>
      <c r="AG354" s="273"/>
      <c r="AH354" s="273"/>
      <c r="AI354" s="301">
        <f t="shared" ca="1" si="104"/>
        <v>45920</v>
      </c>
      <c r="AJ354" s="302" t="str">
        <f t="shared" ca="1" si="105"/>
        <v>Delayed</v>
      </c>
      <c r="AL354" s="303">
        <f t="shared" si="108"/>
        <v>0</v>
      </c>
      <c r="AM354" s="303">
        <f t="shared" si="109"/>
        <v>0</v>
      </c>
      <c r="AN354" s="303">
        <f t="shared" si="110"/>
        <v>0</v>
      </c>
      <c r="AO354" s="304">
        <f t="shared" si="111"/>
        <v>0</v>
      </c>
      <c r="AP354" s="273">
        <f t="shared" si="113"/>
        <v>1</v>
      </c>
      <c r="AQ354" s="273" t="str">
        <f t="shared" ca="1" si="112"/>
        <v>12025</v>
      </c>
    </row>
    <row r="355" spans="1:43" customFormat="1" ht="16.5">
      <c r="A355" s="274">
        <v>15</v>
      </c>
      <c r="B355" s="740" t="s">
        <v>1970</v>
      </c>
      <c r="C355" s="277" t="s">
        <v>1971</v>
      </c>
      <c r="D355" s="277" t="s">
        <v>1972</v>
      </c>
      <c r="E355" s="736">
        <v>45373</v>
      </c>
      <c r="F355" s="739">
        <v>1.8</v>
      </c>
      <c r="G355" s="788"/>
      <c r="H355" s="789"/>
      <c r="I355" s="796"/>
      <c r="J355" s="796"/>
      <c r="K355" s="273" t="s">
        <v>1973</v>
      </c>
      <c r="L355" s="273" t="s">
        <v>1592</v>
      </c>
      <c r="M355" s="797">
        <v>0.1</v>
      </c>
      <c r="N355" s="777" t="s">
        <v>2031</v>
      </c>
      <c r="O355" s="791"/>
      <c r="P355" s="795">
        <v>0</v>
      </c>
      <c r="Q355" s="793"/>
      <c r="R355" s="450"/>
      <c r="S355" s="450"/>
      <c r="T355" s="450">
        <v>15</v>
      </c>
      <c r="U355" s="731">
        <f t="shared" si="101"/>
        <v>45513</v>
      </c>
      <c r="V355" s="378">
        <f t="shared" ca="1" si="119"/>
        <v>1</v>
      </c>
      <c r="W355" s="737">
        <f t="shared" ca="1" si="120"/>
        <v>1900</v>
      </c>
      <c r="X355" s="390" t="str">
        <f t="shared" ca="1" si="118"/>
        <v>3 WEEK</v>
      </c>
      <c r="Y355" s="794">
        <f t="shared" si="103"/>
        <v>15</v>
      </c>
      <c r="Z355" s="798" cm="1">
        <f t="array" aca="1" ref="Z355" ca="1">_xlfn.IFS(AD355&lt;100,Y355,Y355&lt;TODAY(),TODAY(),Y355&gt;TODAY(),Y355,Y355=TODAY(),Y355)</f>
        <v>15</v>
      </c>
      <c r="AA355" s="447">
        <f>SUM(G355:G376)*M355</f>
        <v>240000</v>
      </c>
      <c r="AB355" s="787">
        <v>235200</v>
      </c>
      <c r="AC355" s="787">
        <f>AA355*2%</f>
        <v>4800</v>
      </c>
      <c r="AD355" s="298">
        <f t="shared" si="106"/>
        <v>0</v>
      </c>
      <c r="AE355" s="299" t="str">
        <f t="shared" si="107"/>
        <v>Complete</v>
      </c>
      <c r="AF355" s="273"/>
      <c r="AG355" s="273"/>
      <c r="AH355" s="273"/>
      <c r="AI355" s="301">
        <f t="shared" ca="1" si="104"/>
        <v>0</v>
      </c>
      <c r="AJ355" s="302">
        <f t="shared" ca="1" si="105"/>
        <v>0</v>
      </c>
      <c r="AL355" s="303">
        <f t="shared" si="108"/>
        <v>0</v>
      </c>
      <c r="AM355" s="303">
        <f t="shared" si="109"/>
        <v>0</v>
      </c>
      <c r="AN355" s="303">
        <f t="shared" si="110"/>
        <v>0</v>
      </c>
      <c r="AO355" s="304">
        <f t="shared" si="111"/>
        <v>0</v>
      </c>
      <c r="AP355" s="273">
        <f t="shared" si="113"/>
        <v>1</v>
      </c>
      <c r="AQ355" s="273" t="str">
        <f t="shared" ca="1" si="112"/>
        <v>11900</v>
      </c>
    </row>
    <row r="356" spans="1:43" customFormat="1" ht="16.5">
      <c r="A356" s="312">
        <v>15</v>
      </c>
      <c r="B356" s="740" t="s">
        <v>1970</v>
      </c>
      <c r="C356" s="276" t="s">
        <v>1971</v>
      </c>
      <c r="D356" s="277" t="s">
        <v>1972</v>
      </c>
      <c r="E356" s="630">
        <v>45373</v>
      </c>
      <c r="F356" s="279">
        <v>1.8</v>
      </c>
      <c r="G356" s="770">
        <v>281400</v>
      </c>
      <c r="H356" s="771">
        <v>50652</v>
      </c>
      <c r="I356" s="799">
        <v>332052</v>
      </c>
      <c r="J356" s="799"/>
      <c r="K356" s="291" t="s">
        <v>2008</v>
      </c>
      <c r="L356" s="291" t="s">
        <v>2032</v>
      </c>
      <c r="M356" s="800">
        <v>0.7</v>
      </c>
      <c r="N356" s="777" t="s">
        <v>2031</v>
      </c>
      <c r="O356" s="610" t="s">
        <v>2033</v>
      </c>
      <c r="P356" s="709">
        <v>45637</v>
      </c>
      <c r="Q356" s="291" t="s">
        <v>2010</v>
      </c>
      <c r="R356" s="801">
        <v>221368</v>
      </c>
      <c r="S356" s="802">
        <f>R356/SUM($I$355:$I$377)</f>
        <v>7.8166666666666662E-2</v>
      </c>
      <c r="T356" s="450">
        <v>15</v>
      </c>
      <c r="U356" s="294">
        <f t="shared" si="101"/>
        <v>45513</v>
      </c>
      <c r="V356" s="390">
        <f t="shared" ca="1" si="119"/>
        <v>10</v>
      </c>
      <c r="W356" s="737">
        <f t="shared" ca="1" si="120"/>
        <v>2025</v>
      </c>
      <c r="X356" s="390" t="str">
        <f t="shared" ca="1" si="118"/>
        <v>1 WEEK</v>
      </c>
      <c r="Y356" s="688">
        <f t="shared" si="103"/>
        <v>45652</v>
      </c>
      <c r="Z356" s="731" cm="1">
        <f t="array" aca="1" ref="Z356" ca="1">_xlfn.IFS(AD356&lt;100,Y356,Y356&lt;TODAY(),TODAY(),Y356&gt;TODAY(),Y356,Y356=TODAY(),Y356)</f>
        <v>45935</v>
      </c>
      <c r="AA356" s="598">
        <f>SUM(I355:I376)*M356</f>
        <v>1982399.9999999998</v>
      </c>
      <c r="AB356" s="803"/>
      <c r="AC356" s="803"/>
      <c r="AD356" s="298">
        <f t="shared" si="106"/>
        <v>1982400</v>
      </c>
      <c r="AE356" s="299" t="str">
        <f t="shared" si="107"/>
        <v>Incomplete</v>
      </c>
      <c r="AF356" s="291"/>
      <c r="AG356" s="291"/>
      <c r="AH356" s="687"/>
      <c r="AI356" s="301">
        <f t="shared" ca="1" si="104"/>
        <v>283</v>
      </c>
      <c r="AJ356" s="302" t="str">
        <f t="shared" ca="1" si="105"/>
        <v>Delayed</v>
      </c>
      <c r="AL356" s="303">
        <f t="shared" si="108"/>
        <v>332052</v>
      </c>
      <c r="AM356" s="303">
        <f t="shared" si="109"/>
        <v>110684</v>
      </c>
      <c r="AN356" s="303">
        <f t="shared" si="110"/>
        <v>221368</v>
      </c>
      <c r="AO356" s="304">
        <f t="shared" si="111"/>
        <v>0</v>
      </c>
      <c r="AP356" s="273">
        <f t="shared" si="113"/>
        <v>12</v>
      </c>
      <c r="AQ356" s="273" t="str">
        <f t="shared" ca="1" si="112"/>
        <v>122025</v>
      </c>
    </row>
    <row r="357" spans="1:43" customFormat="1" ht="16.5">
      <c r="A357" s="587">
        <v>15</v>
      </c>
      <c r="B357" s="743" t="s">
        <v>1970</v>
      </c>
      <c r="C357" s="332" t="s">
        <v>1971</v>
      </c>
      <c r="D357" s="277" t="s">
        <v>1972</v>
      </c>
      <c r="E357" s="406">
        <v>45373</v>
      </c>
      <c r="F357" s="334">
        <v>1.8</v>
      </c>
      <c r="G357" s="775"/>
      <c r="H357" s="753"/>
      <c r="I357" s="804"/>
      <c r="J357" s="804"/>
      <c r="K357" s="340" t="s">
        <v>2008</v>
      </c>
      <c r="L357" s="340" t="s">
        <v>2032</v>
      </c>
      <c r="M357" s="800">
        <v>0.7</v>
      </c>
      <c r="N357" s="777" t="s">
        <v>2031</v>
      </c>
      <c r="O357" s="610" t="s">
        <v>2033</v>
      </c>
      <c r="P357" s="611">
        <v>45741</v>
      </c>
      <c r="Q357" s="340" t="s">
        <v>2034</v>
      </c>
      <c r="R357" s="805">
        <v>110684</v>
      </c>
      <c r="S357" s="802">
        <f t="shared" ref="S357:S377" si="121">R357/SUM($I$355:$I$377)</f>
        <v>3.9083333333333331E-2</v>
      </c>
      <c r="T357" s="450">
        <v>15</v>
      </c>
      <c r="U357" s="341">
        <f t="shared" si="101"/>
        <v>45513</v>
      </c>
      <c r="V357" s="378">
        <f t="shared" ca="1" si="119"/>
        <v>4</v>
      </c>
      <c r="W357" s="292">
        <f t="shared" ca="1" si="120"/>
        <v>2025</v>
      </c>
      <c r="X357" s="291" t="str">
        <f t="shared" ca="1" si="118"/>
        <v>2 WEEK</v>
      </c>
      <c r="Y357" s="329">
        <f t="shared" si="103"/>
        <v>45756</v>
      </c>
      <c r="Z357" s="731" cm="1">
        <f t="array" aca="1" ref="Z357" ca="1">_xlfn.IFS(AD357&lt;100,Y357,Y357&lt;TODAY(),TODAY(),Y357&gt;TODAY(),Y357,Y357=TODAY(),Y357)</f>
        <v>45756</v>
      </c>
      <c r="AA357" s="594"/>
      <c r="AB357" s="301"/>
      <c r="AC357" s="301"/>
      <c r="AD357" s="298">
        <f t="shared" si="106"/>
        <v>0</v>
      </c>
      <c r="AE357" s="299" t="str">
        <f t="shared" si="107"/>
        <v>Complete</v>
      </c>
      <c r="AF357" s="340"/>
      <c r="AG357" s="340"/>
      <c r="AH357" s="744"/>
      <c r="AI357" s="301">
        <f t="shared" ca="1" si="104"/>
        <v>0</v>
      </c>
      <c r="AJ357" s="302">
        <f t="shared" ca="1" si="105"/>
        <v>0</v>
      </c>
      <c r="AL357" s="303">
        <f t="shared" si="108"/>
        <v>0</v>
      </c>
      <c r="AM357" s="303">
        <f t="shared" si="109"/>
        <v>-110684</v>
      </c>
      <c r="AN357" s="303">
        <f t="shared" si="110"/>
        <v>110684</v>
      </c>
      <c r="AO357" s="304">
        <f t="shared" si="111"/>
        <v>0</v>
      </c>
      <c r="AP357" s="273">
        <f t="shared" si="113"/>
        <v>3</v>
      </c>
      <c r="AQ357" s="273" t="str">
        <f t="shared" ca="1" si="112"/>
        <v>32025</v>
      </c>
    </row>
    <row r="358" spans="1:43" customFormat="1" ht="16.5">
      <c r="A358" s="587">
        <v>15</v>
      </c>
      <c r="B358" s="743" t="s">
        <v>1970</v>
      </c>
      <c r="C358" s="332" t="s">
        <v>1971</v>
      </c>
      <c r="D358" s="277" t="s">
        <v>1972</v>
      </c>
      <c r="E358" s="406">
        <v>45373</v>
      </c>
      <c r="F358" s="334">
        <v>1.8</v>
      </c>
      <c r="G358" s="775">
        <v>201000</v>
      </c>
      <c r="H358" s="753">
        <v>36180</v>
      </c>
      <c r="I358" s="804">
        <v>237180</v>
      </c>
      <c r="J358" s="804"/>
      <c r="K358" s="340" t="s">
        <v>2008</v>
      </c>
      <c r="L358" s="340" t="s">
        <v>2032</v>
      </c>
      <c r="M358" s="800">
        <v>0.7</v>
      </c>
      <c r="N358" s="777" t="s">
        <v>2031</v>
      </c>
      <c r="O358" s="806" t="s">
        <v>2035</v>
      </c>
      <c r="P358" s="611">
        <v>45637</v>
      </c>
      <c r="Q358" s="340" t="s">
        <v>2010</v>
      </c>
      <c r="R358" s="805">
        <v>158120</v>
      </c>
      <c r="S358" s="802">
        <f t="shared" si="121"/>
        <v>5.5833333333333332E-2</v>
      </c>
      <c r="T358" s="450">
        <v>15</v>
      </c>
      <c r="U358" s="341">
        <f t="shared" si="101"/>
        <v>45513</v>
      </c>
      <c r="V358" s="378">
        <f t="shared" ca="1" si="119"/>
        <v>12</v>
      </c>
      <c r="W358" s="292">
        <f t="shared" ca="1" si="120"/>
        <v>2024</v>
      </c>
      <c r="X358" s="291" t="str">
        <f t="shared" ca="1" si="118"/>
        <v>4 WEEK</v>
      </c>
      <c r="Y358" s="329">
        <f t="shared" si="103"/>
        <v>45652</v>
      </c>
      <c r="Z358" s="731" cm="1">
        <f t="array" aca="1" ref="Z358" ca="1">_xlfn.IFS(AD358&lt;100,Y358,Y358&lt;TODAY(),TODAY(),Y358&gt;TODAY(),Y358,Y358=TODAY(),Y358)</f>
        <v>45652</v>
      </c>
      <c r="AA358" s="594"/>
      <c r="AB358" s="301"/>
      <c r="AC358" s="301"/>
      <c r="AD358" s="298">
        <f t="shared" si="106"/>
        <v>0</v>
      </c>
      <c r="AE358" s="299" t="str">
        <f t="shared" si="107"/>
        <v>Complete</v>
      </c>
      <c r="AF358" s="340"/>
      <c r="AG358" s="340"/>
      <c r="AH358" s="744"/>
      <c r="AI358" s="301">
        <f t="shared" ca="1" si="104"/>
        <v>0</v>
      </c>
      <c r="AJ358" s="302">
        <f t="shared" ca="1" si="105"/>
        <v>0</v>
      </c>
      <c r="AL358" s="303">
        <f t="shared" si="108"/>
        <v>237180</v>
      </c>
      <c r="AM358" s="303">
        <f t="shared" si="109"/>
        <v>79060</v>
      </c>
      <c r="AN358" s="303">
        <f t="shared" si="110"/>
        <v>158120</v>
      </c>
      <c r="AO358" s="304">
        <f t="shared" si="111"/>
        <v>0</v>
      </c>
      <c r="AP358" s="273">
        <f t="shared" si="113"/>
        <v>12</v>
      </c>
      <c r="AQ358" s="273" t="str">
        <f t="shared" ca="1" si="112"/>
        <v>122024</v>
      </c>
    </row>
    <row r="359" spans="1:43" customFormat="1" ht="16.5">
      <c r="A359" s="587">
        <v>15</v>
      </c>
      <c r="B359" s="743" t="s">
        <v>1970</v>
      </c>
      <c r="C359" s="332" t="s">
        <v>1971</v>
      </c>
      <c r="D359" s="277" t="s">
        <v>1972</v>
      </c>
      <c r="E359" s="406">
        <v>45373</v>
      </c>
      <c r="F359" s="334">
        <v>1.8</v>
      </c>
      <c r="G359" s="775"/>
      <c r="H359" s="753"/>
      <c r="I359" s="804"/>
      <c r="J359" s="804"/>
      <c r="K359" s="340" t="s">
        <v>2008</v>
      </c>
      <c r="L359" s="340" t="s">
        <v>2032</v>
      </c>
      <c r="M359" s="800">
        <v>0.7</v>
      </c>
      <c r="N359" s="777" t="s">
        <v>2031</v>
      </c>
      <c r="O359" s="806" t="s">
        <v>2035</v>
      </c>
      <c r="P359" s="611">
        <v>45741</v>
      </c>
      <c r="Q359" s="340" t="s">
        <v>2034</v>
      </c>
      <c r="R359" s="805">
        <v>79060</v>
      </c>
      <c r="S359" s="802">
        <f t="shared" si="121"/>
        <v>2.7916666666666666E-2</v>
      </c>
      <c r="T359" s="450">
        <v>15</v>
      </c>
      <c r="U359" s="341">
        <f t="shared" ref="U359:U376" si="122">E359+20*7</f>
        <v>45513</v>
      </c>
      <c r="V359" s="378">
        <f t="shared" ca="1" si="119"/>
        <v>4</v>
      </c>
      <c r="W359" s="292">
        <f t="shared" ca="1" si="120"/>
        <v>2025</v>
      </c>
      <c r="X359" s="291" t="str">
        <f t="shared" ca="1" si="118"/>
        <v>2 WEEK</v>
      </c>
      <c r="Y359" s="329">
        <f t="shared" si="103"/>
        <v>45756</v>
      </c>
      <c r="Z359" s="731" cm="1">
        <f t="array" aca="1" ref="Z359" ca="1">_xlfn.IFS(AD359&lt;100,Y359,Y359&lt;TODAY(),TODAY(),Y359&gt;TODAY(),Y359,Y359=TODAY(),Y359)</f>
        <v>45756</v>
      </c>
      <c r="AA359" s="594"/>
      <c r="AB359" s="301"/>
      <c r="AC359" s="301"/>
      <c r="AD359" s="298">
        <f t="shared" si="106"/>
        <v>0</v>
      </c>
      <c r="AE359" s="299" t="str">
        <f t="shared" si="107"/>
        <v>Complete</v>
      </c>
      <c r="AF359" s="340"/>
      <c r="AG359" s="340"/>
      <c r="AH359" s="744"/>
      <c r="AI359" s="301">
        <f t="shared" ca="1" si="104"/>
        <v>0</v>
      </c>
      <c r="AJ359" s="302">
        <f t="shared" ca="1" si="105"/>
        <v>0</v>
      </c>
      <c r="AL359" s="303">
        <f t="shared" si="108"/>
        <v>0</v>
      </c>
      <c r="AM359" s="303">
        <f t="shared" si="109"/>
        <v>-79060</v>
      </c>
      <c r="AN359" s="303">
        <f t="shared" si="110"/>
        <v>79060</v>
      </c>
      <c r="AO359" s="304">
        <f t="shared" si="111"/>
        <v>0</v>
      </c>
      <c r="AP359" s="273">
        <f t="shared" si="113"/>
        <v>3</v>
      </c>
      <c r="AQ359" s="273" t="str">
        <f t="shared" ca="1" si="112"/>
        <v>32025</v>
      </c>
    </row>
    <row r="360" spans="1:43" customFormat="1" ht="16.5">
      <c r="A360" s="587">
        <v>15</v>
      </c>
      <c r="B360" s="743" t="s">
        <v>1970</v>
      </c>
      <c r="C360" s="332" t="s">
        <v>1971</v>
      </c>
      <c r="D360" s="277" t="s">
        <v>1972</v>
      </c>
      <c r="E360" s="406">
        <v>45373</v>
      </c>
      <c r="F360" s="334">
        <v>1.8</v>
      </c>
      <c r="G360" s="775">
        <v>160800</v>
      </c>
      <c r="H360" s="753">
        <v>28944</v>
      </c>
      <c r="I360" s="804">
        <v>189744</v>
      </c>
      <c r="J360" s="804"/>
      <c r="K360" s="340" t="s">
        <v>2008</v>
      </c>
      <c r="L360" s="340" t="s">
        <v>2032</v>
      </c>
      <c r="M360" s="800">
        <v>0.7</v>
      </c>
      <c r="N360" s="777" t="s">
        <v>2031</v>
      </c>
      <c r="O360" s="806" t="s">
        <v>2036</v>
      </c>
      <c r="P360" s="611">
        <v>45637</v>
      </c>
      <c r="Q360" s="340" t="s">
        <v>2010</v>
      </c>
      <c r="R360" s="805">
        <v>126496</v>
      </c>
      <c r="S360" s="802">
        <f t="shared" si="121"/>
        <v>4.4666666666666667E-2</v>
      </c>
      <c r="T360" s="450">
        <v>15</v>
      </c>
      <c r="U360" s="341">
        <f t="shared" si="122"/>
        <v>45513</v>
      </c>
      <c r="V360" s="378">
        <f t="shared" ca="1" si="119"/>
        <v>12</v>
      </c>
      <c r="W360" s="292">
        <f t="shared" ca="1" si="120"/>
        <v>2024</v>
      </c>
      <c r="X360" s="291" t="str">
        <f t="shared" ca="1" si="118"/>
        <v>4 WEEK</v>
      </c>
      <c r="Y360" s="329">
        <f t="shared" si="103"/>
        <v>45652</v>
      </c>
      <c r="Z360" s="731" cm="1">
        <f t="array" aca="1" ref="Z360" ca="1">_xlfn.IFS(AD360&lt;100,Y360,Y360&lt;TODAY(),TODAY(),Y360&gt;TODAY(),Y360,Y360=TODAY(),Y360)</f>
        <v>45652</v>
      </c>
      <c r="AA360" s="594"/>
      <c r="AB360" s="301"/>
      <c r="AC360" s="301"/>
      <c r="AD360" s="298">
        <f t="shared" si="106"/>
        <v>0</v>
      </c>
      <c r="AE360" s="299" t="str">
        <f t="shared" si="107"/>
        <v>Complete</v>
      </c>
      <c r="AF360" s="340"/>
      <c r="AG360" s="340"/>
      <c r="AH360" s="744"/>
      <c r="AI360" s="301">
        <f t="shared" ca="1" si="104"/>
        <v>0</v>
      </c>
      <c r="AJ360" s="302">
        <f t="shared" ca="1" si="105"/>
        <v>0</v>
      </c>
      <c r="AL360" s="303">
        <f t="shared" si="108"/>
        <v>189744</v>
      </c>
      <c r="AM360" s="303">
        <f t="shared" si="109"/>
        <v>63248</v>
      </c>
      <c r="AN360" s="303">
        <f t="shared" si="110"/>
        <v>126496</v>
      </c>
      <c r="AO360" s="304">
        <f t="shared" si="111"/>
        <v>0</v>
      </c>
      <c r="AP360" s="273">
        <f t="shared" si="113"/>
        <v>12</v>
      </c>
      <c r="AQ360" s="273" t="str">
        <f t="shared" ca="1" si="112"/>
        <v>122024</v>
      </c>
    </row>
    <row r="361" spans="1:43" customFormat="1" ht="16.5">
      <c r="A361" s="587">
        <v>15</v>
      </c>
      <c r="B361" s="743" t="s">
        <v>1970</v>
      </c>
      <c r="C361" s="332" t="s">
        <v>1971</v>
      </c>
      <c r="D361" s="277" t="s">
        <v>1972</v>
      </c>
      <c r="E361" s="406">
        <v>45373</v>
      </c>
      <c r="F361" s="334">
        <v>1.8</v>
      </c>
      <c r="G361" s="775"/>
      <c r="H361" s="753"/>
      <c r="I361" s="804"/>
      <c r="J361" s="804"/>
      <c r="K361" s="340" t="s">
        <v>2008</v>
      </c>
      <c r="L361" s="340" t="s">
        <v>2032</v>
      </c>
      <c r="M361" s="800">
        <v>0.7</v>
      </c>
      <c r="N361" s="777" t="s">
        <v>2031</v>
      </c>
      <c r="O361" s="806" t="s">
        <v>2036</v>
      </c>
      <c r="P361" s="611">
        <v>45741</v>
      </c>
      <c r="Q361" s="340" t="s">
        <v>2034</v>
      </c>
      <c r="R361" s="805">
        <v>63248</v>
      </c>
      <c r="S361" s="802">
        <f t="shared" si="121"/>
        <v>2.2333333333333334E-2</v>
      </c>
      <c r="T361" s="450">
        <v>15</v>
      </c>
      <c r="U361" s="341">
        <f t="shared" si="122"/>
        <v>45513</v>
      </c>
      <c r="V361" s="378">
        <f t="shared" ca="1" si="119"/>
        <v>4</v>
      </c>
      <c r="W361" s="292">
        <f t="shared" ca="1" si="120"/>
        <v>2025</v>
      </c>
      <c r="X361" s="291" t="str">
        <f t="shared" ca="1" si="118"/>
        <v>2 WEEK</v>
      </c>
      <c r="Y361" s="329">
        <f t="shared" si="103"/>
        <v>45756</v>
      </c>
      <c r="Z361" s="731" cm="1">
        <f t="array" aca="1" ref="Z361" ca="1">_xlfn.IFS(AD361&lt;100,Y361,Y361&lt;TODAY(),TODAY(),Y361&gt;TODAY(),Y361,Y361=TODAY(),Y361)</f>
        <v>45756</v>
      </c>
      <c r="AA361" s="594"/>
      <c r="AB361" s="301"/>
      <c r="AC361" s="301"/>
      <c r="AD361" s="298">
        <f t="shared" si="106"/>
        <v>0</v>
      </c>
      <c r="AE361" s="299" t="str">
        <f t="shared" si="107"/>
        <v>Complete</v>
      </c>
      <c r="AF361" s="340"/>
      <c r="AG361" s="340"/>
      <c r="AH361" s="744"/>
      <c r="AI361" s="301">
        <f t="shared" ca="1" si="104"/>
        <v>0</v>
      </c>
      <c r="AJ361" s="302">
        <f t="shared" ca="1" si="105"/>
        <v>0</v>
      </c>
      <c r="AL361" s="303">
        <f t="shared" si="108"/>
        <v>0</v>
      </c>
      <c r="AM361" s="303">
        <f t="shared" si="109"/>
        <v>-63248</v>
      </c>
      <c r="AN361" s="303">
        <f t="shared" si="110"/>
        <v>63248</v>
      </c>
      <c r="AO361" s="304">
        <f t="shared" si="111"/>
        <v>0</v>
      </c>
      <c r="AP361" s="273">
        <f t="shared" si="113"/>
        <v>3</v>
      </c>
      <c r="AQ361" s="273" t="str">
        <f t="shared" ca="1" si="112"/>
        <v>32025</v>
      </c>
    </row>
    <row r="362" spans="1:43" customFormat="1" ht="16.5">
      <c r="A362" s="587">
        <v>15</v>
      </c>
      <c r="B362" s="743" t="s">
        <v>1970</v>
      </c>
      <c r="C362" s="332" t="s">
        <v>1971</v>
      </c>
      <c r="D362" s="277" t="s">
        <v>1972</v>
      </c>
      <c r="E362" s="406">
        <v>45373</v>
      </c>
      <c r="F362" s="334">
        <v>1.8</v>
      </c>
      <c r="G362" s="775">
        <v>160800</v>
      </c>
      <c r="H362" s="753">
        <v>28944</v>
      </c>
      <c r="I362" s="804">
        <v>189744</v>
      </c>
      <c r="J362" s="804"/>
      <c r="K362" s="340" t="s">
        <v>2008</v>
      </c>
      <c r="L362" s="340" t="s">
        <v>2032</v>
      </c>
      <c r="M362" s="800">
        <v>0.7</v>
      </c>
      <c r="N362" s="777" t="s">
        <v>2031</v>
      </c>
      <c r="O362" s="806" t="s">
        <v>2037</v>
      </c>
      <c r="P362" s="611">
        <v>45637</v>
      </c>
      <c r="Q362" s="340" t="s">
        <v>2010</v>
      </c>
      <c r="R362" s="805">
        <v>142308</v>
      </c>
      <c r="S362" s="802">
        <f t="shared" si="121"/>
        <v>5.0250000000000003E-2</v>
      </c>
      <c r="T362" s="450">
        <v>15</v>
      </c>
      <c r="U362" s="341">
        <f t="shared" si="122"/>
        <v>45513</v>
      </c>
      <c r="V362" s="378">
        <f t="shared" ca="1" si="119"/>
        <v>12</v>
      </c>
      <c r="W362" s="292">
        <f t="shared" ca="1" si="120"/>
        <v>2024</v>
      </c>
      <c r="X362" s="291" t="str">
        <f t="shared" ca="1" si="118"/>
        <v>4 WEEK</v>
      </c>
      <c r="Y362" s="329">
        <f t="shared" si="103"/>
        <v>45652</v>
      </c>
      <c r="Z362" s="341" cm="1">
        <f t="array" aca="1" ref="Z362" ca="1">_xlfn.IFS(AD362&lt;100,Y362,Y362&lt;TODAY(),TODAY(),Y362&gt;TODAY(),Y362,Y362=TODAY(),Y362)</f>
        <v>45652</v>
      </c>
      <c r="AA362" s="594"/>
      <c r="AB362" s="301"/>
      <c r="AC362" s="301"/>
      <c r="AD362" s="298">
        <f t="shared" si="106"/>
        <v>0</v>
      </c>
      <c r="AE362" s="299" t="str">
        <f t="shared" si="107"/>
        <v>Complete</v>
      </c>
      <c r="AF362" s="340"/>
      <c r="AG362" s="340"/>
      <c r="AH362" s="744"/>
      <c r="AI362" s="301">
        <f t="shared" ca="1" si="104"/>
        <v>0</v>
      </c>
      <c r="AJ362" s="302">
        <f t="shared" ca="1" si="105"/>
        <v>0</v>
      </c>
      <c r="AL362" s="303">
        <f t="shared" si="108"/>
        <v>189744</v>
      </c>
      <c r="AM362" s="303">
        <f t="shared" si="109"/>
        <v>47436</v>
      </c>
      <c r="AN362" s="303">
        <f t="shared" si="110"/>
        <v>142308</v>
      </c>
      <c r="AO362" s="304">
        <f t="shared" si="111"/>
        <v>0</v>
      </c>
      <c r="AP362" s="273">
        <f t="shared" si="113"/>
        <v>12</v>
      </c>
      <c r="AQ362" s="273" t="str">
        <f t="shared" ca="1" si="112"/>
        <v>122024</v>
      </c>
    </row>
    <row r="363" spans="1:43" customFormat="1" ht="16.5">
      <c r="A363" s="587">
        <v>15</v>
      </c>
      <c r="B363" s="743" t="s">
        <v>1970</v>
      </c>
      <c r="C363" s="332" t="s">
        <v>1971</v>
      </c>
      <c r="D363" s="277" t="s">
        <v>1972</v>
      </c>
      <c r="E363" s="406">
        <v>45373</v>
      </c>
      <c r="F363" s="334">
        <v>1.8</v>
      </c>
      <c r="G363" s="775"/>
      <c r="H363" s="753"/>
      <c r="I363" s="804"/>
      <c r="J363" s="804"/>
      <c r="K363" s="340" t="s">
        <v>2008</v>
      </c>
      <c r="L363" s="340" t="s">
        <v>2032</v>
      </c>
      <c r="M363" s="800">
        <v>0.7</v>
      </c>
      <c r="N363" s="777" t="s">
        <v>2031</v>
      </c>
      <c r="O363" s="806" t="s">
        <v>2037</v>
      </c>
      <c r="P363" s="611">
        <v>45741</v>
      </c>
      <c r="Q363" s="340" t="s">
        <v>2034</v>
      </c>
      <c r="R363" s="805">
        <v>47436</v>
      </c>
      <c r="S363" s="802">
        <f t="shared" si="121"/>
        <v>1.6750000000000001E-2</v>
      </c>
      <c r="T363" s="450">
        <v>15</v>
      </c>
      <c r="U363" s="341">
        <f t="shared" si="122"/>
        <v>45513</v>
      </c>
      <c r="V363" s="378">
        <f t="shared" ca="1" si="119"/>
        <v>4</v>
      </c>
      <c r="W363" s="292">
        <f t="shared" ca="1" si="120"/>
        <v>2025</v>
      </c>
      <c r="X363" s="291" t="str">
        <f t="shared" ca="1" si="118"/>
        <v>2 WEEK</v>
      </c>
      <c r="Y363" s="329">
        <f t="shared" si="103"/>
        <v>45756</v>
      </c>
      <c r="Z363" s="341" cm="1">
        <f t="array" aca="1" ref="Z363" ca="1">_xlfn.IFS(AD363&lt;100,Y363,Y363&lt;TODAY(),TODAY(),Y363&gt;TODAY(),Y363,Y363=TODAY(),Y363)</f>
        <v>45756</v>
      </c>
      <c r="AA363" s="594"/>
      <c r="AB363" s="301"/>
      <c r="AC363" s="301"/>
      <c r="AD363" s="298">
        <f t="shared" si="106"/>
        <v>0</v>
      </c>
      <c r="AE363" s="299" t="str">
        <f t="shared" si="107"/>
        <v>Complete</v>
      </c>
      <c r="AF363" s="340"/>
      <c r="AG363" s="340"/>
      <c r="AH363" s="744"/>
      <c r="AI363" s="301">
        <f t="shared" ca="1" si="104"/>
        <v>0</v>
      </c>
      <c r="AJ363" s="302">
        <f t="shared" ca="1" si="105"/>
        <v>0</v>
      </c>
      <c r="AL363" s="303">
        <f t="shared" si="108"/>
        <v>0</v>
      </c>
      <c r="AM363" s="303">
        <f t="shared" si="109"/>
        <v>-47436</v>
      </c>
      <c r="AN363" s="303">
        <f t="shared" si="110"/>
        <v>47436</v>
      </c>
      <c r="AO363" s="304">
        <f t="shared" si="111"/>
        <v>0</v>
      </c>
      <c r="AP363" s="273">
        <f t="shared" si="113"/>
        <v>3</v>
      </c>
      <c r="AQ363" s="273" t="str">
        <f t="shared" ca="1" si="112"/>
        <v>32025</v>
      </c>
    </row>
    <row r="364" spans="1:43" customFormat="1" ht="16.5">
      <c r="A364" s="587">
        <v>15</v>
      </c>
      <c r="B364" s="743" t="s">
        <v>1970</v>
      </c>
      <c r="C364" s="332" t="s">
        <v>1971</v>
      </c>
      <c r="D364" s="277" t="s">
        <v>1972</v>
      </c>
      <c r="E364" s="406">
        <v>45373</v>
      </c>
      <c r="F364" s="334">
        <v>1.8</v>
      </c>
      <c r="G364" s="775">
        <v>201000</v>
      </c>
      <c r="H364" s="753">
        <v>36180</v>
      </c>
      <c r="I364" s="804">
        <v>237180</v>
      </c>
      <c r="J364" s="804"/>
      <c r="K364" s="340" t="s">
        <v>2008</v>
      </c>
      <c r="L364" s="340" t="s">
        <v>2032</v>
      </c>
      <c r="M364" s="800">
        <v>0.7</v>
      </c>
      <c r="N364" s="777" t="s">
        <v>2031</v>
      </c>
      <c r="O364" s="806" t="s">
        <v>2038</v>
      </c>
      <c r="P364" s="611">
        <v>45637</v>
      </c>
      <c r="Q364" s="340" t="s">
        <v>2010</v>
      </c>
      <c r="R364" s="805">
        <v>158120</v>
      </c>
      <c r="S364" s="802">
        <f t="shared" si="121"/>
        <v>5.5833333333333332E-2</v>
      </c>
      <c r="T364" s="450">
        <v>15</v>
      </c>
      <c r="U364" s="341">
        <f t="shared" si="122"/>
        <v>45513</v>
      </c>
      <c r="V364" s="378">
        <f t="shared" ca="1" si="119"/>
        <v>12</v>
      </c>
      <c r="W364" s="292">
        <f t="shared" ca="1" si="120"/>
        <v>2024</v>
      </c>
      <c r="X364" s="291" t="str">
        <f t="shared" ca="1" si="118"/>
        <v>4 WEEK</v>
      </c>
      <c r="Y364" s="329">
        <f t="shared" si="103"/>
        <v>45652</v>
      </c>
      <c r="Z364" s="341" cm="1">
        <f t="array" aca="1" ref="Z364" ca="1">_xlfn.IFS(AD364&lt;100,Y364,Y364&lt;TODAY(),TODAY(),Y364&gt;TODAY(),Y364,Y364=TODAY(),Y364)</f>
        <v>45652</v>
      </c>
      <c r="AA364" s="594"/>
      <c r="AB364" s="301"/>
      <c r="AC364" s="301"/>
      <c r="AD364" s="298">
        <f t="shared" si="106"/>
        <v>0</v>
      </c>
      <c r="AE364" s="299" t="str">
        <f t="shared" si="107"/>
        <v>Complete</v>
      </c>
      <c r="AF364" s="340"/>
      <c r="AG364" s="340"/>
      <c r="AH364" s="744"/>
      <c r="AI364" s="301">
        <f t="shared" ca="1" si="104"/>
        <v>0</v>
      </c>
      <c r="AJ364" s="302">
        <f t="shared" ca="1" si="105"/>
        <v>0</v>
      </c>
      <c r="AL364" s="303">
        <f t="shared" si="108"/>
        <v>237180</v>
      </c>
      <c r="AM364" s="303">
        <f t="shared" si="109"/>
        <v>79060</v>
      </c>
      <c r="AN364" s="303">
        <f t="shared" si="110"/>
        <v>158120</v>
      </c>
      <c r="AO364" s="304">
        <f t="shared" si="111"/>
        <v>0</v>
      </c>
      <c r="AP364" s="273">
        <f t="shared" si="113"/>
        <v>12</v>
      </c>
      <c r="AQ364" s="273" t="str">
        <f t="shared" ca="1" si="112"/>
        <v>122024</v>
      </c>
    </row>
    <row r="365" spans="1:43" customFormat="1" ht="16.5">
      <c r="A365" s="587">
        <v>15</v>
      </c>
      <c r="B365" s="743" t="s">
        <v>1970</v>
      </c>
      <c r="C365" s="332" t="s">
        <v>1971</v>
      </c>
      <c r="D365" s="277" t="s">
        <v>1972</v>
      </c>
      <c r="E365" s="406">
        <v>45373</v>
      </c>
      <c r="F365" s="334">
        <v>1.8</v>
      </c>
      <c r="G365" s="775"/>
      <c r="H365" s="753"/>
      <c r="I365" s="804"/>
      <c r="J365" s="804"/>
      <c r="K365" s="340" t="s">
        <v>2008</v>
      </c>
      <c r="L365" s="340" t="s">
        <v>2032</v>
      </c>
      <c r="M365" s="800">
        <v>0.7</v>
      </c>
      <c r="N365" s="777" t="s">
        <v>2031</v>
      </c>
      <c r="O365" s="806" t="s">
        <v>2038</v>
      </c>
      <c r="P365" s="611">
        <v>45840</v>
      </c>
      <c r="Q365" s="340" t="s">
        <v>2039</v>
      </c>
      <c r="R365" s="805">
        <v>79060</v>
      </c>
      <c r="S365" s="802">
        <f t="shared" si="121"/>
        <v>2.7916666666666666E-2</v>
      </c>
      <c r="T365" s="450">
        <v>15</v>
      </c>
      <c r="U365" s="341">
        <f t="shared" si="122"/>
        <v>45513</v>
      </c>
      <c r="V365" s="378">
        <f t="shared" ca="1" si="119"/>
        <v>7</v>
      </c>
      <c r="W365" s="292">
        <f t="shared" ca="1" si="120"/>
        <v>2025</v>
      </c>
      <c r="X365" s="291" t="str">
        <f t="shared" ca="1" si="118"/>
        <v>3 WEEK</v>
      </c>
      <c r="Y365" s="329">
        <f t="shared" si="103"/>
        <v>45855</v>
      </c>
      <c r="Z365" s="341" cm="1">
        <f t="array" aca="1" ref="Z365" ca="1">_xlfn.IFS(AD365&lt;100,Y365,Y365&lt;TODAY(),TODAY(),Y365&gt;TODAY(),Y365,Y365=TODAY(),Y365)</f>
        <v>45855</v>
      </c>
      <c r="AA365" s="594"/>
      <c r="AB365" s="301"/>
      <c r="AC365" s="301"/>
      <c r="AD365" s="298">
        <f t="shared" si="106"/>
        <v>0</v>
      </c>
      <c r="AE365" s="299" t="str">
        <f t="shared" si="107"/>
        <v>Complete</v>
      </c>
      <c r="AF365" s="340"/>
      <c r="AG365" s="340"/>
      <c r="AH365" s="744"/>
      <c r="AI365" s="301">
        <f t="shared" ca="1" si="104"/>
        <v>0</v>
      </c>
      <c r="AJ365" s="302">
        <f t="shared" ca="1" si="105"/>
        <v>0</v>
      </c>
      <c r="AL365" s="303">
        <f t="shared" si="108"/>
        <v>0</v>
      </c>
      <c r="AM365" s="303">
        <f t="shared" si="109"/>
        <v>-79060</v>
      </c>
      <c r="AN365" s="303">
        <f t="shared" si="110"/>
        <v>79060</v>
      </c>
      <c r="AO365" s="304">
        <f t="shared" si="111"/>
        <v>0</v>
      </c>
      <c r="AP365" s="273">
        <f t="shared" si="113"/>
        <v>7</v>
      </c>
      <c r="AQ365" s="273" t="str">
        <f t="shared" ca="1" si="112"/>
        <v>72025</v>
      </c>
    </row>
    <row r="366" spans="1:43" customFormat="1" ht="16.5">
      <c r="A366" s="587">
        <v>15</v>
      </c>
      <c r="B366" s="743" t="s">
        <v>1970</v>
      </c>
      <c r="C366" s="332" t="s">
        <v>1971</v>
      </c>
      <c r="D366" s="277" t="s">
        <v>1972</v>
      </c>
      <c r="E366" s="406">
        <v>45373</v>
      </c>
      <c r="F366" s="334">
        <v>1.8</v>
      </c>
      <c r="G366" s="775">
        <v>268000</v>
      </c>
      <c r="H366" s="753">
        <v>48240</v>
      </c>
      <c r="I366" s="804">
        <v>316240</v>
      </c>
      <c r="J366" s="804"/>
      <c r="K366" s="340" t="s">
        <v>2008</v>
      </c>
      <c r="L366" s="340" t="s">
        <v>2032</v>
      </c>
      <c r="M366" s="800">
        <v>0.7</v>
      </c>
      <c r="N366" s="777" t="s">
        <v>2031</v>
      </c>
      <c r="O366" s="806" t="s">
        <v>2040</v>
      </c>
      <c r="P366" s="611">
        <v>45637</v>
      </c>
      <c r="Q366" s="340" t="s">
        <v>2010</v>
      </c>
      <c r="R366" s="805">
        <v>237180</v>
      </c>
      <c r="S366" s="802">
        <f t="shared" si="121"/>
        <v>8.3750000000000005E-2</v>
      </c>
      <c r="T366" s="450">
        <v>15</v>
      </c>
      <c r="U366" s="341">
        <f t="shared" si="122"/>
        <v>45513</v>
      </c>
      <c r="V366" s="378">
        <f t="shared" ca="1" si="119"/>
        <v>12</v>
      </c>
      <c r="W366" s="292">
        <f t="shared" ca="1" si="120"/>
        <v>2024</v>
      </c>
      <c r="X366" s="291" t="str">
        <f t="shared" ca="1" si="118"/>
        <v>4 WEEK</v>
      </c>
      <c r="Y366" s="329">
        <f t="shared" si="103"/>
        <v>45652</v>
      </c>
      <c r="Z366" s="341" cm="1">
        <f t="array" aca="1" ref="Z366" ca="1">_xlfn.IFS(AD366&lt;100,Y366,Y366&lt;TODAY(),TODAY(),Y366&gt;TODAY(),Y366,Y366=TODAY(),Y366)</f>
        <v>45652</v>
      </c>
      <c r="AA366" s="594"/>
      <c r="AB366" s="301"/>
      <c r="AC366" s="301"/>
      <c r="AD366" s="298">
        <f t="shared" si="106"/>
        <v>0</v>
      </c>
      <c r="AE366" s="299" t="str">
        <f t="shared" si="107"/>
        <v>Complete</v>
      </c>
      <c r="AF366" s="340"/>
      <c r="AG366" s="340"/>
      <c r="AH366" s="744"/>
      <c r="AI366" s="301">
        <f t="shared" ca="1" si="104"/>
        <v>0</v>
      </c>
      <c r="AJ366" s="302">
        <f t="shared" ca="1" si="105"/>
        <v>0</v>
      </c>
      <c r="AL366" s="303">
        <f t="shared" si="108"/>
        <v>316240</v>
      </c>
      <c r="AM366" s="303">
        <f t="shared" si="109"/>
        <v>79060</v>
      </c>
      <c r="AN366" s="303">
        <f t="shared" si="110"/>
        <v>237180</v>
      </c>
      <c r="AO366" s="304">
        <f t="shared" si="111"/>
        <v>0</v>
      </c>
      <c r="AP366" s="273">
        <f t="shared" si="113"/>
        <v>12</v>
      </c>
      <c r="AQ366" s="273" t="str">
        <f t="shared" ca="1" si="112"/>
        <v>122024</v>
      </c>
    </row>
    <row r="367" spans="1:43" customFormat="1" ht="16.5">
      <c r="A367" s="587">
        <v>15</v>
      </c>
      <c r="B367" s="743" t="s">
        <v>1970</v>
      </c>
      <c r="C367" s="332" t="s">
        <v>1971</v>
      </c>
      <c r="D367" s="277" t="s">
        <v>1972</v>
      </c>
      <c r="E367" s="406">
        <v>45373</v>
      </c>
      <c r="F367" s="334">
        <v>1.8</v>
      </c>
      <c r="G367" s="775"/>
      <c r="H367" s="753"/>
      <c r="I367" s="804"/>
      <c r="J367" s="804"/>
      <c r="K367" s="340" t="s">
        <v>2008</v>
      </c>
      <c r="L367" s="340" t="s">
        <v>2032</v>
      </c>
      <c r="M367" s="800">
        <v>0.7</v>
      </c>
      <c r="N367" s="777" t="s">
        <v>2031</v>
      </c>
      <c r="O367" s="806" t="s">
        <v>2040</v>
      </c>
      <c r="P367" s="611">
        <v>45840</v>
      </c>
      <c r="Q367" s="340" t="s">
        <v>2039</v>
      </c>
      <c r="R367" s="805">
        <v>79060</v>
      </c>
      <c r="S367" s="802">
        <f t="shared" si="121"/>
        <v>2.7916666666666666E-2</v>
      </c>
      <c r="T367" s="450">
        <v>15</v>
      </c>
      <c r="U367" s="341">
        <f t="shared" si="122"/>
        <v>45513</v>
      </c>
      <c r="V367" s="378">
        <f t="shared" ca="1" si="119"/>
        <v>7</v>
      </c>
      <c r="W367" s="292">
        <f t="shared" ca="1" si="120"/>
        <v>2025</v>
      </c>
      <c r="X367" s="291" t="str">
        <f t="shared" ca="1" si="118"/>
        <v>3 WEEK</v>
      </c>
      <c r="Y367" s="329">
        <f t="shared" si="103"/>
        <v>45855</v>
      </c>
      <c r="Z367" s="341" cm="1">
        <f t="array" aca="1" ref="Z367" ca="1">_xlfn.IFS(AD367&lt;100,Y367,Y367&lt;TODAY(),TODAY(),Y367&gt;TODAY(),Y367,Y367=TODAY(),Y367)</f>
        <v>45855</v>
      </c>
      <c r="AA367" s="594"/>
      <c r="AB367" s="301"/>
      <c r="AC367" s="301"/>
      <c r="AD367" s="298">
        <f t="shared" si="106"/>
        <v>0</v>
      </c>
      <c r="AE367" s="299" t="str">
        <f t="shared" si="107"/>
        <v>Complete</v>
      </c>
      <c r="AF367" s="340"/>
      <c r="AG367" s="340"/>
      <c r="AH367" s="744"/>
      <c r="AI367" s="301">
        <f t="shared" ca="1" si="104"/>
        <v>0</v>
      </c>
      <c r="AJ367" s="302">
        <f t="shared" ca="1" si="105"/>
        <v>0</v>
      </c>
      <c r="AL367" s="303">
        <f t="shared" si="108"/>
        <v>0</v>
      </c>
      <c r="AM367" s="303">
        <f t="shared" si="109"/>
        <v>-79060</v>
      </c>
      <c r="AN367" s="303">
        <f t="shared" si="110"/>
        <v>79060</v>
      </c>
      <c r="AO367" s="304">
        <f t="shared" si="111"/>
        <v>0</v>
      </c>
      <c r="AP367" s="273">
        <f t="shared" si="113"/>
        <v>7</v>
      </c>
      <c r="AQ367" s="273" t="str">
        <f t="shared" ca="1" si="112"/>
        <v>72025</v>
      </c>
    </row>
    <row r="368" spans="1:43" customFormat="1" ht="16.5">
      <c r="A368" s="717">
        <v>15</v>
      </c>
      <c r="B368" s="762" t="s">
        <v>1970</v>
      </c>
      <c r="C368" s="369" t="s">
        <v>1971</v>
      </c>
      <c r="D368" s="277" t="s">
        <v>1972</v>
      </c>
      <c r="E368" s="736">
        <v>45373</v>
      </c>
      <c r="F368" s="370">
        <v>1.8</v>
      </c>
      <c r="G368" s="781">
        <v>67000</v>
      </c>
      <c r="H368" s="782">
        <v>12060</v>
      </c>
      <c r="I368" s="807">
        <v>79060</v>
      </c>
      <c r="J368" s="807"/>
      <c r="K368" s="378" t="s">
        <v>2008</v>
      </c>
      <c r="L368" s="378" t="s">
        <v>2032</v>
      </c>
      <c r="M368" s="808">
        <v>0.7</v>
      </c>
      <c r="N368" s="809" t="s">
        <v>2031</v>
      </c>
      <c r="O368" s="785" t="s">
        <v>2041</v>
      </c>
      <c r="P368" s="611">
        <v>45840</v>
      </c>
      <c r="Q368" s="378" t="s">
        <v>2039</v>
      </c>
      <c r="R368" s="810">
        <v>79060</v>
      </c>
      <c r="S368" s="802">
        <f t="shared" si="121"/>
        <v>2.7916666666666666E-2</v>
      </c>
      <c r="T368" s="450">
        <v>15</v>
      </c>
      <c r="U368" s="380">
        <f t="shared" si="122"/>
        <v>45513</v>
      </c>
      <c r="V368" s="378">
        <f t="shared" ca="1" si="119"/>
        <v>7</v>
      </c>
      <c r="W368" s="737">
        <f t="shared" ca="1" si="120"/>
        <v>2025</v>
      </c>
      <c r="X368" s="390" t="str">
        <f t="shared" ca="1" si="118"/>
        <v>3 WEEK</v>
      </c>
      <c r="Y368" s="738">
        <f t="shared" si="103"/>
        <v>45855</v>
      </c>
      <c r="Z368" s="380" cm="1">
        <f t="array" aca="1" ref="Z368" ca="1">_xlfn.IFS(AD368&lt;100,Y368,Y368&lt;TODAY(),TODAY(),Y368&gt;TODAY(),Y368,Y368=TODAY(),Y368)</f>
        <v>45855</v>
      </c>
      <c r="AA368" s="811"/>
      <c r="AB368" s="376"/>
      <c r="AC368" s="376"/>
      <c r="AD368" s="298">
        <f t="shared" si="106"/>
        <v>0</v>
      </c>
      <c r="AE368" s="299" t="str">
        <f t="shared" si="107"/>
        <v>Complete</v>
      </c>
      <c r="AF368" s="378"/>
      <c r="AG368" s="378"/>
      <c r="AH368" s="812"/>
      <c r="AI368" s="301">
        <f t="shared" ca="1" si="104"/>
        <v>0</v>
      </c>
      <c r="AJ368" s="302">
        <f t="shared" ca="1" si="105"/>
        <v>0</v>
      </c>
      <c r="AL368" s="303">
        <f t="shared" si="108"/>
        <v>79060</v>
      </c>
      <c r="AM368" s="303">
        <f t="shared" si="109"/>
        <v>0</v>
      </c>
      <c r="AN368" s="303">
        <f t="shared" si="110"/>
        <v>79060</v>
      </c>
      <c r="AO368" s="304">
        <f t="shared" si="111"/>
        <v>0</v>
      </c>
      <c r="AP368" s="273">
        <f t="shared" si="113"/>
        <v>7</v>
      </c>
      <c r="AQ368" s="273" t="str">
        <f t="shared" ca="1" si="112"/>
        <v>72025</v>
      </c>
    </row>
    <row r="369" spans="1:43" customFormat="1" ht="16.5">
      <c r="A369" s="392">
        <v>15</v>
      </c>
      <c r="B369" s="743" t="s">
        <v>1970</v>
      </c>
      <c r="C369" s="332" t="s">
        <v>1971</v>
      </c>
      <c r="D369" s="332" t="s">
        <v>1972</v>
      </c>
      <c r="E369" s="406">
        <v>45373</v>
      </c>
      <c r="F369" s="334">
        <v>1.8</v>
      </c>
      <c r="G369" s="775">
        <v>95400</v>
      </c>
      <c r="H369" s="753">
        <v>17172</v>
      </c>
      <c r="I369" s="804">
        <v>112572</v>
      </c>
      <c r="J369" s="804"/>
      <c r="K369" s="340" t="s">
        <v>2008</v>
      </c>
      <c r="L369" s="340" t="s">
        <v>2032</v>
      </c>
      <c r="M369" s="751">
        <v>0.7</v>
      </c>
      <c r="N369" s="777" t="s">
        <v>2031</v>
      </c>
      <c r="O369" s="777" t="s">
        <v>2042</v>
      </c>
      <c r="P369" s="595">
        <v>45637</v>
      </c>
      <c r="Q369" s="340" t="s">
        <v>2010</v>
      </c>
      <c r="R369" s="315">
        <v>112572</v>
      </c>
      <c r="S369" s="802">
        <f t="shared" si="121"/>
        <v>3.9750000000000001E-2</v>
      </c>
      <c r="T369" s="315">
        <v>15</v>
      </c>
      <c r="U369" s="341">
        <f t="shared" si="122"/>
        <v>45513</v>
      </c>
      <c r="V369" s="340">
        <f t="shared" ca="1" si="119"/>
        <v>12</v>
      </c>
      <c r="W369" s="594">
        <f t="shared" ca="1" si="120"/>
        <v>2024</v>
      </c>
      <c r="X369" s="340" t="str">
        <f t="shared" ca="1" si="118"/>
        <v>4 WEEK</v>
      </c>
      <c r="Y369" s="329">
        <f t="shared" ref="Y369:Y374" si="123">P369+T369</f>
        <v>45652</v>
      </c>
      <c r="Z369" s="341" cm="1">
        <f t="array" aca="1" ref="Z369" ca="1">_xlfn.IFS(AD369&lt;100,Y369,Y369&lt;TODAY(),TODAY(),Y369&gt;TODAY(),Y369,Y369=TODAY(),Y369)</f>
        <v>45652</v>
      </c>
      <c r="AA369" s="594"/>
      <c r="AB369" s="301"/>
      <c r="AC369" s="301"/>
      <c r="AD369" s="298">
        <f t="shared" si="106"/>
        <v>0</v>
      </c>
      <c r="AE369" s="299" t="str">
        <f t="shared" si="107"/>
        <v>Complete</v>
      </c>
      <c r="AF369" s="340"/>
      <c r="AG369" s="340"/>
      <c r="AH369" s="744"/>
      <c r="AI369" s="301">
        <f t="shared" ca="1" si="104"/>
        <v>0</v>
      </c>
      <c r="AJ369" s="302">
        <f t="shared" ca="1" si="105"/>
        <v>0</v>
      </c>
      <c r="AL369" s="303">
        <f t="shared" si="108"/>
        <v>112572</v>
      </c>
      <c r="AM369" s="303">
        <f t="shared" si="109"/>
        <v>0</v>
      </c>
      <c r="AN369" s="303">
        <f t="shared" si="110"/>
        <v>112572</v>
      </c>
      <c r="AO369" s="304">
        <f t="shared" si="111"/>
        <v>0</v>
      </c>
      <c r="AP369" s="273">
        <f t="shared" si="113"/>
        <v>12</v>
      </c>
      <c r="AQ369" s="273" t="str">
        <f t="shared" ca="1" si="112"/>
        <v>122024</v>
      </c>
    </row>
    <row r="370" spans="1:43" customFormat="1" ht="16.5">
      <c r="A370" s="392">
        <v>15</v>
      </c>
      <c r="B370" s="743" t="s">
        <v>1970</v>
      </c>
      <c r="C370" s="332" t="s">
        <v>1971</v>
      </c>
      <c r="D370" s="332" t="s">
        <v>1972</v>
      </c>
      <c r="E370" s="406">
        <v>45373</v>
      </c>
      <c r="F370" s="334">
        <v>1.8</v>
      </c>
      <c r="G370" s="775">
        <v>222600</v>
      </c>
      <c r="H370" s="753">
        <v>40068</v>
      </c>
      <c r="I370" s="804">
        <v>262668</v>
      </c>
      <c r="J370" s="804"/>
      <c r="K370" s="340" t="s">
        <v>2008</v>
      </c>
      <c r="L370" s="340" t="s">
        <v>1807</v>
      </c>
      <c r="M370" s="751">
        <v>0.7</v>
      </c>
      <c r="N370" s="777" t="s">
        <v>2031</v>
      </c>
      <c r="O370" s="777" t="s">
        <v>2043</v>
      </c>
      <c r="P370" s="595">
        <v>45637</v>
      </c>
      <c r="Q370" s="340" t="s">
        <v>2010</v>
      </c>
      <c r="R370" s="315">
        <v>262668</v>
      </c>
      <c r="S370" s="802">
        <f t="shared" si="121"/>
        <v>9.2749999999999999E-2</v>
      </c>
      <c r="T370" s="315">
        <v>15</v>
      </c>
      <c r="U370" s="341">
        <f t="shared" si="122"/>
        <v>45513</v>
      </c>
      <c r="V370" s="340">
        <f t="shared" ca="1" si="119"/>
        <v>12</v>
      </c>
      <c r="W370" s="594">
        <f t="shared" ca="1" si="120"/>
        <v>2024</v>
      </c>
      <c r="X370" s="340" t="str">
        <f t="shared" ca="1" si="118"/>
        <v>4 WEEK</v>
      </c>
      <c r="Y370" s="329">
        <f t="shared" si="123"/>
        <v>45652</v>
      </c>
      <c r="Z370" s="341" cm="1">
        <f t="array" aca="1" ref="Z370" ca="1">_xlfn.IFS(AD370&lt;100,Y370,Y370&lt;TODAY(),TODAY(),Y370&gt;TODAY(),Y370,Y370=TODAY(),Y370)</f>
        <v>45652</v>
      </c>
      <c r="AA370" s="594"/>
      <c r="AB370" s="301"/>
      <c r="AC370" s="301"/>
      <c r="AD370" s="298">
        <f t="shared" si="106"/>
        <v>0</v>
      </c>
      <c r="AE370" s="299" t="str">
        <f t="shared" si="107"/>
        <v>Complete</v>
      </c>
      <c r="AF370" s="340"/>
      <c r="AG370" s="340"/>
      <c r="AH370" s="744"/>
      <c r="AI370" s="301">
        <f t="shared" ca="1" si="104"/>
        <v>0</v>
      </c>
      <c r="AJ370" s="302">
        <f t="shared" ca="1" si="105"/>
        <v>0</v>
      </c>
      <c r="AL370" s="303">
        <f t="shared" si="108"/>
        <v>262668</v>
      </c>
      <c r="AM370" s="303">
        <f t="shared" si="109"/>
        <v>0</v>
      </c>
      <c r="AN370" s="303">
        <f t="shared" si="110"/>
        <v>262668</v>
      </c>
      <c r="AO370" s="304">
        <f t="shared" si="111"/>
        <v>0</v>
      </c>
      <c r="AP370" s="273">
        <f t="shared" si="113"/>
        <v>12</v>
      </c>
      <c r="AQ370" s="273" t="str">
        <f t="shared" ca="1" si="112"/>
        <v>122024</v>
      </c>
    </row>
    <row r="371" spans="1:43" customFormat="1" ht="16.5">
      <c r="A371" s="392">
        <v>15</v>
      </c>
      <c r="B371" s="743" t="s">
        <v>1970</v>
      </c>
      <c r="C371" s="332" t="s">
        <v>1971</v>
      </c>
      <c r="D371" s="332" t="s">
        <v>1972</v>
      </c>
      <c r="E371" s="406">
        <v>45373</v>
      </c>
      <c r="F371" s="334">
        <v>1.8</v>
      </c>
      <c r="G371" s="775">
        <v>349800</v>
      </c>
      <c r="H371" s="753">
        <v>62964</v>
      </c>
      <c r="I371" s="804">
        <v>412764</v>
      </c>
      <c r="J371" s="804"/>
      <c r="K371" s="340" t="s">
        <v>2008</v>
      </c>
      <c r="L371" s="340" t="s">
        <v>1807</v>
      </c>
      <c r="M371" s="751">
        <v>0.7</v>
      </c>
      <c r="N371" s="777" t="s">
        <v>2031</v>
      </c>
      <c r="O371" s="777" t="s">
        <v>2044</v>
      </c>
      <c r="P371" s="813">
        <v>45875</v>
      </c>
      <c r="Q371" s="814"/>
      <c r="R371" s="315"/>
      <c r="S371" s="802">
        <f t="shared" si="121"/>
        <v>0</v>
      </c>
      <c r="T371" s="315">
        <v>15</v>
      </c>
      <c r="U371" s="341">
        <f t="shared" si="122"/>
        <v>45513</v>
      </c>
      <c r="V371" s="340">
        <f t="shared" ca="1" si="119"/>
        <v>8</v>
      </c>
      <c r="W371" s="594">
        <f t="shared" ca="1" si="120"/>
        <v>2025</v>
      </c>
      <c r="X371" s="340" t="str">
        <f t="shared" ca="1" si="118"/>
        <v>3 WEEK</v>
      </c>
      <c r="Y371" s="329">
        <f t="shared" si="123"/>
        <v>45890</v>
      </c>
      <c r="Z371" s="341" cm="1">
        <f t="array" aca="1" ref="Z371" ca="1">_xlfn.IFS(AD371&lt;100,Y371,Y371&lt;TODAY(),TODAY(),Y371&gt;TODAY(),Y371,Y371=TODAY(),Y371)</f>
        <v>45890</v>
      </c>
      <c r="AA371" s="594"/>
      <c r="AB371" s="301"/>
      <c r="AC371" s="301"/>
      <c r="AD371" s="298">
        <f t="shared" si="106"/>
        <v>0</v>
      </c>
      <c r="AE371" s="299" t="str">
        <f t="shared" si="107"/>
        <v>Complete</v>
      </c>
      <c r="AF371" s="340"/>
      <c r="AG371" s="340"/>
      <c r="AH371" s="744"/>
      <c r="AI371" s="301">
        <f t="shared" ca="1" si="104"/>
        <v>0</v>
      </c>
      <c r="AJ371" s="302">
        <f t="shared" ca="1" si="105"/>
        <v>0</v>
      </c>
      <c r="AL371" s="303">
        <f t="shared" si="108"/>
        <v>412764</v>
      </c>
      <c r="AM371" s="303">
        <f t="shared" si="109"/>
        <v>412764</v>
      </c>
      <c r="AN371" s="303">
        <f t="shared" si="110"/>
        <v>0</v>
      </c>
      <c r="AO371" s="304">
        <f t="shared" si="111"/>
        <v>0</v>
      </c>
      <c r="AP371" s="273">
        <f t="shared" si="113"/>
        <v>8</v>
      </c>
      <c r="AQ371" s="273" t="str">
        <f t="shared" ca="1" si="112"/>
        <v>82025</v>
      </c>
    </row>
    <row r="372" spans="1:43" customFormat="1" ht="16.5">
      <c r="A372" s="392">
        <v>15</v>
      </c>
      <c r="B372" s="743" t="s">
        <v>1970</v>
      </c>
      <c r="C372" s="332" t="s">
        <v>1971</v>
      </c>
      <c r="D372" s="332" t="s">
        <v>1972</v>
      </c>
      <c r="E372" s="406">
        <v>45373</v>
      </c>
      <c r="F372" s="334">
        <v>1.8</v>
      </c>
      <c r="G372" s="775">
        <v>190800</v>
      </c>
      <c r="H372" s="753">
        <v>34344</v>
      </c>
      <c r="I372" s="804">
        <v>225144</v>
      </c>
      <c r="J372" s="804"/>
      <c r="K372" s="340" t="s">
        <v>2008</v>
      </c>
      <c r="L372" s="340" t="s">
        <v>1807</v>
      </c>
      <c r="M372" s="751">
        <v>0.7</v>
      </c>
      <c r="N372" s="777" t="s">
        <v>2031</v>
      </c>
      <c r="O372" s="777" t="s">
        <v>2045</v>
      </c>
      <c r="P372" s="813">
        <v>45875</v>
      </c>
      <c r="Q372" s="814"/>
      <c r="R372" s="315"/>
      <c r="S372" s="802">
        <f t="shared" si="121"/>
        <v>0</v>
      </c>
      <c r="T372" s="315">
        <v>15</v>
      </c>
      <c r="U372" s="341">
        <f t="shared" si="122"/>
        <v>45513</v>
      </c>
      <c r="V372" s="340">
        <f t="shared" ca="1" si="119"/>
        <v>8</v>
      </c>
      <c r="W372" s="594">
        <f t="shared" ca="1" si="120"/>
        <v>2025</v>
      </c>
      <c r="X372" s="340" t="str">
        <f t="shared" ca="1" si="118"/>
        <v>3 WEEK</v>
      </c>
      <c r="Y372" s="329">
        <f t="shared" si="123"/>
        <v>45890</v>
      </c>
      <c r="Z372" s="341" cm="1">
        <f t="array" aca="1" ref="Z372" ca="1">_xlfn.IFS(AD372&lt;100,Y372,Y372&lt;TODAY(),TODAY(),Y372&gt;TODAY(),Y372,Y372=TODAY(),Y372)</f>
        <v>45890</v>
      </c>
      <c r="AA372" s="594"/>
      <c r="AB372" s="301"/>
      <c r="AC372" s="301"/>
      <c r="AD372" s="298">
        <f t="shared" si="106"/>
        <v>0</v>
      </c>
      <c r="AE372" s="299" t="str">
        <f t="shared" si="107"/>
        <v>Complete</v>
      </c>
      <c r="AF372" s="340"/>
      <c r="AG372" s="340"/>
      <c r="AH372" s="744"/>
      <c r="AI372" s="301">
        <f t="shared" ca="1" si="104"/>
        <v>0</v>
      </c>
      <c r="AJ372" s="302">
        <f t="shared" ca="1" si="105"/>
        <v>0</v>
      </c>
      <c r="AL372" s="303">
        <f t="shared" si="108"/>
        <v>225144</v>
      </c>
      <c r="AM372" s="303">
        <f t="shared" si="109"/>
        <v>225144</v>
      </c>
      <c r="AN372" s="303">
        <f t="shared" si="110"/>
        <v>0</v>
      </c>
      <c r="AO372" s="304">
        <f t="shared" si="111"/>
        <v>0</v>
      </c>
      <c r="AP372" s="273">
        <f t="shared" si="113"/>
        <v>8</v>
      </c>
      <c r="AQ372" s="273" t="str">
        <f t="shared" ca="1" si="112"/>
        <v>82025</v>
      </c>
    </row>
    <row r="373" spans="1:43" customFormat="1" ht="16.5">
      <c r="A373" s="392">
        <v>15</v>
      </c>
      <c r="B373" s="743" t="s">
        <v>1970</v>
      </c>
      <c r="C373" s="332" t="s">
        <v>1971</v>
      </c>
      <c r="D373" s="332" t="s">
        <v>1972</v>
      </c>
      <c r="E373" s="406">
        <v>45373</v>
      </c>
      <c r="F373" s="334">
        <v>1.8</v>
      </c>
      <c r="G373" s="775">
        <v>159000</v>
      </c>
      <c r="H373" s="753">
        <v>28620</v>
      </c>
      <c r="I373" s="804">
        <v>187620</v>
      </c>
      <c r="J373" s="804"/>
      <c r="K373" s="340" t="s">
        <v>2008</v>
      </c>
      <c r="L373" s="340" t="s">
        <v>1807</v>
      </c>
      <c r="M373" s="751">
        <v>0.7</v>
      </c>
      <c r="N373" s="777" t="s">
        <v>2031</v>
      </c>
      <c r="O373" s="777" t="s">
        <v>2046</v>
      </c>
      <c r="P373" s="611">
        <v>45840</v>
      </c>
      <c r="Q373" s="340" t="s">
        <v>2039</v>
      </c>
      <c r="R373" s="315">
        <v>187620</v>
      </c>
      <c r="S373" s="802">
        <f t="shared" si="121"/>
        <v>6.6250000000000003E-2</v>
      </c>
      <c r="T373" s="315">
        <v>15</v>
      </c>
      <c r="U373" s="341">
        <f t="shared" si="122"/>
        <v>45513</v>
      </c>
      <c r="V373" s="340">
        <f t="shared" ca="1" si="119"/>
        <v>7</v>
      </c>
      <c r="W373" s="594">
        <f t="shared" ca="1" si="120"/>
        <v>2025</v>
      </c>
      <c r="X373" s="340" t="str">
        <f t="shared" ca="1" si="118"/>
        <v>3 WEEK</v>
      </c>
      <c r="Y373" s="329">
        <f t="shared" si="123"/>
        <v>45855</v>
      </c>
      <c r="Z373" s="341" cm="1">
        <f t="array" aca="1" ref="Z373" ca="1">_xlfn.IFS(AD373&lt;100,Y373,Y373&lt;TODAY(),TODAY(),Y373&gt;TODAY(),Y373,Y373=TODAY(),Y373)</f>
        <v>45855</v>
      </c>
      <c r="AA373" s="594"/>
      <c r="AB373" s="301"/>
      <c r="AC373" s="301"/>
      <c r="AD373" s="298">
        <f t="shared" si="106"/>
        <v>0</v>
      </c>
      <c r="AE373" s="299" t="str">
        <f t="shared" si="107"/>
        <v>Complete</v>
      </c>
      <c r="AF373" s="340"/>
      <c r="AG373" s="340"/>
      <c r="AH373" s="744"/>
      <c r="AI373" s="301">
        <f t="shared" ca="1" si="104"/>
        <v>0</v>
      </c>
      <c r="AJ373" s="302">
        <f t="shared" ca="1" si="105"/>
        <v>0</v>
      </c>
      <c r="AL373" s="303">
        <f t="shared" si="108"/>
        <v>187620</v>
      </c>
      <c r="AM373" s="303">
        <f t="shared" si="109"/>
        <v>0</v>
      </c>
      <c r="AN373" s="303">
        <f t="shared" si="110"/>
        <v>187620</v>
      </c>
      <c r="AO373" s="304">
        <f t="shared" si="111"/>
        <v>0</v>
      </c>
      <c r="AP373" s="273">
        <f t="shared" si="113"/>
        <v>7</v>
      </c>
      <c r="AQ373" s="273" t="str">
        <f t="shared" ca="1" si="112"/>
        <v>72025</v>
      </c>
    </row>
    <row r="374" spans="1:43" customFormat="1" ht="16.5">
      <c r="A374" s="392">
        <v>15</v>
      </c>
      <c r="B374" s="743" t="s">
        <v>1970</v>
      </c>
      <c r="C374" s="332" t="s">
        <v>1971</v>
      </c>
      <c r="D374" s="332" t="s">
        <v>1972</v>
      </c>
      <c r="E374" s="406">
        <v>45373</v>
      </c>
      <c r="F374" s="334">
        <v>1.8</v>
      </c>
      <c r="G374" s="775">
        <v>42400</v>
      </c>
      <c r="H374" s="753">
        <v>7632</v>
      </c>
      <c r="I374" s="804">
        <v>50032</v>
      </c>
      <c r="J374" s="804"/>
      <c r="K374" s="340" t="s">
        <v>2008</v>
      </c>
      <c r="L374" s="340" t="s">
        <v>1807</v>
      </c>
      <c r="M374" s="751">
        <v>0.7</v>
      </c>
      <c r="N374" s="777" t="s">
        <v>2031</v>
      </c>
      <c r="O374" s="777" t="s">
        <v>2047</v>
      </c>
      <c r="P374" s="611">
        <v>45840</v>
      </c>
      <c r="Q374" s="340" t="s">
        <v>2039</v>
      </c>
      <c r="R374" s="315">
        <v>50032</v>
      </c>
      <c r="S374" s="802">
        <f t="shared" si="121"/>
        <v>1.7666666666666667E-2</v>
      </c>
      <c r="T374" s="315">
        <v>15</v>
      </c>
      <c r="U374" s="341">
        <f t="shared" si="122"/>
        <v>45513</v>
      </c>
      <c r="V374" s="340">
        <f t="shared" ca="1" si="119"/>
        <v>7</v>
      </c>
      <c r="W374" s="594">
        <f t="shared" ca="1" si="120"/>
        <v>2025</v>
      </c>
      <c r="X374" s="340" t="str">
        <f t="shared" ca="1" si="118"/>
        <v>3 WEEK</v>
      </c>
      <c r="Y374" s="329">
        <f t="shared" si="123"/>
        <v>45855</v>
      </c>
      <c r="Z374" s="341" cm="1">
        <f t="array" aca="1" ref="Z374" ca="1">_xlfn.IFS(AD374&lt;100,Y374,Y374&lt;TODAY(),TODAY(),Y374&gt;TODAY(),Y374,Y374=TODAY(),Y374)</f>
        <v>45855</v>
      </c>
      <c r="AA374" s="594"/>
      <c r="AB374" s="301"/>
      <c r="AC374" s="301"/>
      <c r="AD374" s="298">
        <f t="shared" si="106"/>
        <v>0</v>
      </c>
      <c r="AE374" s="299" t="str">
        <f t="shared" si="107"/>
        <v>Complete</v>
      </c>
      <c r="AF374" s="340"/>
      <c r="AG374" s="340"/>
      <c r="AH374" s="744"/>
      <c r="AI374" s="301">
        <f t="shared" ca="1" si="104"/>
        <v>0</v>
      </c>
      <c r="AJ374" s="302">
        <f t="shared" ca="1" si="105"/>
        <v>0</v>
      </c>
      <c r="AL374" s="303">
        <f t="shared" si="108"/>
        <v>50032</v>
      </c>
      <c r="AM374" s="303">
        <f t="shared" si="109"/>
        <v>0</v>
      </c>
      <c r="AN374" s="303">
        <f t="shared" si="110"/>
        <v>50032</v>
      </c>
      <c r="AO374" s="304">
        <f t="shared" si="111"/>
        <v>0</v>
      </c>
      <c r="AP374" s="273">
        <f t="shared" si="113"/>
        <v>7</v>
      </c>
      <c r="AQ374" s="273" t="str">
        <f t="shared" ca="1" si="112"/>
        <v>72025</v>
      </c>
    </row>
    <row r="375" spans="1:43" customFormat="1" ht="16.5">
      <c r="A375" s="392">
        <v>15</v>
      </c>
      <c r="B375" s="743" t="s">
        <v>1970</v>
      </c>
      <c r="C375" s="332" t="s">
        <v>1971</v>
      </c>
      <c r="D375" s="332" t="s">
        <v>1972</v>
      </c>
      <c r="E375" s="406">
        <v>45373</v>
      </c>
      <c r="F375" s="334">
        <v>1.8</v>
      </c>
      <c r="G375" s="775"/>
      <c r="H375" s="753"/>
      <c r="I375" s="804"/>
      <c r="J375" s="804"/>
      <c r="K375" s="340" t="s">
        <v>2048</v>
      </c>
      <c r="L375" s="340" t="s">
        <v>2028</v>
      </c>
      <c r="M375" s="751">
        <v>0.1</v>
      </c>
      <c r="N375" s="777" t="s">
        <v>2031</v>
      </c>
      <c r="O375" s="777"/>
      <c r="P375" s="742">
        <v>0</v>
      </c>
      <c r="Q375" s="340"/>
      <c r="R375" s="315"/>
      <c r="S375" s="802">
        <f t="shared" si="121"/>
        <v>0</v>
      </c>
      <c r="T375" s="315">
        <v>15</v>
      </c>
      <c r="U375" s="341">
        <f t="shared" si="122"/>
        <v>45513</v>
      </c>
      <c r="V375" s="340">
        <f t="shared" ca="1" si="119"/>
        <v>10</v>
      </c>
      <c r="W375" s="594">
        <f t="shared" ca="1" si="120"/>
        <v>2025</v>
      </c>
      <c r="X375" s="340" t="str">
        <f t="shared" ca="1" si="118"/>
        <v>1 WEEK</v>
      </c>
      <c r="Y375" s="329">
        <f>U375+T375</f>
        <v>45528</v>
      </c>
      <c r="Z375" s="341" cm="1">
        <f t="array" aca="1" ref="Z375" ca="1">_xlfn.IFS(AD375&lt;100,Y375,Y375&lt;TODAY(),TODAY(),Y375&gt;TODAY(),Y375,Y375=TODAY(),Y375)</f>
        <v>45935</v>
      </c>
      <c r="AA375" s="594">
        <f>SUM(I355:I376)*M375</f>
        <v>283200</v>
      </c>
      <c r="AB375" s="301"/>
      <c r="AC375" s="301"/>
      <c r="AD375" s="298">
        <f t="shared" si="106"/>
        <v>283200</v>
      </c>
      <c r="AE375" s="299" t="str">
        <f t="shared" si="107"/>
        <v>Incomplete</v>
      </c>
      <c r="AF375" s="340"/>
      <c r="AG375" s="340"/>
      <c r="AH375" s="744"/>
      <c r="AI375" s="301">
        <f t="shared" ca="1" si="104"/>
        <v>407</v>
      </c>
      <c r="AJ375" s="302" t="str">
        <f t="shared" ca="1" si="105"/>
        <v>Delayed</v>
      </c>
      <c r="AL375" s="303">
        <f t="shared" si="108"/>
        <v>0</v>
      </c>
      <c r="AM375" s="303">
        <f t="shared" si="109"/>
        <v>0</v>
      </c>
      <c r="AN375" s="303">
        <f t="shared" si="110"/>
        <v>0</v>
      </c>
      <c r="AO375" s="304">
        <f t="shared" si="111"/>
        <v>0</v>
      </c>
      <c r="AP375" s="273">
        <f t="shared" si="113"/>
        <v>1</v>
      </c>
      <c r="AQ375" s="273" t="str">
        <f t="shared" ca="1" si="112"/>
        <v>12025</v>
      </c>
    </row>
    <row r="376" spans="1:43" customFormat="1" ht="16.5">
      <c r="A376" s="392">
        <v>15</v>
      </c>
      <c r="B376" s="743" t="s">
        <v>1970</v>
      </c>
      <c r="C376" s="332" t="s">
        <v>1971</v>
      </c>
      <c r="D376" s="332" t="s">
        <v>1972</v>
      </c>
      <c r="E376" s="406">
        <v>45373</v>
      </c>
      <c r="F376" s="334">
        <v>1.8</v>
      </c>
      <c r="G376" s="775"/>
      <c r="H376" s="753"/>
      <c r="I376" s="804"/>
      <c r="J376" s="807"/>
      <c r="K376" s="378" t="s">
        <v>2049</v>
      </c>
      <c r="L376" s="340" t="s">
        <v>2030</v>
      </c>
      <c r="M376" s="751">
        <v>0.1</v>
      </c>
      <c r="N376" s="777" t="s">
        <v>2031</v>
      </c>
      <c r="O376" s="777"/>
      <c r="P376" s="742">
        <v>0</v>
      </c>
      <c r="Q376" s="340"/>
      <c r="R376" s="315"/>
      <c r="S376" s="802">
        <f t="shared" si="121"/>
        <v>0</v>
      </c>
      <c r="T376" s="315">
        <v>15</v>
      </c>
      <c r="U376" s="341">
        <f t="shared" si="122"/>
        <v>45513</v>
      </c>
      <c r="V376" s="340">
        <f t="shared" ca="1" si="119"/>
        <v>10</v>
      </c>
      <c r="W376" s="594">
        <f t="shared" ca="1" si="120"/>
        <v>2025</v>
      </c>
      <c r="X376" s="340" t="str">
        <f t="shared" ca="1" si="118"/>
        <v>1 WEEK</v>
      </c>
      <c r="Y376" s="329">
        <f>U376+T376</f>
        <v>45528</v>
      </c>
      <c r="Z376" s="341" cm="1">
        <f t="array" aca="1" ref="Z376" ca="1">_xlfn.IFS(AD376&lt;100,Y376,Y376&lt;TODAY(),TODAY(),Y376&gt;TODAY(),Y376,Y376=TODAY(),Y376)</f>
        <v>45935</v>
      </c>
      <c r="AA376" s="594">
        <f>SUM(I355:I376)*M376+SUM(H355:H376)*M355</f>
        <v>326400</v>
      </c>
      <c r="AB376" s="301"/>
      <c r="AC376" s="301"/>
      <c r="AD376" s="298">
        <f t="shared" si="106"/>
        <v>326400</v>
      </c>
      <c r="AE376" s="299" t="str">
        <f t="shared" si="107"/>
        <v>Incomplete</v>
      </c>
      <c r="AF376" s="340"/>
      <c r="AG376" s="340"/>
      <c r="AH376" s="744"/>
      <c r="AI376" s="301">
        <f t="shared" ca="1" si="104"/>
        <v>407</v>
      </c>
      <c r="AJ376" s="302" t="str">
        <f t="shared" ca="1" si="105"/>
        <v>Delayed</v>
      </c>
      <c r="AL376" s="303">
        <f t="shared" si="108"/>
        <v>0</v>
      </c>
      <c r="AM376" s="303">
        <f t="shared" si="109"/>
        <v>0</v>
      </c>
      <c r="AN376" s="303">
        <f t="shared" si="110"/>
        <v>0</v>
      </c>
      <c r="AO376" s="304">
        <f t="shared" si="111"/>
        <v>0</v>
      </c>
      <c r="AP376" s="273">
        <f t="shared" si="113"/>
        <v>1</v>
      </c>
      <c r="AQ376" s="273" t="str">
        <f t="shared" ca="1" si="112"/>
        <v>12025</v>
      </c>
    </row>
    <row r="377" spans="1:43" customFormat="1" ht="16.5">
      <c r="A377" s="392">
        <v>15</v>
      </c>
      <c r="B377" s="743" t="s">
        <v>1970</v>
      </c>
      <c r="C377" s="332" t="s">
        <v>1971</v>
      </c>
      <c r="D377" s="332" t="s">
        <v>1972</v>
      </c>
      <c r="E377" s="406">
        <v>45373</v>
      </c>
      <c r="F377" s="334">
        <v>1.8</v>
      </c>
      <c r="G377" s="775"/>
      <c r="H377" s="753"/>
      <c r="I377" s="815"/>
      <c r="J377" s="816"/>
      <c r="K377" s="378"/>
      <c r="L377" s="817">
        <v>0</v>
      </c>
      <c r="M377" s="751"/>
      <c r="N377" s="777"/>
      <c r="O377" s="777"/>
      <c r="P377" s="742">
        <v>0</v>
      </c>
      <c r="Q377" s="340"/>
      <c r="R377" s="315"/>
      <c r="S377" s="802">
        <f t="shared" si="121"/>
        <v>0</v>
      </c>
      <c r="T377" s="315"/>
      <c r="U377" s="341"/>
      <c r="V377" s="340">
        <f t="shared" ca="1" si="119"/>
        <v>1</v>
      </c>
      <c r="W377" s="594">
        <f t="shared" ca="1" si="120"/>
        <v>1900</v>
      </c>
      <c r="X377" s="340" t="str">
        <f t="shared" ca="1" si="118"/>
        <v>0 WEEK</v>
      </c>
      <c r="Y377" s="436">
        <f t="shared" ref="Y377:Y444" si="124">U377+T377</f>
        <v>0</v>
      </c>
      <c r="Z377" s="541" cm="1">
        <f t="array" aca="1" ref="Z377" ca="1">_xlfn.IFS(AD377&lt;100,Y377,Y377&lt;TODAY(),TODAY(),Y377&gt;TODAY(),Y377,Y377=TODAY(),Y377)</f>
        <v>0</v>
      </c>
      <c r="AA377" s="594"/>
      <c r="AB377" s="301"/>
      <c r="AC377" s="301"/>
      <c r="AD377" s="298">
        <f t="shared" si="106"/>
        <v>0</v>
      </c>
      <c r="AE377" s="299" t="str">
        <f t="shared" si="107"/>
        <v>Complete</v>
      </c>
      <c r="AF377" s="340"/>
      <c r="AG377" s="340"/>
      <c r="AH377" s="744"/>
      <c r="AI377" s="301">
        <f t="shared" ca="1" si="104"/>
        <v>0</v>
      </c>
      <c r="AJ377" s="302">
        <f t="shared" ca="1" si="105"/>
        <v>0</v>
      </c>
      <c r="AL377" s="303">
        <f t="shared" si="108"/>
        <v>0</v>
      </c>
      <c r="AM377" s="303">
        <f t="shared" si="109"/>
        <v>0</v>
      </c>
      <c r="AN377" s="303">
        <f t="shared" si="110"/>
        <v>0</v>
      </c>
      <c r="AO377" s="304">
        <f t="shared" si="111"/>
        <v>0</v>
      </c>
      <c r="AP377" s="273">
        <f t="shared" si="113"/>
        <v>1</v>
      </c>
      <c r="AQ377" s="273" t="str">
        <f t="shared" ca="1" si="112"/>
        <v>11900</v>
      </c>
    </row>
    <row r="378" spans="1:43" customFormat="1" ht="16.5">
      <c r="A378" s="392"/>
      <c r="B378" s="743"/>
      <c r="C378" s="332"/>
      <c r="D378" s="332"/>
      <c r="E378" s="406"/>
      <c r="F378" s="334"/>
      <c r="G378" s="775"/>
      <c r="H378" s="753"/>
      <c r="I378" s="815"/>
      <c r="J378" s="816"/>
      <c r="K378" s="378"/>
      <c r="L378" s="817"/>
      <c r="M378" s="751"/>
      <c r="N378" s="777"/>
      <c r="O378" s="777"/>
      <c r="P378" s="742">
        <v>0</v>
      </c>
      <c r="Q378" s="340"/>
      <c r="R378" s="315"/>
      <c r="S378" s="612"/>
      <c r="T378" s="315"/>
      <c r="U378" s="341"/>
      <c r="V378" s="340">
        <f t="shared" ca="1" si="119"/>
        <v>1</v>
      </c>
      <c r="W378" s="594">
        <f t="shared" ca="1" si="120"/>
        <v>1900</v>
      </c>
      <c r="X378" s="340" t="str">
        <f t="shared" ca="1" si="118"/>
        <v>0 WEEK</v>
      </c>
      <c r="Y378" s="436">
        <f t="shared" si="124"/>
        <v>0</v>
      </c>
      <c r="Z378" s="541" cm="1">
        <f t="array" aca="1" ref="Z378" ca="1">_xlfn.IFS(AD378&lt;100,Y378,Y378&lt;TODAY(),TODAY(),Y378&gt;TODAY(),Y378,Y378=TODAY(),Y378)</f>
        <v>0</v>
      </c>
      <c r="AA378" s="594"/>
      <c r="AB378" s="301"/>
      <c r="AC378" s="301"/>
      <c r="AD378" s="298">
        <f t="shared" si="106"/>
        <v>0</v>
      </c>
      <c r="AE378" s="299" t="str">
        <f t="shared" si="107"/>
        <v>Complete</v>
      </c>
      <c r="AF378" s="340"/>
      <c r="AG378" s="340"/>
      <c r="AH378" s="744"/>
      <c r="AI378" s="301">
        <f t="shared" ca="1" si="104"/>
        <v>0</v>
      </c>
      <c r="AJ378" s="302">
        <f t="shared" ca="1" si="105"/>
        <v>0</v>
      </c>
      <c r="AL378" s="303">
        <f t="shared" si="108"/>
        <v>0</v>
      </c>
      <c r="AM378" s="303">
        <f t="shared" si="109"/>
        <v>0</v>
      </c>
      <c r="AN378" s="303">
        <f t="shared" si="110"/>
        <v>0</v>
      </c>
      <c r="AO378" s="304">
        <f t="shared" si="111"/>
        <v>0</v>
      </c>
      <c r="AP378" s="273">
        <f t="shared" si="113"/>
        <v>1</v>
      </c>
      <c r="AQ378" s="273" t="str">
        <f t="shared" ca="1" si="112"/>
        <v>11900</v>
      </c>
    </row>
    <row r="379" spans="1:43" customFormat="1" ht="18">
      <c r="A379" s="392">
        <v>16</v>
      </c>
      <c r="B379" s="275" t="s">
        <v>2050</v>
      </c>
      <c r="C379" s="340" t="s">
        <v>2051</v>
      </c>
      <c r="D379" s="332" t="s">
        <v>2052</v>
      </c>
      <c r="E379" s="340"/>
      <c r="F379" s="334">
        <v>12.15</v>
      </c>
      <c r="G379" s="775"/>
      <c r="H379" s="753"/>
      <c r="I379" s="815"/>
      <c r="J379" s="815"/>
      <c r="K379" s="590" t="s">
        <v>2053</v>
      </c>
      <c r="L379" s="614" t="s">
        <v>1592</v>
      </c>
      <c r="M379" s="751">
        <v>0.2</v>
      </c>
      <c r="N379" s="777"/>
      <c r="O379" s="777"/>
      <c r="P379" s="742">
        <v>0</v>
      </c>
      <c r="Q379" s="340"/>
      <c r="R379" s="741" t="e">
        <v>#VALUE!</v>
      </c>
      <c r="S379" s="612"/>
      <c r="T379" s="315"/>
      <c r="U379" s="341"/>
      <c r="V379" s="340">
        <f t="shared" ca="1" si="119"/>
        <v>1</v>
      </c>
      <c r="W379" s="594">
        <f t="shared" ca="1" si="120"/>
        <v>1900</v>
      </c>
      <c r="X379" s="340" t="str">
        <f t="shared" ca="1" si="118"/>
        <v>0 WEEK</v>
      </c>
      <c r="Y379" s="436">
        <f t="shared" si="124"/>
        <v>0</v>
      </c>
      <c r="Z379" s="541" cm="1">
        <f t="array" aca="1" ref="Z379" ca="1">_xlfn.IFS(AD379&lt;100,Y379,Y379&lt;TODAY(),TODAY(),Y379&gt;TODAY(),Y379,Y379=TODAY(),Y379)</f>
        <v>0</v>
      </c>
      <c r="AA379" s="477">
        <f>SUM(G379:G402)*M379</f>
        <v>67399800</v>
      </c>
      <c r="AB379" s="301">
        <f>AA379-AC379</f>
        <v>67332400.200000003</v>
      </c>
      <c r="AC379" s="301">
        <f>AA379*0.1%</f>
        <v>67399.8</v>
      </c>
      <c r="AD379" s="298">
        <f t="shared" si="106"/>
        <v>0</v>
      </c>
      <c r="AE379" s="299" t="str">
        <f t="shared" si="107"/>
        <v>Complete</v>
      </c>
      <c r="AF379" s="340"/>
      <c r="AG379" s="340"/>
      <c r="AH379" s="744"/>
      <c r="AI379" s="301">
        <f t="shared" ca="1" si="104"/>
        <v>0</v>
      </c>
      <c r="AJ379" s="302">
        <f t="shared" ca="1" si="105"/>
        <v>0</v>
      </c>
      <c r="AL379" s="303">
        <f t="shared" si="108"/>
        <v>0</v>
      </c>
      <c r="AM379" s="303">
        <f t="shared" si="109"/>
        <v>0</v>
      </c>
      <c r="AN379" s="303">
        <f t="shared" si="110"/>
        <v>0</v>
      </c>
      <c r="AO379" s="304">
        <f t="shared" si="111"/>
        <v>0</v>
      </c>
      <c r="AP379" s="273">
        <f t="shared" si="113"/>
        <v>1</v>
      </c>
      <c r="AQ379" s="273" t="str">
        <f t="shared" ca="1" si="112"/>
        <v>11900</v>
      </c>
    </row>
    <row r="380" spans="1:43" customFormat="1" ht="16.5">
      <c r="A380" s="312">
        <v>16</v>
      </c>
      <c r="B380" s="275" t="s">
        <v>2050</v>
      </c>
      <c r="C380" s="340" t="s">
        <v>2051</v>
      </c>
      <c r="D380" s="332" t="s">
        <v>2052</v>
      </c>
      <c r="E380" s="340"/>
      <c r="F380" s="334">
        <v>12.15</v>
      </c>
      <c r="G380" s="775">
        <v>201583080</v>
      </c>
      <c r="H380" s="753">
        <v>24189969.599999998</v>
      </c>
      <c r="I380" s="818">
        <v>225773050</v>
      </c>
      <c r="J380" s="818"/>
      <c r="K380" s="590" t="s">
        <v>2054</v>
      </c>
      <c r="L380" s="614" t="s">
        <v>1595</v>
      </c>
      <c r="M380" s="592">
        <v>0.25</v>
      </c>
      <c r="N380" s="291" t="s">
        <v>1593</v>
      </c>
      <c r="O380" s="594" t="s">
        <v>2055</v>
      </c>
      <c r="P380" s="595">
        <v>45747</v>
      </c>
      <c r="Q380" s="340" t="s">
        <v>2056</v>
      </c>
      <c r="R380" s="315">
        <v>141127379</v>
      </c>
      <c r="S380" s="315"/>
      <c r="T380" s="315"/>
      <c r="U380" s="340"/>
      <c r="V380" s="340">
        <f t="shared" ca="1" si="119"/>
        <v>1</v>
      </c>
      <c r="W380" s="594">
        <f t="shared" ca="1" si="120"/>
        <v>1900</v>
      </c>
      <c r="X380" s="340" t="str">
        <f t="shared" ca="1" si="118"/>
        <v>0 WEEK</v>
      </c>
      <c r="Y380" s="436">
        <f t="shared" si="124"/>
        <v>0</v>
      </c>
      <c r="Z380" s="541" cm="1">
        <f t="array" aca="1" ref="Z380" ca="1">_xlfn.IFS(AD380&lt;100,Y380,Y380&lt;TODAY(),TODAY(),Y380&gt;TODAY(),Y380,Y380=TODAY(),Y380)</f>
        <v>0</v>
      </c>
      <c r="AA380" s="477">
        <f>SUM(I379:I402)*M380</f>
        <v>96000798</v>
      </c>
      <c r="AB380" s="301">
        <f>AA380-AC380</f>
        <v>95904797.202000007</v>
      </c>
      <c r="AC380" s="301">
        <f>AA380*0.1%</f>
        <v>96000.797999999995</v>
      </c>
      <c r="AD380" s="298">
        <f t="shared" si="106"/>
        <v>0</v>
      </c>
      <c r="AE380" s="299" t="str">
        <f t="shared" si="107"/>
        <v>Complete</v>
      </c>
      <c r="AF380" s="340"/>
      <c r="AG380" s="340"/>
      <c r="AH380" s="340"/>
      <c r="AI380" s="301">
        <f t="shared" ca="1" si="104"/>
        <v>0</v>
      </c>
      <c r="AJ380" s="302">
        <f t="shared" ca="1" si="105"/>
        <v>0</v>
      </c>
      <c r="AL380" s="303">
        <f t="shared" si="108"/>
        <v>225773050</v>
      </c>
      <c r="AM380" s="303">
        <f t="shared" si="109"/>
        <v>84645671</v>
      </c>
      <c r="AN380" s="303">
        <f t="shared" si="110"/>
        <v>141127379</v>
      </c>
      <c r="AO380" s="304">
        <f t="shared" si="111"/>
        <v>0</v>
      </c>
      <c r="AP380" s="273">
        <f t="shared" si="113"/>
        <v>3</v>
      </c>
      <c r="AQ380" s="273" t="str">
        <f t="shared" ca="1" si="112"/>
        <v>31900</v>
      </c>
    </row>
    <row r="381" spans="1:43" ht="15.75">
      <c r="A381" s="392">
        <v>16</v>
      </c>
      <c r="B381" s="275" t="s">
        <v>2050</v>
      </c>
      <c r="C381" s="340" t="s">
        <v>2051</v>
      </c>
      <c r="D381" s="332" t="s">
        <v>2052</v>
      </c>
      <c r="E381" s="340"/>
      <c r="F381" s="334">
        <v>12.15</v>
      </c>
      <c r="G381" s="623"/>
      <c r="H381" s="331"/>
      <c r="I381" s="819"/>
      <c r="J381" s="819"/>
      <c r="K381" s="590" t="s">
        <v>2054</v>
      </c>
      <c r="L381" s="614" t="s">
        <v>1595</v>
      </c>
      <c r="M381" s="592">
        <v>0.25</v>
      </c>
      <c r="N381" s="340" t="s">
        <v>1593</v>
      </c>
      <c r="O381" s="594" t="s">
        <v>2055</v>
      </c>
      <c r="P381" s="329">
        <v>45747</v>
      </c>
      <c r="Q381" s="340" t="s">
        <v>2057</v>
      </c>
      <c r="R381" s="621">
        <v>84645671</v>
      </c>
      <c r="S381" s="621"/>
      <c r="T381" s="820"/>
      <c r="U381" s="340"/>
      <c r="V381" s="340">
        <f t="shared" ca="1" si="119"/>
        <v>1</v>
      </c>
      <c r="W381" s="594">
        <f t="shared" ca="1" si="120"/>
        <v>1900</v>
      </c>
      <c r="X381" s="340" t="str">
        <f t="shared" ca="1" si="118"/>
        <v>0 WEEK</v>
      </c>
      <c r="Y381" s="436">
        <f t="shared" si="124"/>
        <v>0</v>
      </c>
      <c r="Z381" s="541" cm="1">
        <f t="array" aca="1" ref="Z381" ca="1">_xlfn.IFS(AD381&lt;100,Y381,Y381&lt;TODAY(),TODAY(),Y381&gt;TODAY(),Y381,Y381=TODAY(),Y381)</f>
        <v>0</v>
      </c>
      <c r="AA381" s="821"/>
      <c r="AB381" s="331"/>
      <c r="AC381" s="331"/>
      <c r="AD381" s="298">
        <f t="shared" si="106"/>
        <v>0</v>
      </c>
      <c r="AE381" s="299" t="str">
        <f t="shared" si="107"/>
        <v>Complete</v>
      </c>
      <c r="AF381" s="340"/>
      <c r="AG381" s="340"/>
      <c r="AH381" s="340"/>
      <c r="AI381" s="301">
        <f t="shared" ca="1" si="104"/>
        <v>0</v>
      </c>
      <c r="AJ381" s="302">
        <f t="shared" ca="1" si="105"/>
        <v>0</v>
      </c>
      <c r="AL381" s="303">
        <f t="shared" si="108"/>
        <v>0</v>
      </c>
      <c r="AM381" s="303">
        <f t="shared" si="109"/>
        <v>-84645671</v>
      </c>
      <c r="AN381" s="303">
        <f t="shared" si="110"/>
        <v>84645671</v>
      </c>
      <c r="AO381" s="304">
        <f t="shared" si="111"/>
        <v>0</v>
      </c>
      <c r="AP381" s="273">
        <f t="shared" si="113"/>
        <v>3</v>
      </c>
      <c r="AQ381" s="273" t="str">
        <f t="shared" ca="1" si="112"/>
        <v>31900</v>
      </c>
    </row>
    <row r="382" spans="1:43" ht="15.75">
      <c r="A382" s="392">
        <v>16</v>
      </c>
      <c r="B382" s="275" t="s">
        <v>2050</v>
      </c>
      <c r="C382" s="340" t="s">
        <v>2051</v>
      </c>
      <c r="D382" s="332" t="s">
        <v>2052</v>
      </c>
      <c r="E382" s="340"/>
      <c r="F382" s="334">
        <v>12.15</v>
      </c>
      <c r="G382" s="623">
        <v>26010720</v>
      </c>
      <c r="H382" s="331">
        <v>3121286.4</v>
      </c>
      <c r="I382" s="819">
        <v>29132006</v>
      </c>
      <c r="J382" s="819"/>
      <c r="K382" s="590" t="s">
        <v>2054</v>
      </c>
      <c r="L382" s="614" t="s">
        <v>1595</v>
      </c>
      <c r="M382" s="592">
        <v>0.25</v>
      </c>
      <c r="N382" s="340" t="s">
        <v>1593</v>
      </c>
      <c r="O382" s="594" t="s">
        <v>2058</v>
      </c>
      <c r="P382" s="329">
        <v>45745</v>
      </c>
      <c r="Q382" s="340" t="s">
        <v>2059</v>
      </c>
      <c r="R382" s="621">
        <v>29132006</v>
      </c>
      <c r="S382" s="621"/>
      <c r="T382" s="820"/>
      <c r="U382" s="340"/>
      <c r="V382" s="340">
        <f t="shared" ca="1" si="119"/>
        <v>1</v>
      </c>
      <c r="W382" s="594">
        <f t="shared" ca="1" si="120"/>
        <v>1900</v>
      </c>
      <c r="X382" s="340" t="str">
        <f t="shared" ca="1" si="118"/>
        <v>0 WEEK</v>
      </c>
      <c r="Y382" s="436">
        <f t="shared" si="124"/>
        <v>0</v>
      </c>
      <c r="Z382" s="541" cm="1">
        <f t="array" aca="1" ref="Z382" ca="1">_xlfn.IFS(AD382&lt;100,Y382,Y382&lt;TODAY(),TODAY(),Y382&gt;TODAY(),Y382,Y382=TODAY(),Y382)</f>
        <v>0</v>
      </c>
      <c r="AA382" s="821"/>
      <c r="AB382" s="331"/>
      <c r="AC382" s="331"/>
      <c r="AD382" s="298">
        <f t="shared" si="106"/>
        <v>0</v>
      </c>
      <c r="AE382" s="299" t="str">
        <f t="shared" si="107"/>
        <v>Complete</v>
      </c>
      <c r="AF382" s="340"/>
      <c r="AG382" s="340"/>
      <c r="AH382" s="340"/>
      <c r="AI382" s="301">
        <f t="shared" ca="1" si="104"/>
        <v>0</v>
      </c>
      <c r="AJ382" s="302">
        <f t="shared" ca="1" si="105"/>
        <v>0</v>
      </c>
      <c r="AL382" s="303">
        <f t="shared" si="108"/>
        <v>29132006</v>
      </c>
      <c r="AM382" s="303">
        <f t="shared" si="109"/>
        <v>0</v>
      </c>
      <c r="AN382" s="303">
        <f t="shared" si="110"/>
        <v>29132006</v>
      </c>
      <c r="AO382" s="304">
        <f t="shared" si="111"/>
        <v>0</v>
      </c>
      <c r="AP382" s="273">
        <f t="shared" si="113"/>
        <v>3</v>
      </c>
      <c r="AQ382" s="273" t="str">
        <f t="shared" ca="1" si="112"/>
        <v>31900</v>
      </c>
    </row>
    <row r="383" spans="1:43" ht="15.75">
      <c r="A383" s="392">
        <v>16</v>
      </c>
      <c r="B383" s="275" t="s">
        <v>2050</v>
      </c>
      <c r="C383" s="340" t="s">
        <v>2051</v>
      </c>
      <c r="D383" s="332" t="s">
        <v>2052</v>
      </c>
      <c r="E383" s="340"/>
      <c r="F383" s="334">
        <v>12.15</v>
      </c>
      <c r="G383" s="623">
        <v>37665000</v>
      </c>
      <c r="H383" s="331">
        <v>6779700</v>
      </c>
      <c r="I383" s="819">
        <v>44444700</v>
      </c>
      <c r="J383" s="822"/>
      <c r="K383" s="823" t="s">
        <v>2060</v>
      </c>
      <c r="L383" s="614" t="s">
        <v>1915</v>
      </c>
      <c r="M383" s="592">
        <v>0.1</v>
      </c>
      <c r="N383" s="340" t="s">
        <v>1593</v>
      </c>
      <c r="O383" s="594" t="s">
        <v>2061</v>
      </c>
      <c r="P383" s="329">
        <v>45745</v>
      </c>
      <c r="Q383" s="340" t="s">
        <v>2062</v>
      </c>
      <c r="R383" s="621">
        <v>26666820</v>
      </c>
      <c r="S383" s="621"/>
      <c r="T383" s="820"/>
      <c r="U383" s="340"/>
      <c r="V383" s="340">
        <f t="shared" ca="1" si="119"/>
        <v>1</v>
      </c>
      <c r="W383" s="594">
        <f t="shared" ca="1" si="120"/>
        <v>1900</v>
      </c>
      <c r="X383" s="340" t="str">
        <f t="shared" ca="1" si="118"/>
        <v>0 WEEK</v>
      </c>
      <c r="Y383" s="436">
        <f t="shared" si="124"/>
        <v>0</v>
      </c>
      <c r="Z383" s="541" cm="1">
        <f t="array" aca="1" ref="Z383" ca="1">_xlfn.IFS(AD383&lt;100,Y383,Y383&lt;TODAY(),TODAY(),Y383&gt;TODAY(),Y383,Y383=TODAY(),Y383)</f>
        <v>0</v>
      </c>
      <c r="AA383" s="824">
        <f>SUM(I379:I402)*M383</f>
        <v>38400319.200000003</v>
      </c>
      <c r="AB383" s="301">
        <f>AA383-AC383</f>
        <v>38361918.880800001</v>
      </c>
      <c r="AC383" s="301">
        <f>AA383*0.1%</f>
        <v>38400.319200000005</v>
      </c>
      <c r="AD383" s="298">
        <f t="shared" si="106"/>
        <v>0</v>
      </c>
      <c r="AE383" s="299" t="str">
        <f t="shared" si="107"/>
        <v>Complete</v>
      </c>
      <c r="AF383" s="340"/>
      <c r="AG383" s="340"/>
      <c r="AH383" s="340"/>
      <c r="AI383" s="301">
        <f t="shared" ca="1" si="104"/>
        <v>0</v>
      </c>
      <c r="AJ383" s="302">
        <f t="shared" ca="1" si="105"/>
        <v>0</v>
      </c>
      <c r="AL383" s="303">
        <f t="shared" si="108"/>
        <v>44444700</v>
      </c>
      <c r="AM383" s="303">
        <f t="shared" si="109"/>
        <v>17777880</v>
      </c>
      <c r="AN383" s="303">
        <f t="shared" si="110"/>
        <v>26666820</v>
      </c>
      <c r="AO383" s="304">
        <f t="shared" si="111"/>
        <v>0</v>
      </c>
      <c r="AP383" s="273">
        <f t="shared" si="113"/>
        <v>3</v>
      </c>
      <c r="AQ383" s="273" t="str">
        <f t="shared" ca="1" si="112"/>
        <v>31900</v>
      </c>
    </row>
    <row r="384" spans="1:43" ht="15.75">
      <c r="A384" s="392">
        <v>16</v>
      </c>
      <c r="B384" s="275" t="s">
        <v>2050</v>
      </c>
      <c r="C384" s="340" t="s">
        <v>2051</v>
      </c>
      <c r="D384" s="332" t="s">
        <v>2052</v>
      </c>
      <c r="E384" s="340"/>
      <c r="F384" s="334">
        <v>12.15</v>
      </c>
      <c r="G384" s="623"/>
      <c r="H384" s="331"/>
      <c r="I384" s="819"/>
      <c r="J384" s="822"/>
      <c r="K384" s="823" t="s">
        <v>2060</v>
      </c>
      <c r="L384" s="614" t="s">
        <v>1915</v>
      </c>
      <c r="M384" s="592">
        <v>0.1</v>
      </c>
      <c r="N384" s="340" t="s">
        <v>1593</v>
      </c>
      <c r="O384" s="594" t="s">
        <v>2061</v>
      </c>
      <c r="P384" s="329">
        <v>45747</v>
      </c>
      <c r="Q384" s="340" t="s">
        <v>2063</v>
      </c>
      <c r="R384" s="621">
        <v>17777880</v>
      </c>
      <c r="S384" s="621"/>
      <c r="T384" s="820"/>
      <c r="U384" s="340"/>
      <c r="V384" s="340">
        <f t="shared" ca="1" si="119"/>
        <v>1</v>
      </c>
      <c r="W384" s="594">
        <f t="shared" ca="1" si="120"/>
        <v>1900</v>
      </c>
      <c r="X384" s="340" t="str">
        <f t="shared" ca="1" si="118"/>
        <v>0 WEEK</v>
      </c>
      <c r="Y384" s="436">
        <f t="shared" si="124"/>
        <v>0</v>
      </c>
      <c r="Z384" s="541" cm="1">
        <f t="array" aca="1" ref="Z384" ca="1">_xlfn.IFS(AD384&lt;100,Y384,Y384&lt;TODAY(),TODAY(),Y384&gt;TODAY(),Y384,Y384=TODAY(),Y384)</f>
        <v>0</v>
      </c>
      <c r="AA384" s="824"/>
      <c r="AB384" s="331"/>
      <c r="AC384" s="331"/>
      <c r="AD384" s="298">
        <f t="shared" si="106"/>
        <v>0</v>
      </c>
      <c r="AE384" s="299" t="str">
        <f t="shared" si="107"/>
        <v>Complete</v>
      </c>
      <c r="AF384" s="340"/>
      <c r="AG384" s="340"/>
      <c r="AH384" s="340"/>
      <c r="AI384" s="301">
        <f t="shared" ca="1" si="104"/>
        <v>0</v>
      </c>
      <c r="AJ384" s="302">
        <f t="shared" ca="1" si="105"/>
        <v>0</v>
      </c>
      <c r="AL384" s="303">
        <f t="shared" si="108"/>
        <v>0</v>
      </c>
      <c r="AM384" s="303">
        <f t="shared" si="109"/>
        <v>-17777880</v>
      </c>
      <c r="AN384" s="303">
        <f t="shared" si="110"/>
        <v>17777880</v>
      </c>
      <c r="AO384" s="304">
        <f t="shared" si="111"/>
        <v>0</v>
      </c>
      <c r="AP384" s="273">
        <f t="shared" si="113"/>
        <v>3</v>
      </c>
      <c r="AQ384" s="273" t="str">
        <f t="shared" ca="1" si="112"/>
        <v>31900</v>
      </c>
    </row>
    <row r="385" spans="1:43" ht="15.75">
      <c r="A385" s="392">
        <v>16</v>
      </c>
      <c r="B385" s="275" t="s">
        <v>2050</v>
      </c>
      <c r="C385" s="340" t="s">
        <v>2051</v>
      </c>
      <c r="D385" s="332" t="s">
        <v>2052</v>
      </c>
      <c r="E385" s="340"/>
      <c r="F385" s="334">
        <v>12.15</v>
      </c>
      <c r="G385" s="623">
        <v>5467500</v>
      </c>
      <c r="H385" s="331">
        <v>984150</v>
      </c>
      <c r="I385" s="624">
        <v>6451650</v>
      </c>
      <c r="J385" s="822"/>
      <c r="K385" s="823" t="s">
        <v>2064</v>
      </c>
      <c r="L385" s="340" t="s">
        <v>2065</v>
      </c>
      <c r="M385" s="592">
        <v>0.05</v>
      </c>
      <c r="N385" s="340" t="s">
        <v>1593</v>
      </c>
      <c r="O385" s="594" t="s">
        <v>2066</v>
      </c>
      <c r="P385" s="329">
        <v>45803</v>
      </c>
      <c r="Q385" s="340" t="s">
        <v>2067</v>
      </c>
      <c r="R385" s="621">
        <v>645165</v>
      </c>
      <c r="S385" s="621"/>
      <c r="T385" s="820"/>
      <c r="U385" s="340"/>
      <c r="V385" s="340">
        <f t="shared" ca="1" si="119"/>
        <v>1</v>
      </c>
      <c r="W385" s="594">
        <f t="shared" ca="1" si="120"/>
        <v>1900</v>
      </c>
      <c r="X385" s="340" t="str">
        <f t="shared" ca="1" si="118"/>
        <v>0 WEEK</v>
      </c>
      <c r="Y385" s="436">
        <f t="shared" si="124"/>
        <v>0</v>
      </c>
      <c r="Z385" s="541" cm="1">
        <f t="array" aca="1" ref="Z385" ca="1">_xlfn.IFS(AD385&lt;100,Y385,Y385&lt;TODAY(),TODAY(),Y385&gt;TODAY(),Y385,Y385=TODAY(),Y385)</f>
        <v>0</v>
      </c>
      <c r="AA385" s="824">
        <f>SUM(I379:I402)*M385</f>
        <v>19200159.600000001</v>
      </c>
      <c r="AB385" s="301">
        <f>AA385-AC385</f>
        <v>19180959.440400001</v>
      </c>
      <c r="AC385" s="301">
        <f>AA385*0.1%</f>
        <v>19200.159600000003</v>
      </c>
      <c r="AD385" s="298">
        <f t="shared" si="106"/>
        <v>0</v>
      </c>
      <c r="AE385" s="299" t="str">
        <f t="shared" si="107"/>
        <v>Complete</v>
      </c>
      <c r="AF385" s="340"/>
      <c r="AG385" s="340"/>
      <c r="AH385" s="340"/>
      <c r="AI385" s="301">
        <f t="shared" ca="1" si="104"/>
        <v>0</v>
      </c>
      <c r="AJ385" s="302">
        <f t="shared" ca="1" si="105"/>
        <v>0</v>
      </c>
      <c r="AL385" s="303">
        <f t="shared" si="108"/>
        <v>6451650</v>
      </c>
      <c r="AM385" s="303">
        <f t="shared" si="109"/>
        <v>5806485</v>
      </c>
      <c r="AN385" s="303">
        <f t="shared" si="110"/>
        <v>645165</v>
      </c>
      <c r="AO385" s="304">
        <f t="shared" si="111"/>
        <v>0</v>
      </c>
      <c r="AP385" s="273">
        <f t="shared" si="113"/>
        <v>5</v>
      </c>
      <c r="AQ385" s="273" t="str">
        <f t="shared" ca="1" si="112"/>
        <v>51900</v>
      </c>
    </row>
    <row r="386" spans="1:43" ht="16.5">
      <c r="A386" s="392">
        <v>16</v>
      </c>
      <c r="B386" s="275" t="s">
        <v>2050</v>
      </c>
      <c r="C386" s="340" t="s">
        <v>2051</v>
      </c>
      <c r="D386" s="332" t="s">
        <v>2052</v>
      </c>
      <c r="E386" s="340"/>
      <c r="F386" s="334">
        <v>12.15</v>
      </c>
      <c r="G386" s="623"/>
      <c r="H386" s="331"/>
      <c r="I386" s="624"/>
      <c r="J386" s="822"/>
      <c r="K386" s="823" t="s">
        <v>2064</v>
      </c>
      <c r="L386" s="340" t="s">
        <v>2065</v>
      </c>
      <c r="M386" s="592">
        <v>0.05</v>
      </c>
      <c r="N386" s="340" t="s">
        <v>1593</v>
      </c>
      <c r="O386" s="594" t="s">
        <v>2066</v>
      </c>
      <c r="P386" s="329">
        <v>45856</v>
      </c>
      <c r="Q386" s="481" t="s">
        <v>2068</v>
      </c>
      <c r="R386" s="825">
        <v>3225825</v>
      </c>
      <c r="S386" s="621"/>
      <c r="T386" s="820"/>
      <c r="U386" s="340"/>
      <c r="V386" s="340">
        <f t="shared" ca="1" si="119"/>
        <v>1</v>
      </c>
      <c r="W386" s="594">
        <f t="shared" ca="1" si="120"/>
        <v>1900</v>
      </c>
      <c r="X386" s="340" t="str">
        <f t="shared" ca="1" si="118"/>
        <v>0 WEEK</v>
      </c>
      <c r="Y386" s="436">
        <f t="shared" si="124"/>
        <v>0</v>
      </c>
      <c r="Z386" s="541" cm="1">
        <f t="array" aca="1" ref="Z386" ca="1">_xlfn.IFS(AD386&lt;100,Y386,Y386&lt;TODAY(),TODAY(),Y386&gt;TODAY(),Y386,Y386=TODAY(),Y386)</f>
        <v>0</v>
      </c>
      <c r="AA386" s="824"/>
      <c r="AB386" s="331"/>
      <c r="AC386" s="331"/>
      <c r="AD386" s="298">
        <f t="shared" si="106"/>
        <v>0</v>
      </c>
      <c r="AE386" s="299" t="str">
        <f t="shared" si="107"/>
        <v>Complete</v>
      </c>
      <c r="AF386" s="340"/>
      <c r="AG386" s="340"/>
      <c r="AH386" s="340"/>
      <c r="AI386" s="301">
        <f t="shared" ref="AI386:AI449" ca="1" si="125">Z386-Y386</f>
        <v>0</v>
      </c>
      <c r="AJ386" s="302">
        <f t="shared" ref="AJ386:AJ449" ca="1" si="126">IF(AI386&gt;1,"Delayed",0)</f>
        <v>0</v>
      </c>
      <c r="AL386" s="303">
        <f t="shared" si="108"/>
        <v>0</v>
      </c>
      <c r="AM386" s="303">
        <f t="shared" si="109"/>
        <v>-3225825</v>
      </c>
      <c r="AN386" s="303">
        <f t="shared" si="110"/>
        <v>3225825</v>
      </c>
      <c r="AO386" s="304">
        <f t="shared" si="111"/>
        <v>0</v>
      </c>
      <c r="AP386" s="273">
        <f t="shared" si="113"/>
        <v>7</v>
      </c>
      <c r="AQ386" s="273" t="str">
        <f t="shared" ca="1" si="112"/>
        <v>71900</v>
      </c>
    </row>
    <row r="387" spans="1:43" ht="18">
      <c r="A387" s="392">
        <v>16</v>
      </c>
      <c r="B387" s="275" t="s">
        <v>2050</v>
      </c>
      <c r="C387" s="340"/>
      <c r="D387" s="332"/>
      <c r="E387" s="340"/>
      <c r="F387" s="334"/>
      <c r="G387" s="623"/>
      <c r="H387" s="331"/>
      <c r="I387" s="624"/>
      <c r="J387" s="822"/>
      <c r="K387" s="823" t="s">
        <v>2064</v>
      </c>
      <c r="L387" s="340" t="s">
        <v>2065</v>
      </c>
      <c r="M387" s="592">
        <v>0.05</v>
      </c>
      <c r="N387" s="340" t="s">
        <v>1593</v>
      </c>
      <c r="O387" s="594" t="s">
        <v>2066</v>
      </c>
      <c r="P387" s="826">
        <v>45864</v>
      </c>
      <c r="Q387" s="481" t="s">
        <v>2069</v>
      </c>
      <c r="R387" s="827">
        <v>2580660</v>
      </c>
      <c r="S387" s="621">
        <v>0</v>
      </c>
      <c r="T387" s="820"/>
      <c r="U387" s="340"/>
      <c r="V387" s="340"/>
      <c r="W387" s="594"/>
      <c r="X387" s="340" t="str">
        <f t="shared" ca="1" si="118"/>
        <v>0 WEEK</v>
      </c>
      <c r="Y387" s="436">
        <f t="shared" si="124"/>
        <v>0</v>
      </c>
      <c r="Z387" s="541" cm="1">
        <f t="array" aca="1" ref="Z387" ca="1">_xlfn.IFS(AD387&lt;100,Y387,Y387&lt;TODAY(),TODAY(),Y387&gt;TODAY(),Y387,Y387=TODAY(),Y387)</f>
        <v>0</v>
      </c>
      <c r="AA387" s="824"/>
      <c r="AB387" s="331"/>
      <c r="AC387" s="331"/>
      <c r="AD387" s="298">
        <f t="shared" ref="AD387:AD450" si="127">ROUND(AA387-AB387-AC387,0)</f>
        <v>0</v>
      </c>
      <c r="AE387" s="299" t="str">
        <f t="shared" ref="AE387:AE450" si="128">IF(AD387&lt;100,"Complete","Incomplete")</f>
        <v>Complete</v>
      </c>
      <c r="AF387" s="340"/>
      <c r="AG387" s="340"/>
      <c r="AH387" s="340"/>
      <c r="AI387" s="301">
        <f t="shared" ca="1" si="125"/>
        <v>0</v>
      </c>
      <c r="AJ387" s="302">
        <f t="shared" ca="1" si="126"/>
        <v>0</v>
      </c>
      <c r="AL387" s="303">
        <f t="shared" ref="AL387:AL450" si="129">I387-J387</f>
        <v>0</v>
      </c>
      <c r="AM387" s="303">
        <f t="shared" ref="AM387:AM450" si="130">IFERROR(I387-R387,0)</f>
        <v>-2580660</v>
      </c>
      <c r="AN387" s="303">
        <f t="shared" ref="AN387:AN450" si="131">IFERROR(R387-J387,0)</f>
        <v>2580660</v>
      </c>
      <c r="AO387" s="304">
        <f t="shared" ref="AO387:AO450" si="132">IFERROR(P387/J387,0)</f>
        <v>0</v>
      </c>
      <c r="AP387" s="273">
        <f t="shared" si="113"/>
        <v>7</v>
      </c>
      <c r="AQ387" s="273" t="str">
        <f t="shared" ref="AQ387:AQ450" si="133">AP387&amp;W387</f>
        <v>7</v>
      </c>
    </row>
    <row r="388" spans="1:43" ht="16.5">
      <c r="A388" s="392">
        <v>16</v>
      </c>
      <c r="B388" s="275" t="s">
        <v>2050</v>
      </c>
      <c r="C388" s="340" t="s">
        <v>2051</v>
      </c>
      <c r="D388" s="332" t="s">
        <v>2052</v>
      </c>
      <c r="E388" s="340"/>
      <c r="F388" s="334">
        <v>12.15</v>
      </c>
      <c r="G388" s="623">
        <v>4252500</v>
      </c>
      <c r="H388" s="331">
        <v>765450</v>
      </c>
      <c r="I388" s="624">
        <v>5017950</v>
      </c>
      <c r="J388" s="822"/>
      <c r="K388" s="823" t="s">
        <v>2070</v>
      </c>
      <c r="L388" s="340" t="s">
        <v>1595</v>
      </c>
      <c r="M388" s="592">
        <v>0.1</v>
      </c>
      <c r="N388" s="340" t="s">
        <v>1593</v>
      </c>
      <c r="O388" s="594" t="s">
        <v>2071</v>
      </c>
      <c r="P388" s="329">
        <v>45813</v>
      </c>
      <c r="Q388" s="481" t="s">
        <v>2072</v>
      </c>
      <c r="R388" s="825">
        <v>5017950</v>
      </c>
      <c r="S388" s="621"/>
      <c r="T388" s="820"/>
      <c r="U388" s="340"/>
      <c r="V388" s="340">
        <f t="shared" ref="V388:V453" ca="1" si="134">MONTH(Z388)</f>
        <v>1</v>
      </c>
      <c r="W388" s="594">
        <f t="shared" ref="W388:W453" ca="1" si="135">YEAR(Z388)</f>
        <v>1900</v>
      </c>
      <c r="X388" s="340" t="str">
        <f t="shared" ca="1" si="118"/>
        <v>0 WEEK</v>
      </c>
      <c r="Y388" s="436">
        <f t="shared" si="124"/>
        <v>0</v>
      </c>
      <c r="Z388" s="541" cm="1">
        <f t="array" aca="1" ref="Z388" ca="1">_xlfn.IFS(AD388&lt;100,Y388,Y388&lt;TODAY(),TODAY(),Y388&gt;TODAY(),Y388,Y388=TODAY(),Y388)</f>
        <v>0</v>
      </c>
      <c r="AA388" s="824">
        <f>SUM(I379:I402)*M388</f>
        <v>38400319.200000003</v>
      </c>
      <c r="AB388" s="301">
        <f>AA388-AC388</f>
        <v>38361918.880800001</v>
      </c>
      <c r="AC388" s="301">
        <f>AA388*0.1%</f>
        <v>38400.319200000005</v>
      </c>
      <c r="AD388" s="298">
        <f t="shared" si="127"/>
        <v>0</v>
      </c>
      <c r="AE388" s="299" t="str">
        <f t="shared" si="128"/>
        <v>Complete</v>
      </c>
      <c r="AF388" s="340"/>
      <c r="AG388" s="340"/>
      <c r="AH388" s="340"/>
      <c r="AI388" s="301">
        <f t="shared" ca="1" si="125"/>
        <v>0</v>
      </c>
      <c r="AJ388" s="302">
        <f t="shared" ca="1" si="126"/>
        <v>0</v>
      </c>
      <c r="AL388" s="303">
        <f t="shared" si="129"/>
        <v>5017950</v>
      </c>
      <c r="AM388" s="303">
        <f t="shared" si="130"/>
        <v>0</v>
      </c>
      <c r="AN388" s="303">
        <f t="shared" si="131"/>
        <v>5017950</v>
      </c>
      <c r="AO388" s="304">
        <f t="shared" si="132"/>
        <v>0</v>
      </c>
      <c r="AP388" s="273">
        <f t="shared" si="113"/>
        <v>6</v>
      </c>
      <c r="AQ388" s="273" t="str">
        <f t="shared" ca="1" si="133"/>
        <v>61900</v>
      </c>
    </row>
    <row r="389" spans="1:43" ht="16.5">
      <c r="A389" s="392">
        <v>16</v>
      </c>
      <c r="B389" s="275" t="s">
        <v>2050</v>
      </c>
      <c r="C389" s="340" t="s">
        <v>2051</v>
      </c>
      <c r="D389" s="332" t="s">
        <v>2052</v>
      </c>
      <c r="E389" s="340"/>
      <c r="F389" s="334">
        <v>12.15</v>
      </c>
      <c r="G389" s="623">
        <v>6682500</v>
      </c>
      <c r="H389" s="331">
        <v>1202850</v>
      </c>
      <c r="I389" s="624">
        <v>7885350</v>
      </c>
      <c r="J389" s="822"/>
      <c r="K389" s="823" t="s">
        <v>2070</v>
      </c>
      <c r="L389" s="340" t="s">
        <v>1595</v>
      </c>
      <c r="M389" s="592">
        <v>0.1</v>
      </c>
      <c r="N389" s="340" t="s">
        <v>1593</v>
      </c>
      <c r="O389" s="594" t="s">
        <v>2073</v>
      </c>
      <c r="P389" s="436">
        <v>45864</v>
      </c>
      <c r="Q389" s="481" t="s">
        <v>2069</v>
      </c>
      <c r="R389" s="825">
        <v>7885350</v>
      </c>
      <c r="S389" s="621"/>
      <c r="T389" s="820"/>
      <c r="U389" s="340"/>
      <c r="V389" s="340">
        <f t="shared" ca="1" si="134"/>
        <v>1</v>
      </c>
      <c r="W389" s="594">
        <f t="shared" ca="1" si="135"/>
        <v>1900</v>
      </c>
      <c r="X389" s="340" t="str">
        <f t="shared" ca="1" si="118"/>
        <v>0 WEEK</v>
      </c>
      <c r="Y389" s="436">
        <f t="shared" si="124"/>
        <v>0</v>
      </c>
      <c r="Z389" s="541" cm="1">
        <f t="array" aca="1" ref="Z389" ca="1">_xlfn.IFS(AD389&lt;100,Y389,Y389&lt;TODAY(),TODAY(),Y389&gt;TODAY(),Y389,Y389=TODAY(),Y389)</f>
        <v>0</v>
      </c>
      <c r="AA389" s="824"/>
      <c r="AB389" s="331"/>
      <c r="AC389" s="331"/>
      <c r="AD389" s="298">
        <f t="shared" si="127"/>
        <v>0</v>
      </c>
      <c r="AE389" s="299" t="str">
        <f t="shared" si="128"/>
        <v>Complete</v>
      </c>
      <c r="AF389" s="340"/>
      <c r="AG389" s="340"/>
      <c r="AH389" s="340"/>
      <c r="AI389" s="301">
        <f t="shared" ca="1" si="125"/>
        <v>0</v>
      </c>
      <c r="AJ389" s="302">
        <f t="shared" ca="1" si="126"/>
        <v>0</v>
      </c>
      <c r="AL389" s="303">
        <f t="shared" si="129"/>
        <v>7885350</v>
      </c>
      <c r="AM389" s="303">
        <f t="shared" si="130"/>
        <v>0</v>
      </c>
      <c r="AN389" s="303">
        <f t="shared" si="131"/>
        <v>7885350</v>
      </c>
      <c r="AO389" s="304">
        <f t="shared" si="132"/>
        <v>0</v>
      </c>
      <c r="AP389" s="273">
        <f t="shared" ref="AP389:AP452" si="136">MONTH(P389)</f>
        <v>7</v>
      </c>
      <c r="AQ389" s="273" t="str">
        <f t="shared" ca="1" si="133"/>
        <v>71900</v>
      </c>
    </row>
    <row r="390" spans="1:43" ht="15.75">
      <c r="A390" s="392">
        <v>16</v>
      </c>
      <c r="B390" s="275" t="s">
        <v>2050</v>
      </c>
      <c r="C390" s="340" t="s">
        <v>2051</v>
      </c>
      <c r="D390" s="332" t="s">
        <v>2052</v>
      </c>
      <c r="E390" s="340"/>
      <c r="F390" s="334">
        <v>12.15</v>
      </c>
      <c r="G390" s="623">
        <v>5710500</v>
      </c>
      <c r="H390" s="331">
        <v>1027890</v>
      </c>
      <c r="I390" s="624">
        <v>6738390</v>
      </c>
      <c r="J390" s="822"/>
      <c r="K390" s="823" t="s">
        <v>2070</v>
      </c>
      <c r="L390" s="340" t="s">
        <v>1595</v>
      </c>
      <c r="M390" s="592">
        <v>0.1</v>
      </c>
      <c r="N390" s="340" t="s">
        <v>1593</v>
      </c>
      <c r="O390" s="594" t="s">
        <v>2074</v>
      </c>
      <c r="P390" s="436">
        <v>45864</v>
      </c>
      <c r="Q390" s="340" t="s">
        <v>2069</v>
      </c>
      <c r="R390" s="825">
        <v>6738390</v>
      </c>
      <c r="S390" s="621"/>
      <c r="T390" s="820"/>
      <c r="U390" s="340"/>
      <c r="V390" s="340">
        <f t="shared" ca="1" si="134"/>
        <v>1</v>
      </c>
      <c r="W390" s="594">
        <f t="shared" ca="1" si="135"/>
        <v>1900</v>
      </c>
      <c r="X390" s="340" t="str">
        <f t="shared" ca="1" si="118"/>
        <v>0 WEEK</v>
      </c>
      <c r="Y390" s="436">
        <f t="shared" si="124"/>
        <v>0</v>
      </c>
      <c r="Z390" s="541" cm="1">
        <f t="array" aca="1" ref="Z390" ca="1">_xlfn.IFS(AD390&lt;100,Y390,Y390&lt;TODAY(),TODAY(),Y390&gt;TODAY(),Y390,Y390=TODAY(),Y390)</f>
        <v>0</v>
      </c>
      <c r="AA390" s="828"/>
      <c r="AB390" s="331"/>
      <c r="AC390" s="331"/>
      <c r="AD390" s="298">
        <f t="shared" si="127"/>
        <v>0</v>
      </c>
      <c r="AE390" s="299" t="str">
        <f t="shared" si="128"/>
        <v>Complete</v>
      </c>
      <c r="AF390" s="340"/>
      <c r="AG390" s="340"/>
      <c r="AH390" s="340"/>
      <c r="AI390" s="301">
        <f t="shared" ca="1" si="125"/>
        <v>0</v>
      </c>
      <c r="AJ390" s="302">
        <f t="shared" ca="1" si="126"/>
        <v>0</v>
      </c>
      <c r="AL390" s="303">
        <f t="shared" si="129"/>
        <v>6738390</v>
      </c>
      <c r="AM390" s="303">
        <f t="shared" si="130"/>
        <v>0</v>
      </c>
      <c r="AN390" s="303">
        <f t="shared" si="131"/>
        <v>6738390</v>
      </c>
      <c r="AO390" s="304">
        <f t="shared" si="132"/>
        <v>0</v>
      </c>
      <c r="AP390" s="273">
        <f t="shared" si="136"/>
        <v>7</v>
      </c>
      <c r="AQ390" s="273" t="str">
        <f t="shared" ca="1" si="133"/>
        <v>71900</v>
      </c>
    </row>
    <row r="391" spans="1:43" ht="15.75">
      <c r="A391" s="392">
        <v>16</v>
      </c>
      <c r="B391" s="275" t="s">
        <v>2050</v>
      </c>
      <c r="C391" s="340" t="s">
        <v>2051</v>
      </c>
      <c r="D391" s="332" t="s">
        <v>2052</v>
      </c>
      <c r="E391" s="340"/>
      <c r="F391" s="334">
        <v>12.15</v>
      </c>
      <c r="G391" s="623">
        <v>4252500</v>
      </c>
      <c r="H391" s="331">
        <v>765450</v>
      </c>
      <c r="I391" s="624">
        <v>5017950</v>
      </c>
      <c r="J391" s="822"/>
      <c r="K391" s="823" t="s">
        <v>2070</v>
      </c>
      <c r="L391" s="340" t="s">
        <v>1595</v>
      </c>
      <c r="M391" s="592">
        <v>0.1</v>
      </c>
      <c r="N391" s="340" t="s">
        <v>1593</v>
      </c>
      <c r="O391" s="594" t="s">
        <v>2075</v>
      </c>
      <c r="P391" s="578">
        <v>0</v>
      </c>
      <c r="Q391" s="340"/>
      <c r="R391" s="621">
        <v>0</v>
      </c>
      <c r="S391" s="621"/>
      <c r="T391" s="820"/>
      <c r="U391" s="340"/>
      <c r="V391" s="340">
        <f t="shared" ca="1" si="134"/>
        <v>1</v>
      </c>
      <c r="W391" s="594">
        <f t="shared" ca="1" si="135"/>
        <v>1900</v>
      </c>
      <c r="X391" s="340" t="str">
        <f t="shared" ca="1" si="118"/>
        <v>0 WEEK</v>
      </c>
      <c r="Y391" s="436">
        <f t="shared" si="124"/>
        <v>0</v>
      </c>
      <c r="Z391" s="541" cm="1">
        <f t="array" aca="1" ref="Z391" ca="1">_xlfn.IFS(AD391&lt;100,Y391,Y391&lt;TODAY(),TODAY(),Y391&gt;TODAY(),Y391,Y391=TODAY(),Y391)</f>
        <v>0</v>
      </c>
      <c r="AA391" s="828"/>
      <c r="AB391" s="331"/>
      <c r="AC391" s="331"/>
      <c r="AD391" s="298">
        <f t="shared" si="127"/>
        <v>0</v>
      </c>
      <c r="AE391" s="299" t="str">
        <f t="shared" si="128"/>
        <v>Complete</v>
      </c>
      <c r="AF391" s="340"/>
      <c r="AG391" s="340"/>
      <c r="AH391" s="340"/>
      <c r="AI391" s="301">
        <f t="shared" ca="1" si="125"/>
        <v>0</v>
      </c>
      <c r="AJ391" s="302">
        <f t="shared" ca="1" si="126"/>
        <v>0</v>
      </c>
      <c r="AL391" s="303">
        <f t="shared" si="129"/>
        <v>5017950</v>
      </c>
      <c r="AM391" s="303">
        <f t="shared" si="130"/>
        <v>5017950</v>
      </c>
      <c r="AN391" s="303">
        <f t="shared" si="131"/>
        <v>0</v>
      </c>
      <c r="AO391" s="304">
        <f t="shared" si="132"/>
        <v>0</v>
      </c>
      <c r="AP391" s="273">
        <f t="shared" si="136"/>
        <v>1</v>
      </c>
      <c r="AQ391" s="273" t="str">
        <f t="shared" ca="1" si="133"/>
        <v>11900</v>
      </c>
    </row>
    <row r="392" spans="1:43" ht="16.5">
      <c r="A392" s="392">
        <v>16</v>
      </c>
      <c r="B392" s="275" t="s">
        <v>2050</v>
      </c>
      <c r="C392" s="340" t="s">
        <v>2051</v>
      </c>
      <c r="D392" s="332" t="s">
        <v>2052</v>
      </c>
      <c r="E392" s="340"/>
      <c r="F392" s="334">
        <v>12.15</v>
      </c>
      <c r="G392" s="623">
        <v>10327500</v>
      </c>
      <c r="H392" s="331">
        <v>1858950</v>
      </c>
      <c r="I392" s="624">
        <v>12186450</v>
      </c>
      <c r="J392" s="822"/>
      <c r="K392" s="823" t="s">
        <v>2070</v>
      </c>
      <c r="L392" s="340" t="s">
        <v>1595</v>
      </c>
      <c r="M392" s="592">
        <v>0.1</v>
      </c>
      <c r="N392" s="340" t="s">
        <v>1593</v>
      </c>
      <c r="O392" s="594" t="s">
        <v>2076</v>
      </c>
      <c r="P392" s="829">
        <v>45864</v>
      </c>
      <c r="Q392" s="830" t="s">
        <v>2069</v>
      </c>
      <c r="R392" s="621">
        <v>12186450</v>
      </c>
      <c r="S392" s="621"/>
      <c r="T392" s="820"/>
      <c r="U392" s="340"/>
      <c r="V392" s="340">
        <f t="shared" ca="1" si="134"/>
        <v>1</v>
      </c>
      <c r="W392" s="594">
        <f t="shared" ca="1" si="135"/>
        <v>1900</v>
      </c>
      <c r="X392" s="340" t="str">
        <f t="shared" ca="1" si="118"/>
        <v>0 WEEK</v>
      </c>
      <c r="Y392" s="436">
        <f t="shared" si="124"/>
        <v>0</v>
      </c>
      <c r="Z392" s="541" cm="1">
        <f t="array" aca="1" ref="Z392" ca="1">_xlfn.IFS(AD392&lt;100,Y392,Y392&lt;TODAY(),TODAY(),Y392&gt;TODAY(),Y392,Y392=TODAY(),Y392)</f>
        <v>0</v>
      </c>
      <c r="AA392" s="828"/>
      <c r="AB392" s="331"/>
      <c r="AC392" s="331"/>
      <c r="AD392" s="298">
        <f t="shared" si="127"/>
        <v>0</v>
      </c>
      <c r="AE392" s="299" t="str">
        <f t="shared" si="128"/>
        <v>Complete</v>
      </c>
      <c r="AF392" s="340"/>
      <c r="AG392" s="340"/>
      <c r="AH392" s="340"/>
      <c r="AI392" s="301">
        <f t="shared" ca="1" si="125"/>
        <v>0</v>
      </c>
      <c r="AJ392" s="302">
        <f t="shared" ca="1" si="126"/>
        <v>0</v>
      </c>
      <c r="AL392" s="303">
        <f t="shared" si="129"/>
        <v>12186450</v>
      </c>
      <c r="AM392" s="303">
        <f t="shared" si="130"/>
        <v>0</v>
      </c>
      <c r="AN392" s="303">
        <f t="shared" si="131"/>
        <v>12186450</v>
      </c>
      <c r="AO392" s="304">
        <f t="shared" si="132"/>
        <v>0</v>
      </c>
      <c r="AP392" s="273">
        <f t="shared" si="136"/>
        <v>7</v>
      </c>
      <c r="AQ392" s="273" t="str">
        <f t="shared" ca="1" si="133"/>
        <v>71900</v>
      </c>
    </row>
    <row r="393" spans="1:43" ht="15.75">
      <c r="A393" s="392">
        <v>16</v>
      </c>
      <c r="B393" s="275" t="s">
        <v>2050</v>
      </c>
      <c r="C393" s="340" t="s">
        <v>2051</v>
      </c>
      <c r="D393" s="332" t="s">
        <v>2052</v>
      </c>
      <c r="E393" s="340"/>
      <c r="F393" s="334">
        <v>12.15</v>
      </c>
      <c r="G393" s="623">
        <v>12757500</v>
      </c>
      <c r="H393" s="331">
        <v>2296350</v>
      </c>
      <c r="I393" s="624">
        <v>15053850</v>
      </c>
      <c r="J393" s="822"/>
      <c r="K393" s="823" t="s">
        <v>2070</v>
      </c>
      <c r="L393" s="340" t="s">
        <v>1595</v>
      </c>
      <c r="M393" s="592">
        <v>0.1</v>
      </c>
      <c r="N393" s="340" t="s">
        <v>1593</v>
      </c>
      <c r="O393" s="594" t="s">
        <v>2077</v>
      </c>
      <c r="P393" s="329">
        <v>45803</v>
      </c>
      <c r="Q393" s="340" t="s">
        <v>2067</v>
      </c>
      <c r="R393" s="820">
        <v>1053770</v>
      </c>
      <c r="S393" s="621"/>
      <c r="T393" s="820"/>
      <c r="U393" s="340"/>
      <c r="V393" s="340">
        <f t="shared" ca="1" si="134"/>
        <v>1</v>
      </c>
      <c r="W393" s="594">
        <f t="shared" ca="1" si="135"/>
        <v>1900</v>
      </c>
      <c r="X393" s="340" t="str">
        <f t="shared" ca="1" si="118"/>
        <v>0 WEEK</v>
      </c>
      <c r="Y393" s="436">
        <f t="shared" si="124"/>
        <v>0</v>
      </c>
      <c r="Z393" s="541" cm="1">
        <f t="array" aca="1" ref="Z393" ca="1">_xlfn.IFS(AD393&lt;100,Y393,Y393&lt;TODAY(),TODAY(),Y393&gt;TODAY(),Y393,Y393=TODAY(),Y393)</f>
        <v>0</v>
      </c>
      <c r="AA393" s="828"/>
      <c r="AB393" s="331"/>
      <c r="AC393" s="331"/>
      <c r="AD393" s="298">
        <f t="shared" si="127"/>
        <v>0</v>
      </c>
      <c r="AE393" s="299" t="str">
        <f t="shared" si="128"/>
        <v>Complete</v>
      </c>
      <c r="AF393" s="340"/>
      <c r="AG393" s="340"/>
      <c r="AH393" s="340"/>
      <c r="AI393" s="301">
        <f t="shared" ca="1" si="125"/>
        <v>0</v>
      </c>
      <c r="AJ393" s="302">
        <f t="shared" ca="1" si="126"/>
        <v>0</v>
      </c>
      <c r="AL393" s="303">
        <f t="shared" si="129"/>
        <v>15053850</v>
      </c>
      <c r="AM393" s="303">
        <f t="shared" si="130"/>
        <v>14000080</v>
      </c>
      <c r="AN393" s="303">
        <f t="shared" si="131"/>
        <v>1053770</v>
      </c>
      <c r="AO393" s="304">
        <f t="shared" si="132"/>
        <v>0</v>
      </c>
      <c r="AP393" s="273">
        <f t="shared" si="136"/>
        <v>5</v>
      </c>
      <c r="AQ393" s="273" t="str">
        <f t="shared" ca="1" si="133"/>
        <v>51900</v>
      </c>
    </row>
    <row r="394" spans="1:43" ht="15.75">
      <c r="A394" s="392">
        <v>16</v>
      </c>
      <c r="B394" s="275" t="s">
        <v>2050</v>
      </c>
      <c r="C394" s="340" t="s">
        <v>2051</v>
      </c>
      <c r="D394" s="332" t="s">
        <v>2052</v>
      </c>
      <c r="E394" s="340"/>
      <c r="F394" s="334">
        <v>12.15</v>
      </c>
      <c r="G394" s="623"/>
      <c r="H394" s="331"/>
      <c r="I394" s="624"/>
      <c r="J394" s="822"/>
      <c r="K394" s="823" t="s">
        <v>2070</v>
      </c>
      <c r="L394" s="340" t="s">
        <v>1595</v>
      </c>
      <c r="M394" s="592">
        <v>0.1</v>
      </c>
      <c r="N394" s="340" t="s">
        <v>1593</v>
      </c>
      <c r="O394" s="594" t="s">
        <v>2077</v>
      </c>
      <c r="P394" s="329">
        <v>45828</v>
      </c>
      <c r="Q394" s="340" t="s">
        <v>2078</v>
      </c>
      <c r="R394" s="820">
        <v>451616</v>
      </c>
      <c r="S394" s="621"/>
      <c r="T394" s="820"/>
      <c r="U394" s="340"/>
      <c r="V394" s="340">
        <f t="shared" ca="1" si="134"/>
        <v>1</v>
      </c>
      <c r="W394" s="594">
        <f t="shared" ca="1" si="135"/>
        <v>1900</v>
      </c>
      <c r="X394" s="340" t="str">
        <f t="shared" ca="1" si="118"/>
        <v>0 WEEK</v>
      </c>
      <c r="Y394" s="436">
        <f t="shared" si="124"/>
        <v>0</v>
      </c>
      <c r="Z394" s="541" cm="1">
        <f t="array" aca="1" ref="Z394" ca="1">_xlfn.IFS(AD394&lt;100,Y394,Y394&lt;TODAY(),TODAY(),Y394&gt;TODAY(),Y394,Y394=TODAY(),Y394)</f>
        <v>0</v>
      </c>
      <c r="AA394" s="828"/>
      <c r="AB394" s="331"/>
      <c r="AC394" s="331"/>
      <c r="AD394" s="298">
        <f t="shared" si="127"/>
        <v>0</v>
      </c>
      <c r="AE394" s="299" t="str">
        <f t="shared" si="128"/>
        <v>Complete</v>
      </c>
      <c r="AF394" s="340"/>
      <c r="AG394" s="340"/>
      <c r="AH394" s="340"/>
      <c r="AI394" s="301">
        <f t="shared" ca="1" si="125"/>
        <v>0</v>
      </c>
      <c r="AJ394" s="302">
        <f t="shared" ca="1" si="126"/>
        <v>0</v>
      </c>
      <c r="AL394" s="303">
        <f t="shared" si="129"/>
        <v>0</v>
      </c>
      <c r="AM394" s="303">
        <f t="shared" si="130"/>
        <v>-451616</v>
      </c>
      <c r="AN394" s="303">
        <f t="shared" si="131"/>
        <v>451616</v>
      </c>
      <c r="AO394" s="304">
        <f t="shared" si="132"/>
        <v>0</v>
      </c>
      <c r="AP394" s="273">
        <f t="shared" si="136"/>
        <v>6</v>
      </c>
      <c r="AQ394" s="273" t="str">
        <f t="shared" ca="1" si="133"/>
        <v>61900</v>
      </c>
    </row>
    <row r="395" spans="1:43" ht="15.75">
      <c r="A395" s="392">
        <v>16</v>
      </c>
      <c r="B395" s="275" t="s">
        <v>2050</v>
      </c>
      <c r="C395" s="340" t="s">
        <v>2051</v>
      </c>
      <c r="D395" s="332" t="s">
        <v>2052</v>
      </c>
      <c r="E395" s="340"/>
      <c r="F395" s="334">
        <v>12.15</v>
      </c>
      <c r="G395" s="623"/>
      <c r="H395" s="331"/>
      <c r="I395" s="624"/>
      <c r="J395" s="822"/>
      <c r="K395" s="823" t="s">
        <v>2070</v>
      </c>
      <c r="L395" s="340" t="s">
        <v>1595</v>
      </c>
      <c r="M395" s="592">
        <v>0.1</v>
      </c>
      <c r="N395" s="340" t="s">
        <v>1593</v>
      </c>
      <c r="O395" s="594" t="s">
        <v>2077</v>
      </c>
      <c r="P395" s="329">
        <v>45842</v>
      </c>
      <c r="Q395" s="340" t="s">
        <v>2079</v>
      </c>
      <c r="R395" s="820">
        <v>301077</v>
      </c>
      <c r="S395" s="621"/>
      <c r="T395" s="820"/>
      <c r="U395" s="340"/>
      <c r="V395" s="340">
        <f t="shared" ca="1" si="134"/>
        <v>1</v>
      </c>
      <c r="W395" s="594">
        <f t="shared" ca="1" si="135"/>
        <v>1900</v>
      </c>
      <c r="X395" s="340" t="str">
        <f t="shared" ca="1" si="118"/>
        <v>0 WEEK</v>
      </c>
      <c r="Y395" s="436">
        <f t="shared" si="124"/>
        <v>0</v>
      </c>
      <c r="Z395" s="541" cm="1">
        <f t="array" aca="1" ref="Z395" ca="1">_xlfn.IFS(AD395&lt;100,Y395,Y395&lt;TODAY(),TODAY(),Y395&gt;TODAY(),Y395,Y395=TODAY(),Y395)</f>
        <v>0</v>
      </c>
      <c r="AA395" s="828"/>
      <c r="AB395" s="331"/>
      <c r="AC395" s="331"/>
      <c r="AD395" s="298">
        <f t="shared" si="127"/>
        <v>0</v>
      </c>
      <c r="AE395" s="299" t="str">
        <f t="shared" si="128"/>
        <v>Complete</v>
      </c>
      <c r="AF395" s="340"/>
      <c r="AG395" s="340"/>
      <c r="AH395" s="340"/>
      <c r="AI395" s="301">
        <f t="shared" ca="1" si="125"/>
        <v>0</v>
      </c>
      <c r="AJ395" s="302">
        <f t="shared" ca="1" si="126"/>
        <v>0</v>
      </c>
      <c r="AL395" s="303">
        <f t="shared" si="129"/>
        <v>0</v>
      </c>
      <c r="AM395" s="303">
        <f t="shared" si="130"/>
        <v>-301077</v>
      </c>
      <c r="AN395" s="303">
        <f t="shared" si="131"/>
        <v>301077</v>
      </c>
      <c r="AO395" s="304">
        <f t="shared" si="132"/>
        <v>0</v>
      </c>
      <c r="AP395" s="273">
        <f t="shared" si="136"/>
        <v>7</v>
      </c>
      <c r="AQ395" s="273" t="str">
        <f t="shared" ca="1" si="133"/>
        <v>71900</v>
      </c>
    </row>
    <row r="396" spans="1:43" ht="16.5">
      <c r="A396" s="392">
        <v>16</v>
      </c>
      <c r="B396" s="275" t="s">
        <v>2050</v>
      </c>
      <c r="C396" s="340" t="s">
        <v>2051</v>
      </c>
      <c r="D396" s="332" t="s">
        <v>2052</v>
      </c>
      <c r="E396" s="340"/>
      <c r="F396" s="334">
        <v>12.15</v>
      </c>
      <c r="G396" s="623"/>
      <c r="H396" s="331"/>
      <c r="I396" s="624"/>
      <c r="J396" s="822"/>
      <c r="K396" s="823" t="s">
        <v>2070</v>
      </c>
      <c r="L396" s="340" t="s">
        <v>1595</v>
      </c>
      <c r="M396" s="592">
        <v>0.1</v>
      </c>
      <c r="N396" s="340" t="s">
        <v>1593</v>
      </c>
      <c r="O396" s="594" t="s">
        <v>2077</v>
      </c>
      <c r="P396" s="831">
        <v>45843</v>
      </c>
      <c r="Q396" s="481" t="s">
        <v>2080</v>
      </c>
      <c r="R396" s="832">
        <v>602154</v>
      </c>
      <c r="S396" s="621"/>
      <c r="T396" s="820"/>
      <c r="U396" s="340"/>
      <c r="V396" s="340">
        <f t="shared" ca="1" si="134"/>
        <v>1</v>
      </c>
      <c r="W396" s="594">
        <f t="shared" ca="1" si="135"/>
        <v>1900</v>
      </c>
      <c r="X396" s="340" t="str">
        <f t="shared" ca="1" si="118"/>
        <v>0 WEEK</v>
      </c>
      <c r="Y396" s="436">
        <f t="shared" si="124"/>
        <v>0</v>
      </c>
      <c r="Z396" s="541" cm="1">
        <f t="array" aca="1" ref="Z396" ca="1">_xlfn.IFS(AD396&lt;100,Y396,Y396&lt;TODAY(),TODAY(),Y396&gt;TODAY(),Y396,Y396=TODAY(),Y396)</f>
        <v>0</v>
      </c>
      <c r="AA396" s="828"/>
      <c r="AB396" s="331"/>
      <c r="AC396" s="331"/>
      <c r="AD396" s="298">
        <f t="shared" si="127"/>
        <v>0</v>
      </c>
      <c r="AE396" s="299" t="str">
        <f t="shared" si="128"/>
        <v>Complete</v>
      </c>
      <c r="AF396" s="340"/>
      <c r="AG396" s="340"/>
      <c r="AH396" s="340"/>
      <c r="AI396" s="301">
        <f t="shared" ca="1" si="125"/>
        <v>0</v>
      </c>
      <c r="AJ396" s="302">
        <f t="shared" ca="1" si="126"/>
        <v>0</v>
      </c>
      <c r="AL396" s="303">
        <f t="shared" si="129"/>
        <v>0</v>
      </c>
      <c r="AM396" s="303">
        <f t="shared" si="130"/>
        <v>-602154</v>
      </c>
      <c r="AN396" s="303">
        <f t="shared" si="131"/>
        <v>602154</v>
      </c>
      <c r="AO396" s="304">
        <f t="shared" si="132"/>
        <v>0</v>
      </c>
      <c r="AP396" s="273">
        <f t="shared" si="136"/>
        <v>7</v>
      </c>
      <c r="AQ396" s="273" t="str">
        <f t="shared" ca="1" si="133"/>
        <v>71900</v>
      </c>
    </row>
    <row r="397" spans="1:43" ht="18">
      <c r="A397" s="392">
        <v>16</v>
      </c>
      <c r="B397" s="275" t="s">
        <v>2050</v>
      </c>
      <c r="C397" s="340" t="s">
        <v>2051</v>
      </c>
      <c r="D397" s="332" t="s">
        <v>2052</v>
      </c>
      <c r="E397" s="340"/>
      <c r="F397" s="334">
        <v>12.15</v>
      </c>
      <c r="G397" s="623"/>
      <c r="H397" s="331"/>
      <c r="I397" s="624"/>
      <c r="J397" s="822"/>
      <c r="K397" s="823" t="s">
        <v>2070</v>
      </c>
      <c r="L397" s="340" t="s">
        <v>1595</v>
      </c>
      <c r="M397" s="592">
        <v>0.1</v>
      </c>
      <c r="N397" s="340" t="s">
        <v>1593</v>
      </c>
      <c r="O397" s="594" t="s">
        <v>2077</v>
      </c>
      <c r="P397" s="831">
        <v>45864</v>
      </c>
      <c r="Q397" s="481" t="s">
        <v>2069</v>
      </c>
      <c r="R397" s="833">
        <v>9785003</v>
      </c>
      <c r="S397" s="621"/>
      <c r="T397" s="820"/>
      <c r="U397" s="340"/>
      <c r="V397" s="340">
        <f t="shared" ca="1" si="134"/>
        <v>1</v>
      </c>
      <c r="W397" s="594">
        <f t="shared" ca="1" si="135"/>
        <v>1900</v>
      </c>
      <c r="X397" s="340" t="str">
        <f t="shared" ca="1" si="118"/>
        <v>0 WEEK</v>
      </c>
      <c r="Y397" s="436">
        <f t="shared" si="124"/>
        <v>0</v>
      </c>
      <c r="Z397" s="541" cm="1">
        <f t="array" aca="1" ref="Z397" ca="1">_xlfn.IFS(AD397&lt;100,Y397,Y397&lt;TODAY(),TODAY(),Y397&gt;TODAY(),Y397,Y397=TODAY(),Y397)</f>
        <v>0</v>
      </c>
      <c r="AA397" s="828"/>
      <c r="AB397" s="331"/>
      <c r="AC397" s="331"/>
      <c r="AD397" s="298">
        <f t="shared" si="127"/>
        <v>0</v>
      </c>
      <c r="AE397" s="299" t="str">
        <f t="shared" si="128"/>
        <v>Complete</v>
      </c>
      <c r="AF397" s="340"/>
      <c r="AG397" s="340"/>
      <c r="AH397" s="340"/>
      <c r="AI397" s="301">
        <f t="shared" ca="1" si="125"/>
        <v>0</v>
      </c>
      <c r="AJ397" s="302">
        <f t="shared" ca="1" si="126"/>
        <v>0</v>
      </c>
      <c r="AL397" s="303">
        <f t="shared" si="129"/>
        <v>0</v>
      </c>
      <c r="AM397" s="303">
        <f t="shared" si="130"/>
        <v>-9785003</v>
      </c>
      <c r="AN397" s="303">
        <f t="shared" si="131"/>
        <v>9785003</v>
      </c>
      <c r="AO397" s="304">
        <f t="shared" si="132"/>
        <v>0</v>
      </c>
      <c r="AP397" s="273">
        <f t="shared" si="136"/>
        <v>7</v>
      </c>
      <c r="AQ397" s="273" t="str">
        <f t="shared" ca="1" si="133"/>
        <v>71900</v>
      </c>
    </row>
    <row r="398" spans="1:43" ht="15.75">
      <c r="A398" s="392">
        <v>16</v>
      </c>
      <c r="B398" s="275" t="s">
        <v>2050</v>
      </c>
      <c r="C398" s="340" t="s">
        <v>2051</v>
      </c>
      <c r="D398" s="332" t="s">
        <v>2052</v>
      </c>
      <c r="E398" s="340"/>
      <c r="F398" s="334">
        <v>12.15</v>
      </c>
      <c r="G398" s="623">
        <v>10424700</v>
      </c>
      <c r="H398" s="331">
        <v>1876446</v>
      </c>
      <c r="I398" s="624">
        <v>12301146</v>
      </c>
      <c r="J398" s="822"/>
      <c r="K398" s="823" t="s">
        <v>2081</v>
      </c>
      <c r="L398" s="340" t="s">
        <v>1617</v>
      </c>
      <c r="M398" s="592">
        <v>0.1</v>
      </c>
      <c r="N398" s="340" t="s">
        <v>1593</v>
      </c>
      <c r="O398" s="594" t="s">
        <v>2082</v>
      </c>
      <c r="P398" s="578">
        <v>0</v>
      </c>
      <c r="Q398" s="340"/>
      <c r="R398" s="621">
        <v>0</v>
      </c>
      <c r="S398" s="621"/>
      <c r="T398" s="820"/>
      <c r="U398" s="340"/>
      <c r="V398" s="340">
        <f t="shared" ca="1" si="134"/>
        <v>10</v>
      </c>
      <c r="W398" s="594">
        <f t="shared" ca="1" si="135"/>
        <v>2025</v>
      </c>
      <c r="X398" s="340" t="str">
        <f t="shared" ca="1" si="118"/>
        <v>1 WEEK</v>
      </c>
      <c r="Y398" s="436">
        <f t="shared" si="124"/>
        <v>0</v>
      </c>
      <c r="Z398" s="541" cm="1">
        <f t="array" aca="1" ref="Z398" ca="1">_xlfn.IFS(AD398&lt;100,Y398,Y398&lt;TODAY(),TODAY(),Y398&gt;TODAY(),Y398,Y398=TODAY(),Y398)</f>
        <v>45935</v>
      </c>
      <c r="AA398" s="828">
        <f>SUM(I379:I402)*M398</f>
        <v>38400319.200000003</v>
      </c>
      <c r="AB398" s="331">
        <v>31362451.395999968</v>
      </c>
      <c r="AC398" s="331">
        <f>AB398/98%*2%</f>
        <v>640050.02848979528</v>
      </c>
      <c r="AD398" s="298">
        <f t="shared" si="127"/>
        <v>6397818</v>
      </c>
      <c r="AE398" s="299" t="str">
        <f t="shared" si="128"/>
        <v>Incomplete</v>
      </c>
      <c r="AF398" s="340"/>
      <c r="AG398" s="340"/>
      <c r="AH398" s="340"/>
      <c r="AI398" s="301">
        <f t="shared" ca="1" si="125"/>
        <v>45935</v>
      </c>
      <c r="AJ398" s="302" t="str">
        <f t="shared" ca="1" si="126"/>
        <v>Delayed</v>
      </c>
      <c r="AL398" s="303">
        <f t="shared" si="129"/>
        <v>12301146</v>
      </c>
      <c r="AM398" s="303">
        <f t="shared" si="130"/>
        <v>12301146</v>
      </c>
      <c r="AN398" s="303">
        <f t="shared" si="131"/>
        <v>0</v>
      </c>
      <c r="AO398" s="304">
        <f t="shared" si="132"/>
        <v>0</v>
      </c>
      <c r="AP398" s="273">
        <f t="shared" si="136"/>
        <v>1</v>
      </c>
      <c r="AQ398" s="273" t="str">
        <f t="shared" ca="1" si="133"/>
        <v>12025</v>
      </c>
    </row>
    <row r="399" spans="1:43" ht="15.75">
      <c r="A399" s="392">
        <v>16</v>
      </c>
      <c r="B399" s="275" t="s">
        <v>2050</v>
      </c>
      <c r="C399" s="340" t="s">
        <v>2051</v>
      </c>
      <c r="D399" s="332" t="s">
        <v>2052</v>
      </c>
      <c r="E399" s="340"/>
      <c r="F399" s="334">
        <v>12.15</v>
      </c>
      <c r="G399" s="834">
        <v>11865000</v>
      </c>
      <c r="H399" s="835">
        <v>2135700</v>
      </c>
      <c r="I399" s="836">
        <v>14000700</v>
      </c>
      <c r="J399" s="822"/>
      <c r="K399" s="823" t="s">
        <v>2070</v>
      </c>
      <c r="L399" s="340" t="s">
        <v>1595</v>
      </c>
      <c r="M399" s="592">
        <v>0.1</v>
      </c>
      <c r="N399" s="340" t="s">
        <v>1593</v>
      </c>
      <c r="O399" s="594" t="s">
        <v>2083</v>
      </c>
      <c r="P399" s="578">
        <v>0</v>
      </c>
      <c r="Q399" s="340"/>
      <c r="R399" s="621">
        <v>0</v>
      </c>
      <c r="S399" s="621"/>
      <c r="T399" s="820"/>
      <c r="U399" s="340"/>
      <c r="V399" s="340">
        <f t="shared" ca="1" si="134"/>
        <v>1</v>
      </c>
      <c r="W399" s="594">
        <f t="shared" ca="1" si="135"/>
        <v>1900</v>
      </c>
      <c r="X399" s="340" t="str">
        <f t="shared" ref="X399:X464" ca="1" si="137">INT((DAY(Z399)-1)/7)+1&amp;" WEEK"</f>
        <v>0 WEEK</v>
      </c>
      <c r="Y399" s="436">
        <f t="shared" si="124"/>
        <v>0</v>
      </c>
      <c r="Z399" s="541" cm="1">
        <f t="array" aca="1" ref="Z399" ca="1">_xlfn.IFS(AD399&lt;100,Y399,Y399&lt;TODAY(),TODAY(),Y399&gt;TODAY(),Y399,Y399=TODAY(),Y399)</f>
        <v>0</v>
      </c>
      <c r="AA399" s="837"/>
      <c r="AB399" s="331"/>
      <c r="AC399" s="331"/>
      <c r="AD399" s="298">
        <f t="shared" si="127"/>
        <v>0</v>
      </c>
      <c r="AE399" s="299" t="str">
        <f t="shared" si="128"/>
        <v>Complete</v>
      </c>
      <c r="AF399" s="340"/>
      <c r="AG399" s="340"/>
      <c r="AH399" s="340"/>
      <c r="AI399" s="301">
        <f t="shared" ca="1" si="125"/>
        <v>0</v>
      </c>
      <c r="AJ399" s="302">
        <f t="shared" ca="1" si="126"/>
        <v>0</v>
      </c>
      <c r="AL399" s="303">
        <f t="shared" si="129"/>
        <v>14000700</v>
      </c>
      <c r="AM399" s="303">
        <f t="shared" si="130"/>
        <v>14000700</v>
      </c>
      <c r="AN399" s="303">
        <f t="shared" si="131"/>
        <v>0</v>
      </c>
      <c r="AO399" s="304">
        <f t="shared" si="132"/>
        <v>0</v>
      </c>
      <c r="AP399" s="273">
        <f t="shared" si="136"/>
        <v>1</v>
      </c>
      <c r="AQ399" s="273" t="str">
        <f t="shared" ca="1" si="133"/>
        <v>11900</v>
      </c>
    </row>
    <row r="400" spans="1:43" ht="16.5">
      <c r="A400" s="574">
        <v>16</v>
      </c>
      <c r="B400" s="275" t="s">
        <v>2050</v>
      </c>
      <c r="C400" s="340" t="s">
        <v>2051</v>
      </c>
      <c r="D400" s="369" t="s">
        <v>2052</v>
      </c>
      <c r="E400" s="378"/>
      <c r="F400" s="370">
        <v>12.15</v>
      </c>
      <c r="G400" s="623"/>
      <c r="H400" s="331"/>
      <c r="I400" s="624"/>
      <c r="J400" s="624"/>
      <c r="K400" s="590" t="s">
        <v>2070</v>
      </c>
      <c r="L400" s="340" t="s">
        <v>1595</v>
      </c>
      <c r="M400" s="592">
        <v>0.1</v>
      </c>
      <c r="N400" s="378" t="s">
        <v>1593</v>
      </c>
      <c r="O400" s="610" t="s">
        <v>2084</v>
      </c>
      <c r="P400" s="573">
        <v>0</v>
      </c>
      <c r="Q400" s="378"/>
      <c r="R400" s="838">
        <v>0</v>
      </c>
      <c r="S400" s="838"/>
      <c r="T400" s="839"/>
      <c r="U400" s="378"/>
      <c r="V400" s="340">
        <f t="shared" ca="1" si="134"/>
        <v>1</v>
      </c>
      <c r="W400" s="594">
        <f t="shared" ca="1" si="135"/>
        <v>1900</v>
      </c>
      <c r="X400" s="340" t="str">
        <f t="shared" ca="1" si="137"/>
        <v>0 WEEK</v>
      </c>
      <c r="Y400" s="436">
        <f t="shared" si="124"/>
        <v>0</v>
      </c>
      <c r="Z400" s="541" cm="1">
        <f t="array" aca="1" ref="Z400" ca="1">_xlfn.IFS(AD400&lt;100,Y400,Y400&lt;TODAY(),TODAY(),Y400&gt;TODAY(),Y400,Y400=TODAY(),Y400)</f>
        <v>0</v>
      </c>
      <c r="AA400" s="840"/>
      <c r="AB400" s="835"/>
      <c r="AC400" s="835"/>
      <c r="AD400" s="298">
        <f t="shared" si="127"/>
        <v>0</v>
      </c>
      <c r="AE400" s="299" t="str">
        <f t="shared" si="128"/>
        <v>Complete</v>
      </c>
      <c r="AF400" s="378"/>
      <c r="AG400" s="378"/>
      <c r="AH400" s="378"/>
      <c r="AI400" s="301">
        <f t="shared" ca="1" si="125"/>
        <v>0</v>
      </c>
      <c r="AJ400" s="302">
        <f t="shared" ca="1" si="126"/>
        <v>0</v>
      </c>
      <c r="AL400" s="303">
        <f t="shared" si="129"/>
        <v>0</v>
      </c>
      <c r="AM400" s="303">
        <f t="shared" si="130"/>
        <v>0</v>
      </c>
      <c r="AN400" s="303">
        <f t="shared" si="131"/>
        <v>0</v>
      </c>
      <c r="AO400" s="304">
        <f t="shared" si="132"/>
        <v>0</v>
      </c>
      <c r="AP400" s="273">
        <f t="shared" si="136"/>
        <v>1</v>
      </c>
      <c r="AQ400" s="273" t="str">
        <f t="shared" ca="1" si="133"/>
        <v>11900</v>
      </c>
    </row>
    <row r="401" spans="1:43" ht="16.5">
      <c r="A401" s="574">
        <v>16</v>
      </c>
      <c r="B401" s="275" t="s">
        <v>2050</v>
      </c>
      <c r="C401" s="340" t="s">
        <v>2051</v>
      </c>
      <c r="D401" s="369" t="s">
        <v>2052</v>
      </c>
      <c r="E401" s="378"/>
      <c r="F401" s="370">
        <v>12.15</v>
      </c>
      <c r="G401" s="623"/>
      <c r="H401" s="331"/>
      <c r="I401" s="624"/>
      <c r="J401" s="624"/>
      <c r="K401" s="590" t="s">
        <v>2085</v>
      </c>
      <c r="L401" s="340" t="s">
        <v>2086</v>
      </c>
      <c r="M401" s="592">
        <v>0.1</v>
      </c>
      <c r="N401" s="378" t="s">
        <v>1593</v>
      </c>
      <c r="O401" s="732"/>
      <c r="P401" s="431">
        <v>0</v>
      </c>
      <c r="Q401" s="390"/>
      <c r="R401" s="838">
        <v>0</v>
      </c>
      <c r="S401" s="841"/>
      <c r="T401" s="842"/>
      <c r="U401" s="390"/>
      <c r="V401" s="340">
        <f t="shared" ca="1" si="134"/>
        <v>10</v>
      </c>
      <c r="W401" s="594">
        <f t="shared" ca="1" si="135"/>
        <v>2025</v>
      </c>
      <c r="X401" s="340" t="str">
        <f t="shared" ca="1" si="137"/>
        <v>1 WEEK</v>
      </c>
      <c r="Y401" s="436">
        <f t="shared" si="124"/>
        <v>0</v>
      </c>
      <c r="Z401" s="541" cm="1">
        <f t="array" aca="1" ref="Z401" ca="1">_xlfn.IFS(AD401&lt;100,Y401,Y401&lt;TODAY(),TODAY(),Y401&gt;TODAY(),Y401,Y401=TODAY(),Y401)</f>
        <v>45935</v>
      </c>
      <c r="AA401" s="843">
        <f>SUM(I379:I402)*M401</f>
        <v>38400319.200000003</v>
      </c>
      <c r="AB401" s="844"/>
      <c r="AC401" s="844"/>
      <c r="AD401" s="298">
        <f t="shared" si="127"/>
        <v>38400319</v>
      </c>
      <c r="AE401" s="299" t="str">
        <f t="shared" si="128"/>
        <v>Incomplete</v>
      </c>
      <c r="AF401" s="390"/>
      <c r="AG401" s="390"/>
      <c r="AH401" s="390"/>
      <c r="AI401" s="301">
        <f t="shared" ca="1" si="125"/>
        <v>45935</v>
      </c>
      <c r="AJ401" s="302" t="str">
        <f t="shared" ca="1" si="126"/>
        <v>Delayed</v>
      </c>
      <c r="AL401" s="303">
        <f t="shared" si="129"/>
        <v>0</v>
      </c>
      <c r="AM401" s="303">
        <f t="shared" si="130"/>
        <v>0</v>
      </c>
      <c r="AN401" s="303">
        <f t="shared" si="131"/>
        <v>0</v>
      </c>
      <c r="AO401" s="304">
        <f t="shared" si="132"/>
        <v>0</v>
      </c>
      <c r="AP401" s="273">
        <f t="shared" si="136"/>
        <v>1</v>
      </c>
      <c r="AQ401" s="273" t="str">
        <f t="shared" ca="1" si="133"/>
        <v>12025</v>
      </c>
    </row>
    <row r="402" spans="1:43" ht="16.5">
      <c r="A402" s="845">
        <v>16</v>
      </c>
      <c r="B402" s="275" t="s">
        <v>2050</v>
      </c>
      <c r="C402" s="340" t="s">
        <v>2051</v>
      </c>
      <c r="D402" s="369" t="s">
        <v>2052</v>
      </c>
      <c r="E402" s="378"/>
      <c r="F402" s="370">
        <v>12.15</v>
      </c>
      <c r="G402" s="623"/>
      <c r="H402" s="331"/>
      <c r="I402" s="624"/>
      <c r="J402" s="624"/>
      <c r="K402" s="590" t="s">
        <v>2087</v>
      </c>
      <c r="L402" s="390" t="s">
        <v>2088</v>
      </c>
      <c r="M402" s="592">
        <v>0.1</v>
      </c>
      <c r="N402" s="378" t="s">
        <v>1593</v>
      </c>
      <c r="O402" s="732"/>
      <c r="P402" s="431">
        <v>0</v>
      </c>
      <c r="Q402" s="390"/>
      <c r="R402" s="838">
        <v>0</v>
      </c>
      <c r="S402" s="841"/>
      <c r="T402" s="842"/>
      <c r="U402" s="390"/>
      <c r="V402" s="340">
        <f t="shared" ca="1" si="134"/>
        <v>10</v>
      </c>
      <c r="W402" s="594">
        <f t="shared" ca="1" si="135"/>
        <v>2025</v>
      </c>
      <c r="X402" s="340" t="str">
        <f t="shared" ca="1" si="137"/>
        <v>1 WEEK</v>
      </c>
      <c r="Y402" s="436">
        <f t="shared" si="124"/>
        <v>0</v>
      </c>
      <c r="Z402" s="541" cm="1">
        <f t="array" aca="1" ref="Z402" ca="1">_xlfn.IFS(AD402&lt;100,Y402,Y402&lt;TODAY(),TODAY(),Y402&gt;TODAY(),Y402,Y402=TODAY(),Y402)</f>
        <v>45935</v>
      </c>
      <c r="AA402" s="843">
        <f>SUM(I379:I402)*M402+SUM(H379:H402)*M379</f>
        <v>47801157.600000001</v>
      </c>
      <c r="AB402" s="844"/>
      <c r="AC402" s="844"/>
      <c r="AD402" s="298">
        <f t="shared" si="127"/>
        <v>47801158</v>
      </c>
      <c r="AE402" s="299" t="str">
        <f t="shared" si="128"/>
        <v>Incomplete</v>
      </c>
      <c r="AF402" s="390"/>
      <c r="AG402" s="390"/>
      <c r="AH402" s="390"/>
      <c r="AI402" s="301">
        <f t="shared" ca="1" si="125"/>
        <v>45935</v>
      </c>
      <c r="AJ402" s="302" t="str">
        <f t="shared" ca="1" si="126"/>
        <v>Delayed</v>
      </c>
      <c r="AL402" s="303">
        <f t="shared" si="129"/>
        <v>0</v>
      </c>
      <c r="AM402" s="303">
        <f t="shared" si="130"/>
        <v>0</v>
      </c>
      <c r="AN402" s="303">
        <f t="shared" si="131"/>
        <v>0</v>
      </c>
      <c r="AO402" s="304">
        <f t="shared" si="132"/>
        <v>0</v>
      </c>
      <c r="AP402" s="273">
        <f t="shared" si="136"/>
        <v>1</v>
      </c>
      <c r="AQ402" s="273" t="str">
        <f t="shared" ca="1" si="133"/>
        <v>12025</v>
      </c>
    </row>
    <row r="403" spans="1:43" ht="16.5">
      <c r="A403" s="845"/>
      <c r="B403" s="390"/>
      <c r="C403" s="390"/>
      <c r="D403" s="425"/>
      <c r="E403" s="390"/>
      <c r="F403" s="846"/>
      <c r="G403" s="847"/>
      <c r="H403" s="844"/>
      <c r="I403" s="848"/>
      <c r="J403" s="848"/>
      <c r="K403" s="849"/>
      <c r="L403" s="390"/>
      <c r="M403" s="659"/>
      <c r="N403" s="390"/>
      <c r="O403" s="850"/>
      <c r="P403" s="431">
        <v>0</v>
      </c>
      <c r="Q403" s="390"/>
      <c r="R403" s="841"/>
      <c r="S403" s="841"/>
      <c r="T403" s="842"/>
      <c r="U403" s="390"/>
      <c r="V403" s="378">
        <f t="shared" ca="1" si="134"/>
        <v>1</v>
      </c>
      <c r="W403" s="811">
        <f t="shared" ca="1" si="135"/>
        <v>1900</v>
      </c>
      <c r="X403" s="378" t="str">
        <f t="shared" ca="1" si="137"/>
        <v>0 WEEK</v>
      </c>
      <c r="Y403" s="436">
        <f t="shared" si="124"/>
        <v>0</v>
      </c>
      <c r="Z403" s="541" cm="1">
        <f t="array" aca="1" ref="Z403" ca="1">_xlfn.IFS(AD403&lt;100,Y403,Y403&lt;TODAY(),TODAY(),Y403&gt;TODAY(),Y403,Y403=TODAY(),Y403)</f>
        <v>0</v>
      </c>
      <c r="AA403" s="843"/>
      <c r="AB403" s="844"/>
      <c r="AC403" s="844"/>
      <c r="AD403" s="298">
        <f t="shared" si="127"/>
        <v>0</v>
      </c>
      <c r="AE403" s="299" t="str">
        <f t="shared" si="128"/>
        <v>Complete</v>
      </c>
      <c r="AF403" s="390"/>
      <c r="AG403" s="390"/>
      <c r="AH403" s="390"/>
      <c r="AI403" s="301">
        <f t="shared" ca="1" si="125"/>
        <v>0</v>
      </c>
      <c r="AJ403" s="302">
        <f t="shared" ca="1" si="126"/>
        <v>0</v>
      </c>
      <c r="AL403" s="303">
        <f t="shared" si="129"/>
        <v>0</v>
      </c>
      <c r="AM403" s="303">
        <f t="shared" si="130"/>
        <v>0</v>
      </c>
      <c r="AN403" s="303">
        <f t="shared" si="131"/>
        <v>0</v>
      </c>
      <c r="AO403" s="304">
        <f t="shared" si="132"/>
        <v>0</v>
      </c>
      <c r="AP403" s="273">
        <f t="shared" si="136"/>
        <v>1</v>
      </c>
      <c r="AQ403" s="273" t="str">
        <f t="shared" ca="1" si="133"/>
        <v>11900</v>
      </c>
    </row>
    <row r="404" spans="1:43" ht="18">
      <c r="A404" s="392">
        <v>17</v>
      </c>
      <c r="B404" s="291" t="s">
        <v>2089</v>
      </c>
      <c r="C404" s="291" t="s">
        <v>2090</v>
      </c>
      <c r="D404" s="277" t="s">
        <v>2091</v>
      </c>
      <c r="G404" s="851"/>
      <c r="H404" s="852"/>
      <c r="I404" s="822"/>
      <c r="J404" s="822"/>
      <c r="K404" s="823"/>
      <c r="O404" s="791"/>
      <c r="P404" s="447">
        <v>0</v>
      </c>
      <c r="R404" s="741" t="e">
        <v>#VALUE!</v>
      </c>
      <c r="S404" s="853"/>
      <c r="T404" s="854"/>
      <c r="V404" s="378">
        <f t="shared" ca="1" si="134"/>
        <v>1</v>
      </c>
      <c r="W404" s="811">
        <f t="shared" ca="1" si="135"/>
        <v>1900</v>
      </c>
      <c r="X404" s="378" t="str">
        <f t="shared" ca="1" si="137"/>
        <v>0 WEEK</v>
      </c>
      <c r="Y404" s="436">
        <f t="shared" si="124"/>
        <v>0</v>
      </c>
      <c r="Z404" s="541" cm="1">
        <f t="array" aca="1" ref="Z404" ca="1">_xlfn.IFS(AD404&lt;100,Y404,Y404&lt;TODAY(),TODAY(),Y404&gt;TODAY(),Y404,Y404=TODAY(),Y404)</f>
        <v>0</v>
      </c>
      <c r="AA404" s="855"/>
      <c r="AB404" s="852"/>
      <c r="AC404" s="852"/>
      <c r="AD404" s="298">
        <f t="shared" si="127"/>
        <v>0</v>
      </c>
      <c r="AE404" s="299" t="str">
        <f t="shared" si="128"/>
        <v>Complete</v>
      </c>
      <c r="AI404" s="301">
        <f t="shared" ca="1" si="125"/>
        <v>0</v>
      </c>
      <c r="AJ404" s="302">
        <f t="shared" ca="1" si="126"/>
        <v>0</v>
      </c>
      <c r="AL404" s="303">
        <f t="shared" si="129"/>
        <v>0</v>
      </c>
      <c r="AM404" s="303">
        <f t="shared" si="130"/>
        <v>0</v>
      </c>
      <c r="AN404" s="303">
        <f t="shared" si="131"/>
        <v>0</v>
      </c>
      <c r="AO404" s="304">
        <f t="shared" si="132"/>
        <v>0</v>
      </c>
      <c r="AP404" s="273">
        <f t="shared" si="136"/>
        <v>1</v>
      </c>
      <c r="AQ404" s="273" t="str">
        <f t="shared" ca="1" si="133"/>
        <v>11900</v>
      </c>
    </row>
    <row r="405" spans="1:43" ht="16.5">
      <c r="A405" s="392">
        <v>17</v>
      </c>
      <c r="B405" s="291" t="s">
        <v>2089</v>
      </c>
      <c r="C405" s="291" t="s">
        <v>2090</v>
      </c>
      <c r="D405" s="277" t="s">
        <v>2091</v>
      </c>
      <c r="E405" s="291"/>
      <c r="F405" s="279"/>
      <c r="G405" s="856">
        <v>7068050</v>
      </c>
      <c r="H405" s="857">
        <v>848166</v>
      </c>
      <c r="I405" s="858">
        <v>7916216</v>
      </c>
      <c r="J405" s="858"/>
      <c r="K405" s="291"/>
      <c r="L405" s="291"/>
      <c r="M405" s="583"/>
      <c r="N405" s="291" t="s">
        <v>1593</v>
      </c>
      <c r="O405" s="732" t="s">
        <v>2092</v>
      </c>
      <c r="P405" s="293">
        <v>45747</v>
      </c>
      <c r="Q405" s="291" t="s">
        <v>2093</v>
      </c>
      <c r="R405" s="760">
        <v>7916216</v>
      </c>
      <c r="S405" s="760"/>
      <c r="T405" s="859"/>
      <c r="U405" s="291"/>
      <c r="V405" s="378">
        <f t="shared" ca="1" si="134"/>
        <v>1</v>
      </c>
      <c r="W405" s="811">
        <f t="shared" ca="1" si="135"/>
        <v>1900</v>
      </c>
      <c r="X405" s="378" t="str">
        <f t="shared" ca="1" si="137"/>
        <v>0 WEEK</v>
      </c>
      <c r="Y405" s="436">
        <f t="shared" si="124"/>
        <v>0</v>
      </c>
      <c r="Z405" s="541" cm="1">
        <f t="array" aca="1" ref="Z405" ca="1">_xlfn.IFS(AD405&lt;100,Y405,Y405&lt;TODAY(),TODAY(),Y405&gt;TODAY(),Y405,Y405=TODAY(),Y405)</f>
        <v>0</v>
      </c>
      <c r="AA405" s="860"/>
      <c r="AB405" s="861">
        <v>236985463</v>
      </c>
      <c r="AC405" s="857"/>
      <c r="AD405" s="298">
        <f t="shared" si="127"/>
        <v>-236985463</v>
      </c>
      <c r="AE405" s="299" t="str">
        <f t="shared" si="128"/>
        <v>Complete</v>
      </c>
      <c r="AF405" s="291"/>
      <c r="AG405" s="291"/>
      <c r="AH405" s="291"/>
      <c r="AI405" s="301">
        <f t="shared" ca="1" si="125"/>
        <v>0</v>
      </c>
      <c r="AJ405" s="302">
        <f t="shared" ca="1" si="126"/>
        <v>0</v>
      </c>
      <c r="AL405" s="303">
        <f t="shared" si="129"/>
        <v>7916216</v>
      </c>
      <c r="AM405" s="303">
        <f t="shared" si="130"/>
        <v>0</v>
      </c>
      <c r="AN405" s="303">
        <f t="shared" si="131"/>
        <v>7916216</v>
      </c>
      <c r="AO405" s="304">
        <f t="shared" si="132"/>
        <v>0</v>
      </c>
      <c r="AP405" s="273">
        <f t="shared" si="136"/>
        <v>3</v>
      </c>
      <c r="AQ405" s="273" t="str">
        <f t="shared" ca="1" si="133"/>
        <v>31900</v>
      </c>
    </row>
    <row r="406" spans="1:43" ht="16.5">
      <c r="A406" s="392">
        <v>17</v>
      </c>
      <c r="B406" s="340" t="s">
        <v>2089</v>
      </c>
      <c r="C406" s="340" t="s">
        <v>2090</v>
      </c>
      <c r="D406" s="277" t="s">
        <v>2091</v>
      </c>
      <c r="E406" s="340"/>
      <c r="F406" s="334"/>
      <c r="G406" s="623">
        <v>843835</v>
      </c>
      <c r="H406" s="331">
        <v>151890.29999999999</v>
      </c>
      <c r="I406" s="624">
        <v>995725</v>
      </c>
      <c r="J406" s="624"/>
      <c r="K406" s="340"/>
      <c r="L406" s="340"/>
      <c r="M406" s="592"/>
      <c r="N406" s="340" t="s">
        <v>1593</v>
      </c>
      <c r="O406" s="610" t="s">
        <v>2094</v>
      </c>
      <c r="P406" s="329">
        <v>45838</v>
      </c>
      <c r="Q406" s="340" t="s">
        <v>2095</v>
      </c>
      <c r="R406" s="621">
        <v>995725</v>
      </c>
      <c r="S406" s="621"/>
      <c r="T406" s="820"/>
      <c r="U406" s="340"/>
      <c r="V406" s="378">
        <f t="shared" ca="1" si="134"/>
        <v>1</v>
      </c>
      <c r="W406" s="811">
        <f t="shared" ca="1" si="135"/>
        <v>1900</v>
      </c>
      <c r="X406" s="378" t="str">
        <f t="shared" ca="1" si="137"/>
        <v>0 WEEK</v>
      </c>
      <c r="Y406" s="436">
        <f t="shared" si="124"/>
        <v>0</v>
      </c>
      <c r="Z406" s="541" cm="1">
        <f t="array" aca="1" ref="Z406" ca="1">_xlfn.IFS(AD406&lt;100,Y406,Y406&lt;TODAY(),TODAY(),Y406&gt;TODAY(),Y406,Y406=TODAY(),Y406)</f>
        <v>0</v>
      </c>
      <c r="AA406" s="837"/>
      <c r="AB406" s="331"/>
      <c r="AC406" s="331"/>
      <c r="AD406" s="298">
        <f t="shared" si="127"/>
        <v>0</v>
      </c>
      <c r="AE406" s="299" t="str">
        <f t="shared" si="128"/>
        <v>Complete</v>
      </c>
      <c r="AF406" s="340"/>
      <c r="AG406" s="340"/>
      <c r="AH406" s="340"/>
      <c r="AI406" s="301">
        <f t="shared" ca="1" si="125"/>
        <v>0</v>
      </c>
      <c r="AJ406" s="302">
        <f t="shared" ca="1" si="126"/>
        <v>0</v>
      </c>
      <c r="AL406" s="303">
        <f t="shared" si="129"/>
        <v>995725</v>
      </c>
      <c r="AM406" s="303">
        <f t="shared" si="130"/>
        <v>0</v>
      </c>
      <c r="AN406" s="303">
        <f t="shared" si="131"/>
        <v>995725</v>
      </c>
      <c r="AO406" s="304">
        <f t="shared" si="132"/>
        <v>0</v>
      </c>
      <c r="AP406" s="273">
        <f t="shared" si="136"/>
        <v>6</v>
      </c>
      <c r="AQ406" s="273" t="str">
        <f t="shared" ca="1" si="133"/>
        <v>61900</v>
      </c>
    </row>
    <row r="407" spans="1:43" ht="16.5">
      <c r="A407" s="392">
        <v>17</v>
      </c>
      <c r="B407" s="340" t="s">
        <v>2089</v>
      </c>
      <c r="C407" s="340" t="s">
        <v>2090</v>
      </c>
      <c r="D407" s="277" t="s">
        <v>2091</v>
      </c>
      <c r="E407" s="340"/>
      <c r="F407" s="334"/>
      <c r="G407" s="623">
        <v>527530</v>
      </c>
      <c r="H407" s="331">
        <v>63303.6</v>
      </c>
      <c r="I407" s="624">
        <v>590834</v>
      </c>
      <c r="J407" s="624"/>
      <c r="K407" s="340"/>
      <c r="L407" s="340"/>
      <c r="M407" s="592"/>
      <c r="N407" s="340" t="s">
        <v>1593</v>
      </c>
      <c r="O407" s="610" t="s">
        <v>2096</v>
      </c>
      <c r="P407" s="329">
        <v>45744</v>
      </c>
      <c r="Q407" s="340" t="s">
        <v>2097</v>
      </c>
      <c r="R407" s="621">
        <v>590834</v>
      </c>
      <c r="S407" s="621"/>
      <c r="T407" s="820"/>
      <c r="U407" s="340"/>
      <c r="V407" s="378">
        <f t="shared" ca="1" si="134"/>
        <v>1</v>
      </c>
      <c r="W407" s="811">
        <f t="shared" ca="1" si="135"/>
        <v>1900</v>
      </c>
      <c r="X407" s="378" t="str">
        <f t="shared" ca="1" si="137"/>
        <v>0 WEEK</v>
      </c>
      <c r="Y407" s="436">
        <f t="shared" si="124"/>
        <v>0</v>
      </c>
      <c r="Z407" s="541" cm="1">
        <f t="array" aca="1" ref="Z407" ca="1">_xlfn.IFS(AD407&lt;100,Y407,Y407&lt;TODAY(),TODAY(),Y407&gt;TODAY(),Y407,Y407=TODAY(),Y407)</f>
        <v>0</v>
      </c>
      <c r="AA407" s="837"/>
      <c r="AB407" s="331"/>
      <c r="AC407" s="331"/>
      <c r="AD407" s="298">
        <f t="shared" si="127"/>
        <v>0</v>
      </c>
      <c r="AE407" s="299" t="str">
        <f t="shared" si="128"/>
        <v>Complete</v>
      </c>
      <c r="AF407" s="340"/>
      <c r="AG407" s="340"/>
      <c r="AH407" s="340"/>
      <c r="AI407" s="301">
        <f t="shared" ca="1" si="125"/>
        <v>0</v>
      </c>
      <c r="AJ407" s="302">
        <f t="shared" ca="1" si="126"/>
        <v>0</v>
      </c>
      <c r="AL407" s="303">
        <f t="shared" si="129"/>
        <v>590834</v>
      </c>
      <c r="AM407" s="303">
        <f t="shared" si="130"/>
        <v>0</v>
      </c>
      <c r="AN407" s="303">
        <f t="shared" si="131"/>
        <v>590834</v>
      </c>
      <c r="AO407" s="304">
        <f t="shared" si="132"/>
        <v>0</v>
      </c>
      <c r="AP407" s="273">
        <f t="shared" si="136"/>
        <v>3</v>
      </c>
      <c r="AQ407" s="273" t="str">
        <f t="shared" ca="1" si="133"/>
        <v>31900</v>
      </c>
    </row>
    <row r="408" spans="1:43" ht="16.5">
      <c r="A408" s="392">
        <v>17</v>
      </c>
      <c r="B408" s="340" t="s">
        <v>2089</v>
      </c>
      <c r="C408" s="340" t="s">
        <v>2090</v>
      </c>
      <c r="D408" s="277" t="s">
        <v>2091</v>
      </c>
      <c r="E408" s="340"/>
      <c r="F408" s="334"/>
      <c r="G408" s="623"/>
      <c r="H408" s="331"/>
      <c r="I408" s="624"/>
      <c r="J408" s="624"/>
      <c r="K408" s="340"/>
      <c r="L408" s="340"/>
      <c r="M408" s="592"/>
      <c r="N408" s="340" t="s">
        <v>1593</v>
      </c>
      <c r="O408" s="610" t="s">
        <v>1835</v>
      </c>
      <c r="P408" s="578">
        <v>0</v>
      </c>
      <c r="Q408" s="340"/>
      <c r="R408" s="621">
        <v>0</v>
      </c>
      <c r="S408" s="621"/>
      <c r="T408" s="820"/>
      <c r="U408" s="340"/>
      <c r="V408" s="378">
        <f t="shared" ca="1" si="134"/>
        <v>1</v>
      </c>
      <c r="W408" s="811">
        <f t="shared" ca="1" si="135"/>
        <v>1900</v>
      </c>
      <c r="X408" s="378" t="str">
        <f t="shared" ca="1" si="137"/>
        <v>0 WEEK</v>
      </c>
      <c r="Y408" s="436">
        <f t="shared" si="124"/>
        <v>0</v>
      </c>
      <c r="Z408" s="541" cm="1">
        <f t="array" aca="1" ref="Z408" ca="1">_xlfn.IFS(AD408&lt;100,Y408,Y408&lt;TODAY(),TODAY(),Y408&gt;TODAY(),Y408,Y408=TODAY(),Y408)</f>
        <v>0</v>
      </c>
      <c r="AA408" s="837"/>
      <c r="AB408" s="331"/>
      <c r="AC408" s="331"/>
      <c r="AD408" s="298">
        <f t="shared" si="127"/>
        <v>0</v>
      </c>
      <c r="AE408" s="299" t="str">
        <f t="shared" si="128"/>
        <v>Complete</v>
      </c>
      <c r="AF408" s="340"/>
      <c r="AG408" s="340"/>
      <c r="AH408" s="340"/>
      <c r="AI408" s="301">
        <f t="shared" ca="1" si="125"/>
        <v>0</v>
      </c>
      <c r="AJ408" s="302">
        <f t="shared" ca="1" si="126"/>
        <v>0</v>
      </c>
      <c r="AL408" s="303">
        <f t="shared" si="129"/>
        <v>0</v>
      </c>
      <c r="AM408" s="303">
        <f t="shared" si="130"/>
        <v>0</v>
      </c>
      <c r="AN408" s="303">
        <f t="shared" si="131"/>
        <v>0</v>
      </c>
      <c r="AO408" s="304">
        <f t="shared" si="132"/>
        <v>0</v>
      </c>
      <c r="AP408" s="273">
        <f t="shared" si="136"/>
        <v>1</v>
      </c>
      <c r="AQ408" s="273" t="str">
        <f t="shared" ca="1" si="133"/>
        <v>11900</v>
      </c>
    </row>
    <row r="409" spans="1:43" ht="16.5">
      <c r="A409" s="392">
        <v>17</v>
      </c>
      <c r="B409" s="340" t="s">
        <v>2089</v>
      </c>
      <c r="C409" s="340" t="s">
        <v>2090</v>
      </c>
      <c r="D409" s="277" t="s">
        <v>2091</v>
      </c>
      <c r="E409" s="340"/>
      <c r="F409" s="334"/>
      <c r="G409" s="623">
        <v>211225</v>
      </c>
      <c r="H409" s="331">
        <v>38020.5</v>
      </c>
      <c r="I409" s="624">
        <v>249246</v>
      </c>
      <c r="J409" s="624"/>
      <c r="K409" s="340"/>
      <c r="L409" s="340"/>
      <c r="M409" s="592"/>
      <c r="N409" s="340" t="s">
        <v>1593</v>
      </c>
      <c r="O409" s="610" t="s">
        <v>2098</v>
      </c>
      <c r="P409" s="329">
        <v>45744</v>
      </c>
      <c r="Q409" s="340" t="s">
        <v>2097</v>
      </c>
      <c r="R409" s="621">
        <v>249246</v>
      </c>
      <c r="S409" s="621"/>
      <c r="T409" s="820"/>
      <c r="U409" s="340"/>
      <c r="V409" s="378">
        <f t="shared" ca="1" si="134"/>
        <v>1</v>
      </c>
      <c r="W409" s="811">
        <f t="shared" ca="1" si="135"/>
        <v>1900</v>
      </c>
      <c r="X409" s="378" t="str">
        <f t="shared" ca="1" si="137"/>
        <v>0 WEEK</v>
      </c>
      <c r="Y409" s="436">
        <f t="shared" si="124"/>
        <v>0</v>
      </c>
      <c r="Z409" s="541" cm="1">
        <f t="array" aca="1" ref="Z409" ca="1">_xlfn.IFS(AD409&lt;100,Y409,Y409&lt;TODAY(),TODAY(),Y409&gt;TODAY(),Y409,Y409=TODAY(),Y409)</f>
        <v>0</v>
      </c>
      <c r="AA409" s="837"/>
      <c r="AB409" s="331"/>
      <c r="AC409" s="331"/>
      <c r="AD409" s="298">
        <f t="shared" si="127"/>
        <v>0</v>
      </c>
      <c r="AE409" s="299" t="str">
        <f t="shared" si="128"/>
        <v>Complete</v>
      </c>
      <c r="AF409" s="340"/>
      <c r="AG409" s="340"/>
      <c r="AH409" s="340"/>
      <c r="AI409" s="301">
        <f t="shared" ca="1" si="125"/>
        <v>0</v>
      </c>
      <c r="AJ409" s="302">
        <f t="shared" ca="1" si="126"/>
        <v>0</v>
      </c>
      <c r="AL409" s="303">
        <f t="shared" si="129"/>
        <v>249246</v>
      </c>
      <c r="AM409" s="303">
        <f t="shared" si="130"/>
        <v>0</v>
      </c>
      <c r="AN409" s="303">
        <f t="shared" si="131"/>
        <v>249246</v>
      </c>
      <c r="AO409" s="304">
        <f t="shared" si="132"/>
        <v>0</v>
      </c>
      <c r="AP409" s="273">
        <f t="shared" si="136"/>
        <v>3</v>
      </c>
      <c r="AQ409" s="273" t="str">
        <f t="shared" ca="1" si="133"/>
        <v>31900</v>
      </c>
    </row>
    <row r="410" spans="1:43" ht="16.5">
      <c r="A410" s="392">
        <v>17</v>
      </c>
      <c r="B410" s="340" t="s">
        <v>2089</v>
      </c>
      <c r="C410" s="340" t="s">
        <v>2090</v>
      </c>
      <c r="D410" s="277" t="s">
        <v>2091</v>
      </c>
      <c r="E410" s="340"/>
      <c r="F410" s="334"/>
      <c r="G410" s="623">
        <v>211225</v>
      </c>
      <c r="H410" s="331">
        <v>38020.5</v>
      </c>
      <c r="I410" s="624">
        <v>249246</v>
      </c>
      <c r="J410" s="624"/>
      <c r="K410" s="340"/>
      <c r="L410" s="340"/>
      <c r="M410" s="592"/>
      <c r="N410" s="340" t="s">
        <v>1593</v>
      </c>
      <c r="O410" s="610" t="s">
        <v>2099</v>
      </c>
      <c r="P410" s="329">
        <v>45838</v>
      </c>
      <c r="Q410" s="340" t="s">
        <v>2095</v>
      </c>
      <c r="R410" s="621">
        <v>249246</v>
      </c>
      <c r="S410" s="621"/>
      <c r="T410" s="820"/>
      <c r="U410" s="340"/>
      <c r="V410" s="378">
        <f t="shared" ca="1" si="134"/>
        <v>1</v>
      </c>
      <c r="W410" s="811">
        <f t="shared" ca="1" si="135"/>
        <v>1900</v>
      </c>
      <c r="X410" s="378" t="str">
        <f t="shared" ca="1" si="137"/>
        <v>0 WEEK</v>
      </c>
      <c r="Y410" s="436">
        <f t="shared" si="124"/>
        <v>0</v>
      </c>
      <c r="Z410" s="541" cm="1">
        <f t="array" aca="1" ref="Z410" ca="1">_xlfn.IFS(AD410&lt;100,Y410,Y410&lt;TODAY(),TODAY(),Y410&gt;TODAY(),Y410,Y410=TODAY(),Y410)</f>
        <v>0</v>
      </c>
      <c r="AA410" s="837"/>
      <c r="AB410" s="331"/>
      <c r="AC410" s="331"/>
      <c r="AD410" s="298">
        <f t="shared" si="127"/>
        <v>0</v>
      </c>
      <c r="AE410" s="299" t="str">
        <f t="shared" si="128"/>
        <v>Complete</v>
      </c>
      <c r="AF410" s="340"/>
      <c r="AG410" s="340"/>
      <c r="AH410" s="340"/>
      <c r="AI410" s="301">
        <f t="shared" ca="1" si="125"/>
        <v>0</v>
      </c>
      <c r="AJ410" s="302">
        <f t="shared" ca="1" si="126"/>
        <v>0</v>
      </c>
      <c r="AL410" s="303">
        <f t="shared" si="129"/>
        <v>249246</v>
      </c>
      <c r="AM410" s="303">
        <f t="shared" si="130"/>
        <v>0</v>
      </c>
      <c r="AN410" s="303">
        <f t="shared" si="131"/>
        <v>249246</v>
      </c>
      <c r="AO410" s="304">
        <f t="shared" si="132"/>
        <v>0</v>
      </c>
      <c r="AP410" s="273">
        <f t="shared" si="136"/>
        <v>6</v>
      </c>
      <c r="AQ410" s="273" t="str">
        <f t="shared" ca="1" si="133"/>
        <v>61900</v>
      </c>
    </row>
    <row r="411" spans="1:43" ht="16.5">
      <c r="A411" s="392">
        <v>17</v>
      </c>
      <c r="B411" s="340" t="s">
        <v>2089</v>
      </c>
      <c r="C411" s="340" t="s">
        <v>2090</v>
      </c>
      <c r="D411" s="277" t="s">
        <v>2091</v>
      </c>
      <c r="E411" s="340"/>
      <c r="F411" s="334"/>
      <c r="G411" s="623">
        <v>422095</v>
      </c>
      <c r="H411" s="331">
        <v>75977.099999999991</v>
      </c>
      <c r="I411" s="624">
        <v>498072</v>
      </c>
      <c r="J411" s="624"/>
      <c r="K411" s="340"/>
      <c r="L411" s="340"/>
      <c r="M411" s="592"/>
      <c r="N411" s="340" t="s">
        <v>1593</v>
      </c>
      <c r="O411" s="610" t="s">
        <v>2100</v>
      </c>
      <c r="P411" s="578">
        <v>0</v>
      </c>
      <c r="Q411" s="340"/>
      <c r="R411" s="621">
        <v>0</v>
      </c>
      <c r="S411" s="621"/>
      <c r="T411" s="820"/>
      <c r="U411" s="340"/>
      <c r="V411" s="378">
        <f t="shared" ca="1" si="134"/>
        <v>1</v>
      </c>
      <c r="W411" s="811">
        <f t="shared" ca="1" si="135"/>
        <v>1900</v>
      </c>
      <c r="X411" s="378" t="str">
        <f t="shared" ca="1" si="137"/>
        <v>0 WEEK</v>
      </c>
      <c r="Y411" s="436">
        <f t="shared" si="124"/>
        <v>0</v>
      </c>
      <c r="Z411" s="541" cm="1">
        <f t="array" aca="1" ref="Z411" ca="1">_xlfn.IFS(AD411&lt;100,Y411,Y411&lt;TODAY(),TODAY(),Y411&gt;TODAY(),Y411,Y411=TODAY(),Y411)</f>
        <v>0</v>
      </c>
      <c r="AA411" s="837"/>
      <c r="AB411" s="331"/>
      <c r="AC411" s="331"/>
      <c r="AD411" s="298">
        <f t="shared" si="127"/>
        <v>0</v>
      </c>
      <c r="AE411" s="299" t="str">
        <f t="shared" si="128"/>
        <v>Complete</v>
      </c>
      <c r="AF411" s="340"/>
      <c r="AG411" s="340"/>
      <c r="AH411" s="340"/>
      <c r="AI411" s="301">
        <f t="shared" ca="1" si="125"/>
        <v>0</v>
      </c>
      <c r="AJ411" s="302">
        <f t="shared" ca="1" si="126"/>
        <v>0</v>
      </c>
      <c r="AL411" s="303">
        <f t="shared" si="129"/>
        <v>498072</v>
      </c>
      <c r="AM411" s="303">
        <f t="shared" si="130"/>
        <v>498072</v>
      </c>
      <c r="AN411" s="303">
        <f t="shared" si="131"/>
        <v>0</v>
      </c>
      <c r="AO411" s="304">
        <f t="shared" si="132"/>
        <v>0</v>
      </c>
      <c r="AP411" s="273">
        <f t="shared" si="136"/>
        <v>1</v>
      </c>
      <c r="AQ411" s="273" t="str">
        <f t="shared" ca="1" si="133"/>
        <v>11900</v>
      </c>
    </row>
    <row r="412" spans="1:43" ht="16.5">
      <c r="A412" s="392">
        <v>17</v>
      </c>
      <c r="B412" s="340" t="s">
        <v>2089</v>
      </c>
      <c r="C412" s="340" t="s">
        <v>2090</v>
      </c>
      <c r="D412" s="277" t="s">
        <v>2091</v>
      </c>
      <c r="E412" s="340"/>
      <c r="F412" s="334"/>
      <c r="G412" s="623">
        <v>316660</v>
      </c>
      <c r="H412" s="331">
        <v>56998.799999999996</v>
      </c>
      <c r="I412" s="624">
        <v>373659</v>
      </c>
      <c r="J412" s="624"/>
      <c r="K412" s="340"/>
      <c r="L412" s="340"/>
      <c r="M412" s="592"/>
      <c r="N412" s="340" t="s">
        <v>1593</v>
      </c>
      <c r="O412" s="610" t="s">
        <v>2101</v>
      </c>
      <c r="P412" s="578">
        <v>0</v>
      </c>
      <c r="Q412" s="340"/>
      <c r="R412" s="621">
        <v>0</v>
      </c>
      <c r="S412" s="621"/>
      <c r="T412" s="820"/>
      <c r="U412" s="340"/>
      <c r="V412" s="378">
        <f t="shared" ca="1" si="134"/>
        <v>1</v>
      </c>
      <c r="W412" s="811">
        <f t="shared" ca="1" si="135"/>
        <v>1900</v>
      </c>
      <c r="X412" s="378" t="str">
        <f t="shared" ca="1" si="137"/>
        <v>0 WEEK</v>
      </c>
      <c r="Y412" s="436">
        <f t="shared" si="124"/>
        <v>0</v>
      </c>
      <c r="Z412" s="541" cm="1">
        <f t="array" aca="1" ref="Z412" ca="1">_xlfn.IFS(AD412&lt;100,Y412,Y412&lt;TODAY(),TODAY(),Y412&gt;TODAY(),Y412,Y412=TODAY(),Y412)</f>
        <v>0</v>
      </c>
      <c r="AA412" s="837"/>
      <c r="AB412" s="331"/>
      <c r="AC412" s="331"/>
      <c r="AD412" s="298">
        <f t="shared" si="127"/>
        <v>0</v>
      </c>
      <c r="AE412" s="299" t="str">
        <f t="shared" si="128"/>
        <v>Complete</v>
      </c>
      <c r="AF412" s="340"/>
      <c r="AG412" s="340"/>
      <c r="AH412" s="340"/>
      <c r="AI412" s="301">
        <f t="shared" ca="1" si="125"/>
        <v>0</v>
      </c>
      <c r="AJ412" s="302">
        <f t="shared" ca="1" si="126"/>
        <v>0</v>
      </c>
      <c r="AL412" s="303">
        <f t="shared" si="129"/>
        <v>373659</v>
      </c>
      <c r="AM412" s="303">
        <f t="shared" si="130"/>
        <v>373659</v>
      </c>
      <c r="AN412" s="303">
        <f t="shared" si="131"/>
        <v>0</v>
      </c>
      <c r="AO412" s="304">
        <f t="shared" si="132"/>
        <v>0</v>
      </c>
      <c r="AP412" s="273">
        <f t="shared" si="136"/>
        <v>1</v>
      </c>
      <c r="AQ412" s="273" t="str">
        <f t="shared" ca="1" si="133"/>
        <v>11900</v>
      </c>
    </row>
    <row r="413" spans="1:43" ht="16.5">
      <c r="A413" s="392">
        <v>17</v>
      </c>
      <c r="B413" s="340" t="s">
        <v>2089</v>
      </c>
      <c r="C413" s="340" t="s">
        <v>2090</v>
      </c>
      <c r="D413" s="277" t="s">
        <v>2091</v>
      </c>
      <c r="E413" s="340"/>
      <c r="F413" s="334"/>
      <c r="G413" s="623">
        <v>422095</v>
      </c>
      <c r="H413" s="331">
        <v>75977.099999999991</v>
      </c>
      <c r="I413" s="624">
        <v>498072</v>
      </c>
      <c r="J413" s="624"/>
      <c r="K413" s="340"/>
      <c r="L413" s="340"/>
      <c r="M413" s="592"/>
      <c r="N413" s="340" t="s">
        <v>1593</v>
      </c>
      <c r="O413" s="610" t="s">
        <v>2102</v>
      </c>
      <c r="P413" s="329">
        <v>45838</v>
      </c>
      <c r="Q413" s="340" t="s">
        <v>2095</v>
      </c>
      <c r="R413" s="621">
        <v>498072</v>
      </c>
      <c r="S413" s="621"/>
      <c r="T413" s="820"/>
      <c r="U413" s="340"/>
      <c r="V413" s="378">
        <f t="shared" ca="1" si="134"/>
        <v>1</v>
      </c>
      <c r="W413" s="811">
        <f t="shared" ca="1" si="135"/>
        <v>1900</v>
      </c>
      <c r="X413" s="378" t="str">
        <f t="shared" ca="1" si="137"/>
        <v>0 WEEK</v>
      </c>
      <c r="Y413" s="436">
        <f t="shared" si="124"/>
        <v>0</v>
      </c>
      <c r="Z413" s="541" cm="1">
        <f t="array" aca="1" ref="Z413" ca="1">_xlfn.IFS(AD413&lt;100,Y413,Y413&lt;TODAY(),TODAY(),Y413&gt;TODAY(),Y413,Y413=TODAY(),Y413)</f>
        <v>0</v>
      </c>
      <c r="AA413" s="837"/>
      <c r="AB413" s="331"/>
      <c r="AC413" s="331"/>
      <c r="AD413" s="298">
        <f t="shared" si="127"/>
        <v>0</v>
      </c>
      <c r="AE413" s="299" t="str">
        <f t="shared" si="128"/>
        <v>Complete</v>
      </c>
      <c r="AF413" s="340"/>
      <c r="AG413" s="340"/>
      <c r="AH413" s="340"/>
      <c r="AI413" s="301">
        <f t="shared" ca="1" si="125"/>
        <v>0</v>
      </c>
      <c r="AJ413" s="302">
        <f t="shared" ca="1" si="126"/>
        <v>0</v>
      </c>
      <c r="AL413" s="303">
        <f t="shared" si="129"/>
        <v>498072</v>
      </c>
      <c r="AM413" s="303">
        <f t="shared" si="130"/>
        <v>0</v>
      </c>
      <c r="AN413" s="303">
        <f t="shared" si="131"/>
        <v>498072</v>
      </c>
      <c r="AO413" s="304">
        <f t="shared" si="132"/>
        <v>0</v>
      </c>
      <c r="AP413" s="273">
        <f t="shared" si="136"/>
        <v>6</v>
      </c>
      <c r="AQ413" s="273" t="str">
        <f t="shared" ca="1" si="133"/>
        <v>61900</v>
      </c>
    </row>
    <row r="414" spans="1:43" ht="16.5">
      <c r="A414" s="392">
        <v>17</v>
      </c>
      <c r="B414" s="340" t="s">
        <v>2089</v>
      </c>
      <c r="C414" s="340" t="s">
        <v>2090</v>
      </c>
      <c r="D414" s="277" t="s">
        <v>2091</v>
      </c>
      <c r="E414" s="340"/>
      <c r="F414" s="334"/>
      <c r="G414" s="623">
        <v>52895</v>
      </c>
      <c r="H414" s="331">
        <v>9521.1</v>
      </c>
      <c r="I414" s="624">
        <v>62416</v>
      </c>
      <c r="J414" s="624"/>
      <c r="K414" s="340"/>
      <c r="L414" s="340"/>
      <c r="M414" s="592"/>
      <c r="N414" s="340" t="s">
        <v>1593</v>
      </c>
      <c r="O414" s="610" t="s">
        <v>2103</v>
      </c>
      <c r="P414" s="329">
        <v>45838</v>
      </c>
      <c r="Q414" s="340" t="s">
        <v>2095</v>
      </c>
      <c r="R414" s="621">
        <v>62416.1</v>
      </c>
      <c r="S414" s="621"/>
      <c r="T414" s="820"/>
      <c r="U414" s="340"/>
      <c r="V414" s="378">
        <f t="shared" ca="1" si="134"/>
        <v>1</v>
      </c>
      <c r="W414" s="811">
        <f t="shared" ca="1" si="135"/>
        <v>1900</v>
      </c>
      <c r="X414" s="378" t="str">
        <f t="shared" ca="1" si="137"/>
        <v>0 WEEK</v>
      </c>
      <c r="Y414" s="436">
        <f t="shared" si="124"/>
        <v>0</v>
      </c>
      <c r="Z414" s="541" cm="1">
        <f t="array" aca="1" ref="Z414" ca="1">_xlfn.IFS(AD414&lt;100,Y414,Y414&lt;TODAY(),TODAY(),Y414&gt;TODAY(),Y414,Y414=TODAY(),Y414)</f>
        <v>0</v>
      </c>
      <c r="AA414" s="837"/>
      <c r="AB414" s="331"/>
      <c r="AC414" s="331"/>
      <c r="AD414" s="298">
        <f t="shared" si="127"/>
        <v>0</v>
      </c>
      <c r="AE414" s="299" t="str">
        <f t="shared" si="128"/>
        <v>Complete</v>
      </c>
      <c r="AF414" s="340"/>
      <c r="AG414" s="340"/>
      <c r="AH414" s="340"/>
      <c r="AI414" s="301">
        <f t="shared" ca="1" si="125"/>
        <v>0</v>
      </c>
      <c r="AJ414" s="302">
        <f t="shared" ca="1" si="126"/>
        <v>0</v>
      </c>
      <c r="AL414" s="303">
        <f t="shared" si="129"/>
        <v>62416</v>
      </c>
      <c r="AM414" s="303">
        <f t="shared" si="130"/>
        <v>-9.9999999998544808E-2</v>
      </c>
      <c r="AN414" s="303">
        <f t="shared" si="131"/>
        <v>62416.1</v>
      </c>
      <c r="AO414" s="304">
        <f t="shared" si="132"/>
        <v>0</v>
      </c>
      <c r="AP414" s="273">
        <f t="shared" si="136"/>
        <v>6</v>
      </c>
      <c r="AQ414" s="273" t="str">
        <f t="shared" ca="1" si="133"/>
        <v>61900</v>
      </c>
    </row>
    <row r="415" spans="1:43" ht="16.5">
      <c r="A415" s="392">
        <v>17</v>
      </c>
      <c r="B415" s="340" t="s">
        <v>2089</v>
      </c>
      <c r="C415" s="340" t="s">
        <v>2090</v>
      </c>
      <c r="D415" s="277" t="s">
        <v>2091</v>
      </c>
      <c r="E415" s="340"/>
      <c r="F415" s="334"/>
      <c r="G415" s="623">
        <v>211225</v>
      </c>
      <c r="H415" s="331">
        <v>38020.5</v>
      </c>
      <c r="I415" s="624">
        <v>249246</v>
      </c>
      <c r="J415" s="624"/>
      <c r="K415" s="340"/>
      <c r="L415" s="340"/>
      <c r="M415" s="592"/>
      <c r="N415" s="340" t="s">
        <v>1593</v>
      </c>
      <c r="O415" s="610" t="s">
        <v>2104</v>
      </c>
      <c r="P415" s="329">
        <v>45838</v>
      </c>
      <c r="Q415" s="340" t="s">
        <v>2095</v>
      </c>
      <c r="R415" s="621">
        <v>249246</v>
      </c>
      <c r="S415" s="621"/>
      <c r="T415" s="820"/>
      <c r="U415" s="340"/>
      <c r="V415" s="378">
        <f t="shared" ca="1" si="134"/>
        <v>1</v>
      </c>
      <c r="W415" s="811">
        <f t="shared" ca="1" si="135"/>
        <v>1900</v>
      </c>
      <c r="X415" s="378" t="str">
        <f t="shared" ca="1" si="137"/>
        <v>0 WEEK</v>
      </c>
      <c r="Y415" s="436">
        <f t="shared" si="124"/>
        <v>0</v>
      </c>
      <c r="Z415" s="541" cm="1">
        <f t="array" aca="1" ref="Z415" ca="1">_xlfn.IFS(AD415&lt;100,Y415,Y415&lt;TODAY(),TODAY(),Y415&gt;TODAY(),Y415,Y415=TODAY(),Y415)</f>
        <v>0</v>
      </c>
      <c r="AA415" s="837"/>
      <c r="AB415" s="331"/>
      <c r="AC415" s="331"/>
      <c r="AD415" s="298">
        <f t="shared" si="127"/>
        <v>0</v>
      </c>
      <c r="AE415" s="299" t="str">
        <f t="shared" si="128"/>
        <v>Complete</v>
      </c>
      <c r="AF415" s="340"/>
      <c r="AG415" s="340"/>
      <c r="AH415" s="340"/>
      <c r="AI415" s="301">
        <f t="shared" ca="1" si="125"/>
        <v>0</v>
      </c>
      <c r="AJ415" s="302">
        <f t="shared" ca="1" si="126"/>
        <v>0</v>
      </c>
      <c r="AL415" s="303">
        <f t="shared" si="129"/>
        <v>249246</v>
      </c>
      <c r="AM415" s="303">
        <f t="shared" si="130"/>
        <v>0</v>
      </c>
      <c r="AN415" s="303">
        <f t="shared" si="131"/>
        <v>249246</v>
      </c>
      <c r="AO415" s="304">
        <f t="shared" si="132"/>
        <v>0</v>
      </c>
      <c r="AP415" s="273">
        <f t="shared" si="136"/>
        <v>6</v>
      </c>
      <c r="AQ415" s="273" t="str">
        <f t="shared" ca="1" si="133"/>
        <v>61900</v>
      </c>
    </row>
    <row r="416" spans="1:43" ht="16.5">
      <c r="A416" s="392">
        <v>17</v>
      </c>
      <c r="B416" s="340" t="s">
        <v>2089</v>
      </c>
      <c r="C416" s="340" t="s">
        <v>2090</v>
      </c>
      <c r="D416" s="277" t="s">
        <v>2091</v>
      </c>
      <c r="E416" s="340"/>
      <c r="F416" s="334"/>
      <c r="G416" s="623">
        <v>105790</v>
      </c>
      <c r="H416" s="331">
        <v>19042.2</v>
      </c>
      <c r="I416" s="624">
        <v>124832</v>
      </c>
      <c r="J416" s="624"/>
      <c r="K416" s="340"/>
      <c r="L416" s="340"/>
      <c r="M416" s="592"/>
      <c r="N416" s="340" t="s">
        <v>1593</v>
      </c>
      <c r="O416" s="610" t="s">
        <v>2105</v>
      </c>
      <c r="P416" s="329">
        <v>45838</v>
      </c>
      <c r="Q416" s="340" t="s">
        <v>2095</v>
      </c>
      <c r="R416" s="621">
        <v>124832</v>
      </c>
      <c r="S416" s="621"/>
      <c r="T416" s="820"/>
      <c r="U416" s="340"/>
      <c r="V416" s="378">
        <f t="shared" ca="1" si="134"/>
        <v>1</v>
      </c>
      <c r="W416" s="811">
        <f t="shared" ca="1" si="135"/>
        <v>1900</v>
      </c>
      <c r="X416" s="378" t="str">
        <f t="shared" ca="1" si="137"/>
        <v>0 WEEK</v>
      </c>
      <c r="Y416" s="436">
        <f t="shared" si="124"/>
        <v>0</v>
      </c>
      <c r="Z416" s="541" cm="1">
        <f t="array" aca="1" ref="Z416" ca="1">_xlfn.IFS(AD416&lt;100,Y416,Y416&lt;TODAY(),TODAY(),Y416&gt;TODAY(),Y416,Y416=TODAY(),Y416)</f>
        <v>0</v>
      </c>
      <c r="AA416" s="837"/>
      <c r="AB416" s="331"/>
      <c r="AC416" s="331"/>
      <c r="AD416" s="298">
        <f t="shared" si="127"/>
        <v>0</v>
      </c>
      <c r="AE416" s="299" t="str">
        <f t="shared" si="128"/>
        <v>Complete</v>
      </c>
      <c r="AF416" s="340"/>
      <c r="AG416" s="340"/>
      <c r="AH416" s="340"/>
      <c r="AI416" s="301">
        <f t="shared" ca="1" si="125"/>
        <v>0</v>
      </c>
      <c r="AJ416" s="302">
        <f t="shared" ca="1" si="126"/>
        <v>0</v>
      </c>
      <c r="AL416" s="303">
        <f t="shared" si="129"/>
        <v>124832</v>
      </c>
      <c r="AM416" s="303">
        <f t="shared" si="130"/>
        <v>0</v>
      </c>
      <c r="AN416" s="303">
        <f t="shared" si="131"/>
        <v>124832</v>
      </c>
      <c r="AO416" s="304">
        <f t="shared" si="132"/>
        <v>0</v>
      </c>
      <c r="AP416" s="273">
        <f t="shared" si="136"/>
        <v>6</v>
      </c>
      <c r="AQ416" s="273" t="str">
        <f t="shared" ca="1" si="133"/>
        <v>61900</v>
      </c>
    </row>
    <row r="417" spans="1:43" ht="16.5">
      <c r="A417" s="392">
        <v>17</v>
      </c>
      <c r="B417" s="340" t="s">
        <v>2089</v>
      </c>
      <c r="C417" s="340" t="s">
        <v>2090</v>
      </c>
      <c r="D417" s="277" t="s">
        <v>2091</v>
      </c>
      <c r="E417" s="340"/>
      <c r="F417" s="334"/>
      <c r="G417" s="623">
        <v>42245</v>
      </c>
      <c r="H417" s="331">
        <v>7604.0999999999995</v>
      </c>
      <c r="I417" s="624">
        <v>49849</v>
      </c>
      <c r="J417" s="624"/>
      <c r="K417" s="340"/>
      <c r="L417" s="340"/>
      <c r="M417" s="592"/>
      <c r="N417" s="340" t="s">
        <v>1593</v>
      </c>
      <c r="O417" s="610" t="s">
        <v>2106</v>
      </c>
      <c r="P417" s="578">
        <v>0</v>
      </c>
      <c r="Q417" s="340"/>
      <c r="R417" s="621">
        <v>0</v>
      </c>
      <c r="S417" s="621"/>
      <c r="T417" s="820"/>
      <c r="U417" s="340"/>
      <c r="V417" s="378">
        <f t="shared" ca="1" si="134"/>
        <v>1</v>
      </c>
      <c r="W417" s="811">
        <f t="shared" ca="1" si="135"/>
        <v>1900</v>
      </c>
      <c r="X417" s="378" t="str">
        <f t="shared" ca="1" si="137"/>
        <v>0 WEEK</v>
      </c>
      <c r="Y417" s="436">
        <f t="shared" si="124"/>
        <v>0</v>
      </c>
      <c r="Z417" s="541" cm="1">
        <f t="array" aca="1" ref="Z417" ca="1">_xlfn.IFS(AD417&lt;100,Y417,Y417&lt;TODAY(),TODAY(),Y417&gt;TODAY(),Y417,Y417=TODAY(),Y417)</f>
        <v>0</v>
      </c>
      <c r="AA417" s="837"/>
      <c r="AB417" s="331"/>
      <c r="AC417" s="331"/>
      <c r="AD417" s="298">
        <f t="shared" si="127"/>
        <v>0</v>
      </c>
      <c r="AE417" s="299" t="str">
        <f t="shared" si="128"/>
        <v>Complete</v>
      </c>
      <c r="AF417" s="340"/>
      <c r="AG417" s="340"/>
      <c r="AH417" s="340"/>
      <c r="AI417" s="301">
        <f t="shared" ca="1" si="125"/>
        <v>0</v>
      </c>
      <c r="AJ417" s="302">
        <f t="shared" ca="1" si="126"/>
        <v>0</v>
      </c>
      <c r="AL417" s="303">
        <f t="shared" si="129"/>
        <v>49849</v>
      </c>
      <c r="AM417" s="303">
        <f t="shared" si="130"/>
        <v>49849</v>
      </c>
      <c r="AN417" s="303">
        <f t="shared" si="131"/>
        <v>0</v>
      </c>
      <c r="AO417" s="304">
        <f t="shared" si="132"/>
        <v>0</v>
      </c>
      <c r="AP417" s="273">
        <f t="shared" si="136"/>
        <v>1</v>
      </c>
      <c r="AQ417" s="273" t="str">
        <f t="shared" ca="1" si="133"/>
        <v>11900</v>
      </c>
    </row>
    <row r="418" spans="1:43" ht="16.5">
      <c r="A418" s="392">
        <v>17</v>
      </c>
      <c r="B418" s="340" t="s">
        <v>2089</v>
      </c>
      <c r="C418" s="340" t="s">
        <v>2090</v>
      </c>
      <c r="D418" s="277" t="s">
        <v>2091</v>
      </c>
      <c r="E418" s="340"/>
      <c r="F418" s="334"/>
      <c r="G418" s="623">
        <v>63545</v>
      </c>
      <c r="H418" s="331">
        <v>11438.1</v>
      </c>
      <c r="I418" s="624">
        <v>74983</v>
      </c>
      <c r="J418" s="624"/>
      <c r="K418" s="340"/>
      <c r="L418" s="340"/>
      <c r="M418" s="592"/>
      <c r="N418" s="340" t="s">
        <v>1593</v>
      </c>
      <c r="O418" s="610" t="s">
        <v>2107</v>
      </c>
      <c r="P418" s="578">
        <v>0</v>
      </c>
      <c r="Q418" s="340"/>
      <c r="R418" s="621">
        <v>0</v>
      </c>
      <c r="S418" s="621"/>
      <c r="T418" s="820"/>
      <c r="U418" s="340"/>
      <c r="V418" s="340">
        <f t="shared" ca="1" si="134"/>
        <v>1</v>
      </c>
      <c r="W418" s="594">
        <f t="shared" ca="1" si="135"/>
        <v>1900</v>
      </c>
      <c r="X418" s="340" t="str">
        <f t="shared" ca="1" si="137"/>
        <v>0 WEEK</v>
      </c>
      <c r="Y418" s="436">
        <f t="shared" si="124"/>
        <v>0</v>
      </c>
      <c r="Z418" s="541" cm="1">
        <f t="array" aca="1" ref="Z418" ca="1">_xlfn.IFS(AD418&lt;100,Y418,Y418&lt;TODAY(),TODAY(),Y418&gt;TODAY(),Y418,Y418=TODAY(),Y418)</f>
        <v>0</v>
      </c>
      <c r="AA418" s="837"/>
      <c r="AB418" s="331"/>
      <c r="AC418" s="331"/>
      <c r="AD418" s="298">
        <f t="shared" si="127"/>
        <v>0</v>
      </c>
      <c r="AE418" s="299" t="str">
        <f t="shared" si="128"/>
        <v>Complete</v>
      </c>
      <c r="AF418" s="340"/>
      <c r="AG418" s="340"/>
      <c r="AH418" s="340"/>
      <c r="AI418" s="301">
        <f t="shared" ca="1" si="125"/>
        <v>0</v>
      </c>
      <c r="AJ418" s="302">
        <f t="shared" ca="1" si="126"/>
        <v>0</v>
      </c>
      <c r="AL418" s="303">
        <f t="shared" si="129"/>
        <v>74983</v>
      </c>
      <c r="AM418" s="303">
        <f t="shared" si="130"/>
        <v>74983</v>
      </c>
      <c r="AN418" s="303">
        <f t="shared" si="131"/>
        <v>0</v>
      </c>
      <c r="AO418" s="304">
        <f t="shared" si="132"/>
        <v>0</v>
      </c>
      <c r="AP418" s="273">
        <f t="shared" si="136"/>
        <v>1</v>
      </c>
      <c r="AQ418" s="273" t="str">
        <f t="shared" ca="1" si="133"/>
        <v>11900</v>
      </c>
    </row>
    <row r="419" spans="1:43" ht="16.5">
      <c r="A419" s="392">
        <v>17</v>
      </c>
      <c r="B419" s="340" t="s">
        <v>2089</v>
      </c>
      <c r="C419" s="340" t="s">
        <v>2090</v>
      </c>
      <c r="D419" s="277" t="s">
        <v>2091</v>
      </c>
      <c r="E419" s="340"/>
      <c r="F419" s="334"/>
      <c r="G419" s="623">
        <v>52895</v>
      </c>
      <c r="H419" s="331">
        <v>9521.1</v>
      </c>
      <c r="I419" s="624">
        <v>62416</v>
      </c>
      <c r="J419" s="624"/>
      <c r="K419" s="340"/>
      <c r="L419" s="340"/>
      <c r="M419" s="592"/>
      <c r="N419" s="340" t="s">
        <v>1593</v>
      </c>
      <c r="O419" s="610" t="s">
        <v>2108</v>
      </c>
      <c r="P419" s="578">
        <v>0</v>
      </c>
      <c r="Q419" s="340"/>
      <c r="R419" s="621">
        <v>0</v>
      </c>
      <c r="S419" s="621"/>
      <c r="T419" s="820"/>
      <c r="U419" s="340"/>
      <c r="V419" s="340">
        <f t="shared" ca="1" si="134"/>
        <v>1</v>
      </c>
      <c r="W419" s="594">
        <f t="shared" ca="1" si="135"/>
        <v>1900</v>
      </c>
      <c r="X419" s="340" t="str">
        <f t="shared" ca="1" si="137"/>
        <v>0 WEEK</v>
      </c>
      <c r="Y419" s="436">
        <f t="shared" si="124"/>
        <v>0</v>
      </c>
      <c r="Z419" s="541" cm="1">
        <f t="array" aca="1" ref="Z419" ca="1">_xlfn.IFS(AD419&lt;100,Y419,Y419&lt;TODAY(),TODAY(),Y419&gt;TODAY(),Y419,Y419=TODAY(),Y419)</f>
        <v>0</v>
      </c>
      <c r="AA419" s="837"/>
      <c r="AB419" s="331"/>
      <c r="AC419" s="331"/>
      <c r="AD419" s="298">
        <f t="shared" si="127"/>
        <v>0</v>
      </c>
      <c r="AE419" s="299" t="str">
        <f t="shared" si="128"/>
        <v>Complete</v>
      </c>
      <c r="AF419" s="340"/>
      <c r="AG419" s="340"/>
      <c r="AH419" s="340"/>
      <c r="AI419" s="301">
        <f t="shared" ca="1" si="125"/>
        <v>0</v>
      </c>
      <c r="AJ419" s="302">
        <f t="shared" ca="1" si="126"/>
        <v>0</v>
      </c>
      <c r="AL419" s="303">
        <f t="shared" si="129"/>
        <v>62416</v>
      </c>
      <c r="AM419" s="303">
        <f t="shared" si="130"/>
        <v>62416</v>
      </c>
      <c r="AN419" s="303">
        <f t="shared" si="131"/>
        <v>0</v>
      </c>
      <c r="AO419" s="304">
        <f t="shared" si="132"/>
        <v>0</v>
      </c>
      <c r="AP419" s="273">
        <f t="shared" si="136"/>
        <v>1</v>
      </c>
      <c r="AQ419" s="273" t="str">
        <f t="shared" ca="1" si="133"/>
        <v>11900</v>
      </c>
    </row>
    <row r="420" spans="1:43" ht="16.5">
      <c r="A420" s="392">
        <v>17</v>
      </c>
      <c r="B420" s="340" t="s">
        <v>2089</v>
      </c>
      <c r="C420" s="340" t="s">
        <v>2090</v>
      </c>
      <c r="D420" s="277" t="s">
        <v>2091</v>
      </c>
      <c r="E420" s="340"/>
      <c r="F420" s="334"/>
      <c r="G420" s="623">
        <v>211225</v>
      </c>
      <c r="H420" s="331">
        <v>38020.5</v>
      </c>
      <c r="I420" s="624">
        <v>249246</v>
      </c>
      <c r="J420" s="624"/>
      <c r="K420" s="340"/>
      <c r="L420" s="340"/>
      <c r="M420" s="592"/>
      <c r="N420" s="340" t="s">
        <v>1593</v>
      </c>
      <c r="O420" s="610" t="s">
        <v>2109</v>
      </c>
      <c r="P420" s="329">
        <v>45838</v>
      </c>
      <c r="Q420" s="340" t="s">
        <v>2095</v>
      </c>
      <c r="R420" s="621">
        <v>249246</v>
      </c>
      <c r="S420" s="621"/>
      <c r="T420" s="820"/>
      <c r="U420" s="340"/>
      <c r="V420" s="340">
        <f t="shared" ca="1" si="134"/>
        <v>1</v>
      </c>
      <c r="W420" s="594">
        <f t="shared" ca="1" si="135"/>
        <v>1900</v>
      </c>
      <c r="X420" s="340" t="str">
        <f t="shared" ca="1" si="137"/>
        <v>0 WEEK</v>
      </c>
      <c r="Y420" s="436">
        <f t="shared" si="124"/>
        <v>0</v>
      </c>
      <c r="Z420" s="541" cm="1">
        <f t="array" aca="1" ref="Z420" ca="1">_xlfn.IFS(AD420&lt;100,Y420,Y420&lt;TODAY(),TODAY(),Y420&gt;TODAY(),Y420,Y420=TODAY(),Y420)</f>
        <v>0</v>
      </c>
      <c r="AA420" s="837"/>
      <c r="AB420" s="331"/>
      <c r="AC420" s="331"/>
      <c r="AD420" s="298">
        <f t="shared" si="127"/>
        <v>0</v>
      </c>
      <c r="AE420" s="299" t="str">
        <f t="shared" si="128"/>
        <v>Complete</v>
      </c>
      <c r="AF420" s="340"/>
      <c r="AG420" s="340"/>
      <c r="AH420" s="340"/>
      <c r="AI420" s="301">
        <f t="shared" ca="1" si="125"/>
        <v>0</v>
      </c>
      <c r="AJ420" s="302">
        <f t="shared" ca="1" si="126"/>
        <v>0</v>
      </c>
      <c r="AL420" s="303">
        <f t="shared" si="129"/>
        <v>249246</v>
      </c>
      <c r="AM420" s="303">
        <f t="shared" si="130"/>
        <v>0</v>
      </c>
      <c r="AN420" s="303">
        <f t="shared" si="131"/>
        <v>249246</v>
      </c>
      <c r="AO420" s="304">
        <f t="shared" si="132"/>
        <v>0</v>
      </c>
      <c r="AP420" s="273">
        <f t="shared" si="136"/>
        <v>6</v>
      </c>
      <c r="AQ420" s="273" t="str">
        <f t="shared" ca="1" si="133"/>
        <v>61900</v>
      </c>
    </row>
    <row r="421" spans="1:43" ht="18">
      <c r="A421" s="392">
        <v>18</v>
      </c>
      <c r="B421" s="340" t="s">
        <v>2089</v>
      </c>
      <c r="C421" s="340" t="s">
        <v>2090</v>
      </c>
      <c r="D421" s="277" t="s">
        <v>2091</v>
      </c>
      <c r="E421" s="340"/>
      <c r="F421" s="334"/>
      <c r="G421" s="623">
        <v>245305</v>
      </c>
      <c r="H421" s="331">
        <v>44154.9</v>
      </c>
      <c r="I421" s="624">
        <v>289460</v>
      </c>
      <c r="J421" s="624"/>
      <c r="K421" s="340"/>
      <c r="L421" s="340"/>
      <c r="M421" s="592"/>
      <c r="N421" s="340" t="s">
        <v>2110</v>
      </c>
      <c r="O421" s="610" t="s">
        <v>2111</v>
      </c>
      <c r="P421" s="611">
        <v>45838</v>
      </c>
      <c r="Q421" s="481" t="s">
        <v>2112</v>
      </c>
      <c r="R421" s="559">
        <v>289460</v>
      </c>
      <c r="S421" s="621"/>
      <c r="T421" s="820"/>
      <c r="U421" s="340"/>
      <c r="V421" s="340">
        <f t="shared" ca="1" si="134"/>
        <v>1</v>
      </c>
      <c r="W421" s="594">
        <f t="shared" ca="1" si="135"/>
        <v>1900</v>
      </c>
      <c r="X421" s="340" t="str">
        <f t="shared" ca="1" si="137"/>
        <v>0 WEEK</v>
      </c>
      <c r="Y421" s="436">
        <f t="shared" si="124"/>
        <v>0</v>
      </c>
      <c r="Z421" s="541" cm="1">
        <f t="array" aca="1" ref="Z421" ca="1">_xlfn.IFS(AD421&lt;100,Y421,Y421&lt;TODAY(),TODAY(),Y421&gt;TODAY(),Y421,Y421=TODAY(),Y421)</f>
        <v>0</v>
      </c>
      <c r="AA421" s="837"/>
      <c r="AB421" s="331"/>
      <c r="AC421" s="331"/>
      <c r="AD421" s="298">
        <f t="shared" si="127"/>
        <v>0</v>
      </c>
      <c r="AE421" s="299" t="str">
        <f t="shared" si="128"/>
        <v>Complete</v>
      </c>
      <c r="AF421" s="340"/>
      <c r="AG421" s="340"/>
      <c r="AH421" s="340"/>
      <c r="AI421" s="301">
        <f t="shared" ca="1" si="125"/>
        <v>0</v>
      </c>
      <c r="AJ421" s="302">
        <f t="shared" ca="1" si="126"/>
        <v>0</v>
      </c>
      <c r="AL421" s="303">
        <f t="shared" si="129"/>
        <v>289460</v>
      </c>
      <c r="AM421" s="303">
        <f t="shared" si="130"/>
        <v>0</v>
      </c>
      <c r="AN421" s="303">
        <f t="shared" si="131"/>
        <v>289460</v>
      </c>
      <c r="AO421" s="304">
        <f t="shared" si="132"/>
        <v>0</v>
      </c>
      <c r="AP421" s="273">
        <f t="shared" si="136"/>
        <v>6</v>
      </c>
      <c r="AQ421" s="273" t="str">
        <f t="shared" ca="1" si="133"/>
        <v>61900</v>
      </c>
    </row>
    <row r="422" spans="1:43" ht="16.5">
      <c r="A422" s="392">
        <v>18</v>
      </c>
      <c r="B422" s="340" t="s">
        <v>2089</v>
      </c>
      <c r="C422" s="340" t="s">
        <v>2090</v>
      </c>
      <c r="D422" s="277" t="s">
        <v>2091</v>
      </c>
      <c r="E422" s="340"/>
      <c r="F422" s="334"/>
      <c r="G422" s="623">
        <v>749050</v>
      </c>
      <c r="H422" s="331">
        <v>134829</v>
      </c>
      <c r="I422" s="624">
        <v>883879</v>
      </c>
      <c r="J422" s="624"/>
      <c r="K422" s="340"/>
      <c r="L422" s="340"/>
      <c r="M422" s="592"/>
      <c r="N422" s="340" t="s">
        <v>2110</v>
      </c>
      <c r="O422" s="610" t="s">
        <v>2113</v>
      </c>
      <c r="P422" s="578">
        <v>0</v>
      </c>
      <c r="Q422" s="340"/>
      <c r="R422" s="621"/>
      <c r="S422" s="621"/>
      <c r="T422" s="820"/>
      <c r="U422" s="340"/>
      <c r="V422" s="340">
        <f t="shared" ca="1" si="134"/>
        <v>1</v>
      </c>
      <c r="W422" s="594">
        <f t="shared" ca="1" si="135"/>
        <v>1900</v>
      </c>
      <c r="X422" s="340" t="str">
        <f t="shared" ca="1" si="137"/>
        <v>0 WEEK</v>
      </c>
      <c r="Y422" s="436">
        <f t="shared" si="124"/>
        <v>0</v>
      </c>
      <c r="Z422" s="541" cm="1">
        <f t="array" aca="1" ref="Z422" ca="1">_xlfn.IFS(AD422&lt;100,Y422,Y422&lt;TODAY(),TODAY(),Y422&gt;TODAY(),Y422,Y422=TODAY(),Y422)</f>
        <v>0</v>
      </c>
      <c r="AA422" s="837"/>
      <c r="AB422" s="331"/>
      <c r="AC422" s="331"/>
      <c r="AD422" s="298">
        <f t="shared" si="127"/>
        <v>0</v>
      </c>
      <c r="AE422" s="299" t="str">
        <f t="shared" si="128"/>
        <v>Complete</v>
      </c>
      <c r="AF422" s="340"/>
      <c r="AG422" s="340"/>
      <c r="AH422" s="340"/>
      <c r="AI422" s="301">
        <f t="shared" ca="1" si="125"/>
        <v>0</v>
      </c>
      <c r="AJ422" s="302">
        <f t="shared" ca="1" si="126"/>
        <v>0</v>
      </c>
      <c r="AL422" s="303">
        <f t="shared" si="129"/>
        <v>883879</v>
      </c>
      <c r="AM422" s="303">
        <f t="shared" si="130"/>
        <v>883879</v>
      </c>
      <c r="AN422" s="303">
        <f t="shared" si="131"/>
        <v>0</v>
      </c>
      <c r="AO422" s="304">
        <f t="shared" si="132"/>
        <v>0</v>
      </c>
      <c r="AP422" s="273">
        <f t="shared" si="136"/>
        <v>1</v>
      </c>
      <c r="AQ422" s="273" t="str">
        <f t="shared" ca="1" si="133"/>
        <v>11900</v>
      </c>
    </row>
    <row r="423" spans="1:43" ht="16.5">
      <c r="A423" s="392">
        <v>18</v>
      </c>
      <c r="B423" s="340" t="s">
        <v>2089</v>
      </c>
      <c r="C423" s="340" t="s">
        <v>2090</v>
      </c>
      <c r="D423" s="277" t="s">
        <v>2091</v>
      </c>
      <c r="E423" s="340"/>
      <c r="F423" s="334"/>
      <c r="G423" s="623">
        <v>1332670</v>
      </c>
      <c r="H423" s="331">
        <v>239880.59999999998</v>
      </c>
      <c r="I423" s="624">
        <v>1572551</v>
      </c>
      <c r="J423" s="624"/>
      <c r="K423" s="340"/>
      <c r="L423" s="340"/>
      <c r="M423" s="592"/>
      <c r="N423" s="340" t="s">
        <v>2110</v>
      </c>
      <c r="O423" s="610" t="s">
        <v>2114</v>
      </c>
      <c r="P423" s="578">
        <v>0</v>
      </c>
      <c r="Q423" s="340"/>
      <c r="R423" s="621"/>
      <c r="S423" s="621"/>
      <c r="T423" s="820"/>
      <c r="U423" s="340"/>
      <c r="V423" s="340">
        <f t="shared" ca="1" si="134"/>
        <v>1</v>
      </c>
      <c r="W423" s="594">
        <f t="shared" ca="1" si="135"/>
        <v>1900</v>
      </c>
      <c r="X423" s="340" t="str">
        <f t="shared" ca="1" si="137"/>
        <v>0 WEEK</v>
      </c>
      <c r="Y423" s="436">
        <f t="shared" si="124"/>
        <v>0</v>
      </c>
      <c r="Z423" s="541" cm="1">
        <f t="array" aca="1" ref="Z423" ca="1">_xlfn.IFS(AD423&lt;100,Y423,Y423&lt;TODAY(),TODAY(),Y423&gt;TODAY(),Y423,Y423=TODAY(),Y423)</f>
        <v>0</v>
      </c>
      <c r="AA423" s="837"/>
      <c r="AB423" s="331"/>
      <c r="AC423" s="331"/>
      <c r="AD423" s="298">
        <f t="shared" si="127"/>
        <v>0</v>
      </c>
      <c r="AE423" s="299" t="str">
        <f t="shared" si="128"/>
        <v>Complete</v>
      </c>
      <c r="AF423" s="340"/>
      <c r="AG423" s="340"/>
      <c r="AH423" s="340"/>
      <c r="AI423" s="301">
        <f t="shared" ca="1" si="125"/>
        <v>0</v>
      </c>
      <c r="AJ423" s="302">
        <f t="shared" ca="1" si="126"/>
        <v>0</v>
      </c>
      <c r="AL423" s="303">
        <f t="shared" si="129"/>
        <v>1572551</v>
      </c>
      <c r="AM423" s="303">
        <f t="shared" si="130"/>
        <v>1572551</v>
      </c>
      <c r="AN423" s="303">
        <f t="shared" si="131"/>
        <v>0</v>
      </c>
      <c r="AO423" s="304">
        <f t="shared" si="132"/>
        <v>0</v>
      </c>
      <c r="AP423" s="273">
        <f t="shared" si="136"/>
        <v>1</v>
      </c>
      <c r="AQ423" s="273" t="str">
        <f t="shared" ca="1" si="133"/>
        <v>11900</v>
      </c>
    </row>
    <row r="424" spans="1:43" ht="15.75">
      <c r="A424" s="392">
        <v>18</v>
      </c>
      <c r="B424" s="340" t="s">
        <v>2089</v>
      </c>
      <c r="C424" s="340" t="s">
        <v>2090</v>
      </c>
      <c r="D424" s="277" t="s">
        <v>2091</v>
      </c>
      <c r="E424" s="340"/>
      <c r="F424" s="334"/>
      <c r="G424" s="623">
        <v>118033.52</v>
      </c>
      <c r="H424" s="331">
        <v>21246.033599999999</v>
      </c>
      <c r="I424" s="624">
        <v>139280</v>
      </c>
      <c r="J424" s="624"/>
      <c r="K424" s="340"/>
      <c r="L424" s="340"/>
      <c r="M424" s="592"/>
      <c r="N424" s="340" t="s">
        <v>2110</v>
      </c>
      <c r="O424" s="594" t="s">
        <v>2115</v>
      </c>
      <c r="P424" s="578">
        <v>0</v>
      </c>
      <c r="Q424" s="340"/>
      <c r="R424" s="621"/>
      <c r="S424" s="621"/>
      <c r="T424" s="820"/>
      <c r="U424" s="340"/>
      <c r="V424" s="340">
        <f t="shared" ca="1" si="134"/>
        <v>1</v>
      </c>
      <c r="W424" s="594">
        <f t="shared" ca="1" si="135"/>
        <v>1900</v>
      </c>
      <c r="X424" s="340" t="str">
        <f t="shared" ca="1" si="137"/>
        <v>0 WEEK</v>
      </c>
      <c r="Y424" s="436">
        <f t="shared" si="124"/>
        <v>0</v>
      </c>
      <c r="Z424" s="541" cm="1">
        <f t="array" aca="1" ref="Z424" ca="1">_xlfn.IFS(AD424&lt;100,Y424,Y424&lt;TODAY(),TODAY(),Y424&gt;TODAY(),Y424,Y424=TODAY(),Y424)</f>
        <v>0</v>
      </c>
      <c r="AA424" s="837"/>
      <c r="AB424" s="331"/>
      <c r="AC424" s="331"/>
      <c r="AD424" s="298">
        <f t="shared" si="127"/>
        <v>0</v>
      </c>
      <c r="AE424" s="299" t="str">
        <f t="shared" si="128"/>
        <v>Complete</v>
      </c>
      <c r="AF424" s="340"/>
      <c r="AG424" s="340"/>
      <c r="AH424" s="340"/>
      <c r="AI424" s="301">
        <f t="shared" ca="1" si="125"/>
        <v>0</v>
      </c>
      <c r="AJ424" s="302">
        <f t="shared" ca="1" si="126"/>
        <v>0</v>
      </c>
      <c r="AL424" s="303">
        <f t="shared" si="129"/>
        <v>139280</v>
      </c>
      <c r="AM424" s="303">
        <f t="shared" si="130"/>
        <v>139280</v>
      </c>
      <c r="AN424" s="303">
        <f t="shared" si="131"/>
        <v>0</v>
      </c>
      <c r="AO424" s="304">
        <f t="shared" si="132"/>
        <v>0</v>
      </c>
      <c r="AP424" s="273">
        <f t="shared" si="136"/>
        <v>1</v>
      </c>
      <c r="AQ424" s="273" t="str">
        <f t="shared" ca="1" si="133"/>
        <v>11900</v>
      </c>
    </row>
    <row r="425" spans="1:43" ht="15.75">
      <c r="A425" s="392">
        <v>19</v>
      </c>
      <c r="B425" s="340" t="s">
        <v>2089</v>
      </c>
      <c r="C425" s="340" t="s">
        <v>2090</v>
      </c>
      <c r="D425" s="277" t="s">
        <v>2091</v>
      </c>
      <c r="E425" s="340"/>
      <c r="F425" s="334"/>
      <c r="G425" s="623">
        <v>202350</v>
      </c>
      <c r="H425" s="331">
        <v>36423</v>
      </c>
      <c r="I425" s="624">
        <v>238773</v>
      </c>
      <c r="J425" s="624"/>
      <c r="K425" s="340"/>
      <c r="L425" s="340"/>
      <c r="M425" s="592"/>
      <c r="N425" s="340" t="s">
        <v>2116</v>
      </c>
      <c r="O425" s="811" t="s">
        <v>2117</v>
      </c>
      <c r="P425" s="578">
        <v>0</v>
      </c>
      <c r="Q425" s="340"/>
      <c r="R425" s="621"/>
      <c r="S425" s="621"/>
      <c r="T425" s="820"/>
      <c r="U425" s="340"/>
      <c r="V425" s="340">
        <f t="shared" ca="1" si="134"/>
        <v>1</v>
      </c>
      <c r="W425" s="594">
        <f t="shared" ca="1" si="135"/>
        <v>1900</v>
      </c>
      <c r="X425" s="340" t="str">
        <f t="shared" ca="1" si="137"/>
        <v>0 WEEK</v>
      </c>
      <c r="Y425" s="436">
        <f t="shared" si="124"/>
        <v>0</v>
      </c>
      <c r="Z425" s="541" cm="1">
        <f t="array" aca="1" ref="Z425" ca="1">_xlfn.IFS(AD425&lt;100,Y425,Y425&lt;TODAY(),TODAY(),Y425&gt;TODAY(),Y425,Y425=TODAY(),Y425)</f>
        <v>0</v>
      </c>
      <c r="AA425" s="837"/>
      <c r="AB425" s="331"/>
      <c r="AC425" s="331"/>
      <c r="AD425" s="298">
        <f t="shared" si="127"/>
        <v>0</v>
      </c>
      <c r="AE425" s="299" t="str">
        <f t="shared" si="128"/>
        <v>Complete</v>
      </c>
      <c r="AF425" s="340"/>
      <c r="AG425" s="340"/>
      <c r="AH425" s="340"/>
      <c r="AI425" s="301">
        <f t="shared" ca="1" si="125"/>
        <v>0</v>
      </c>
      <c r="AJ425" s="302">
        <f t="shared" ca="1" si="126"/>
        <v>0</v>
      </c>
      <c r="AL425" s="303">
        <f t="shared" si="129"/>
        <v>238773</v>
      </c>
      <c r="AM425" s="303">
        <f t="shared" si="130"/>
        <v>238773</v>
      </c>
      <c r="AN425" s="303">
        <f t="shared" si="131"/>
        <v>0</v>
      </c>
      <c r="AO425" s="304">
        <f t="shared" si="132"/>
        <v>0</v>
      </c>
      <c r="AP425" s="273">
        <f t="shared" si="136"/>
        <v>1</v>
      </c>
      <c r="AQ425" s="273" t="str">
        <f t="shared" ca="1" si="133"/>
        <v>11900</v>
      </c>
    </row>
    <row r="426" spans="1:43" ht="15.75">
      <c r="A426" s="392">
        <v>19</v>
      </c>
      <c r="B426" s="340" t="s">
        <v>2089</v>
      </c>
      <c r="C426" s="340" t="s">
        <v>2090</v>
      </c>
      <c r="D426" s="277" t="s">
        <v>2091</v>
      </c>
      <c r="E426" s="340"/>
      <c r="F426" s="334"/>
      <c r="G426" s="623">
        <v>210120.24</v>
      </c>
      <c r="H426" s="331">
        <v>37821.643199999999</v>
      </c>
      <c r="I426" s="624">
        <v>247942</v>
      </c>
      <c r="J426" s="624"/>
      <c r="K426" s="340"/>
      <c r="L426" s="340"/>
      <c r="M426" s="592"/>
      <c r="N426" s="744" t="s">
        <v>2116</v>
      </c>
      <c r="O426" s="862" t="s">
        <v>2118</v>
      </c>
      <c r="P426" s="863">
        <v>0</v>
      </c>
      <c r="Q426" s="340"/>
      <c r="R426" s="621"/>
      <c r="S426" s="621"/>
      <c r="T426" s="820"/>
      <c r="U426" s="340"/>
      <c r="V426" s="340">
        <f t="shared" ca="1" si="134"/>
        <v>1</v>
      </c>
      <c r="W426" s="594">
        <f t="shared" ca="1" si="135"/>
        <v>1900</v>
      </c>
      <c r="X426" s="340" t="str">
        <f t="shared" ca="1" si="137"/>
        <v>0 WEEK</v>
      </c>
      <c r="Y426" s="436">
        <f t="shared" si="124"/>
        <v>0</v>
      </c>
      <c r="Z426" s="541" cm="1">
        <f t="array" aca="1" ref="Z426" ca="1">_xlfn.IFS(AD426&lt;100,Y426,Y426&lt;TODAY(),TODAY(),Y426&gt;TODAY(),Y426,Y426=TODAY(),Y426)</f>
        <v>0</v>
      </c>
      <c r="AA426" s="837"/>
      <c r="AB426" s="331"/>
      <c r="AC426" s="331"/>
      <c r="AD426" s="298">
        <f t="shared" si="127"/>
        <v>0</v>
      </c>
      <c r="AE426" s="299" t="str">
        <f t="shared" si="128"/>
        <v>Complete</v>
      </c>
      <c r="AF426" s="340"/>
      <c r="AG426" s="340"/>
      <c r="AH426" s="340"/>
      <c r="AI426" s="301">
        <f t="shared" ca="1" si="125"/>
        <v>0</v>
      </c>
      <c r="AJ426" s="302">
        <f t="shared" ca="1" si="126"/>
        <v>0</v>
      </c>
      <c r="AL426" s="303">
        <f t="shared" si="129"/>
        <v>247942</v>
      </c>
      <c r="AM426" s="303">
        <f t="shared" si="130"/>
        <v>247942</v>
      </c>
      <c r="AN426" s="303">
        <f t="shared" si="131"/>
        <v>0</v>
      </c>
      <c r="AO426" s="304">
        <f t="shared" si="132"/>
        <v>0</v>
      </c>
      <c r="AP426" s="273">
        <f t="shared" si="136"/>
        <v>1</v>
      </c>
      <c r="AQ426" s="273" t="str">
        <f t="shared" ca="1" si="133"/>
        <v>11900</v>
      </c>
    </row>
    <row r="427" spans="1:43" ht="17.25" thickBot="1">
      <c r="A427" s="392">
        <v>19</v>
      </c>
      <c r="B427" s="864" t="s">
        <v>2089</v>
      </c>
      <c r="C427" s="864" t="s">
        <v>2090</v>
      </c>
      <c r="D427" s="277" t="s">
        <v>2091</v>
      </c>
      <c r="E427" s="864"/>
      <c r="F427" s="865"/>
      <c r="G427" s="866">
        <v>218188.86</v>
      </c>
      <c r="H427" s="867">
        <v>39273.994799999993</v>
      </c>
      <c r="I427" s="868">
        <v>257463</v>
      </c>
      <c r="J427" s="868"/>
      <c r="K427" s="864"/>
      <c r="L427" s="864"/>
      <c r="M427" s="869"/>
      <c r="N427" s="864" t="s">
        <v>2116</v>
      </c>
      <c r="O427" s="732" t="s">
        <v>2084</v>
      </c>
      <c r="P427" s="870">
        <v>0</v>
      </c>
      <c r="Q427" s="864"/>
      <c r="R427" s="871"/>
      <c r="S427" s="871"/>
      <c r="T427" s="872"/>
      <c r="U427" s="864"/>
      <c r="V427" s="340">
        <f t="shared" ca="1" si="134"/>
        <v>1</v>
      </c>
      <c r="W427" s="594">
        <f t="shared" ca="1" si="135"/>
        <v>1900</v>
      </c>
      <c r="X427" s="340" t="str">
        <f t="shared" ca="1" si="137"/>
        <v>0 WEEK</v>
      </c>
      <c r="Y427" s="436">
        <f t="shared" si="124"/>
        <v>0</v>
      </c>
      <c r="Z427" s="541" cm="1">
        <f t="array" aca="1" ref="Z427" ca="1">_xlfn.IFS(AD427&lt;100,Y427,Y427&lt;TODAY(),TODAY(),Y427&gt;TODAY(),Y427,Y427=TODAY(),Y427)</f>
        <v>0</v>
      </c>
      <c r="AA427" s="873"/>
      <c r="AB427" s="867"/>
      <c r="AC427" s="867"/>
      <c r="AD427" s="298">
        <f t="shared" si="127"/>
        <v>0</v>
      </c>
      <c r="AE427" s="299" t="str">
        <f t="shared" si="128"/>
        <v>Complete</v>
      </c>
      <c r="AF427" s="864"/>
      <c r="AG427" s="864"/>
      <c r="AH427" s="864"/>
      <c r="AI427" s="301">
        <f t="shared" ca="1" si="125"/>
        <v>0</v>
      </c>
      <c r="AJ427" s="302">
        <f t="shared" ca="1" si="126"/>
        <v>0</v>
      </c>
      <c r="AL427" s="303">
        <f t="shared" si="129"/>
        <v>257463</v>
      </c>
      <c r="AM427" s="303">
        <f t="shared" si="130"/>
        <v>257463</v>
      </c>
      <c r="AN427" s="303">
        <f t="shared" si="131"/>
        <v>0</v>
      </c>
      <c r="AO427" s="304">
        <f t="shared" si="132"/>
        <v>0</v>
      </c>
      <c r="AP427" s="273">
        <f t="shared" si="136"/>
        <v>1</v>
      </c>
      <c r="AQ427" s="273" t="str">
        <f t="shared" ca="1" si="133"/>
        <v>11900</v>
      </c>
    </row>
    <row r="428" spans="1:43" ht="16.5">
      <c r="A428" s="392">
        <v>20</v>
      </c>
      <c r="B428" s="291" t="s">
        <v>2089</v>
      </c>
      <c r="C428" s="291" t="s">
        <v>2119</v>
      </c>
      <c r="D428" s="291" t="s">
        <v>2120</v>
      </c>
      <c r="E428" s="291"/>
      <c r="F428" s="279"/>
      <c r="G428" s="856">
        <v>29865000</v>
      </c>
      <c r="H428" s="857">
        <v>3583800</v>
      </c>
      <c r="I428" s="858">
        <v>33448800</v>
      </c>
      <c r="J428" s="858"/>
      <c r="K428" s="291"/>
      <c r="L428" s="291"/>
      <c r="M428" s="583"/>
      <c r="N428" s="291" t="s">
        <v>1593</v>
      </c>
      <c r="O428" s="610" t="s">
        <v>2092</v>
      </c>
      <c r="P428" s="293">
        <v>45747</v>
      </c>
      <c r="Q428" s="291" t="s">
        <v>2121</v>
      </c>
      <c r="R428" s="760">
        <v>33448800</v>
      </c>
      <c r="S428" s="760"/>
      <c r="T428" s="859"/>
      <c r="U428" s="291"/>
      <c r="V428" s="340">
        <f t="shared" ca="1" si="134"/>
        <v>1</v>
      </c>
      <c r="W428" s="594">
        <f t="shared" ca="1" si="135"/>
        <v>1900</v>
      </c>
      <c r="X428" s="340" t="str">
        <f t="shared" ca="1" si="137"/>
        <v>0 WEEK</v>
      </c>
      <c r="Y428" s="436">
        <f t="shared" si="124"/>
        <v>0</v>
      </c>
      <c r="Z428" s="541" cm="1">
        <f t="array" aca="1" ref="Z428" ca="1">_xlfn.IFS(AD428&lt;100,Y428,Y428&lt;TODAY(),TODAY(),Y428&gt;TODAY(),Y428,Y428=TODAY(),Y428)</f>
        <v>0</v>
      </c>
      <c r="AA428" s="860"/>
      <c r="AB428" s="857"/>
      <c r="AC428" s="857"/>
      <c r="AD428" s="298">
        <f t="shared" si="127"/>
        <v>0</v>
      </c>
      <c r="AE428" s="299" t="str">
        <f t="shared" si="128"/>
        <v>Complete</v>
      </c>
      <c r="AF428" s="291"/>
      <c r="AG428" s="291"/>
      <c r="AH428" s="291"/>
      <c r="AI428" s="301">
        <f t="shared" ca="1" si="125"/>
        <v>0</v>
      </c>
      <c r="AJ428" s="302">
        <f t="shared" ca="1" si="126"/>
        <v>0</v>
      </c>
      <c r="AL428" s="303">
        <f t="shared" si="129"/>
        <v>33448800</v>
      </c>
      <c r="AM428" s="303">
        <f t="shared" si="130"/>
        <v>0</v>
      </c>
      <c r="AN428" s="303">
        <f t="shared" si="131"/>
        <v>33448800</v>
      </c>
      <c r="AO428" s="304">
        <f t="shared" si="132"/>
        <v>0</v>
      </c>
      <c r="AP428" s="273">
        <f t="shared" si="136"/>
        <v>3</v>
      </c>
      <c r="AQ428" s="273" t="str">
        <f t="shared" ca="1" si="133"/>
        <v>31900</v>
      </c>
    </row>
    <row r="429" spans="1:43" ht="16.5">
      <c r="A429" s="392">
        <v>20</v>
      </c>
      <c r="B429" s="340" t="s">
        <v>2089</v>
      </c>
      <c r="C429" s="340" t="s">
        <v>2119</v>
      </c>
      <c r="D429" s="291" t="s">
        <v>2120</v>
      </c>
      <c r="E429" s="340"/>
      <c r="F429" s="334"/>
      <c r="G429" s="623">
        <v>3565500</v>
      </c>
      <c r="H429" s="331">
        <v>641790</v>
      </c>
      <c r="I429" s="624">
        <v>4207290</v>
      </c>
      <c r="J429" s="624"/>
      <c r="K429" s="340"/>
      <c r="L429" s="340"/>
      <c r="M429" s="592"/>
      <c r="N429" s="340" t="s">
        <v>1593</v>
      </c>
      <c r="O429" s="610" t="s">
        <v>2094</v>
      </c>
      <c r="P429" s="329">
        <v>45838</v>
      </c>
      <c r="Q429" s="340" t="s">
        <v>2122</v>
      </c>
      <c r="R429" s="621">
        <v>4207290</v>
      </c>
      <c r="S429" s="621"/>
      <c r="T429" s="820"/>
      <c r="U429" s="340"/>
      <c r="V429" s="340">
        <f t="shared" ca="1" si="134"/>
        <v>1</v>
      </c>
      <c r="W429" s="594">
        <f t="shared" ca="1" si="135"/>
        <v>1900</v>
      </c>
      <c r="X429" s="340" t="str">
        <f t="shared" ca="1" si="137"/>
        <v>0 WEEK</v>
      </c>
      <c r="Y429" s="436">
        <f t="shared" si="124"/>
        <v>0</v>
      </c>
      <c r="Z429" s="541" cm="1">
        <f t="array" aca="1" ref="Z429" ca="1">_xlfn.IFS(AD429&lt;100,Y429,Y429&lt;TODAY(),TODAY(),Y429&gt;TODAY(),Y429,Y429=TODAY(),Y429)</f>
        <v>0</v>
      </c>
      <c r="AA429" s="837"/>
      <c r="AB429" s="331"/>
      <c r="AC429" s="331"/>
      <c r="AD429" s="298">
        <f t="shared" si="127"/>
        <v>0</v>
      </c>
      <c r="AE429" s="299" t="str">
        <f t="shared" si="128"/>
        <v>Complete</v>
      </c>
      <c r="AF429" s="340"/>
      <c r="AG429" s="340"/>
      <c r="AH429" s="340"/>
      <c r="AI429" s="301">
        <f t="shared" ca="1" si="125"/>
        <v>0</v>
      </c>
      <c r="AJ429" s="302">
        <f t="shared" ca="1" si="126"/>
        <v>0</v>
      </c>
      <c r="AL429" s="303">
        <f t="shared" si="129"/>
        <v>4207290</v>
      </c>
      <c r="AM429" s="303">
        <f t="shared" si="130"/>
        <v>0</v>
      </c>
      <c r="AN429" s="303">
        <f t="shared" si="131"/>
        <v>4207290</v>
      </c>
      <c r="AO429" s="304">
        <f t="shared" si="132"/>
        <v>0</v>
      </c>
      <c r="AP429" s="273">
        <f t="shared" si="136"/>
        <v>6</v>
      </c>
      <c r="AQ429" s="273" t="str">
        <f t="shared" ca="1" si="133"/>
        <v>61900</v>
      </c>
    </row>
    <row r="430" spans="1:43" ht="16.5">
      <c r="A430" s="392">
        <v>20</v>
      </c>
      <c r="B430" s="340" t="s">
        <v>2089</v>
      </c>
      <c r="C430" s="340" t="s">
        <v>2119</v>
      </c>
      <c r="D430" s="291" t="s">
        <v>2120</v>
      </c>
      <c r="E430" s="340"/>
      <c r="F430" s="334"/>
      <c r="G430" s="623">
        <v>2229000</v>
      </c>
      <c r="H430" s="331">
        <v>267480</v>
      </c>
      <c r="I430" s="624">
        <v>2496480</v>
      </c>
      <c r="J430" s="624"/>
      <c r="K430" s="340"/>
      <c r="L430" s="340"/>
      <c r="M430" s="592"/>
      <c r="N430" s="340" t="s">
        <v>1593</v>
      </c>
      <c r="O430" s="610" t="s">
        <v>2096</v>
      </c>
      <c r="P430" s="329">
        <v>45744</v>
      </c>
      <c r="Q430" s="340" t="s">
        <v>2123</v>
      </c>
      <c r="R430" s="621">
        <v>2496480</v>
      </c>
      <c r="S430" s="621"/>
      <c r="T430" s="820"/>
      <c r="U430" s="340"/>
      <c r="V430" s="340">
        <f t="shared" ca="1" si="134"/>
        <v>1</v>
      </c>
      <c r="W430" s="594">
        <f t="shared" ca="1" si="135"/>
        <v>1900</v>
      </c>
      <c r="X430" s="340" t="str">
        <f t="shared" ca="1" si="137"/>
        <v>0 WEEK</v>
      </c>
      <c r="Y430" s="436">
        <f t="shared" si="124"/>
        <v>0</v>
      </c>
      <c r="Z430" s="541" cm="1">
        <f t="array" aca="1" ref="Z430" ca="1">_xlfn.IFS(AD430&lt;100,Y430,Y430&lt;TODAY(),TODAY(),Y430&gt;TODAY(),Y430,Y430=TODAY(),Y430)</f>
        <v>0</v>
      </c>
      <c r="AA430" s="837"/>
      <c r="AB430" s="331"/>
      <c r="AC430" s="331"/>
      <c r="AD430" s="298">
        <f t="shared" si="127"/>
        <v>0</v>
      </c>
      <c r="AE430" s="299" t="str">
        <f t="shared" si="128"/>
        <v>Complete</v>
      </c>
      <c r="AF430" s="340"/>
      <c r="AG430" s="340"/>
      <c r="AH430" s="340"/>
      <c r="AI430" s="301">
        <f t="shared" ca="1" si="125"/>
        <v>0</v>
      </c>
      <c r="AJ430" s="302">
        <f t="shared" ca="1" si="126"/>
        <v>0</v>
      </c>
      <c r="AL430" s="303">
        <f t="shared" si="129"/>
        <v>2496480</v>
      </c>
      <c r="AM430" s="303">
        <f t="shared" si="130"/>
        <v>0</v>
      </c>
      <c r="AN430" s="303">
        <f t="shared" si="131"/>
        <v>2496480</v>
      </c>
      <c r="AO430" s="304">
        <f t="shared" si="132"/>
        <v>0</v>
      </c>
      <c r="AP430" s="273">
        <f t="shared" si="136"/>
        <v>3</v>
      </c>
      <c r="AQ430" s="273" t="str">
        <f t="shared" ca="1" si="133"/>
        <v>31900</v>
      </c>
    </row>
    <row r="431" spans="1:43" ht="16.5">
      <c r="A431" s="392">
        <v>20</v>
      </c>
      <c r="B431" s="340" t="s">
        <v>2089</v>
      </c>
      <c r="C431" s="340" t="s">
        <v>2119</v>
      </c>
      <c r="D431" s="291" t="s">
        <v>2120</v>
      </c>
      <c r="E431" s="340"/>
      <c r="F431" s="334"/>
      <c r="G431" s="623"/>
      <c r="H431" s="331"/>
      <c r="I431" s="624"/>
      <c r="J431" s="624"/>
      <c r="K431" s="340"/>
      <c r="L431" s="340"/>
      <c r="M431" s="592"/>
      <c r="N431" s="340" t="s">
        <v>1593</v>
      </c>
      <c r="O431" s="610" t="s">
        <v>1835</v>
      </c>
      <c r="P431" s="578">
        <v>0</v>
      </c>
      <c r="Q431" s="340"/>
      <c r="R431" s="621">
        <v>0</v>
      </c>
      <c r="S431" s="621"/>
      <c r="T431" s="820"/>
      <c r="U431" s="340"/>
      <c r="V431" s="340">
        <f t="shared" ca="1" si="134"/>
        <v>1</v>
      </c>
      <c r="W431" s="594">
        <f t="shared" ca="1" si="135"/>
        <v>1900</v>
      </c>
      <c r="X431" s="340" t="str">
        <f t="shared" ca="1" si="137"/>
        <v>0 WEEK</v>
      </c>
      <c r="Y431" s="436">
        <f t="shared" si="124"/>
        <v>0</v>
      </c>
      <c r="Z431" s="541" cm="1">
        <f t="array" aca="1" ref="Z431" ca="1">_xlfn.IFS(AD431&lt;100,Y431,Y431&lt;TODAY(),TODAY(),Y431&gt;TODAY(),Y431,Y431=TODAY(),Y431)</f>
        <v>0</v>
      </c>
      <c r="AA431" s="837"/>
      <c r="AB431" s="331"/>
      <c r="AC431" s="331"/>
      <c r="AD431" s="298">
        <f t="shared" si="127"/>
        <v>0</v>
      </c>
      <c r="AE431" s="299" t="str">
        <f t="shared" si="128"/>
        <v>Complete</v>
      </c>
      <c r="AF431" s="340"/>
      <c r="AG431" s="340"/>
      <c r="AH431" s="340"/>
      <c r="AI431" s="301">
        <f t="shared" ca="1" si="125"/>
        <v>0</v>
      </c>
      <c r="AJ431" s="302">
        <f t="shared" ca="1" si="126"/>
        <v>0</v>
      </c>
      <c r="AL431" s="303">
        <f t="shared" si="129"/>
        <v>0</v>
      </c>
      <c r="AM431" s="303">
        <f t="shared" si="130"/>
        <v>0</v>
      </c>
      <c r="AN431" s="303">
        <f t="shared" si="131"/>
        <v>0</v>
      </c>
      <c r="AO431" s="304">
        <f t="shared" si="132"/>
        <v>0</v>
      </c>
      <c r="AP431" s="273">
        <f t="shared" si="136"/>
        <v>1</v>
      </c>
      <c r="AQ431" s="273" t="str">
        <f t="shared" ca="1" si="133"/>
        <v>11900</v>
      </c>
    </row>
    <row r="432" spans="1:43" ht="16.5">
      <c r="A432" s="392">
        <v>20</v>
      </c>
      <c r="B432" s="340" t="s">
        <v>2089</v>
      </c>
      <c r="C432" s="340" t="s">
        <v>2119</v>
      </c>
      <c r="D432" s="291" t="s">
        <v>2120</v>
      </c>
      <c r="E432" s="340"/>
      <c r="F432" s="334"/>
      <c r="G432" s="623">
        <v>892500</v>
      </c>
      <c r="H432" s="331">
        <v>160650</v>
      </c>
      <c r="I432" s="624">
        <v>1053150</v>
      </c>
      <c r="J432" s="624"/>
      <c r="K432" s="340"/>
      <c r="L432" s="340"/>
      <c r="M432" s="592"/>
      <c r="N432" s="340" t="s">
        <v>1593</v>
      </c>
      <c r="O432" s="610" t="s">
        <v>2098</v>
      </c>
      <c r="P432" s="329">
        <v>45744</v>
      </c>
      <c r="Q432" s="340" t="s">
        <v>2123</v>
      </c>
      <c r="R432" s="621">
        <v>1053150</v>
      </c>
      <c r="S432" s="621"/>
      <c r="T432" s="820"/>
      <c r="U432" s="340"/>
      <c r="V432" s="340">
        <f t="shared" ca="1" si="134"/>
        <v>1</v>
      </c>
      <c r="W432" s="594">
        <f t="shared" ca="1" si="135"/>
        <v>1900</v>
      </c>
      <c r="X432" s="340" t="str">
        <f t="shared" ca="1" si="137"/>
        <v>0 WEEK</v>
      </c>
      <c r="Y432" s="436">
        <f t="shared" si="124"/>
        <v>0</v>
      </c>
      <c r="Z432" s="541" cm="1">
        <f t="array" aca="1" ref="Z432" ca="1">_xlfn.IFS(AD432&lt;100,Y432,Y432&lt;TODAY(),TODAY(),Y432&gt;TODAY(),Y432,Y432=TODAY(),Y432)</f>
        <v>0</v>
      </c>
      <c r="AA432" s="837"/>
      <c r="AB432" s="331"/>
      <c r="AC432" s="331"/>
      <c r="AD432" s="298">
        <f t="shared" si="127"/>
        <v>0</v>
      </c>
      <c r="AE432" s="299" t="str">
        <f t="shared" si="128"/>
        <v>Complete</v>
      </c>
      <c r="AF432" s="340"/>
      <c r="AG432" s="340"/>
      <c r="AH432" s="340"/>
      <c r="AI432" s="301">
        <f t="shared" ca="1" si="125"/>
        <v>0</v>
      </c>
      <c r="AJ432" s="302">
        <f t="shared" ca="1" si="126"/>
        <v>0</v>
      </c>
      <c r="AL432" s="303">
        <f t="shared" si="129"/>
        <v>1053150</v>
      </c>
      <c r="AM432" s="303">
        <f t="shared" si="130"/>
        <v>0</v>
      </c>
      <c r="AN432" s="303">
        <f t="shared" si="131"/>
        <v>1053150</v>
      </c>
      <c r="AO432" s="304">
        <f t="shared" si="132"/>
        <v>0</v>
      </c>
      <c r="AP432" s="273">
        <f t="shared" si="136"/>
        <v>3</v>
      </c>
      <c r="AQ432" s="273" t="str">
        <f t="shared" ca="1" si="133"/>
        <v>31900</v>
      </c>
    </row>
    <row r="433" spans="1:43" ht="16.5">
      <c r="A433" s="392">
        <v>20</v>
      </c>
      <c r="B433" s="340" t="s">
        <v>2089</v>
      </c>
      <c r="C433" s="340" t="s">
        <v>2119</v>
      </c>
      <c r="D433" s="291" t="s">
        <v>2120</v>
      </c>
      <c r="E433" s="340"/>
      <c r="F433" s="334"/>
      <c r="G433" s="623">
        <v>892500</v>
      </c>
      <c r="H433" s="331">
        <v>160650</v>
      </c>
      <c r="I433" s="624">
        <v>1053150</v>
      </c>
      <c r="J433" s="624"/>
      <c r="K433" s="340"/>
      <c r="L433" s="340"/>
      <c r="M433" s="592"/>
      <c r="N433" s="340" t="s">
        <v>1593</v>
      </c>
      <c r="O433" s="610" t="s">
        <v>2099</v>
      </c>
      <c r="P433" s="329">
        <v>45838</v>
      </c>
      <c r="Q433" s="340" t="s">
        <v>2122</v>
      </c>
      <c r="R433" s="621">
        <v>1053150</v>
      </c>
      <c r="S433" s="621"/>
      <c r="T433" s="820"/>
      <c r="U433" s="340"/>
      <c r="V433" s="340">
        <f t="shared" ca="1" si="134"/>
        <v>1</v>
      </c>
      <c r="W433" s="594">
        <f t="shared" ca="1" si="135"/>
        <v>1900</v>
      </c>
      <c r="X433" s="340" t="str">
        <f t="shared" ca="1" si="137"/>
        <v>0 WEEK</v>
      </c>
      <c r="Y433" s="436">
        <f t="shared" si="124"/>
        <v>0</v>
      </c>
      <c r="Z433" s="541" cm="1">
        <f t="array" aca="1" ref="Z433" ca="1">_xlfn.IFS(AD433&lt;100,Y433,Y433&lt;TODAY(),TODAY(),Y433&gt;TODAY(),Y433,Y433=TODAY(),Y433)</f>
        <v>0</v>
      </c>
      <c r="AA433" s="837"/>
      <c r="AB433" s="331"/>
      <c r="AC433" s="331"/>
      <c r="AD433" s="298">
        <f t="shared" si="127"/>
        <v>0</v>
      </c>
      <c r="AE433" s="299" t="str">
        <f t="shared" si="128"/>
        <v>Complete</v>
      </c>
      <c r="AF433" s="340"/>
      <c r="AG433" s="340"/>
      <c r="AH433" s="340"/>
      <c r="AI433" s="301">
        <f t="shared" ca="1" si="125"/>
        <v>0</v>
      </c>
      <c r="AJ433" s="302">
        <f t="shared" ca="1" si="126"/>
        <v>0</v>
      </c>
      <c r="AL433" s="303">
        <f t="shared" si="129"/>
        <v>1053150</v>
      </c>
      <c r="AM433" s="303">
        <f t="shared" si="130"/>
        <v>0</v>
      </c>
      <c r="AN433" s="303">
        <f t="shared" si="131"/>
        <v>1053150</v>
      </c>
      <c r="AO433" s="304">
        <f t="shared" si="132"/>
        <v>0</v>
      </c>
      <c r="AP433" s="273">
        <f t="shared" si="136"/>
        <v>6</v>
      </c>
      <c r="AQ433" s="273" t="str">
        <f t="shared" ca="1" si="133"/>
        <v>61900</v>
      </c>
    </row>
    <row r="434" spans="1:43" ht="16.5">
      <c r="A434" s="392">
        <v>20</v>
      </c>
      <c r="B434" s="340" t="s">
        <v>2089</v>
      </c>
      <c r="C434" s="340" t="s">
        <v>2119</v>
      </c>
      <c r="D434" s="291" t="s">
        <v>2120</v>
      </c>
      <c r="E434" s="340"/>
      <c r="F434" s="334"/>
      <c r="G434" s="623">
        <v>1783500</v>
      </c>
      <c r="H434" s="331">
        <v>321030</v>
      </c>
      <c r="I434" s="624">
        <v>2104530</v>
      </c>
      <c r="J434" s="624"/>
      <c r="K434" s="340"/>
      <c r="L434" s="340"/>
      <c r="M434" s="592"/>
      <c r="N434" s="340" t="s">
        <v>1593</v>
      </c>
      <c r="O434" s="610" t="s">
        <v>2100</v>
      </c>
      <c r="P434" s="578">
        <v>0</v>
      </c>
      <c r="Q434" s="340"/>
      <c r="R434" s="621">
        <v>0</v>
      </c>
      <c r="S434" s="621"/>
      <c r="T434" s="820"/>
      <c r="U434" s="340"/>
      <c r="V434" s="340">
        <f t="shared" ca="1" si="134"/>
        <v>1</v>
      </c>
      <c r="W434" s="594">
        <f t="shared" ca="1" si="135"/>
        <v>1900</v>
      </c>
      <c r="X434" s="340" t="str">
        <f t="shared" ca="1" si="137"/>
        <v>0 WEEK</v>
      </c>
      <c r="Y434" s="436">
        <f t="shared" si="124"/>
        <v>0</v>
      </c>
      <c r="Z434" s="541" cm="1">
        <f t="array" aca="1" ref="Z434" ca="1">_xlfn.IFS(AD434&lt;100,Y434,Y434&lt;TODAY(),TODAY(),Y434&gt;TODAY(),Y434,Y434=TODAY(),Y434)</f>
        <v>0</v>
      </c>
      <c r="AA434" s="837"/>
      <c r="AB434" s="331"/>
      <c r="AC434" s="331"/>
      <c r="AD434" s="298">
        <f t="shared" si="127"/>
        <v>0</v>
      </c>
      <c r="AE434" s="299" t="str">
        <f t="shared" si="128"/>
        <v>Complete</v>
      </c>
      <c r="AF434" s="340"/>
      <c r="AG434" s="340"/>
      <c r="AH434" s="340"/>
      <c r="AI434" s="301">
        <f t="shared" ca="1" si="125"/>
        <v>0</v>
      </c>
      <c r="AJ434" s="302">
        <f t="shared" ca="1" si="126"/>
        <v>0</v>
      </c>
      <c r="AL434" s="303">
        <f t="shared" si="129"/>
        <v>2104530</v>
      </c>
      <c r="AM434" s="303">
        <f t="shared" si="130"/>
        <v>2104530</v>
      </c>
      <c r="AN434" s="303">
        <f t="shared" si="131"/>
        <v>0</v>
      </c>
      <c r="AO434" s="304">
        <f t="shared" si="132"/>
        <v>0</v>
      </c>
      <c r="AP434" s="273">
        <f t="shared" si="136"/>
        <v>1</v>
      </c>
      <c r="AQ434" s="273" t="str">
        <f t="shared" ca="1" si="133"/>
        <v>11900</v>
      </c>
    </row>
    <row r="435" spans="1:43" ht="16.5">
      <c r="A435" s="392">
        <v>20</v>
      </c>
      <c r="B435" s="340" t="s">
        <v>2089</v>
      </c>
      <c r="C435" s="340" t="s">
        <v>2119</v>
      </c>
      <c r="D435" s="291" t="s">
        <v>2120</v>
      </c>
      <c r="E435" s="340"/>
      <c r="F435" s="334"/>
      <c r="G435" s="623">
        <v>1338000</v>
      </c>
      <c r="H435" s="331">
        <v>240840</v>
      </c>
      <c r="I435" s="624">
        <v>1578840</v>
      </c>
      <c r="J435" s="624"/>
      <c r="K435" s="340"/>
      <c r="L435" s="340"/>
      <c r="M435" s="592"/>
      <c r="N435" s="340" t="s">
        <v>1593</v>
      </c>
      <c r="O435" s="610" t="s">
        <v>2101</v>
      </c>
      <c r="P435" s="578">
        <v>0</v>
      </c>
      <c r="Q435" s="340"/>
      <c r="R435" s="621">
        <v>0</v>
      </c>
      <c r="S435" s="621"/>
      <c r="T435" s="820"/>
      <c r="U435" s="340"/>
      <c r="V435" s="340">
        <f t="shared" ca="1" si="134"/>
        <v>1</v>
      </c>
      <c r="W435" s="594">
        <f t="shared" ca="1" si="135"/>
        <v>1900</v>
      </c>
      <c r="X435" s="340" t="str">
        <f t="shared" ca="1" si="137"/>
        <v>0 WEEK</v>
      </c>
      <c r="Y435" s="436">
        <f t="shared" si="124"/>
        <v>0</v>
      </c>
      <c r="Z435" s="541" cm="1">
        <f t="array" aca="1" ref="Z435" ca="1">_xlfn.IFS(AD435&lt;100,Y435,Y435&lt;TODAY(),TODAY(),Y435&gt;TODAY(),Y435,Y435=TODAY(),Y435)</f>
        <v>0</v>
      </c>
      <c r="AA435" s="837"/>
      <c r="AB435" s="331"/>
      <c r="AC435" s="331"/>
      <c r="AD435" s="298">
        <f t="shared" si="127"/>
        <v>0</v>
      </c>
      <c r="AE435" s="299" t="str">
        <f t="shared" si="128"/>
        <v>Complete</v>
      </c>
      <c r="AF435" s="340"/>
      <c r="AG435" s="340"/>
      <c r="AH435" s="340"/>
      <c r="AI435" s="301">
        <f t="shared" ca="1" si="125"/>
        <v>0</v>
      </c>
      <c r="AJ435" s="302">
        <f t="shared" ca="1" si="126"/>
        <v>0</v>
      </c>
      <c r="AL435" s="303">
        <f t="shared" si="129"/>
        <v>1578840</v>
      </c>
      <c r="AM435" s="303">
        <f t="shared" si="130"/>
        <v>1578840</v>
      </c>
      <c r="AN435" s="303">
        <f t="shared" si="131"/>
        <v>0</v>
      </c>
      <c r="AO435" s="304">
        <f t="shared" si="132"/>
        <v>0</v>
      </c>
      <c r="AP435" s="273">
        <f t="shared" si="136"/>
        <v>1</v>
      </c>
      <c r="AQ435" s="273" t="str">
        <f t="shared" ca="1" si="133"/>
        <v>11900</v>
      </c>
    </row>
    <row r="436" spans="1:43" ht="16.5">
      <c r="A436" s="392">
        <v>20</v>
      </c>
      <c r="B436" s="340" t="s">
        <v>2089</v>
      </c>
      <c r="C436" s="340" t="s">
        <v>2119</v>
      </c>
      <c r="D436" s="291" t="s">
        <v>2120</v>
      </c>
      <c r="E436" s="340"/>
      <c r="F436" s="334"/>
      <c r="G436" s="623">
        <v>1783500</v>
      </c>
      <c r="H436" s="331">
        <v>321030</v>
      </c>
      <c r="I436" s="624">
        <v>2104530</v>
      </c>
      <c r="J436" s="624"/>
      <c r="K436" s="340"/>
      <c r="L436" s="340"/>
      <c r="M436" s="592"/>
      <c r="N436" s="340" t="s">
        <v>1593</v>
      </c>
      <c r="O436" s="610" t="s">
        <v>2102</v>
      </c>
      <c r="P436" s="329">
        <v>45838</v>
      </c>
      <c r="Q436" s="340" t="s">
        <v>2122</v>
      </c>
      <c r="R436" s="621">
        <v>2104530</v>
      </c>
      <c r="S436" s="621"/>
      <c r="T436" s="820"/>
      <c r="U436" s="340"/>
      <c r="V436" s="340">
        <f t="shared" ca="1" si="134"/>
        <v>1</v>
      </c>
      <c r="W436" s="594">
        <f t="shared" ca="1" si="135"/>
        <v>1900</v>
      </c>
      <c r="X436" s="340" t="str">
        <f t="shared" ca="1" si="137"/>
        <v>0 WEEK</v>
      </c>
      <c r="Y436" s="436">
        <f t="shared" si="124"/>
        <v>0</v>
      </c>
      <c r="Z436" s="541" cm="1">
        <f t="array" aca="1" ref="Z436" ca="1">_xlfn.IFS(AD436&lt;100,Y436,Y436&lt;TODAY(),TODAY(),Y436&gt;TODAY(),Y436,Y436=TODAY(),Y436)</f>
        <v>0</v>
      </c>
      <c r="AA436" s="837"/>
      <c r="AB436" s="331"/>
      <c r="AC436" s="331"/>
      <c r="AD436" s="298">
        <f t="shared" si="127"/>
        <v>0</v>
      </c>
      <c r="AE436" s="299" t="str">
        <f t="shared" si="128"/>
        <v>Complete</v>
      </c>
      <c r="AF436" s="340"/>
      <c r="AG436" s="340"/>
      <c r="AH436" s="340"/>
      <c r="AI436" s="301">
        <f t="shared" ca="1" si="125"/>
        <v>0</v>
      </c>
      <c r="AJ436" s="302">
        <f t="shared" ca="1" si="126"/>
        <v>0</v>
      </c>
      <c r="AL436" s="303">
        <f t="shared" si="129"/>
        <v>2104530</v>
      </c>
      <c r="AM436" s="303">
        <f t="shared" si="130"/>
        <v>0</v>
      </c>
      <c r="AN436" s="303">
        <f t="shared" si="131"/>
        <v>2104530</v>
      </c>
      <c r="AO436" s="304">
        <f t="shared" si="132"/>
        <v>0</v>
      </c>
      <c r="AP436" s="273">
        <f t="shared" si="136"/>
        <v>6</v>
      </c>
      <c r="AQ436" s="273" t="str">
        <f t="shared" ca="1" si="133"/>
        <v>61900</v>
      </c>
    </row>
    <row r="437" spans="1:43" ht="16.5">
      <c r="A437" s="392">
        <v>20</v>
      </c>
      <c r="B437" s="340" t="s">
        <v>2089</v>
      </c>
      <c r="C437" s="340" t="s">
        <v>2119</v>
      </c>
      <c r="D437" s="291" t="s">
        <v>2120</v>
      </c>
      <c r="E437" s="340"/>
      <c r="F437" s="334"/>
      <c r="G437" s="623">
        <v>223500</v>
      </c>
      <c r="H437" s="331">
        <v>40230</v>
      </c>
      <c r="I437" s="624">
        <v>263730</v>
      </c>
      <c r="J437" s="624"/>
      <c r="K437" s="340"/>
      <c r="L437" s="340"/>
      <c r="M437" s="592"/>
      <c r="N437" s="340" t="s">
        <v>1593</v>
      </c>
      <c r="O437" s="610" t="s">
        <v>2103</v>
      </c>
      <c r="P437" s="329">
        <v>45838</v>
      </c>
      <c r="Q437" s="340" t="s">
        <v>2122</v>
      </c>
      <c r="R437" s="621">
        <v>263730</v>
      </c>
      <c r="S437" s="621"/>
      <c r="T437" s="820"/>
      <c r="U437" s="340"/>
      <c r="V437" s="340">
        <f t="shared" ca="1" si="134"/>
        <v>1</v>
      </c>
      <c r="W437" s="594">
        <f t="shared" ca="1" si="135"/>
        <v>1900</v>
      </c>
      <c r="X437" s="340" t="str">
        <f t="shared" ca="1" si="137"/>
        <v>0 WEEK</v>
      </c>
      <c r="Y437" s="436">
        <f t="shared" si="124"/>
        <v>0</v>
      </c>
      <c r="Z437" s="541" cm="1">
        <f t="array" aca="1" ref="Z437" ca="1">_xlfn.IFS(AD437&lt;100,Y437,Y437&lt;TODAY(),TODAY(),Y437&gt;TODAY(),Y437,Y437=TODAY(),Y437)</f>
        <v>0</v>
      </c>
      <c r="AA437" s="837"/>
      <c r="AB437" s="331"/>
      <c r="AC437" s="331"/>
      <c r="AD437" s="298">
        <f t="shared" si="127"/>
        <v>0</v>
      </c>
      <c r="AE437" s="299" t="str">
        <f t="shared" si="128"/>
        <v>Complete</v>
      </c>
      <c r="AF437" s="340"/>
      <c r="AG437" s="340"/>
      <c r="AH437" s="340"/>
      <c r="AI437" s="301">
        <f t="shared" ca="1" si="125"/>
        <v>0</v>
      </c>
      <c r="AJ437" s="302">
        <f t="shared" ca="1" si="126"/>
        <v>0</v>
      </c>
      <c r="AL437" s="303">
        <f t="shared" si="129"/>
        <v>263730</v>
      </c>
      <c r="AM437" s="303">
        <f t="shared" si="130"/>
        <v>0</v>
      </c>
      <c r="AN437" s="303">
        <f t="shared" si="131"/>
        <v>263730</v>
      </c>
      <c r="AO437" s="304">
        <f t="shared" si="132"/>
        <v>0</v>
      </c>
      <c r="AP437" s="273">
        <f t="shared" si="136"/>
        <v>6</v>
      </c>
      <c r="AQ437" s="273" t="str">
        <f t="shared" ca="1" si="133"/>
        <v>61900</v>
      </c>
    </row>
    <row r="438" spans="1:43" ht="16.5">
      <c r="A438" s="392">
        <v>20</v>
      </c>
      <c r="B438" s="340" t="s">
        <v>2089</v>
      </c>
      <c r="C438" s="340" t="s">
        <v>2119</v>
      </c>
      <c r="D438" s="291" t="s">
        <v>2120</v>
      </c>
      <c r="E438" s="340"/>
      <c r="F438" s="334"/>
      <c r="G438" s="623">
        <v>892500</v>
      </c>
      <c r="H438" s="331">
        <v>160650</v>
      </c>
      <c r="I438" s="624">
        <v>1053150</v>
      </c>
      <c r="J438" s="624"/>
      <c r="K438" s="340"/>
      <c r="L438" s="340"/>
      <c r="M438" s="592"/>
      <c r="N438" s="340" t="s">
        <v>1593</v>
      </c>
      <c r="O438" s="610" t="s">
        <v>2104</v>
      </c>
      <c r="P438" s="329">
        <v>45838</v>
      </c>
      <c r="Q438" s="340" t="s">
        <v>2122</v>
      </c>
      <c r="R438" s="621">
        <v>1053150</v>
      </c>
      <c r="S438" s="621"/>
      <c r="T438" s="820"/>
      <c r="U438" s="340"/>
      <c r="V438" s="340">
        <f t="shared" ca="1" si="134"/>
        <v>1</v>
      </c>
      <c r="W438" s="594">
        <f t="shared" ca="1" si="135"/>
        <v>1900</v>
      </c>
      <c r="X438" s="340" t="str">
        <f t="shared" ca="1" si="137"/>
        <v>0 WEEK</v>
      </c>
      <c r="Y438" s="436">
        <f t="shared" si="124"/>
        <v>0</v>
      </c>
      <c r="Z438" s="541" cm="1">
        <f t="array" aca="1" ref="Z438" ca="1">_xlfn.IFS(AD438&lt;100,Y438,Y438&lt;TODAY(),TODAY(),Y438&gt;TODAY(),Y438,Y438=TODAY(),Y438)</f>
        <v>0</v>
      </c>
      <c r="AA438" s="837"/>
      <c r="AB438" s="331"/>
      <c r="AC438" s="331"/>
      <c r="AD438" s="298">
        <f t="shared" si="127"/>
        <v>0</v>
      </c>
      <c r="AE438" s="299" t="str">
        <f t="shared" si="128"/>
        <v>Complete</v>
      </c>
      <c r="AF438" s="340"/>
      <c r="AG438" s="340"/>
      <c r="AH438" s="340"/>
      <c r="AI438" s="301">
        <f t="shared" ca="1" si="125"/>
        <v>0</v>
      </c>
      <c r="AJ438" s="302">
        <f t="shared" ca="1" si="126"/>
        <v>0</v>
      </c>
      <c r="AL438" s="303">
        <f t="shared" si="129"/>
        <v>1053150</v>
      </c>
      <c r="AM438" s="303">
        <f t="shared" si="130"/>
        <v>0</v>
      </c>
      <c r="AN438" s="303">
        <f t="shared" si="131"/>
        <v>1053150</v>
      </c>
      <c r="AO438" s="304">
        <f t="shared" si="132"/>
        <v>0</v>
      </c>
      <c r="AP438" s="273">
        <f t="shared" si="136"/>
        <v>6</v>
      </c>
      <c r="AQ438" s="273" t="str">
        <f t="shared" ca="1" si="133"/>
        <v>61900</v>
      </c>
    </row>
    <row r="439" spans="1:43" ht="16.5">
      <c r="A439" s="392">
        <v>20</v>
      </c>
      <c r="B439" s="340" t="s">
        <v>2089</v>
      </c>
      <c r="C439" s="340" t="s">
        <v>2119</v>
      </c>
      <c r="D439" s="291" t="s">
        <v>2120</v>
      </c>
      <c r="E439" s="340"/>
      <c r="F439" s="334"/>
      <c r="G439" s="623">
        <v>447000</v>
      </c>
      <c r="H439" s="331">
        <v>80460</v>
      </c>
      <c r="I439" s="624">
        <v>527460</v>
      </c>
      <c r="J439" s="624"/>
      <c r="K439" s="340"/>
      <c r="L439" s="340"/>
      <c r="M439" s="592"/>
      <c r="N439" s="340" t="s">
        <v>1593</v>
      </c>
      <c r="O439" s="610" t="s">
        <v>2105</v>
      </c>
      <c r="P439" s="329">
        <v>45838</v>
      </c>
      <c r="Q439" s="340" t="s">
        <v>2122</v>
      </c>
      <c r="R439" s="621">
        <v>527460</v>
      </c>
      <c r="S439" s="621"/>
      <c r="T439" s="820"/>
      <c r="U439" s="340"/>
      <c r="V439" s="340">
        <f t="shared" ca="1" si="134"/>
        <v>1</v>
      </c>
      <c r="W439" s="594">
        <f t="shared" ca="1" si="135"/>
        <v>1900</v>
      </c>
      <c r="X439" s="340" t="str">
        <f t="shared" ca="1" si="137"/>
        <v>0 WEEK</v>
      </c>
      <c r="Y439" s="436">
        <f t="shared" si="124"/>
        <v>0</v>
      </c>
      <c r="Z439" s="541" cm="1">
        <f t="array" aca="1" ref="Z439" ca="1">_xlfn.IFS(AD439&lt;100,Y439,Y439&lt;TODAY(),TODAY(),Y439&gt;TODAY(),Y439,Y439=TODAY(),Y439)</f>
        <v>0</v>
      </c>
      <c r="AA439" s="837"/>
      <c r="AB439" s="331"/>
      <c r="AC439" s="331"/>
      <c r="AD439" s="298">
        <f t="shared" si="127"/>
        <v>0</v>
      </c>
      <c r="AE439" s="299" t="str">
        <f t="shared" si="128"/>
        <v>Complete</v>
      </c>
      <c r="AF439" s="340"/>
      <c r="AG439" s="340"/>
      <c r="AH439" s="340"/>
      <c r="AI439" s="301">
        <f t="shared" ca="1" si="125"/>
        <v>0</v>
      </c>
      <c r="AJ439" s="302">
        <f t="shared" ca="1" si="126"/>
        <v>0</v>
      </c>
      <c r="AL439" s="303">
        <f t="shared" si="129"/>
        <v>527460</v>
      </c>
      <c r="AM439" s="303">
        <f t="shared" si="130"/>
        <v>0</v>
      </c>
      <c r="AN439" s="303">
        <f t="shared" si="131"/>
        <v>527460</v>
      </c>
      <c r="AO439" s="304">
        <f t="shared" si="132"/>
        <v>0</v>
      </c>
      <c r="AP439" s="273">
        <f t="shared" si="136"/>
        <v>6</v>
      </c>
      <c r="AQ439" s="273" t="str">
        <f t="shared" ca="1" si="133"/>
        <v>61900</v>
      </c>
    </row>
    <row r="440" spans="1:43" ht="16.5">
      <c r="A440" s="392">
        <v>20</v>
      </c>
      <c r="B440" s="340" t="s">
        <v>2089</v>
      </c>
      <c r="C440" s="340" t="s">
        <v>2119</v>
      </c>
      <c r="D440" s="291" t="s">
        <v>2120</v>
      </c>
      <c r="E440" s="340"/>
      <c r="F440" s="334"/>
      <c r="G440" s="623">
        <v>178500</v>
      </c>
      <c r="H440" s="331">
        <v>32130</v>
      </c>
      <c r="I440" s="624">
        <v>210630</v>
      </c>
      <c r="J440" s="624"/>
      <c r="K440" s="340"/>
      <c r="L440" s="340"/>
      <c r="M440" s="592"/>
      <c r="N440" s="340" t="s">
        <v>1593</v>
      </c>
      <c r="O440" s="610" t="s">
        <v>2106</v>
      </c>
      <c r="P440" s="578">
        <v>0</v>
      </c>
      <c r="Q440" s="340"/>
      <c r="R440" s="621">
        <v>0</v>
      </c>
      <c r="S440" s="621"/>
      <c r="T440" s="820"/>
      <c r="U440" s="340"/>
      <c r="V440" s="340">
        <f t="shared" ca="1" si="134"/>
        <v>1</v>
      </c>
      <c r="W440" s="594">
        <f t="shared" ca="1" si="135"/>
        <v>1900</v>
      </c>
      <c r="X440" s="340" t="str">
        <f t="shared" ca="1" si="137"/>
        <v>0 WEEK</v>
      </c>
      <c r="Y440" s="436">
        <f t="shared" si="124"/>
        <v>0</v>
      </c>
      <c r="Z440" s="541" cm="1">
        <f t="array" aca="1" ref="Z440" ca="1">_xlfn.IFS(AD440&lt;100,Y440,Y440&lt;TODAY(),TODAY(),Y440&gt;TODAY(),Y440,Y440=TODAY(),Y440)</f>
        <v>0</v>
      </c>
      <c r="AA440" s="837"/>
      <c r="AB440" s="331"/>
      <c r="AC440" s="331"/>
      <c r="AD440" s="298">
        <f t="shared" si="127"/>
        <v>0</v>
      </c>
      <c r="AE440" s="299" t="str">
        <f t="shared" si="128"/>
        <v>Complete</v>
      </c>
      <c r="AF440" s="340"/>
      <c r="AG440" s="340"/>
      <c r="AH440" s="340"/>
      <c r="AI440" s="301">
        <f t="shared" ca="1" si="125"/>
        <v>0</v>
      </c>
      <c r="AJ440" s="302">
        <f t="shared" ca="1" si="126"/>
        <v>0</v>
      </c>
      <c r="AL440" s="303">
        <f t="shared" si="129"/>
        <v>210630</v>
      </c>
      <c r="AM440" s="303">
        <f t="shared" si="130"/>
        <v>210630</v>
      </c>
      <c r="AN440" s="303">
        <f t="shared" si="131"/>
        <v>0</v>
      </c>
      <c r="AO440" s="304">
        <f t="shared" si="132"/>
        <v>0</v>
      </c>
      <c r="AP440" s="273">
        <f t="shared" si="136"/>
        <v>1</v>
      </c>
      <c r="AQ440" s="273" t="str">
        <f t="shared" ca="1" si="133"/>
        <v>11900</v>
      </c>
    </row>
    <row r="441" spans="1:43" ht="16.5">
      <c r="A441" s="392">
        <v>20</v>
      </c>
      <c r="B441" s="340" t="s">
        <v>2089</v>
      </c>
      <c r="C441" s="340" t="s">
        <v>2119</v>
      </c>
      <c r="D441" s="291" t="s">
        <v>2120</v>
      </c>
      <c r="E441" s="340"/>
      <c r="F441" s="334"/>
      <c r="G441" s="623">
        <v>268500</v>
      </c>
      <c r="H441" s="331">
        <v>48330</v>
      </c>
      <c r="I441" s="624">
        <v>316830</v>
      </c>
      <c r="J441" s="624"/>
      <c r="K441" s="340"/>
      <c r="L441" s="340"/>
      <c r="M441" s="592"/>
      <c r="N441" s="340" t="s">
        <v>1593</v>
      </c>
      <c r="O441" s="610" t="s">
        <v>2107</v>
      </c>
      <c r="P441" s="578">
        <v>0</v>
      </c>
      <c r="Q441" s="340"/>
      <c r="R441" s="621">
        <v>0</v>
      </c>
      <c r="S441" s="621"/>
      <c r="T441" s="820"/>
      <c r="U441" s="340"/>
      <c r="V441" s="340">
        <f t="shared" ca="1" si="134"/>
        <v>1</v>
      </c>
      <c r="W441" s="594">
        <f t="shared" ca="1" si="135"/>
        <v>1900</v>
      </c>
      <c r="X441" s="340" t="str">
        <f t="shared" ca="1" si="137"/>
        <v>0 WEEK</v>
      </c>
      <c r="Y441" s="436">
        <f t="shared" si="124"/>
        <v>0</v>
      </c>
      <c r="Z441" s="541" cm="1">
        <f t="array" aca="1" ref="Z441" ca="1">_xlfn.IFS(AD441&lt;100,Y441,Y441&lt;TODAY(),TODAY(),Y441&gt;TODAY(),Y441,Y441=TODAY(),Y441)</f>
        <v>0</v>
      </c>
      <c r="AA441" s="837"/>
      <c r="AB441" s="331"/>
      <c r="AC441" s="331"/>
      <c r="AD441" s="298">
        <f t="shared" si="127"/>
        <v>0</v>
      </c>
      <c r="AE441" s="299" t="str">
        <f t="shared" si="128"/>
        <v>Complete</v>
      </c>
      <c r="AF441" s="340"/>
      <c r="AG441" s="340"/>
      <c r="AH441" s="340"/>
      <c r="AI441" s="301">
        <f t="shared" ca="1" si="125"/>
        <v>0</v>
      </c>
      <c r="AJ441" s="302">
        <f t="shared" ca="1" si="126"/>
        <v>0</v>
      </c>
      <c r="AL441" s="303">
        <f t="shared" si="129"/>
        <v>316830</v>
      </c>
      <c r="AM441" s="303">
        <f t="shared" si="130"/>
        <v>316830</v>
      </c>
      <c r="AN441" s="303">
        <f t="shared" si="131"/>
        <v>0</v>
      </c>
      <c r="AO441" s="304">
        <f t="shared" si="132"/>
        <v>0</v>
      </c>
      <c r="AP441" s="273">
        <f t="shared" si="136"/>
        <v>1</v>
      </c>
      <c r="AQ441" s="273" t="str">
        <f t="shared" ca="1" si="133"/>
        <v>11900</v>
      </c>
    </row>
    <row r="442" spans="1:43" ht="16.5">
      <c r="A442" s="392">
        <v>20</v>
      </c>
      <c r="B442" s="340" t="s">
        <v>2089</v>
      </c>
      <c r="C442" s="340" t="s">
        <v>2119</v>
      </c>
      <c r="D442" s="291" t="s">
        <v>2120</v>
      </c>
      <c r="E442" s="340"/>
      <c r="F442" s="334"/>
      <c r="G442" s="623">
        <v>223500</v>
      </c>
      <c r="H442" s="331">
        <v>40230</v>
      </c>
      <c r="I442" s="624">
        <v>263730</v>
      </c>
      <c r="J442" s="624"/>
      <c r="K442" s="340"/>
      <c r="L442" s="340"/>
      <c r="M442" s="592"/>
      <c r="N442" s="340" t="s">
        <v>1593</v>
      </c>
      <c r="O442" s="610" t="s">
        <v>2108</v>
      </c>
      <c r="P442" s="578">
        <v>0</v>
      </c>
      <c r="Q442" s="340"/>
      <c r="R442" s="621">
        <v>0</v>
      </c>
      <c r="S442" s="621"/>
      <c r="T442" s="820"/>
      <c r="U442" s="340"/>
      <c r="V442" s="340">
        <f t="shared" ca="1" si="134"/>
        <v>1</v>
      </c>
      <c r="W442" s="594">
        <f t="shared" ca="1" si="135"/>
        <v>1900</v>
      </c>
      <c r="X442" s="340" t="str">
        <f t="shared" ca="1" si="137"/>
        <v>0 WEEK</v>
      </c>
      <c r="Y442" s="436">
        <f t="shared" si="124"/>
        <v>0</v>
      </c>
      <c r="Z442" s="541" cm="1">
        <f t="array" aca="1" ref="Z442" ca="1">_xlfn.IFS(AD442&lt;100,Y442,Y442&lt;TODAY(),TODAY(),Y442&gt;TODAY(),Y442,Y442=TODAY(),Y442)</f>
        <v>0</v>
      </c>
      <c r="AA442" s="837"/>
      <c r="AB442" s="331"/>
      <c r="AC442" s="331"/>
      <c r="AD442" s="298">
        <f t="shared" si="127"/>
        <v>0</v>
      </c>
      <c r="AE442" s="299" t="str">
        <f t="shared" si="128"/>
        <v>Complete</v>
      </c>
      <c r="AF442" s="340"/>
      <c r="AG442" s="340"/>
      <c r="AH442" s="340"/>
      <c r="AI442" s="301">
        <f t="shared" ca="1" si="125"/>
        <v>0</v>
      </c>
      <c r="AJ442" s="302">
        <f t="shared" ca="1" si="126"/>
        <v>0</v>
      </c>
      <c r="AL442" s="303">
        <f t="shared" si="129"/>
        <v>263730</v>
      </c>
      <c r="AM442" s="303">
        <f t="shared" si="130"/>
        <v>263730</v>
      </c>
      <c r="AN442" s="303">
        <f t="shared" si="131"/>
        <v>0</v>
      </c>
      <c r="AO442" s="304">
        <f t="shared" si="132"/>
        <v>0</v>
      </c>
      <c r="AP442" s="273">
        <f t="shared" si="136"/>
        <v>1</v>
      </c>
      <c r="AQ442" s="273" t="str">
        <f t="shared" ca="1" si="133"/>
        <v>11900</v>
      </c>
    </row>
    <row r="443" spans="1:43">
      <c r="A443" s="392">
        <v>20</v>
      </c>
      <c r="B443" s="340" t="s">
        <v>2089</v>
      </c>
      <c r="C443" s="340" t="s">
        <v>2119</v>
      </c>
      <c r="D443" s="291" t="s">
        <v>2120</v>
      </c>
      <c r="E443" s="340"/>
      <c r="F443" s="334"/>
      <c r="G443" s="623">
        <v>892500</v>
      </c>
      <c r="H443" s="331">
        <v>160650</v>
      </c>
      <c r="I443" s="624">
        <v>1053150</v>
      </c>
      <c r="J443" s="624"/>
      <c r="K443" s="340"/>
      <c r="L443" s="340"/>
      <c r="M443" s="592"/>
      <c r="N443" s="340" t="s">
        <v>1593</v>
      </c>
      <c r="O443" s="862" t="s">
        <v>2109</v>
      </c>
      <c r="P443" s="329">
        <v>45838</v>
      </c>
      <c r="Q443" s="340" t="s">
        <v>2122</v>
      </c>
      <c r="R443" s="621">
        <v>1053150</v>
      </c>
      <c r="S443" s="621"/>
      <c r="T443" s="820"/>
      <c r="U443" s="340"/>
      <c r="V443" s="340">
        <f t="shared" ca="1" si="134"/>
        <v>1</v>
      </c>
      <c r="W443" s="594">
        <f t="shared" ca="1" si="135"/>
        <v>1900</v>
      </c>
      <c r="X443" s="340" t="str">
        <f t="shared" ca="1" si="137"/>
        <v>0 WEEK</v>
      </c>
      <c r="Y443" s="436">
        <f t="shared" si="124"/>
        <v>0</v>
      </c>
      <c r="Z443" s="541" cm="1">
        <f t="array" aca="1" ref="Z443" ca="1">_xlfn.IFS(AD443&lt;100,Y443,Y443&lt;TODAY(),TODAY(),Y443&gt;TODAY(),Y443,Y443=TODAY(),Y443)</f>
        <v>0</v>
      </c>
      <c r="AA443" s="837"/>
      <c r="AB443" s="331"/>
      <c r="AC443" s="331"/>
      <c r="AD443" s="298">
        <f t="shared" si="127"/>
        <v>0</v>
      </c>
      <c r="AE443" s="299" t="str">
        <f t="shared" si="128"/>
        <v>Complete</v>
      </c>
      <c r="AF443" s="340"/>
      <c r="AG443" s="340"/>
      <c r="AH443" s="340"/>
      <c r="AI443" s="301">
        <f t="shared" ca="1" si="125"/>
        <v>0</v>
      </c>
      <c r="AJ443" s="302">
        <f t="shared" ca="1" si="126"/>
        <v>0</v>
      </c>
      <c r="AL443" s="303">
        <f t="shared" si="129"/>
        <v>1053150</v>
      </c>
      <c r="AM443" s="303">
        <f t="shared" si="130"/>
        <v>0</v>
      </c>
      <c r="AN443" s="303">
        <f t="shared" si="131"/>
        <v>1053150</v>
      </c>
      <c r="AO443" s="304">
        <f t="shared" si="132"/>
        <v>0</v>
      </c>
      <c r="AP443" s="273">
        <f t="shared" si="136"/>
        <v>6</v>
      </c>
      <c r="AQ443" s="273" t="str">
        <f t="shared" ca="1" si="133"/>
        <v>61900</v>
      </c>
    </row>
    <row r="444" spans="1:43" ht="18">
      <c r="A444" s="392">
        <v>21</v>
      </c>
      <c r="B444" s="340" t="s">
        <v>2089</v>
      </c>
      <c r="C444" s="340" t="s">
        <v>2119</v>
      </c>
      <c r="D444" s="291" t="s">
        <v>2120</v>
      </c>
      <c r="G444" s="306">
        <v>1036500</v>
      </c>
      <c r="H444" s="307">
        <v>186570</v>
      </c>
      <c r="I444" s="308">
        <v>1223070</v>
      </c>
      <c r="N444" s="273" t="s">
        <v>2110</v>
      </c>
      <c r="O444" s="862" t="s">
        <v>2111</v>
      </c>
      <c r="P444" s="874">
        <v>45838</v>
      </c>
      <c r="Q444" s="735" t="s">
        <v>2124</v>
      </c>
      <c r="R444" s="875">
        <v>1223070</v>
      </c>
      <c r="V444" s="340">
        <f t="shared" ca="1" si="134"/>
        <v>1</v>
      </c>
      <c r="W444" s="594">
        <f t="shared" ca="1" si="135"/>
        <v>1900</v>
      </c>
      <c r="X444" s="340" t="str">
        <f t="shared" ca="1" si="137"/>
        <v>0 WEEK</v>
      </c>
      <c r="Y444" s="436">
        <f t="shared" si="124"/>
        <v>0</v>
      </c>
      <c r="Z444" s="541" cm="1">
        <f t="array" aca="1" ref="Z444" ca="1">_xlfn.IFS(AD444&lt;100,Y444,Y444&lt;TODAY(),TODAY(),Y444&gt;TODAY(),Y444,Y444=TODAY(),Y444)</f>
        <v>0</v>
      </c>
      <c r="AD444" s="298">
        <f t="shared" si="127"/>
        <v>0</v>
      </c>
      <c r="AE444" s="299" t="str">
        <f t="shared" si="128"/>
        <v>Complete</v>
      </c>
      <c r="AI444" s="301">
        <f t="shared" ca="1" si="125"/>
        <v>0</v>
      </c>
      <c r="AJ444" s="302">
        <f t="shared" ca="1" si="126"/>
        <v>0</v>
      </c>
      <c r="AL444" s="303">
        <f t="shared" si="129"/>
        <v>1223070</v>
      </c>
      <c r="AM444" s="303">
        <f t="shared" si="130"/>
        <v>0</v>
      </c>
      <c r="AN444" s="303">
        <f t="shared" si="131"/>
        <v>1223070</v>
      </c>
      <c r="AO444" s="304">
        <f t="shared" si="132"/>
        <v>0</v>
      </c>
      <c r="AP444" s="273">
        <f t="shared" si="136"/>
        <v>6</v>
      </c>
      <c r="AQ444" s="273" t="str">
        <f t="shared" ca="1" si="133"/>
        <v>61900</v>
      </c>
    </row>
    <row r="445" spans="1:43">
      <c r="A445" s="392">
        <v>21</v>
      </c>
      <c r="B445" s="340" t="s">
        <v>2089</v>
      </c>
      <c r="C445" s="340" t="s">
        <v>2119</v>
      </c>
      <c r="D445" s="291" t="s">
        <v>2120</v>
      </c>
      <c r="G445" s="306">
        <v>3165000</v>
      </c>
      <c r="H445" s="307">
        <v>569700</v>
      </c>
      <c r="I445" s="308">
        <v>3734700</v>
      </c>
      <c r="N445" s="273" t="s">
        <v>2110</v>
      </c>
      <c r="O445" s="862" t="s">
        <v>2113</v>
      </c>
      <c r="P445" s="447">
        <v>0</v>
      </c>
      <c r="V445" s="340">
        <f t="shared" ca="1" si="134"/>
        <v>1</v>
      </c>
      <c r="W445" s="594">
        <f t="shared" ca="1" si="135"/>
        <v>1900</v>
      </c>
      <c r="X445" s="340" t="str">
        <f t="shared" ca="1" si="137"/>
        <v>0 WEEK</v>
      </c>
      <c r="Y445" s="436">
        <f t="shared" ref="Y445:Y508" si="138">U445+T445</f>
        <v>0</v>
      </c>
      <c r="Z445" s="541" cm="1">
        <f t="array" aca="1" ref="Z445" ca="1">_xlfn.IFS(AD445&lt;100,Y445,Y445&lt;TODAY(),TODAY(),Y445&gt;TODAY(),Y445,Y445=TODAY(),Y445)</f>
        <v>0</v>
      </c>
      <c r="AD445" s="298">
        <f t="shared" si="127"/>
        <v>0</v>
      </c>
      <c r="AE445" s="299" t="str">
        <f t="shared" si="128"/>
        <v>Complete</v>
      </c>
      <c r="AI445" s="301">
        <f t="shared" ca="1" si="125"/>
        <v>0</v>
      </c>
      <c r="AJ445" s="302">
        <f t="shared" ca="1" si="126"/>
        <v>0</v>
      </c>
      <c r="AL445" s="303">
        <f t="shared" si="129"/>
        <v>3734700</v>
      </c>
      <c r="AM445" s="303">
        <f t="shared" si="130"/>
        <v>3734700</v>
      </c>
      <c r="AN445" s="303">
        <f t="shared" si="131"/>
        <v>0</v>
      </c>
      <c r="AO445" s="304">
        <f t="shared" si="132"/>
        <v>0</v>
      </c>
      <c r="AP445" s="273">
        <f t="shared" si="136"/>
        <v>1</v>
      </c>
      <c r="AQ445" s="273" t="str">
        <f t="shared" ca="1" si="133"/>
        <v>11900</v>
      </c>
    </row>
    <row r="446" spans="1:43">
      <c r="A446" s="392">
        <v>21</v>
      </c>
      <c r="B446" s="340" t="s">
        <v>2089</v>
      </c>
      <c r="C446" s="340" t="s">
        <v>2119</v>
      </c>
      <c r="D446" s="291" t="s">
        <v>2120</v>
      </c>
      <c r="G446" s="306">
        <v>5631000</v>
      </c>
      <c r="H446" s="307">
        <v>1013580</v>
      </c>
      <c r="I446" s="308">
        <v>6644580</v>
      </c>
      <c r="N446" s="273" t="s">
        <v>2110</v>
      </c>
      <c r="O446" s="862" t="s">
        <v>2114</v>
      </c>
      <c r="P446" s="447">
        <v>0</v>
      </c>
      <c r="V446" s="340">
        <f t="shared" ca="1" si="134"/>
        <v>1</v>
      </c>
      <c r="W446" s="594">
        <f t="shared" ca="1" si="135"/>
        <v>1900</v>
      </c>
      <c r="X446" s="340" t="str">
        <f t="shared" ca="1" si="137"/>
        <v>0 WEEK</v>
      </c>
      <c r="Y446" s="436">
        <f t="shared" si="138"/>
        <v>0</v>
      </c>
      <c r="Z446" s="541" cm="1">
        <f t="array" aca="1" ref="Z446" ca="1">_xlfn.IFS(AD446&lt;100,Y446,Y446&lt;TODAY(),TODAY(),Y446&gt;TODAY(),Y446,Y446=TODAY(),Y446)</f>
        <v>0</v>
      </c>
      <c r="AD446" s="298">
        <f t="shared" si="127"/>
        <v>0</v>
      </c>
      <c r="AE446" s="299" t="str">
        <f t="shared" si="128"/>
        <v>Complete</v>
      </c>
      <c r="AI446" s="301">
        <f t="shared" ca="1" si="125"/>
        <v>0</v>
      </c>
      <c r="AJ446" s="302">
        <f t="shared" ca="1" si="126"/>
        <v>0</v>
      </c>
      <c r="AL446" s="303">
        <f t="shared" si="129"/>
        <v>6644580</v>
      </c>
      <c r="AM446" s="303">
        <f t="shared" si="130"/>
        <v>6644580</v>
      </c>
      <c r="AN446" s="303">
        <f t="shared" si="131"/>
        <v>0</v>
      </c>
      <c r="AO446" s="304">
        <f t="shared" si="132"/>
        <v>0</v>
      </c>
      <c r="AP446" s="273">
        <f t="shared" si="136"/>
        <v>1</v>
      </c>
      <c r="AQ446" s="273" t="str">
        <f t="shared" ca="1" si="133"/>
        <v>11900</v>
      </c>
    </row>
    <row r="447" spans="1:43" ht="16.5">
      <c r="A447" s="392">
        <v>21</v>
      </c>
      <c r="B447" s="340" t="s">
        <v>2089</v>
      </c>
      <c r="C447" s="340" t="s">
        <v>2119</v>
      </c>
      <c r="D447" s="291" t="s">
        <v>2120</v>
      </c>
      <c r="G447" s="306">
        <v>498733.2</v>
      </c>
      <c r="H447" s="307">
        <v>89771.975999999995</v>
      </c>
      <c r="I447" s="308">
        <v>588505</v>
      </c>
      <c r="N447" s="273" t="s">
        <v>2110</v>
      </c>
      <c r="O447" s="878" t="s">
        <v>2115</v>
      </c>
      <c r="P447" s="447">
        <v>0</v>
      </c>
      <c r="V447" s="340">
        <f t="shared" ca="1" si="134"/>
        <v>1</v>
      </c>
      <c r="W447" s="594">
        <f t="shared" ca="1" si="135"/>
        <v>1900</v>
      </c>
      <c r="X447" s="340" t="str">
        <f t="shared" ca="1" si="137"/>
        <v>0 WEEK</v>
      </c>
      <c r="Y447" s="436">
        <f t="shared" si="138"/>
        <v>0</v>
      </c>
      <c r="Z447" s="541" cm="1">
        <f t="array" aca="1" ref="Z447" ca="1">_xlfn.IFS(AD447&lt;100,Y447,Y447&lt;TODAY(),TODAY(),Y447&gt;TODAY(),Y447,Y447=TODAY(),Y447)</f>
        <v>0</v>
      </c>
      <c r="AD447" s="298">
        <f t="shared" si="127"/>
        <v>0</v>
      </c>
      <c r="AE447" s="299" t="str">
        <f t="shared" si="128"/>
        <v>Complete</v>
      </c>
      <c r="AI447" s="301">
        <f t="shared" ca="1" si="125"/>
        <v>0</v>
      </c>
      <c r="AJ447" s="302">
        <f t="shared" ca="1" si="126"/>
        <v>0</v>
      </c>
      <c r="AL447" s="303">
        <f t="shared" si="129"/>
        <v>588505</v>
      </c>
      <c r="AM447" s="303">
        <f t="shared" si="130"/>
        <v>588505</v>
      </c>
      <c r="AN447" s="303">
        <f t="shared" si="131"/>
        <v>0</v>
      </c>
      <c r="AO447" s="304">
        <f t="shared" si="132"/>
        <v>0</v>
      </c>
      <c r="AP447" s="273">
        <f t="shared" si="136"/>
        <v>1</v>
      </c>
      <c r="AQ447" s="273" t="str">
        <f t="shared" ca="1" si="133"/>
        <v>11900</v>
      </c>
    </row>
    <row r="448" spans="1:43" ht="16.5">
      <c r="A448" s="392">
        <v>22</v>
      </c>
      <c r="B448" s="340" t="s">
        <v>2089</v>
      </c>
      <c r="C448" s="340" t="s">
        <v>2119</v>
      </c>
      <c r="D448" s="291" t="s">
        <v>2120</v>
      </c>
      <c r="G448" s="306">
        <v>855000</v>
      </c>
      <c r="H448" s="307">
        <v>153900</v>
      </c>
      <c r="I448" s="308">
        <v>1008900</v>
      </c>
      <c r="N448" s="273" t="s">
        <v>2116</v>
      </c>
      <c r="O448" s="878" t="s">
        <v>2117</v>
      </c>
      <c r="P448" s="447">
        <v>0</v>
      </c>
      <c r="V448" s="340">
        <f t="shared" ca="1" si="134"/>
        <v>1</v>
      </c>
      <c r="W448" s="594">
        <f t="shared" ca="1" si="135"/>
        <v>1900</v>
      </c>
      <c r="X448" s="340" t="str">
        <f t="shared" ca="1" si="137"/>
        <v>0 WEEK</v>
      </c>
      <c r="Y448" s="436">
        <f t="shared" si="138"/>
        <v>0</v>
      </c>
      <c r="Z448" s="541" cm="1">
        <f t="array" aca="1" ref="Z448" ca="1">_xlfn.IFS(AD448&lt;100,Y448,Y448&lt;TODAY(),TODAY(),Y448&gt;TODAY(),Y448,Y448=TODAY(),Y448)</f>
        <v>0</v>
      </c>
      <c r="AD448" s="298">
        <f t="shared" si="127"/>
        <v>0</v>
      </c>
      <c r="AE448" s="299" t="str">
        <f t="shared" si="128"/>
        <v>Complete</v>
      </c>
      <c r="AI448" s="301">
        <f t="shared" ca="1" si="125"/>
        <v>0</v>
      </c>
      <c r="AJ448" s="302">
        <f t="shared" ca="1" si="126"/>
        <v>0</v>
      </c>
      <c r="AL448" s="303">
        <f t="shared" si="129"/>
        <v>1008900</v>
      </c>
      <c r="AM448" s="303">
        <f t="shared" si="130"/>
        <v>1008900</v>
      </c>
      <c r="AN448" s="303">
        <f t="shared" si="131"/>
        <v>0</v>
      </c>
      <c r="AO448" s="304">
        <f t="shared" si="132"/>
        <v>0</v>
      </c>
      <c r="AP448" s="273">
        <f t="shared" si="136"/>
        <v>1</v>
      </c>
      <c r="AQ448" s="273" t="str">
        <f t="shared" ca="1" si="133"/>
        <v>11900</v>
      </c>
    </row>
    <row r="449" spans="1:43" ht="16.5">
      <c r="A449" s="392">
        <v>22</v>
      </c>
      <c r="B449" s="340" t="s">
        <v>2089</v>
      </c>
      <c r="C449" s="340" t="s">
        <v>2119</v>
      </c>
      <c r="D449" s="291" t="s">
        <v>2120</v>
      </c>
      <c r="G449" s="306">
        <v>887832</v>
      </c>
      <c r="H449" s="307">
        <v>159809.75999999998</v>
      </c>
      <c r="I449" s="308">
        <v>1047642</v>
      </c>
      <c r="N449" s="273" t="s">
        <v>2116</v>
      </c>
      <c r="O449" s="878" t="s">
        <v>2118</v>
      </c>
      <c r="P449" s="447">
        <v>0</v>
      </c>
      <c r="V449" s="340">
        <f t="shared" ca="1" si="134"/>
        <v>1</v>
      </c>
      <c r="W449" s="594">
        <f t="shared" ca="1" si="135"/>
        <v>1900</v>
      </c>
      <c r="X449" s="340" t="str">
        <f t="shared" ca="1" si="137"/>
        <v>0 WEEK</v>
      </c>
      <c r="Y449" s="436">
        <f t="shared" si="138"/>
        <v>0</v>
      </c>
      <c r="Z449" s="541" cm="1">
        <f t="array" aca="1" ref="Z449" ca="1">_xlfn.IFS(AD449&lt;100,Y449,Y449&lt;TODAY(),TODAY(),Y449&gt;TODAY(),Y449,Y449=TODAY(),Y449)</f>
        <v>0</v>
      </c>
      <c r="AD449" s="298">
        <f t="shared" si="127"/>
        <v>0</v>
      </c>
      <c r="AE449" s="299" t="str">
        <f t="shared" si="128"/>
        <v>Complete</v>
      </c>
      <c r="AI449" s="301">
        <f t="shared" ca="1" si="125"/>
        <v>0</v>
      </c>
      <c r="AJ449" s="302">
        <f t="shared" ca="1" si="126"/>
        <v>0</v>
      </c>
      <c r="AL449" s="303">
        <f t="shared" si="129"/>
        <v>1047642</v>
      </c>
      <c r="AM449" s="303">
        <f t="shared" si="130"/>
        <v>1047642</v>
      </c>
      <c r="AN449" s="303">
        <f t="shared" si="131"/>
        <v>0</v>
      </c>
      <c r="AO449" s="304">
        <f t="shared" si="132"/>
        <v>0</v>
      </c>
      <c r="AP449" s="273">
        <f t="shared" si="136"/>
        <v>1</v>
      </c>
      <c r="AQ449" s="273" t="str">
        <f t="shared" ca="1" si="133"/>
        <v>11900</v>
      </c>
    </row>
    <row r="450" spans="1:43" ht="16.5">
      <c r="A450" s="392">
        <v>22</v>
      </c>
      <c r="B450" s="340" t="s">
        <v>2089</v>
      </c>
      <c r="C450" s="340" t="s">
        <v>2119</v>
      </c>
      <c r="D450" s="291" t="s">
        <v>2120</v>
      </c>
      <c r="G450" s="306">
        <v>921924.75</v>
      </c>
      <c r="H450" s="307">
        <v>165946.45499999999</v>
      </c>
      <c r="I450" s="308">
        <v>1087871</v>
      </c>
      <c r="N450" s="273" t="s">
        <v>2116</v>
      </c>
      <c r="O450" s="878" t="s">
        <v>2084</v>
      </c>
      <c r="P450" s="447">
        <v>0</v>
      </c>
      <c r="V450" s="340">
        <f t="shared" ca="1" si="134"/>
        <v>1</v>
      </c>
      <c r="W450" s="594">
        <f t="shared" ca="1" si="135"/>
        <v>1900</v>
      </c>
      <c r="X450" s="340" t="str">
        <f t="shared" ca="1" si="137"/>
        <v>0 WEEK</v>
      </c>
      <c r="Y450" s="436">
        <f t="shared" si="138"/>
        <v>0</v>
      </c>
      <c r="Z450" s="541" cm="1">
        <f t="array" aca="1" ref="Z450" ca="1">_xlfn.IFS(AD450&lt;100,Y450,Y450&lt;TODAY(),TODAY(),Y450&gt;TODAY(),Y450,Y450=TODAY(),Y450)</f>
        <v>0</v>
      </c>
      <c r="AD450" s="298">
        <f t="shared" si="127"/>
        <v>0</v>
      </c>
      <c r="AE450" s="299" t="str">
        <f t="shared" si="128"/>
        <v>Complete</v>
      </c>
      <c r="AI450" s="301">
        <f t="shared" ref="AI450:AI513" ca="1" si="139">Z450-Y450</f>
        <v>0</v>
      </c>
      <c r="AJ450" s="302">
        <f t="shared" ref="AJ450:AJ513" ca="1" si="140">IF(AI450&gt;1,"Delayed",0)</f>
        <v>0</v>
      </c>
      <c r="AL450" s="303">
        <f t="shared" si="129"/>
        <v>1087871</v>
      </c>
      <c r="AM450" s="303">
        <f t="shared" si="130"/>
        <v>1087871</v>
      </c>
      <c r="AN450" s="303">
        <f t="shared" si="131"/>
        <v>0</v>
      </c>
      <c r="AO450" s="304">
        <f t="shared" si="132"/>
        <v>0</v>
      </c>
      <c r="AP450" s="273">
        <f t="shared" si="136"/>
        <v>1</v>
      </c>
      <c r="AQ450" s="273" t="str">
        <f t="shared" ca="1" si="133"/>
        <v>11900</v>
      </c>
    </row>
    <row r="451" spans="1:43" ht="16.5">
      <c r="A451" s="392">
        <v>23</v>
      </c>
      <c r="B451" s="340" t="s">
        <v>2089</v>
      </c>
      <c r="C451" s="273" t="s">
        <v>2125</v>
      </c>
      <c r="D451" s="273" t="s">
        <v>2126</v>
      </c>
      <c r="G451" s="306">
        <v>6570300</v>
      </c>
      <c r="H451" s="307">
        <v>788436</v>
      </c>
      <c r="I451" s="308">
        <v>7358736</v>
      </c>
      <c r="N451" s="273" t="s">
        <v>1593</v>
      </c>
      <c r="O451" s="878" t="s">
        <v>2092</v>
      </c>
      <c r="P451" s="688">
        <v>45747</v>
      </c>
      <c r="Q451" s="304" t="s">
        <v>2127</v>
      </c>
      <c r="R451" s="304">
        <v>7358736</v>
      </c>
      <c r="V451" s="340">
        <f t="shared" ca="1" si="134"/>
        <v>1</v>
      </c>
      <c r="W451" s="594">
        <f t="shared" ca="1" si="135"/>
        <v>1900</v>
      </c>
      <c r="X451" s="340" t="str">
        <f t="shared" ca="1" si="137"/>
        <v>0 WEEK</v>
      </c>
      <c r="Y451" s="436">
        <f t="shared" si="138"/>
        <v>0</v>
      </c>
      <c r="Z451" s="541" cm="1">
        <f t="array" aca="1" ref="Z451" ca="1">_xlfn.IFS(AD451&lt;100,Y451,Y451&lt;TODAY(),TODAY(),Y451&gt;TODAY(),Y451,Y451=TODAY(),Y451)</f>
        <v>0</v>
      </c>
      <c r="AD451" s="298">
        <f t="shared" ref="AD451:AD514" si="141">ROUND(AA451-AB451-AC451,0)</f>
        <v>0</v>
      </c>
      <c r="AE451" s="299" t="str">
        <f t="shared" ref="AE451:AE514" si="142">IF(AD451&lt;100,"Complete","Incomplete")</f>
        <v>Complete</v>
      </c>
      <c r="AI451" s="301">
        <f t="shared" ca="1" si="139"/>
        <v>0</v>
      </c>
      <c r="AJ451" s="302">
        <f t="shared" ca="1" si="140"/>
        <v>0</v>
      </c>
      <c r="AL451" s="303">
        <f t="shared" ref="AL451:AL514" si="143">I451-J451</f>
        <v>7358736</v>
      </c>
      <c r="AM451" s="303">
        <f t="shared" ref="AM451:AM514" si="144">IFERROR(I451-R451,0)</f>
        <v>0</v>
      </c>
      <c r="AN451" s="303">
        <f t="shared" ref="AN451:AN514" si="145">IFERROR(R451-J451,0)</f>
        <v>7358736</v>
      </c>
      <c r="AO451" s="304">
        <f t="shared" ref="AO451:AO514" si="146">IFERROR(P451/J451,0)</f>
        <v>0</v>
      </c>
      <c r="AP451" s="273">
        <f t="shared" si="136"/>
        <v>3</v>
      </c>
      <c r="AQ451" s="273" t="str">
        <f t="shared" ref="AQ451:AQ514" ca="1" si="147">AP451&amp;W451</f>
        <v>31900</v>
      </c>
    </row>
    <row r="452" spans="1:43" ht="16.5">
      <c r="A452" s="392">
        <v>23</v>
      </c>
      <c r="B452" s="340" t="s">
        <v>2089</v>
      </c>
      <c r="C452" s="273" t="s">
        <v>2125</v>
      </c>
      <c r="D452" s="273" t="s">
        <v>2126</v>
      </c>
      <c r="G452" s="306">
        <v>784410</v>
      </c>
      <c r="H452" s="307">
        <v>141193.79999999999</v>
      </c>
      <c r="I452" s="308">
        <v>925604</v>
      </c>
      <c r="N452" s="273" t="s">
        <v>1593</v>
      </c>
      <c r="O452" s="878" t="s">
        <v>2094</v>
      </c>
      <c r="P452" s="688">
        <v>45838</v>
      </c>
      <c r="Q452" s="304" t="s">
        <v>2128</v>
      </c>
      <c r="R452" s="304">
        <v>925604</v>
      </c>
      <c r="V452" s="340">
        <f t="shared" ca="1" si="134"/>
        <v>1</v>
      </c>
      <c r="W452" s="594">
        <f t="shared" ca="1" si="135"/>
        <v>1900</v>
      </c>
      <c r="X452" s="340" t="str">
        <f t="shared" ca="1" si="137"/>
        <v>0 WEEK</v>
      </c>
      <c r="Y452" s="436">
        <f t="shared" si="138"/>
        <v>0</v>
      </c>
      <c r="Z452" s="541" cm="1">
        <f t="array" aca="1" ref="Z452" ca="1">_xlfn.IFS(AD452&lt;100,Y452,Y452&lt;TODAY(),TODAY(),Y452&gt;TODAY(),Y452,Y452=TODAY(),Y452)</f>
        <v>0</v>
      </c>
      <c r="AD452" s="298">
        <f t="shared" si="141"/>
        <v>0</v>
      </c>
      <c r="AE452" s="299" t="str">
        <f t="shared" si="142"/>
        <v>Complete</v>
      </c>
      <c r="AI452" s="301">
        <f t="shared" ca="1" si="139"/>
        <v>0</v>
      </c>
      <c r="AJ452" s="302">
        <f t="shared" ca="1" si="140"/>
        <v>0</v>
      </c>
      <c r="AL452" s="303">
        <f t="shared" si="143"/>
        <v>925604</v>
      </c>
      <c r="AM452" s="303">
        <f t="shared" si="144"/>
        <v>0</v>
      </c>
      <c r="AN452" s="303">
        <f t="shared" si="145"/>
        <v>925604</v>
      </c>
      <c r="AO452" s="304">
        <f t="shared" si="146"/>
        <v>0</v>
      </c>
      <c r="AP452" s="273">
        <f t="shared" si="136"/>
        <v>6</v>
      </c>
      <c r="AQ452" s="273" t="str">
        <f t="shared" ca="1" si="147"/>
        <v>61900</v>
      </c>
    </row>
    <row r="453" spans="1:43" ht="16.5">
      <c r="A453" s="392">
        <v>23</v>
      </c>
      <c r="B453" s="340" t="s">
        <v>2089</v>
      </c>
      <c r="C453" s="273" t="s">
        <v>2125</v>
      </c>
      <c r="D453" s="273" t="s">
        <v>2126</v>
      </c>
      <c r="G453" s="306">
        <v>490380</v>
      </c>
      <c r="H453" s="307">
        <v>58845.599999999999</v>
      </c>
      <c r="I453" s="308">
        <v>549226</v>
      </c>
      <c r="N453" s="273" t="s">
        <v>1593</v>
      </c>
      <c r="O453" s="878" t="s">
        <v>2096</v>
      </c>
      <c r="P453" s="688">
        <v>45744</v>
      </c>
      <c r="Q453" s="304" t="s">
        <v>2129</v>
      </c>
      <c r="R453" s="304">
        <v>549226</v>
      </c>
      <c r="V453" s="340">
        <f t="shared" ca="1" si="134"/>
        <v>1</v>
      </c>
      <c r="W453" s="594">
        <f t="shared" ca="1" si="135"/>
        <v>1900</v>
      </c>
      <c r="X453" s="340" t="str">
        <f t="shared" ca="1" si="137"/>
        <v>0 WEEK</v>
      </c>
      <c r="Y453" s="436">
        <f t="shared" si="138"/>
        <v>0</v>
      </c>
      <c r="Z453" s="541" cm="1">
        <f t="array" aca="1" ref="Z453" ca="1">_xlfn.IFS(AD453&lt;100,Y453,Y453&lt;TODAY(),TODAY(),Y453&gt;TODAY(),Y453,Y453=TODAY(),Y453)</f>
        <v>0</v>
      </c>
      <c r="AD453" s="298">
        <f t="shared" si="141"/>
        <v>0</v>
      </c>
      <c r="AE453" s="299" t="str">
        <f t="shared" si="142"/>
        <v>Complete</v>
      </c>
      <c r="AI453" s="301">
        <f t="shared" ca="1" si="139"/>
        <v>0</v>
      </c>
      <c r="AJ453" s="302">
        <f t="shared" ca="1" si="140"/>
        <v>0</v>
      </c>
      <c r="AL453" s="303">
        <f t="shared" si="143"/>
        <v>549226</v>
      </c>
      <c r="AM453" s="303">
        <f t="shared" si="144"/>
        <v>0</v>
      </c>
      <c r="AN453" s="303">
        <f t="shared" si="145"/>
        <v>549226</v>
      </c>
      <c r="AO453" s="304">
        <f t="shared" si="146"/>
        <v>0</v>
      </c>
      <c r="AP453" s="273">
        <f t="shared" ref="AP453:AP516" si="148">MONTH(P453)</f>
        <v>3</v>
      </c>
      <c r="AQ453" s="273" t="str">
        <f t="shared" ca="1" si="147"/>
        <v>31900</v>
      </c>
    </row>
    <row r="454" spans="1:43" ht="16.5">
      <c r="A454" s="392">
        <v>23</v>
      </c>
      <c r="B454" s="340" t="s">
        <v>2089</v>
      </c>
      <c r="C454" s="273" t="s">
        <v>2125</v>
      </c>
      <c r="D454" s="273" t="s">
        <v>2126</v>
      </c>
      <c r="N454" s="273" t="s">
        <v>1593</v>
      </c>
      <c r="O454" s="878" t="s">
        <v>1835</v>
      </c>
      <c r="P454" s="447">
        <v>0</v>
      </c>
      <c r="Q454" s="304"/>
      <c r="R454" s="304">
        <v>0</v>
      </c>
      <c r="V454" s="340">
        <f t="shared" ref="V454:V517" ca="1" si="149">MONTH(Z454)</f>
        <v>1</v>
      </c>
      <c r="W454" s="594">
        <f t="shared" ref="W454:W517" ca="1" si="150">YEAR(Z454)</f>
        <v>1900</v>
      </c>
      <c r="X454" s="340" t="str">
        <f t="shared" ca="1" si="137"/>
        <v>0 WEEK</v>
      </c>
      <c r="Y454" s="436">
        <f t="shared" si="138"/>
        <v>0</v>
      </c>
      <c r="Z454" s="541" cm="1">
        <f t="array" aca="1" ref="Z454" ca="1">_xlfn.IFS(AD454&lt;100,Y454,Y454&lt;TODAY(),TODAY(),Y454&gt;TODAY(),Y454,Y454=TODAY(),Y454)</f>
        <v>0</v>
      </c>
      <c r="AD454" s="298">
        <f t="shared" si="141"/>
        <v>0</v>
      </c>
      <c r="AE454" s="299" t="str">
        <f t="shared" si="142"/>
        <v>Complete</v>
      </c>
      <c r="AI454" s="301">
        <f t="shared" ca="1" si="139"/>
        <v>0</v>
      </c>
      <c r="AJ454" s="302">
        <f t="shared" ca="1" si="140"/>
        <v>0</v>
      </c>
      <c r="AL454" s="303">
        <f t="shared" si="143"/>
        <v>0</v>
      </c>
      <c r="AM454" s="303">
        <f t="shared" si="144"/>
        <v>0</v>
      </c>
      <c r="AN454" s="303">
        <f t="shared" si="145"/>
        <v>0</v>
      </c>
      <c r="AO454" s="304">
        <f t="shared" si="146"/>
        <v>0</v>
      </c>
      <c r="AP454" s="273">
        <f t="shared" si="148"/>
        <v>1</v>
      </c>
      <c r="AQ454" s="273" t="str">
        <f t="shared" ca="1" si="147"/>
        <v>11900</v>
      </c>
    </row>
    <row r="455" spans="1:43" ht="16.5">
      <c r="A455" s="392">
        <v>23</v>
      </c>
      <c r="B455" s="340" t="s">
        <v>2089</v>
      </c>
      <c r="C455" s="273" t="s">
        <v>2125</v>
      </c>
      <c r="D455" s="273" t="s">
        <v>2126</v>
      </c>
      <c r="G455" s="306">
        <v>196350</v>
      </c>
      <c r="H455" s="307">
        <v>35343</v>
      </c>
      <c r="I455" s="308">
        <v>231693</v>
      </c>
      <c r="N455" s="273" t="s">
        <v>1593</v>
      </c>
      <c r="O455" s="878" t="s">
        <v>2098</v>
      </c>
      <c r="P455" s="688">
        <v>45838</v>
      </c>
      <c r="Q455" s="304" t="s">
        <v>2128</v>
      </c>
      <c r="R455" s="304">
        <v>231693</v>
      </c>
      <c r="V455" s="340">
        <f t="shared" ca="1" si="149"/>
        <v>1</v>
      </c>
      <c r="W455" s="594">
        <f t="shared" ca="1" si="150"/>
        <v>1900</v>
      </c>
      <c r="X455" s="340" t="str">
        <f t="shared" ca="1" si="137"/>
        <v>0 WEEK</v>
      </c>
      <c r="Y455" s="436">
        <f t="shared" si="138"/>
        <v>0</v>
      </c>
      <c r="Z455" s="541" cm="1">
        <f t="array" aca="1" ref="Z455" ca="1">_xlfn.IFS(AD455&lt;100,Y455,Y455&lt;TODAY(),TODAY(),Y455&gt;TODAY(),Y455,Y455=TODAY(),Y455)</f>
        <v>0</v>
      </c>
      <c r="AD455" s="298">
        <f t="shared" si="141"/>
        <v>0</v>
      </c>
      <c r="AE455" s="299" t="str">
        <f t="shared" si="142"/>
        <v>Complete</v>
      </c>
      <c r="AI455" s="301">
        <f t="shared" ca="1" si="139"/>
        <v>0</v>
      </c>
      <c r="AJ455" s="302">
        <f t="shared" ca="1" si="140"/>
        <v>0</v>
      </c>
      <c r="AL455" s="303">
        <f t="shared" si="143"/>
        <v>231693</v>
      </c>
      <c r="AM455" s="303">
        <f t="shared" si="144"/>
        <v>0</v>
      </c>
      <c r="AN455" s="303">
        <f t="shared" si="145"/>
        <v>231693</v>
      </c>
      <c r="AO455" s="304">
        <f t="shared" si="146"/>
        <v>0</v>
      </c>
      <c r="AP455" s="273">
        <f t="shared" si="148"/>
        <v>6</v>
      </c>
      <c r="AQ455" s="273" t="str">
        <f t="shared" ca="1" si="147"/>
        <v>61900</v>
      </c>
    </row>
    <row r="456" spans="1:43" ht="16.5">
      <c r="A456" s="392">
        <v>23</v>
      </c>
      <c r="B456" s="340" t="s">
        <v>2089</v>
      </c>
      <c r="C456" s="273" t="s">
        <v>2125</v>
      </c>
      <c r="D456" s="273" t="s">
        <v>2126</v>
      </c>
      <c r="G456" s="306">
        <v>196350</v>
      </c>
      <c r="H456" s="307">
        <v>35343</v>
      </c>
      <c r="I456" s="308">
        <v>231693</v>
      </c>
      <c r="N456" s="273" t="s">
        <v>1593</v>
      </c>
      <c r="O456" s="878" t="s">
        <v>2099</v>
      </c>
      <c r="P456" s="688">
        <v>45838</v>
      </c>
      <c r="Q456" s="304" t="s">
        <v>2128</v>
      </c>
      <c r="R456" s="304">
        <v>231693</v>
      </c>
      <c r="V456" s="340">
        <f t="shared" ca="1" si="149"/>
        <v>1</v>
      </c>
      <c r="W456" s="594">
        <f t="shared" ca="1" si="150"/>
        <v>1900</v>
      </c>
      <c r="X456" s="340" t="str">
        <f t="shared" ca="1" si="137"/>
        <v>0 WEEK</v>
      </c>
      <c r="Y456" s="436">
        <f t="shared" si="138"/>
        <v>0</v>
      </c>
      <c r="Z456" s="541" cm="1">
        <f t="array" aca="1" ref="Z456" ca="1">_xlfn.IFS(AD456&lt;100,Y456,Y456&lt;TODAY(),TODAY(),Y456&gt;TODAY(),Y456,Y456=TODAY(),Y456)</f>
        <v>0</v>
      </c>
      <c r="AD456" s="298">
        <f t="shared" si="141"/>
        <v>0</v>
      </c>
      <c r="AE456" s="299" t="str">
        <f t="shared" si="142"/>
        <v>Complete</v>
      </c>
      <c r="AI456" s="301">
        <f t="shared" ca="1" si="139"/>
        <v>0</v>
      </c>
      <c r="AJ456" s="302">
        <f t="shared" ca="1" si="140"/>
        <v>0</v>
      </c>
      <c r="AL456" s="303">
        <f t="shared" si="143"/>
        <v>231693</v>
      </c>
      <c r="AM456" s="303">
        <f t="shared" si="144"/>
        <v>0</v>
      </c>
      <c r="AN456" s="303">
        <f t="shared" si="145"/>
        <v>231693</v>
      </c>
      <c r="AO456" s="304">
        <f t="shared" si="146"/>
        <v>0</v>
      </c>
      <c r="AP456" s="273">
        <f t="shared" si="148"/>
        <v>6</v>
      </c>
      <c r="AQ456" s="273" t="str">
        <f t="shared" ca="1" si="147"/>
        <v>61900</v>
      </c>
    </row>
    <row r="457" spans="1:43" ht="16.5">
      <c r="A457" s="392">
        <v>23</v>
      </c>
      <c r="B457" s="340" t="s">
        <v>2089</v>
      </c>
      <c r="C457" s="273" t="s">
        <v>2125</v>
      </c>
      <c r="D457" s="273" t="s">
        <v>2126</v>
      </c>
      <c r="G457" s="306">
        <v>392370</v>
      </c>
      <c r="H457" s="307">
        <v>70626.599999999991</v>
      </c>
      <c r="I457" s="308">
        <v>462997</v>
      </c>
      <c r="N457" s="273" t="s">
        <v>1593</v>
      </c>
      <c r="O457" s="878" t="s">
        <v>2100</v>
      </c>
      <c r="P457" s="447">
        <v>0</v>
      </c>
      <c r="Q457" s="304"/>
      <c r="R457" s="304">
        <v>0</v>
      </c>
      <c r="V457" s="340">
        <f t="shared" ca="1" si="149"/>
        <v>1</v>
      </c>
      <c r="W457" s="594">
        <f t="shared" ca="1" si="150"/>
        <v>1900</v>
      </c>
      <c r="X457" s="340" t="str">
        <f t="shared" ca="1" si="137"/>
        <v>0 WEEK</v>
      </c>
      <c r="Y457" s="436">
        <f t="shared" si="138"/>
        <v>0</v>
      </c>
      <c r="Z457" s="541" cm="1">
        <f t="array" aca="1" ref="Z457" ca="1">_xlfn.IFS(AD457&lt;100,Y457,Y457&lt;TODAY(),TODAY(),Y457&gt;TODAY(),Y457,Y457=TODAY(),Y457)</f>
        <v>0</v>
      </c>
      <c r="AD457" s="298">
        <f t="shared" si="141"/>
        <v>0</v>
      </c>
      <c r="AE457" s="299" t="str">
        <f t="shared" si="142"/>
        <v>Complete</v>
      </c>
      <c r="AI457" s="301">
        <f t="shared" ca="1" si="139"/>
        <v>0</v>
      </c>
      <c r="AJ457" s="302">
        <f t="shared" ca="1" si="140"/>
        <v>0</v>
      </c>
      <c r="AL457" s="303">
        <f t="shared" si="143"/>
        <v>462997</v>
      </c>
      <c r="AM457" s="303">
        <f t="shared" si="144"/>
        <v>462997</v>
      </c>
      <c r="AN457" s="303">
        <f t="shared" si="145"/>
        <v>0</v>
      </c>
      <c r="AO457" s="304">
        <f t="shared" si="146"/>
        <v>0</v>
      </c>
      <c r="AP457" s="273">
        <f t="shared" si="148"/>
        <v>1</v>
      </c>
      <c r="AQ457" s="273" t="str">
        <f t="shared" ca="1" si="147"/>
        <v>11900</v>
      </c>
    </row>
    <row r="458" spans="1:43" ht="16.5">
      <c r="A458" s="392">
        <v>23</v>
      </c>
      <c r="B458" s="340" t="s">
        <v>2089</v>
      </c>
      <c r="C458" s="273" t="s">
        <v>2125</v>
      </c>
      <c r="D458" s="273" t="s">
        <v>2126</v>
      </c>
      <c r="G458" s="306">
        <v>294360</v>
      </c>
      <c r="H458" s="307">
        <v>52984.799999999996</v>
      </c>
      <c r="I458" s="308">
        <v>347345</v>
      </c>
      <c r="N458" s="273" t="s">
        <v>1593</v>
      </c>
      <c r="O458" s="878" t="s">
        <v>2101</v>
      </c>
      <c r="P458" s="447">
        <v>0</v>
      </c>
      <c r="Q458" s="304"/>
      <c r="R458" s="304">
        <v>0</v>
      </c>
      <c r="V458" s="340">
        <f t="shared" ca="1" si="149"/>
        <v>1</v>
      </c>
      <c r="W458" s="594">
        <f t="shared" ca="1" si="150"/>
        <v>1900</v>
      </c>
      <c r="X458" s="340" t="str">
        <f t="shared" ca="1" si="137"/>
        <v>0 WEEK</v>
      </c>
      <c r="Y458" s="436">
        <f t="shared" si="138"/>
        <v>0</v>
      </c>
      <c r="Z458" s="541" cm="1">
        <f t="array" aca="1" ref="Z458" ca="1">_xlfn.IFS(AD458&lt;100,Y458,Y458&lt;TODAY(),TODAY(),Y458&gt;TODAY(),Y458,Y458=TODAY(),Y458)</f>
        <v>0</v>
      </c>
      <c r="AD458" s="298">
        <f t="shared" si="141"/>
        <v>0</v>
      </c>
      <c r="AE458" s="299" t="str">
        <f t="shared" si="142"/>
        <v>Complete</v>
      </c>
      <c r="AI458" s="301">
        <f t="shared" ca="1" si="139"/>
        <v>0</v>
      </c>
      <c r="AJ458" s="302">
        <f t="shared" ca="1" si="140"/>
        <v>0</v>
      </c>
      <c r="AL458" s="303">
        <f t="shared" si="143"/>
        <v>347345</v>
      </c>
      <c r="AM458" s="303">
        <f t="shared" si="144"/>
        <v>347345</v>
      </c>
      <c r="AN458" s="303">
        <f t="shared" si="145"/>
        <v>0</v>
      </c>
      <c r="AO458" s="304">
        <f t="shared" si="146"/>
        <v>0</v>
      </c>
      <c r="AP458" s="273">
        <f t="shared" si="148"/>
        <v>1</v>
      </c>
      <c r="AQ458" s="273" t="str">
        <f t="shared" ca="1" si="147"/>
        <v>11900</v>
      </c>
    </row>
    <row r="459" spans="1:43" ht="16.5">
      <c r="A459" s="392">
        <v>23</v>
      </c>
      <c r="B459" s="340" t="s">
        <v>2089</v>
      </c>
      <c r="C459" s="273" t="s">
        <v>2125</v>
      </c>
      <c r="D459" s="273" t="s">
        <v>2126</v>
      </c>
      <c r="G459" s="306">
        <v>392370</v>
      </c>
      <c r="H459" s="307">
        <v>70626.599999999991</v>
      </c>
      <c r="I459" s="308">
        <v>462997</v>
      </c>
      <c r="N459" s="273" t="s">
        <v>1593</v>
      </c>
      <c r="O459" s="878" t="s">
        <v>2102</v>
      </c>
      <c r="P459" s="688">
        <v>45838</v>
      </c>
      <c r="Q459" s="304" t="s">
        <v>2128</v>
      </c>
      <c r="R459" s="304">
        <v>462997</v>
      </c>
      <c r="V459" s="340">
        <f t="shared" ca="1" si="149"/>
        <v>1</v>
      </c>
      <c r="W459" s="594">
        <f t="shared" ca="1" si="150"/>
        <v>1900</v>
      </c>
      <c r="X459" s="340" t="str">
        <f t="shared" ca="1" si="137"/>
        <v>0 WEEK</v>
      </c>
      <c r="Y459" s="436">
        <f t="shared" si="138"/>
        <v>0</v>
      </c>
      <c r="Z459" s="541" cm="1">
        <f t="array" aca="1" ref="Z459" ca="1">_xlfn.IFS(AD459&lt;100,Y459,Y459&lt;TODAY(),TODAY(),Y459&gt;TODAY(),Y459,Y459=TODAY(),Y459)</f>
        <v>0</v>
      </c>
      <c r="AD459" s="298">
        <f t="shared" si="141"/>
        <v>0</v>
      </c>
      <c r="AE459" s="299" t="str">
        <f t="shared" si="142"/>
        <v>Complete</v>
      </c>
      <c r="AI459" s="301">
        <f t="shared" ca="1" si="139"/>
        <v>0</v>
      </c>
      <c r="AJ459" s="302">
        <f t="shared" ca="1" si="140"/>
        <v>0</v>
      </c>
      <c r="AL459" s="303">
        <f t="shared" si="143"/>
        <v>462997</v>
      </c>
      <c r="AM459" s="303">
        <f t="shared" si="144"/>
        <v>0</v>
      </c>
      <c r="AN459" s="303">
        <f t="shared" si="145"/>
        <v>462997</v>
      </c>
      <c r="AO459" s="304">
        <f t="shared" si="146"/>
        <v>0</v>
      </c>
      <c r="AP459" s="273">
        <f t="shared" si="148"/>
        <v>6</v>
      </c>
      <c r="AQ459" s="273" t="str">
        <f t="shared" ca="1" si="147"/>
        <v>61900</v>
      </c>
    </row>
    <row r="460" spans="1:43" ht="16.5">
      <c r="A460" s="392">
        <v>23</v>
      </c>
      <c r="B460" s="340" t="s">
        <v>2089</v>
      </c>
      <c r="C460" s="273" t="s">
        <v>2125</v>
      </c>
      <c r="D460" s="273" t="s">
        <v>2126</v>
      </c>
      <c r="G460" s="306">
        <v>49170</v>
      </c>
      <c r="H460" s="307">
        <v>8850.6</v>
      </c>
      <c r="I460" s="308">
        <v>58021</v>
      </c>
      <c r="N460" s="273" t="s">
        <v>1593</v>
      </c>
      <c r="O460" s="878" t="s">
        <v>2103</v>
      </c>
      <c r="P460" s="688">
        <v>45838</v>
      </c>
      <c r="Q460" s="304" t="s">
        <v>2128</v>
      </c>
      <c r="R460" s="304">
        <v>58020.6</v>
      </c>
      <c r="V460" s="340">
        <f t="shared" ca="1" si="149"/>
        <v>1</v>
      </c>
      <c r="W460" s="594">
        <f t="shared" ca="1" si="150"/>
        <v>1900</v>
      </c>
      <c r="X460" s="340" t="str">
        <f t="shared" ca="1" si="137"/>
        <v>0 WEEK</v>
      </c>
      <c r="Y460" s="436">
        <f t="shared" si="138"/>
        <v>0</v>
      </c>
      <c r="Z460" s="541" cm="1">
        <f t="array" aca="1" ref="Z460" ca="1">_xlfn.IFS(AD460&lt;100,Y460,Y460&lt;TODAY(),TODAY(),Y460&gt;TODAY(),Y460,Y460=TODAY(),Y460)</f>
        <v>0</v>
      </c>
      <c r="AD460" s="298">
        <f t="shared" si="141"/>
        <v>0</v>
      </c>
      <c r="AE460" s="299" t="str">
        <f t="shared" si="142"/>
        <v>Complete</v>
      </c>
      <c r="AI460" s="301">
        <f t="shared" ca="1" si="139"/>
        <v>0</v>
      </c>
      <c r="AJ460" s="302">
        <f t="shared" ca="1" si="140"/>
        <v>0</v>
      </c>
      <c r="AL460" s="303">
        <f t="shared" si="143"/>
        <v>58021</v>
      </c>
      <c r="AM460" s="303">
        <f t="shared" si="144"/>
        <v>0.40000000000145519</v>
      </c>
      <c r="AN460" s="303">
        <f t="shared" si="145"/>
        <v>58020.6</v>
      </c>
      <c r="AO460" s="304">
        <f t="shared" si="146"/>
        <v>0</v>
      </c>
      <c r="AP460" s="273">
        <f t="shared" si="148"/>
        <v>6</v>
      </c>
      <c r="AQ460" s="273" t="str">
        <f t="shared" ca="1" si="147"/>
        <v>61900</v>
      </c>
    </row>
    <row r="461" spans="1:43" ht="16.5">
      <c r="A461" s="392">
        <v>23</v>
      </c>
      <c r="B461" s="340" t="s">
        <v>2089</v>
      </c>
      <c r="C461" s="273" t="s">
        <v>2125</v>
      </c>
      <c r="D461" s="273" t="s">
        <v>2126</v>
      </c>
      <c r="G461" s="306">
        <v>196350</v>
      </c>
      <c r="H461" s="307">
        <v>35343</v>
      </c>
      <c r="I461" s="308">
        <v>231693</v>
      </c>
      <c r="N461" s="273" t="s">
        <v>1593</v>
      </c>
      <c r="O461" s="878" t="s">
        <v>2104</v>
      </c>
      <c r="P461" s="688">
        <v>45838</v>
      </c>
      <c r="Q461" s="304" t="s">
        <v>2128</v>
      </c>
      <c r="R461" s="304">
        <v>231693</v>
      </c>
      <c r="V461" s="340">
        <f t="shared" ca="1" si="149"/>
        <v>1</v>
      </c>
      <c r="W461" s="594">
        <f t="shared" ca="1" si="150"/>
        <v>1900</v>
      </c>
      <c r="X461" s="340" t="str">
        <f t="shared" ca="1" si="137"/>
        <v>0 WEEK</v>
      </c>
      <c r="Y461" s="436">
        <f t="shared" si="138"/>
        <v>0</v>
      </c>
      <c r="Z461" s="541" cm="1">
        <f t="array" aca="1" ref="Z461" ca="1">_xlfn.IFS(AD461&lt;100,Y461,Y461&lt;TODAY(),TODAY(),Y461&gt;TODAY(),Y461,Y461=TODAY(),Y461)</f>
        <v>0</v>
      </c>
      <c r="AD461" s="298">
        <f t="shared" si="141"/>
        <v>0</v>
      </c>
      <c r="AE461" s="299" t="str">
        <f t="shared" si="142"/>
        <v>Complete</v>
      </c>
      <c r="AI461" s="301">
        <f t="shared" ca="1" si="139"/>
        <v>0</v>
      </c>
      <c r="AJ461" s="302">
        <f t="shared" ca="1" si="140"/>
        <v>0</v>
      </c>
      <c r="AL461" s="303">
        <f t="shared" si="143"/>
        <v>231693</v>
      </c>
      <c r="AM461" s="303">
        <f t="shared" si="144"/>
        <v>0</v>
      </c>
      <c r="AN461" s="303">
        <f t="shared" si="145"/>
        <v>231693</v>
      </c>
      <c r="AO461" s="304">
        <f t="shared" si="146"/>
        <v>0</v>
      </c>
      <c r="AP461" s="273">
        <f t="shared" si="148"/>
        <v>6</v>
      </c>
      <c r="AQ461" s="273" t="str">
        <f t="shared" ca="1" si="147"/>
        <v>61900</v>
      </c>
    </row>
    <row r="462" spans="1:43" ht="16.5">
      <c r="A462" s="392">
        <v>23</v>
      </c>
      <c r="B462" s="340" t="s">
        <v>2089</v>
      </c>
      <c r="C462" s="273" t="s">
        <v>2125</v>
      </c>
      <c r="D462" s="273" t="s">
        <v>2126</v>
      </c>
      <c r="G462" s="306">
        <v>98340</v>
      </c>
      <c r="H462" s="307">
        <v>17701.2</v>
      </c>
      <c r="I462" s="308">
        <v>116041</v>
      </c>
      <c r="N462" s="273" t="s">
        <v>1593</v>
      </c>
      <c r="O462" s="878" t="s">
        <v>2105</v>
      </c>
      <c r="P462" s="688">
        <v>45838</v>
      </c>
      <c r="Q462" s="304" t="s">
        <v>2128</v>
      </c>
      <c r="R462" s="304">
        <v>116041</v>
      </c>
      <c r="V462" s="340">
        <f t="shared" ca="1" si="149"/>
        <v>1</v>
      </c>
      <c r="W462" s="594">
        <f t="shared" ca="1" si="150"/>
        <v>1900</v>
      </c>
      <c r="X462" s="340" t="str">
        <f t="shared" ca="1" si="137"/>
        <v>0 WEEK</v>
      </c>
      <c r="Y462" s="436">
        <f t="shared" si="138"/>
        <v>0</v>
      </c>
      <c r="Z462" s="541" cm="1">
        <f t="array" aca="1" ref="Z462" ca="1">_xlfn.IFS(AD462&lt;100,Y462,Y462&lt;TODAY(),TODAY(),Y462&gt;TODAY(),Y462,Y462=TODAY(),Y462)</f>
        <v>0</v>
      </c>
      <c r="AD462" s="298">
        <f t="shared" si="141"/>
        <v>0</v>
      </c>
      <c r="AE462" s="299" t="str">
        <f t="shared" si="142"/>
        <v>Complete</v>
      </c>
      <c r="AI462" s="301">
        <f t="shared" ca="1" si="139"/>
        <v>0</v>
      </c>
      <c r="AJ462" s="302">
        <f t="shared" ca="1" si="140"/>
        <v>0</v>
      </c>
      <c r="AL462" s="303">
        <f t="shared" si="143"/>
        <v>116041</v>
      </c>
      <c r="AM462" s="303">
        <f t="shared" si="144"/>
        <v>0</v>
      </c>
      <c r="AN462" s="303">
        <f t="shared" si="145"/>
        <v>116041</v>
      </c>
      <c r="AO462" s="304">
        <f t="shared" si="146"/>
        <v>0</v>
      </c>
      <c r="AP462" s="273">
        <f t="shared" si="148"/>
        <v>6</v>
      </c>
      <c r="AQ462" s="273" t="str">
        <f t="shared" ca="1" si="147"/>
        <v>61900</v>
      </c>
    </row>
    <row r="463" spans="1:43" ht="16.5">
      <c r="A463" s="392">
        <v>23</v>
      </c>
      <c r="B463" s="340" t="s">
        <v>2089</v>
      </c>
      <c r="C463" s="273" t="s">
        <v>2125</v>
      </c>
      <c r="D463" s="273" t="s">
        <v>2126</v>
      </c>
      <c r="G463" s="306">
        <v>39270</v>
      </c>
      <c r="H463" s="307">
        <v>7068.5999999999995</v>
      </c>
      <c r="I463" s="308">
        <v>46339</v>
      </c>
      <c r="N463" s="273" t="s">
        <v>1593</v>
      </c>
      <c r="O463" s="878" t="s">
        <v>2106</v>
      </c>
      <c r="P463" s="447">
        <v>0</v>
      </c>
      <c r="Q463" s="304"/>
      <c r="R463" s="304">
        <v>0</v>
      </c>
      <c r="V463" s="340">
        <f t="shared" ca="1" si="149"/>
        <v>1</v>
      </c>
      <c r="W463" s="594">
        <f t="shared" ca="1" si="150"/>
        <v>1900</v>
      </c>
      <c r="X463" s="340" t="str">
        <f t="shared" ca="1" si="137"/>
        <v>0 WEEK</v>
      </c>
      <c r="Y463" s="436">
        <f t="shared" si="138"/>
        <v>0</v>
      </c>
      <c r="Z463" s="541" cm="1">
        <f t="array" aca="1" ref="Z463" ca="1">_xlfn.IFS(AD463&lt;100,Y463,Y463&lt;TODAY(),TODAY(),Y463&gt;TODAY(),Y463,Y463=TODAY(),Y463)</f>
        <v>0</v>
      </c>
      <c r="AD463" s="298">
        <f t="shared" si="141"/>
        <v>0</v>
      </c>
      <c r="AE463" s="299" t="str">
        <f t="shared" si="142"/>
        <v>Complete</v>
      </c>
      <c r="AI463" s="301">
        <f t="shared" ca="1" si="139"/>
        <v>0</v>
      </c>
      <c r="AJ463" s="302">
        <f t="shared" ca="1" si="140"/>
        <v>0</v>
      </c>
      <c r="AL463" s="303">
        <f t="shared" si="143"/>
        <v>46339</v>
      </c>
      <c r="AM463" s="303">
        <f t="shared" si="144"/>
        <v>46339</v>
      </c>
      <c r="AN463" s="303">
        <f t="shared" si="145"/>
        <v>0</v>
      </c>
      <c r="AO463" s="304">
        <f t="shared" si="146"/>
        <v>0</v>
      </c>
      <c r="AP463" s="273">
        <f t="shared" si="148"/>
        <v>1</v>
      </c>
      <c r="AQ463" s="273" t="str">
        <f t="shared" ca="1" si="147"/>
        <v>11900</v>
      </c>
    </row>
    <row r="464" spans="1:43" ht="16.5">
      <c r="A464" s="392">
        <v>23</v>
      </c>
      <c r="B464" s="340" t="s">
        <v>2089</v>
      </c>
      <c r="C464" s="273" t="s">
        <v>2125</v>
      </c>
      <c r="D464" s="273" t="s">
        <v>2126</v>
      </c>
      <c r="G464" s="306">
        <v>59070</v>
      </c>
      <c r="H464" s="307">
        <v>10632.6</v>
      </c>
      <c r="I464" s="308">
        <v>69703</v>
      </c>
      <c r="N464" s="273" t="s">
        <v>1593</v>
      </c>
      <c r="O464" s="878" t="s">
        <v>2107</v>
      </c>
      <c r="P464" s="447">
        <v>0</v>
      </c>
      <c r="Q464" s="304"/>
      <c r="R464" s="304">
        <v>0</v>
      </c>
      <c r="V464" s="340">
        <f t="shared" ca="1" si="149"/>
        <v>1</v>
      </c>
      <c r="W464" s="594">
        <f t="shared" ca="1" si="150"/>
        <v>1900</v>
      </c>
      <c r="X464" s="340" t="str">
        <f t="shared" ca="1" si="137"/>
        <v>0 WEEK</v>
      </c>
      <c r="Y464" s="436">
        <f t="shared" si="138"/>
        <v>0</v>
      </c>
      <c r="Z464" s="541" cm="1">
        <f t="array" aca="1" ref="Z464" ca="1">_xlfn.IFS(AD464&lt;100,Y464,Y464&lt;TODAY(),TODAY(),Y464&gt;TODAY(),Y464,Y464=TODAY(),Y464)</f>
        <v>0</v>
      </c>
      <c r="AD464" s="298">
        <f t="shared" si="141"/>
        <v>0</v>
      </c>
      <c r="AE464" s="299" t="str">
        <f t="shared" si="142"/>
        <v>Complete</v>
      </c>
      <c r="AI464" s="301">
        <f t="shared" ca="1" si="139"/>
        <v>0</v>
      </c>
      <c r="AJ464" s="302">
        <f t="shared" ca="1" si="140"/>
        <v>0</v>
      </c>
      <c r="AL464" s="303">
        <f t="shared" si="143"/>
        <v>69703</v>
      </c>
      <c r="AM464" s="303">
        <f t="shared" si="144"/>
        <v>69703</v>
      </c>
      <c r="AN464" s="303">
        <f t="shared" si="145"/>
        <v>0</v>
      </c>
      <c r="AO464" s="304">
        <f t="shared" si="146"/>
        <v>0</v>
      </c>
      <c r="AP464" s="273">
        <f t="shared" si="148"/>
        <v>1</v>
      </c>
      <c r="AQ464" s="273" t="str">
        <f t="shared" ca="1" si="147"/>
        <v>11900</v>
      </c>
    </row>
    <row r="465" spans="1:43" ht="16.5">
      <c r="A465" s="392">
        <v>23</v>
      </c>
      <c r="B465" s="340" t="s">
        <v>2089</v>
      </c>
      <c r="C465" s="273" t="s">
        <v>2125</v>
      </c>
      <c r="D465" s="273" t="s">
        <v>2126</v>
      </c>
      <c r="G465" s="306">
        <v>49170</v>
      </c>
      <c r="H465" s="307">
        <v>8850.6</v>
      </c>
      <c r="I465" s="308">
        <v>58021</v>
      </c>
      <c r="N465" s="273" t="s">
        <v>1593</v>
      </c>
      <c r="O465" s="878" t="s">
        <v>2108</v>
      </c>
      <c r="P465" s="447">
        <v>0</v>
      </c>
      <c r="Q465" s="304"/>
      <c r="R465" s="304">
        <v>0</v>
      </c>
      <c r="V465" s="340">
        <f t="shared" ca="1" si="149"/>
        <v>1</v>
      </c>
      <c r="W465" s="594">
        <f t="shared" ca="1" si="150"/>
        <v>1900</v>
      </c>
      <c r="X465" s="340" t="str">
        <f t="shared" ref="X465:X528" ca="1" si="151">INT((DAY(Z465)-1)/7)+1&amp;" WEEK"</f>
        <v>0 WEEK</v>
      </c>
      <c r="Y465" s="436">
        <f t="shared" si="138"/>
        <v>0</v>
      </c>
      <c r="Z465" s="541" cm="1">
        <f t="array" aca="1" ref="Z465" ca="1">_xlfn.IFS(AD465&lt;100,Y465,Y465&lt;TODAY(),TODAY(),Y465&gt;TODAY(),Y465,Y465=TODAY(),Y465)</f>
        <v>0</v>
      </c>
      <c r="AD465" s="298">
        <f t="shared" si="141"/>
        <v>0</v>
      </c>
      <c r="AE465" s="299" t="str">
        <f t="shared" si="142"/>
        <v>Complete</v>
      </c>
      <c r="AI465" s="301">
        <f t="shared" ca="1" si="139"/>
        <v>0</v>
      </c>
      <c r="AJ465" s="302">
        <f t="shared" ca="1" si="140"/>
        <v>0</v>
      </c>
      <c r="AL465" s="303">
        <f t="shared" si="143"/>
        <v>58021</v>
      </c>
      <c r="AM465" s="303">
        <f t="shared" si="144"/>
        <v>58021</v>
      </c>
      <c r="AN465" s="303">
        <f t="shared" si="145"/>
        <v>0</v>
      </c>
      <c r="AO465" s="304">
        <f t="shared" si="146"/>
        <v>0</v>
      </c>
      <c r="AP465" s="273">
        <f t="shared" si="148"/>
        <v>1</v>
      </c>
      <c r="AQ465" s="273" t="str">
        <f t="shared" ca="1" si="147"/>
        <v>11900</v>
      </c>
    </row>
    <row r="466" spans="1:43" ht="16.5">
      <c r="A466" s="392">
        <v>23</v>
      </c>
      <c r="B466" s="340" t="s">
        <v>2089</v>
      </c>
      <c r="C466" s="273" t="s">
        <v>2125</v>
      </c>
      <c r="D466" s="273" t="s">
        <v>2126</v>
      </c>
      <c r="G466" s="306">
        <v>196350</v>
      </c>
      <c r="H466" s="307">
        <v>35343</v>
      </c>
      <c r="I466" s="308">
        <v>231693</v>
      </c>
      <c r="N466" s="273" t="s">
        <v>1593</v>
      </c>
      <c r="O466" s="878" t="s">
        <v>2109</v>
      </c>
      <c r="P466" s="688">
        <v>45838</v>
      </c>
      <c r="Q466" s="304" t="s">
        <v>2128</v>
      </c>
      <c r="R466" s="304">
        <v>231693</v>
      </c>
      <c r="V466" s="340">
        <f t="shared" ca="1" si="149"/>
        <v>1</v>
      </c>
      <c r="W466" s="594">
        <f t="shared" ca="1" si="150"/>
        <v>1900</v>
      </c>
      <c r="X466" s="340" t="str">
        <f t="shared" ca="1" si="151"/>
        <v>0 WEEK</v>
      </c>
      <c r="Y466" s="436">
        <f t="shared" si="138"/>
        <v>0</v>
      </c>
      <c r="Z466" s="541" cm="1">
        <f t="array" aca="1" ref="Z466" ca="1">_xlfn.IFS(AD466&lt;100,Y466,Y466&lt;TODAY(),TODAY(),Y466&gt;TODAY(),Y466,Y466=TODAY(),Y466)</f>
        <v>0</v>
      </c>
      <c r="AD466" s="298">
        <f t="shared" si="141"/>
        <v>0</v>
      </c>
      <c r="AE466" s="299" t="str">
        <f t="shared" si="142"/>
        <v>Complete</v>
      </c>
      <c r="AI466" s="301">
        <f t="shared" ca="1" si="139"/>
        <v>0</v>
      </c>
      <c r="AJ466" s="302">
        <f t="shared" ca="1" si="140"/>
        <v>0</v>
      </c>
      <c r="AL466" s="303">
        <f t="shared" si="143"/>
        <v>231693</v>
      </c>
      <c r="AM466" s="303">
        <f t="shared" si="144"/>
        <v>0</v>
      </c>
      <c r="AN466" s="303">
        <f t="shared" si="145"/>
        <v>231693</v>
      </c>
      <c r="AO466" s="304">
        <f t="shared" si="146"/>
        <v>0</v>
      </c>
      <c r="AP466" s="273">
        <f t="shared" si="148"/>
        <v>6</v>
      </c>
      <c r="AQ466" s="273" t="str">
        <f t="shared" ca="1" si="147"/>
        <v>61900</v>
      </c>
    </row>
    <row r="467" spans="1:43" ht="16.5">
      <c r="A467" s="392">
        <v>24</v>
      </c>
      <c r="B467" s="340" t="s">
        <v>2089</v>
      </c>
      <c r="C467" s="273" t="s">
        <v>2125</v>
      </c>
      <c r="D467" s="273" t="s">
        <v>2126</v>
      </c>
      <c r="G467" s="306">
        <v>228030</v>
      </c>
      <c r="H467" s="307">
        <v>41045.4</v>
      </c>
      <c r="I467" s="308">
        <v>269075</v>
      </c>
      <c r="N467" s="273" t="s">
        <v>2110</v>
      </c>
      <c r="O467" s="878" t="s">
        <v>2111</v>
      </c>
      <c r="P467" s="874">
        <v>45838</v>
      </c>
      <c r="Q467" s="735" t="s">
        <v>2130</v>
      </c>
      <c r="R467" s="314">
        <v>269075</v>
      </c>
      <c r="V467" s="340">
        <f t="shared" ca="1" si="149"/>
        <v>1</v>
      </c>
      <c r="W467" s="594">
        <f t="shared" ca="1" si="150"/>
        <v>1900</v>
      </c>
      <c r="X467" s="340" t="str">
        <f t="shared" ca="1" si="151"/>
        <v>0 WEEK</v>
      </c>
      <c r="Y467" s="436">
        <f t="shared" si="138"/>
        <v>0</v>
      </c>
      <c r="Z467" s="541" cm="1">
        <f t="array" aca="1" ref="Z467" ca="1">_xlfn.IFS(AD467&lt;100,Y467,Y467&lt;TODAY(),TODAY(),Y467&gt;TODAY(),Y467,Y467=TODAY(),Y467)</f>
        <v>0</v>
      </c>
      <c r="AD467" s="298">
        <f t="shared" si="141"/>
        <v>0</v>
      </c>
      <c r="AE467" s="299" t="str">
        <f t="shared" si="142"/>
        <v>Complete</v>
      </c>
      <c r="AI467" s="301">
        <f t="shared" ca="1" si="139"/>
        <v>0</v>
      </c>
      <c r="AJ467" s="302">
        <f t="shared" ca="1" si="140"/>
        <v>0</v>
      </c>
      <c r="AL467" s="303">
        <f t="shared" si="143"/>
        <v>269075</v>
      </c>
      <c r="AM467" s="303">
        <f t="shared" si="144"/>
        <v>0</v>
      </c>
      <c r="AN467" s="303">
        <f t="shared" si="145"/>
        <v>269075</v>
      </c>
      <c r="AO467" s="304">
        <f t="shared" si="146"/>
        <v>0</v>
      </c>
      <c r="AP467" s="273">
        <f t="shared" si="148"/>
        <v>6</v>
      </c>
      <c r="AQ467" s="273" t="str">
        <f t="shared" ca="1" si="147"/>
        <v>61900</v>
      </c>
    </row>
    <row r="468" spans="1:43" ht="16.5">
      <c r="A468" s="392">
        <v>24</v>
      </c>
      <c r="B468" s="340" t="s">
        <v>2089</v>
      </c>
      <c r="C468" s="273" t="s">
        <v>2125</v>
      </c>
      <c r="D468" s="273" t="s">
        <v>2126</v>
      </c>
      <c r="G468" s="306">
        <v>696300</v>
      </c>
      <c r="H468" s="307">
        <v>125334</v>
      </c>
      <c r="I468" s="308">
        <v>821634</v>
      </c>
      <c r="N468" s="273" t="s">
        <v>2110</v>
      </c>
      <c r="O468" s="878" t="s">
        <v>2113</v>
      </c>
      <c r="P468" s="447">
        <v>0</v>
      </c>
      <c r="V468" s="340">
        <f t="shared" ca="1" si="149"/>
        <v>1</v>
      </c>
      <c r="W468" s="594">
        <f t="shared" ca="1" si="150"/>
        <v>1900</v>
      </c>
      <c r="X468" s="340" t="str">
        <f t="shared" ca="1" si="151"/>
        <v>0 WEEK</v>
      </c>
      <c r="Y468" s="436">
        <f t="shared" si="138"/>
        <v>0</v>
      </c>
      <c r="Z468" s="541" cm="1">
        <f t="array" aca="1" ref="Z468" ca="1">_xlfn.IFS(AD468&lt;100,Y468,Y468&lt;TODAY(),TODAY(),Y468&gt;TODAY(),Y468,Y468=TODAY(),Y468)</f>
        <v>0</v>
      </c>
      <c r="AD468" s="298">
        <f t="shared" si="141"/>
        <v>0</v>
      </c>
      <c r="AE468" s="299" t="str">
        <f t="shared" si="142"/>
        <v>Complete</v>
      </c>
      <c r="AI468" s="301">
        <f t="shared" ca="1" si="139"/>
        <v>0</v>
      </c>
      <c r="AJ468" s="302">
        <f t="shared" ca="1" si="140"/>
        <v>0</v>
      </c>
      <c r="AL468" s="303">
        <f t="shared" si="143"/>
        <v>821634</v>
      </c>
      <c r="AM468" s="303">
        <f t="shared" si="144"/>
        <v>821634</v>
      </c>
      <c r="AN468" s="303">
        <f t="shared" si="145"/>
        <v>0</v>
      </c>
      <c r="AO468" s="304">
        <f t="shared" si="146"/>
        <v>0</v>
      </c>
      <c r="AP468" s="273">
        <f t="shared" si="148"/>
        <v>1</v>
      </c>
      <c r="AQ468" s="273" t="str">
        <f t="shared" ca="1" si="147"/>
        <v>11900</v>
      </c>
    </row>
    <row r="469" spans="1:43" ht="16.5">
      <c r="A469" s="392">
        <v>24</v>
      </c>
      <c r="B469" s="340" t="s">
        <v>2089</v>
      </c>
      <c r="C469" s="273" t="s">
        <v>2125</v>
      </c>
      <c r="D469" s="273" t="s">
        <v>2126</v>
      </c>
      <c r="G469" s="306">
        <v>1238820</v>
      </c>
      <c r="H469" s="307">
        <v>222987.6</v>
      </c>
      <c r="I469" s="308">
        <v>1461808</v>
      </c>
      <c r="N469" s="273" t="s">
        <v>2110</v>
      </c>
      <c r="O469" s="878" t="s">
        <v>2114</v>
      </c>
      <c r="P469" s="447">
        <v>0</v>
      </c>
      <c r="V469" s="340">
        <f t="shared" ca="1" si="149"/>
        <v>1</v>
      </c>
      <c r="W469" s="594">
        <f t="shared" ca="1" si="150"/>
        <v>1900</v>
      </c>
      <c r="X469" s="340" t="str">
        <f t="shared" ca="1" si="151"/>
        <v>0 WEEK</v>
      </c>
      <c r="Y469" s="436">
        <f t="shared" si="138"/>
        <v>0</v>
      </c>
      <c r="Z469" s="541" cm="1">
        <f t="array" aca="1" ref="Z469" ca="1">_xlfn.IFS(AD469&lt;100,Y469,Y469&lt;TODAY(),TODAY(),Y469&gt;TODAY(),Y469,Y469=TODAY(),Y469)</f>
        <v>0</v>
      </c>
      <c r="AD469" s="298">
        <f t="shared" si="141"/>
        <v>0</v>
      </c>
      <c r="AE469" s="299" t="str">
        <f t="shared" si="142"/>
        <v>Complete</v>
      </c>
      <c r="AI469" s="301">
        <f t="shared" ca="1" si="139"/>
        <v>0</v>
      </c>
      <c r="AJ469" s="302">
        <f t="shared" ca="1" si="140"/>
        <v>0</v>
      </c>
      <c r="AL469" s="303">
        <f t="shared" si="143"/>
        <v>1461808</v>
      </c>
      <c r="AM469" s="303">
        <f t="shared" si="144"/>
        <v>1461808</v>
      </c>
      <c r="AN469" s="303">
        <f t="shared" si="145"/>
        <v>0</v>
      </c>
      <c r="AO469" s="304">
        <f t="shared" si="146"/>
        <v>0</v>
      </c>
      <c r="AP469" s="273">
        <f t="shared" si="148"/>
        <v>1</v>
      </c>
      <c r="AQ469" s="273" t="str">
        <f t="shared" ca="1" si="147"/>
        <v>11900</v>
      </c>
    </row>
    <row r="470" spans="1:43" ht="16.5">
      <c r="A470" s="392">
        <v>24</v>
      </c>
      <c r="B470" s="340" t="s">
        <v>2089</v>
      </c>
      <c r="C470" s="273" t="s">
        <v>2125</v>
      </c>
      <c r="D470" s="273" t="s">
        <v>2126</v>
      </c>
      <c r="G470" s="306">
        <v>109721.3</v>
      </c>
      <c r="H470" s="307">
        <v>19749.833999999999</v>
      </c>
      <c r="I470" s="308">
        <v>129471</v>
      </c>
      <c r="N470" s="273" t="s">
        <v>2110</v>
      </c>
      <c r="O470" s="878" t="s">
        <v>2115</v>
      </c>
      <c r="P470" s="447">
        <v>0</v>
      </c>
      <c r="V470" s="340">
        <f t="shared" ca="1" si="149"/>
        <v>1</v>
      </c>
      <c r="W470" s="594">
        <f t="shared" ca="1" si="150"/>
        <v>1900</v>
      </c>
      <c r="X470" s="340" t="str">
        <f t="shared" ca="1" si="151"/>
        <v>0 WEEK</v>
      </c>
      <c r="Y470" s="436">
        <f t="shared" si="138"/>
        <v>0</v>
      </c>
      <c r="Z470" s="541" cm="1">
        <f t="array" aca="1" ref="Z470" ca="1">_xlfn.IFS(AD470&lt;100,Y470,Y470&lt;TODAY(),TODAY(),Y470&gt;TODAY(),Y470,Y470=TODAY(),Y470)</f>
        <v>0</v>
      </c>
      <c r="AD470" s="298">
        <f t="shared" si="141"/>
        <v>0</v>
      </c>
      <c r="AE470" s="299" t="str">
        <f t="shared" si="142"/>
        <v>Complete</v>
      </c>
      <c r="AI470" s="301">
        <f t="shared" ca="1" si="139"/>
        <v>0</v>
      </c>
      <c r="AJ470" s="302">
        <f t="shared" ca="1" si="140"/>
        <v>0</v>
      </c>
      <c r="AL470" s="303">
        <f t="shared" si="143"/>
        <v>129471</v>
      </c>
      <c r="AM470" s="303">
        <f t="shared" si="144"/>
        <v>129471</v>
      </c>
      <c r="AN470" s="303">
        <f t="shared" si="145"/>
        <v>0</v>
      </c>
      <c r="AO470" s="304">
        <f t="shared" si="146"/>
        <v>0</v>
      </c>
      <c r="AP470" s="273">
        <f t="shared" si="148"/>
        <v>1</v>
      </c>
      <c r="AQ470" s="273" t="str">
        <f t="shared" ca="1" si="147"/>
        <v>11900</v>
      </c>
    </row>
    <row r="471" spans="1:43" ht="16.5">
      <c r="A471" s="392">
        <v>25</v>
      </c>
      <c r="B471" s="340" t="s">
        <v>2089</v>
      </c>
      <c r="C471" s="273" t="s">
        <v>2125</v>
      </c>
      <c r="D471" s="273" t="s">
        <v>2126</v>
      </c>
      <c r="G471" s="306">
        <v>188100</v>
      </c>
      <c r="H471" s="307">
        <v>33858</v>
      </c>
      <c r="I471" s="308">
        <v>221958</v>
      </c>
      <c r="N471" s="273" t="s">
        <v>2116</v>
      </c>
      <c r="O471" s="878" t="s">
        <v>2117</v>
      </c>
      <c r="P471" s="447">
        <v>0</v>
      </c>
      <c r="V471" s="340">
        <f t="shared" ca="1" si="149"/>
        <v>1</v>
      </c>
      <c r="W471" s="594">
        <f t="shared" ca="1" si="150"/>
        <v>1900</v>
      </c>
      <c r="X471" s="340" t="str">
        <f t="shared" ca="1" si="151"/>
        <v>0 WEEK</v>
      </c>
      <c r="Y471" s="436">
        <f t="shared" si="138"/>
        <v>0</v>
      </c>
      <c r="Z471" s="541" cm="1">
        <f t="array" aca="1" ref="Z471" ca="1">_xlfn.IFS(AD471&lt;100,Y471,Y471&lt;TODAY(),TODAY(),Y471&gt;TODAY(),Y471,Y471=TODAY(),Y471)</f>
        <v>0</v>
      </c>
      <c r="AD471" s="298">
        <f t="shared" si="141"/>
        <v>0</v>
      </c>
      <c r="AE471" s="299" t="str">
        <f t="shared" si="142"/>
        <v>Complete</v>
      </c>
      <c r="AI471" s="301">
        <f t="shared" ca="1" si="139"/>
        <v>0</v>
      </c>
      <c r="AJ471" s="302">
        <f t="shared" ca="1" si="140"/>
        <v>0</v>
      </c>
      <c r="AL471" s="303">
        <f t="shared" si="143"/>
        <v>221958</v>
      </c>
      <c r="AM471" s="303">
        <f t="shared" si="144"/>
        <v>221958</v>
      </c>
      <c r="AN471" s="303">
        <f t="shared" si="145"/>
        <v>0</v>
      </c>
      <c r="AO471" s="304">
        <f t="shared" si="146"/>
        <v>0</v>
      </c>
      <c r="AP471" s="273">
        <f t="shared" si="148"/>
        <v>1</v>
      </c>
      <c r="AQ471" s="273" t="str">
        <f t="shared" ca="1" si="147"/>
        <v>11900</v>
      </c>
    </row>
    <row r="472" spans="1:43" ht="16.5">
      <c r="A472" s="392">
        <v>25</v>
      </c>
      <c r="B472" s="340" t="s">
        <v>2089</v>
      </c>
      <c r="C472" s="273" t="s">
        <v>2125</v>
      </c>
      <c r="D472" s="273" t="s">
        <v>2126</v>
      </c>
      <c r="G472" s="306">
        <v>195323.04</v>
      </c>
      <c r="H472" s="307">
        <v>35158.147199999999</v>
      </c>
      <c r="I472" s="308">
        <v>230481</v>
      </c>
      <c r="N472" s="273" t="s">
        <v>2116</v>
      </c>
      <c r="O472" s="878" t="s">
        <v>2118</v>
      </c>
      <c r="P472" s="447">
        <v>0</v>
      </c>
      <c r="V472" s="340">
        <f t="shared" ca="1" si="149"/>
        <v>1</v>
      </c>
      <c r="W472" s="594">
        <f t="shared" ca="1" si="150"/>
        <v>1900</v>
      </c>
      <c r="X472" s="340" t="str">
        <f t="shared" ca="1" si="151"/>
        <v>0 WEEK</v>
      </c>
      <c r="Y472" s="436">
        <f t="shared" si="138"/>
        <v>0</v>
      </c>
      <c r="Z472" s="541" cm="1">
        <f t="array" aca="1" ref="Z472" ca="1">_xlfn.IFS(AD472&lt;100,Y472,Y472&lt;TODAY(),TODAY(),Y472&gt;TODAY(),Y472,Y472=TODAY(),Y472)</f>
        <v>0</v>
      </c>
      <c r="AD472" s="298">
        <f t="shared" si="141"/>
        <v>0</v>
      </c>
      <c r="AE472" s="299" t="str">
        <f t="shared" si="142"/>
        <v>Complete</v>
      </c>
      <c r="AI472" s="301">
        <f t="shared" ca="1" si="139"/>
        <v>0</v>
      </c>
      <c r="AJ472" s="302">
        <f t="shared" ca="1" si="140"/>
        <v>0</v>
      </c>
      <c r="AL472" s="303">
        <f t="shared" si="143"/>
        <v>230481</v>
      </c>
      <c r="AM472" s="303">
        <f t="shared" si="144"/>
        <v>230481</v>
      </c>
      <c r="AN472" s="303">
        <f t="shared" si="145"/>
        <v>0</v>
      </c>
      <c r="AO472" s="304">
        <f t="shared" si="146"/>
        <v>0</v>
      </c>
      <c r="AP472" s="273">
        <f t="shared" si="148"/>
        <v>1</v>
      </c>
      <c r="AQ472" s="273" t="str">
        <f t="shared" ca="1" si="147"/>
        <v>11900</v>
      </c>
    </row>
    <row r="473" spans="1:43">
      <c r="A473" s="392">
        <v>25</v>
      </c>
      <c r="B473" s="340" t="s">
        <v>2089</v>
      </c>
      <c r="C473" s="273" t="s">
        <v>2125</v>
      </c>
      <c r="D473" s="273" t="s">
        <v>2126</v>
      </c>
      <c r="G473" s="306">
        <v>202823.44</v>
      </c>
      <c r="H473" s="307">
        <v>36508.2192</v>
      </c>
      <c r="I473" s="308">
        <v>239332</v>
      </c>
      <c r="N473" s="273" t="s">
        <v>2116</v>
      </c>
      <c r="O473" s="862" t="s">
        <v>2084</v>
      </c>
      <c r="P473" s="447">
        <v>0</v>
      </c>
      <c r="V473" s="340">
        <f t="shared" ca="1" si="149"/>
        <v>1</v>
      </c>
      <c r="W473" s="594">
        <f t="shared" ca="1" si="150"/>
        <v>1900</v>
      </c>
      <c r="X473" s="340" t="str">
        <f t="shared" ca="1" si="151"/>
        <v>0 WEEK</v>
      </c>
      <c r="Y473" s="436">
        <f t="shared" si="138"/>
        <v>0</v>
      </c>
      <c r="Z473" s="541" cm="1">
        <f t="array" aca="1" ref="Z473" ca="1">_xlfn.IFS(AD473&lt;100,Y473,Y473&lt;TODAY(),TODAY(),Y473&gt;TODAY(),Y473,Y473=TODAY(),Y473)</f>
        <v>0</v>
      </c>
      <c r="AD473" s="298">
        <f t="shared" si="141"/>
        <v>0</v>
      </c>
      <c r="AE473" s="299" t="str">
        <f t="shared" si="142"/>
        <v>Complete</v>
      </c>
      <c r="AI473" s="301">
        <f t="shared" ca="1" si="139"/>
        <v>0</v>
      </c>
      <c r="AJ473" s="302">
        <f t="shared" ca="1" si="140"/>
        <v>0</v>
      </c>
      <c r="AL473" s="303">
        <f t="shared" si="143"/>
        <v>239332</v>
      </c>
      <c r="AM473" s="303">
        <f t="shared" si="144"/>
        <v>239332</v>
      </c>
      <c r="AN473" s="303">
        <f t="shared" si="145"/>
        <v>0</v>
      </c>
      <c r="AO473" s="304">
        <f t="shared" si="146"/>
        <v>0</v>
      </c>
      <c r="AP473" s="273">
        <f t="shared" si="148"/>
        <v>1</v>
      </c>
      <c r="AQ473" s="273" t="str">
        <f t="shared" ca="1" si="147"/>
        <v>11900</v>
      </c>
    </row>
    <row r="474" spans="1:43">
      <c r="A474" s="392">
        <v>26</v>
      </c>
      <c r="B474" s="340" t="s">
        <v>2089</v>
      </c>
      <c r="C474" s="273" t="s">
        <v>2125</v>
      </c>
      <c r="D474" s="273" t="s">
        <v>2131</v>
      </c>
      <c r="G474" s="306">
        <v>49775000</v>
      </c>
      <c r="H474" s="307">
        <v>5973000</v>
      </c>
      <c r="I474" s="308">
        <v>55748000</v>
      </c>
      <c r="N474" s="273" t="s">
        <v>1593</v>
      </c>
      <c r="P474" s="688">
        <v>45747</v>
      </c>
      <c r="Q474" s="273" t="s">
        <v>2132</v>
      </c>
      <c r="R474" s="314">
        <v>55748000</v>
      </c>
      <c r="V474" s="340">
        <f t="shared" ca="1" si="149"/>
        <v>1</v>
      </c>
      <c r="W474" s="594">
        <f t="shared" ca="1" si="150"/>
        <v>1900</v>
      </c>
      <c r="X474" s="340" t="str">
        <f t="shared" ca="1" si="151"/>
        <v>0 WEEK</v>
      </c>
      <c r="Y474" s="436">
        <f t="shared" si="138"/>
        <v>0</v>
      </c>
      <c r="Z474" s="541" cm="1">
        <f t="array" aca="1" ref="Z474" ca="1">_xlfn.IFS(AD474&lt;100,Y474,Y474&lt;TODAY(),TODAY(),Y474&gt;TODAY(),Y474,Y474=TODAY(),Y474)</f>
        <v>0</v>
      </c>
      <c r="AD474" s="298">
        <f t="shared" si="141"/>
        <v>0</v>
      </c>
      <c r="AE474" s="299" t="str">
        <f t="shared" si="142"/>
        <v>Complete</v>
      </c>
      <c r="AI474" s="301">
        <f t="shared" ca="1" si="139"/>
        <v>0</v>
      </c>
      <c r="AJ474" s="302">
        <f t="shared" ca="1" si="140"/>
        <v>0</v>
      </c>
      <c r="AL474" s="303">
        <f t="shared" si="143"/>
        <v>55748000</v>
      </c>
      <c r="AM474" s="303">
        <f t="shared" si="144"/>
        <v>0</v>
      </c>
      <c r="AN474" s="303">
        <f t="shared" si="145"/>
        <v>55748000</v>
      </c>
      <c r="AO474" s="304">
        <f t="shared" si="146"/>
        <v>0</v>
      </c>
      <c r="AP474" s="273">
        <f t="shared" si="148"/>
        <v>3</v>
      </c>
      <c r="AQ474" s="273" t="str">
        <f t="shared" ca="1" si="147"/>
        <v>31900</v>
      </c>
    </row>
    <row r="475" spans="1:43">
      <c r="A475" s="392">
        <v>26</v>
      </c>
      <c r="B475" s="340" t="s">
        <v>2089</v>
      </c>
      <c r="C475" s="273" t="s">
        <v>2125</v>
      </c>
      <c r="D475" s="273" t="s">
        <v>2131</v>
      </c>
      <c r="N475" s="273" t="s">
        <v>1593</v>
      </c>
      <c r="P475" s="688">
        <v>45814</v>
      </c>
      <c r="Q475" s="273" t="s">
        <v>2133</v>
      </c>
      <c r="R475" s="314">
        <v>-668976</v>
      </c>
      <c r="V475" s="340">
        <f t="shared" ca="1" si="149"/>
        <v>1</v>
      </c>
      <c r="W475" s="594">
        <f t="shared" ca="1" si="150"/>
        <v>1900</v>
      </c>
      <c r="X475" s="340" t="str">
        <f t="shared" ca="1" si="151"/>
        <v>0 WEEK</v>
      </c>
      <c r="Y475" s="436">
        <f t="shared" si="138"/>
        <v>0</v>
      </c>
      <c r="Z475" s="541" cm="1">
        <f t="array" aca="1" ref="Z475" ca="1">_xlfn.IFS(AD475&lt;100,Y475,Y475&lt;TODAY(),TODAY(),Y475&gt;TODAY(),Y475,Y475=TODAY(),Y475)</f>
        <v>0</v>
      </c>
      <c r="AD475" s="298">
        <f t="shared" si="141"/>
        <v>0</v>
      </c>
      <c r="AE475" s="299" t="str">
        <f t="shared" si="142"/>
        <v>Complete</v>
      </c>
      <c r="AI475" s="301">
        <f t="shared" ca="1" si="139"/>
        <v>0</v>
      </c>
      <c r="AJ475" s="302">
        <f t="shared" ca="1" si="140"/>
        <v>0</v>
      </c>
      <c r="AL475" s="303">
        <f t="shared" si="143"/>
        <v>0</v>
      </c>
      <c r="AM475" s="303">
        <f t="shared" si="144"/>
        <v>668976</v>
      </c>
      <c r="AN475" s="303">
        <f t="shared" si="145"/>
        <v>-668976</v>
      </c>
      <c r="AO475" s="304">
        <f t="shared" si="146"/>
        <v>0</v>
      </c>
      <c r="AP475" s="273">
        <f t="shared" si="148"/>
        <v>6</v>
      </c>
      <c r="AQ475" s="273" t="str">
        <f t="shared" ca="1" si="147"/>
        <v>61900</v>
      </c>
    </row>
    <row r="476" spans="1:43">
      <c r="A476" s="392">
        <v>26</v>
      </c>
      <c r="B476" s="340" t="s">
        <v>2089</v>
      </c>
      <c r="C476" s="273" t="s">
        <v>2125</v>
      </c>
      <c r="D476" s="273" t="s">
        <v>2131</v>
      </c>
      <c r="N476" s="273" t="s">
        <v>1593</v>
      </c>
      <c r="O476" s="862" t="s">
        <v>2092</v>
      </c>
      <c r="P476" s="447">
        <v>0</v>
      </c>
      <c r="V476" s="340">
        <f t="shared" ca="1" si="149"/>
        <v>1</v>
      </c>
      <c r="W476" s="594">
        <f t="shared" ca="1" si="150"/>
        <v>1900</v>
      </c>
      <c r="X476" s="340" t="str">
        <f t="shared" ca="1" si="151"/>
        <v>0 WEEK</v>
      </c>
      <c r="Y476" s="436">
        <f t="shared" si="138"/>
        <v>0</v>
      </c>
      <c r="Z476" s="541" cm="1">
        <f t="array" aca="1" ref="Z476" ca="1">_xlfn.IFS(AD476&lt;100,Y476,Y476&lt;TODAY(),TODAY(),Y476&gt;TODAY(),Y476,Y476=TODAY(),Y476)</f>
        <v>0</v>
      </c>
      <c r="AD476" s="298">
        <f t="shared" si="141"/>
        <v>0</v>
      </c>
      <c r="AE476" s="299" t="str">
        <f t="shared" si="142"/>
        <v>Complete</v>
      </c>
      <c r="AI476" s="301">
        <f t="shared" ca="1" si="139"/>
        <v>0</v>
      </c>
      <c r="AJ476" s="302">
        <f t="shared" ca="1" si="140"/>
        <v>0</v>
      </c>
      <c r="AL476" s="303">
        <f t="shared" si="143"/>
        <v>0</v>
      </c>
      <c r="AM476" s="303">
        <f t="shared" si="144"/>
        <v>0</v>
      </c>
      <c r="AN476" s="303">
        <f t="shared" si="145"/>
        <v>0</v>
      </c>
      <c r="AO476" s="304">
        <f t="shared" si="146"/>
        <v>0</v>
      </c>
      <c r="AP476" s="273">
        <f t="shared" si="148"/>
        <v>1</v>
      </c>
      <c r="AQ476" s="273" t="str">
        <f t="shared" ca="1" si="147"/>
        <v>11900</v>
      </c>
    </row>
    <row r="477" spans="1:43">
      <c r="A477" s="392">
        <v>26</v>
      </c>
      <c r="B477" s="340" t="s">
        <v>2089</v>
      </c>
      <c r="C477" s="273" t="s">
        <v>2125</v>
      </c>
      <c r="D477" s="273" t="s">
        <v>2131</v>
      </c>
      <c r="G477" s="306">
        <v>5942500</v>
      </c>
      <c r="H477" s="307">
        <v>1069650</v>
      </c>
      <c r="I477" s="308">
        <v>7012150</v>
      </c>
      <c r="N477" s="273" t="s">
        <v>1593</v>
      </c>
      <c r="P477" s="688">
        <v>45838</v>
      </c>
      <c r="Q477" s="273" t="s">
        <v>2134</v>
      </c>
      <c r="R477" s="314">
        <v>6928004</v>
      </c>
      <c r="V477" s="340">
        <f t="shared" ca="1" si="149"/>
        <v>1</v>
      </c>
      <c r="W477" s="594">
        <f t="shared" ca="1" si="150"/>
        <v>1900</v>
      </c>
      <c r="X477" s="340" t="str">
        <f t="shared" ca="1" si="151"/>
        <v>0 WEEK</v>
      </c>
      <c r="Y477" s="436">
        <f t="shared" si="138"/>
        <v>0</v>
      </c>
      <c r="Z477" s="541" cm="1">
        <f t="array" aca="1" ref="Z477" ca="1">_xlfn.IFS(AD477&lt;100,Y477,Y477&lt;TODAY(),TODAY(),Y477&gt;TODAY(),Y477,Y477=TODAY(),Y477)</f>
        <v>0</v>
      </c>
      <c r="AD477" s="298">
        <f t="shared" si="141"/>
        <v>0</v>
      </c>
      <c r="AE477" s="299" t="str">
        <f t="shared" si="142"/>
        <v>Complete</v>
      </c>
      <c r="AI477" s="301">
        <f t="shared" ca="1" si="139"/>
        <v>0</v>
      </c>
      <c r="AJ477" s="302">
        <f t="shared" ca="1" si="140"/>
        <v>0</v>
      </c>
      <c r="AL477" s="303">
        <f t="shared" si="143"/>
        <v>7012150</v>
      </c>
      <c r="AM477" s="303">
        <f t="shared" si="144"/>
        <v>84146</v>
      </c>
      <c r="AN477" s="303">
        <f t="shared" si="145"/>
        <v>6928004</v>
      </c>
      <c r="AO477" s="304">
        <f t="shared" si="146"/>
        <v>0</v>
      </c>
      <c r="AP477" s="273">
        <f t="shared" si="148"/>
        <v>6</v>
      </c>
      <c r="AQ477" s="273" t="str">
        <f t="shared" ca="1" si="147"/>
        <v>61900</v>
      </c>
    </row>
    <row r="478" spans="1:43">
      <c r="A478" s="392">
        <v>26</v>
      </c>
      <c r="B478" s="340" t="s">
        <v>2089</v>
      </c>
      <c r="C478" s="273" t="s">
        <v>2125</v>
      </c>
      <c r="D478" s="273" t="s">
        <v>2131</v>
      </c>
      <c r="N478" s="273" t="s">
        <v>1593</v>
      </c>
      <c r="O478" s="862" t="s">
        <v>2094</v>
      </c>
      <c r="P478" s="447">
        <v>0</v>
      </c>
      <c r="V478" s="340">
        <f t="shared" ca="1" si="149"/>
        <v>1</v>
      </c>
      <c r="W478" s="594">
        <f t="shared" ca="1" si="150"/>
        <v>1900</v>
      </c>
      <c r="X478" s="340" t="str">
        <f t="shared" ca="1" si="151"/>
        <v>0 WEEK</v>
      </c>
      <c r="Y478" s="436">
        <f t="shared" si="138"/>
        <v>0</v>
      </c>
      <c r="Z478" s="541" cm="1">
        <f t="array" aca="1" ref="Z478" ca="1">_xlfn.IFS(AD478&lt;100,Y478,Y478&lt;TODAY(),TODAY(),Y478&gt;TODAY(),Y478,Y478=TODAY(),Y478)</f>
        <v>0</v>
      </c>
      <c r="AD478" s="298">
        <f t="shared" si="141"/>
        <v>0</v>
      </c>
      <c r="AE478" s="299" t="str">
        <f t="shared" si="142"/>
        <v>Complete</v>
      </c>
      <c r="AI478" s="301">
        <f t="shared" ca="1" si="139"/>
        <v>0</v>
      </c>
      <c r="AJ478" s="302">
        <f t="shared" ca="1" si="140"/>
        <v>0</v>
      </c>
      <c r="AL478" s="303">
        <f t="shared" si="143"/>
        <v>0</v>
      </c>
      <c r="AM478" s="303">
        <f t="shared" si="144"/>
        <v>0</v>
      </c>
      <c r="AN478" s="303">
        <f t="shared" si="145"/>
        <v>0</v>
      </c>
      <c r="AO478" s="304">
        <f t="shared" si="146"/>
        <v>0</v>
      </c>
      <c r="AP478" s="273">
        <f t="shared" si="148"/>
        <v>1</v>
      </c>
      <c r="AQ478" s="273" t="str">
        <f t="shared" ca="1" si="147"/>
        <v>11900</v>
      </c>
    </row>
    <row r="479" spans="1:43">
      <c r="A479" s="392">
        <v>26</v>
      </c>
      <c r="B479" s="340" t="s">
        <v>2089</v>
      </c>
      <c r="C479" s="273" t="s">
        <v>2125</v>
      </c>
      <c r="D479" s="273" t="s">
        <v>2131</v>
      </c>
      <c r="G479" s="306">
        <v>3715000</v>
      </c>
      <c r="H479" s="307">
        <v>445800</v>
      </c>
      <c r="I479" s="308">
        <v>4160800</v>
      </c>
      <c r="N479" s="273" t="s">
        <v>1593</v>
      </c>
      <c r="P479" s="688">
        <v>45744</v>
      </c>
      <c r="Q479" s="273" t="s">
        <v>2135</v>
      </c>
      <c r="R479" s="314">
        <v>4160800</v>
      </c>
      <c r="V479" s="340">
        <f t="shared" ca="1" si="149"/>
        <v>1</v>
      </c>
      <c r="W479" s="594">
        <f t="shared" ca="1" si="150"/>
        <v>1900</v>
      </c>
      <c r="X479" s="340" t="str">
        <f t="shared" ca="1" si="151"/>
        <v>0 WEEK</v>
      </c>
      <c r="Y479" s="436">
        <f t="shared" si="138"/>
        <v>0</v>
      </c>
      <c r="Z479" s="541" cm="1">
        <f t="array" aca="1" ref="Z479" ca="1">_xlfn.IFS(AD479&lt;100,Y479,Y479&lt;TODAY(),TODAY(),Y479&gt;TODAY(),Y479,Y479=TODAY(),Y479)</f>
        <v>0</v>
      </c>
      <c r="AD479" s="298">
        <f t="shared" si="141"/>
        <v>0</v>
      </c>
      <c r="AE479" s="299" t="str">
        <f t="shared" si="142"/>
        <v>Complete</v>
      </c>
      <c r="AI479" s="301">
        <f t="shared" ca="1" si="139"/>
        <v>0</v>
      </c>
      <c r="AJ479" s="302">
        <f t="shared" ca="1" si="140"/>
        <v>0</v>
      </c>
      <c r="AL479" s="303">
        <f t="shared" si="143"/>
        <v>4160800</v>
      </c>
      <c r="AM479" s="303">
        <f t="shared" si="144"/>
        <v>0</v>
      </c>
      <c r="AN479" s="303">
        <f t="shared" si="145"/>
        <v>4160800</v>
      </c>
      <c r="AO479" s="304">
        <f t="shared" si="146"/>
        <v>0</v>
      </c>
      <c r="AP479" s="273">
        <f t="shared" si="148"/>
        <v>3</v>
      </c>
      <c r="AQ479" s="273" t="str">
        <f t="shared" ca="1" si="147"/>
        <v>31900</v>
      </c>
    </row>
    <row r="480" spans="1:43">
      <c r="A480" s="392">
        <v>26</v>
      </c>
      <c r="B480" s="340" t="s">
        <v>2089</v>
      </c>
      <c r="C480" s="273" t="s">
        <v>2125</v>
      </c>
      <c r="D480" s="273" t="s">
        <v>2131</v>
      </c>
      <c r="N480" s="273" t="s">
        <v>1593</v>
      </c>
      <c r="P480" s="688">
        <v>45814</v>
      </c>
      <c r="Q480" s="273" t="s">
        <v>2133</v>
      </c>
      <c r="R480" s="314">
        <v>-49929.599999999999</v>
      </c>
      <c r="V480" s="340">
        <f t="shared" ca="1" si="149"/>
        <v>1</v>
      </c>
      <c r="W480" s="594">
        <f t="shared" ca="1" si="150"/>
        <v>1900</v>
      </c>
      <c r="X480" s="340" t="str">
        <f t="shared" ca="1" si="151"/>
        <v>0 WEEK</v>
      </c>
      <c r="Y480" s="436">
        <f t="shared" si="138"/>
        <v>0</v>
      </c>
      <c r="Z480" s="541" cm="1">
        <f t="array" aca="1" ref="Z480" ca="1">_xlfn.IFS(AD480&lt;100,Y480,Y480&lt;TODAY(),TODAY(),Y480&gt;TODAY(),Y480,Y480=TODAY(),Y480)</f>
        <v>0</v>
      </c>
      <c r="AD480" s="298">
        <f t="shared" si="141"/>
        <v>0</v>
      </c>
      <c r="AE480" s="299" t="str">
        <f t="shared" si="142"/>
        <v>Complete</v>
      </c>
      <c r="AI480" s="301">
        <f t="shared" ca="1" si="139"/>
        <v>0</v>
      </c>
      <c r="AJ480" s="302">
        <f t="shared" ca="1" si="140"/>
        <v>0</v>
      </c>
      <c r="AL480" s="303">
        <f t="shared" si="143"/>
        <v>0</v>
      </c>
      <c r="AM480" s="303">
        <f t="shared" si="144"/>
        <v>49929.599999999999</v>
      </c>
      <c r="AN480" s="303">
        <f t="shared" si="145"/>
        <v>-49929.599999999999</v>
      </c>
      <c r="AO480" s="304">
        <f t="shared" si="146"/>
        <v>0</v>
      </c>
      <c r="AP480" s="273">
        <f t="shared" si="148"/>
        <v>6</v>
      </c>
      <c r="AQ480" s="273" t="str">
        <f t="shared" ca="1" si="147"/>
        <v>61900</v>
      </c>
    </row>
    <row r="481" spans="1:43">
      <c r="A481" s="392">
        <v>26</v>
      </c>
      <c r="B481" s="340" t="s">
        <v>2089</v>
      </c>
      <c r="C481" s="273" t="s">
        <v>2125</v>
      </c>
      <c r="D481" s="273" t="s">
        <v>2131</v>
      </c>
      <c r="N481" s="273" t="s">
        <v>1593</v>
      </c>
      <c r="O481" s="862" t="s">
        <v>2096</v>
      </c>
      <c r="P481" s="447">
        <v>0</v>
      </c>
      <c r="V481" s="340">
        <f t="shared" ca="1" si="149"/>
        <v>1</v>
      </c>
      <c r="W481" s="594">
        <f t="shared" ca="1" si="150"/>
        <v>1900</v>
      </c>
      <c r="X481" s="340" t="str">
        <f t="shared" ca="1" si="151"/>
        <v>0 WEEK</v>
      </c>
      <c r="Y481" s="436">
        <f t="shared" si="138"/>
        <v>0</v>
      </c>
      <c r="Z481" s="541" cm="1">
        <f t="array" aca="1" ref="Z481" ca="1">_xlfn.IFS(AD481&lt;100,Y481,Y481&lt;TODAY(),TODAY(),Y481&gt;TODAY(),Y481,Y481=TODAY(),Y481)</f>
        <v>0</v>
      </c>
      <c r="AD481" s="298">
        <f t="shared" si="141"/>
        <v>0</v>
      </c>
      <c r="AE481" s="299" t="str">
        <f t="shared" si="142"/>
        <v>Complete</v>
      </c>
      <c r="AI481" s="301">
        <f t="shared" ca="1" si="139"/>
        <v>0</v>
      </c>
      <c r="AJ481" s="302">
        <f t="shared" ca="1" si="140"/>
        <v>0</v>
      </c>
      <c r="AL481" s="303">
        <f t="shared" si="143"/>
        <v>0</v>
      </c>
      <c r="AM481" s="303">
        <f t="shared" si="144"/>
        <v>0</v>
      </c>
      <c r="AN481" s="303">
        <f t="shared" si="145"/>
        <v>0</v>
      </c>
      <c r="AO481" s="304">
        <f t="shared" si="146"/>
        <v>0</v>
      </c>
      <c r="AP481" s="273">
        <f t="shared" si="148"/>
        <v>1</v>
      </c>
      <c r="AQ481" s="273" t="str">
        <f t="shared" ca="1" si="147"/>
        <v>11900</v>
      </c>
    </row>
    <row r="482" spans="1:43">
      <c r="A482" s="392">
        <v>26</v>
      </c>
      <c r="B482" s="340" t="s">
        <v>2089</v>
      </c>
      <c r="C482" s="273" t="s">
        <v>2125</v>
      </c>
      <c r="D482" s="273" t="s">
        <v>2131</v>
      </c>
      <c r="N482" s="273" t="s">
        <v>1593</v>
      </c>
      <c r="O482" s="862" t="s">
        <v>1835</v>
      </c>
      <c r="P482" s="447">
        <v>0</v>
      </c>
      <c r="R482" s="314">
        <v>0</v>
      </c>
      <c r="V482" s="340">
        <f t="shared" ca="1" si="149"/>
        <v>1</v>
      </c>
      <c r="W482" s="594">
        <f t="shared" ca="1" si="150"/>
        <v>1900</v>
      </c>
      <c r="X482" s="340" t="str">
        <f t="shared" ca="1" si="151"/>
        <v>0 WEEK</v>
      </c>
      <c r="Y482" s="436">
        <f t="shared" si="138"/>
        <v>0</v>
      </c>
      <c r="Z482" s="541" cm="1">
        <f t="array" aca="1" ref="Z482" ca="1">_xlfn.IFS(AD482&lt;100,Y482,Y482&lt;TODAY(),TODAY(),Y482&gt;TODAY(),Y482,Y482=TODAY(),Y482)</f>
        <v>0</v>
      </c>
      <c r="AD482" s="298">
        <f t="shared" si="141"/>
        <v>0</v>
      </c>
      <c r="AE482" s="299" t="str">
        <f t="shared" si="142"/>
        <v>Complete</v>
      </c>
      <c r="AI482" s="301">
        <f t="shared" ca="1" si="139"/>
        <v>0</v>
      </c>
      <c r="AJ482" s="302">
        <f t="shared" ca="1" si="140"/>
        <v>0</v>
      </c>
      <c r="AL482" s="303">
        <f t="shared" si="143"/>
        <v>0</v>
      </c>
      <c r="AM482" s="303">
        <f t="shared" si="144"/>
        <v>0</v>
      </c>
      <c r="AN482" s="303">
        <f t="shared" si="145"/>
        <v>0</v>
      </c>
      <c r="AO482" s="304">
        <f t="shared" si="146"/>
        <v>0</v>
      </c>
      <c r="AP482" s="273">
        <f t="shared" si="148"/>
        <v>1</v>
      </c>
      <c r="AQ482" s="273" t="str">
        <f t="shared" ca="1" si="147"/>
        <v>11900</v>
      </c>
    </row>
    <row r="483" spans="1:43">
      <c r="A483" s="392">
        <v>26</v>
      </c>
      <c r="B483" s="340" t="s">
        <v>2089</v>
      </c>
      <c r="C483" s="273" t="s">
        <v>2125</v>
      </c>
      <c r="D483" s="273" t="s">
        <v>2131</v>
      </c>
      <c r="G483" s="306">
        <v>1487500</v>
      </c>
      <c r="H483" s="307">
        <v>267750</v>
      </c>
      <c r="I483" s="308">
        <v>1755250</v>
      </c>
      <c r="N483" s="273" t="s">
        <v>1593</v>
      </c>
      <c r="P483" s="688">
        <v>45838</v>
      </c>
      <c r="Q483" s="273" t="s">
        <v>2134</v>
      </c>
      <c r="R483" s="314">
        <v>1734187</v>
      </c>
      <c r="V483" s="340">
        <f t="shared" ca="1" si="149"/>
        <v>1</v>
      </c>
      <c r="W483" s="594">
        <f t="shared" ca="1" si="150"/>
        <v>1900</v>
      </c>
      <c r="X483" s="340" t="str">
        <f t="shared" ca="1" si="151"/>
        <v>0 WEEK</v>
      </c>
      <c r="Y483" s="436">
        <f t="shared" si="138"/>
        <v>0</v>
      </c>
      <c r="Z483" s="541" cm="1">
        <f t="array" aca="1" ref="Z483" ca="1">_xlfn.IFS(AD483&lt;100,Y483,Y483&lt;TODAY(),TODAY(),Y483&gt;TODAY(),Y483,Y483=TODAY(),Y483)</f>
        <v>0</v>
      </c>
      <c r="AD483" s="298">
        <f t="shared" si="141"/>
        <v>0</v>
      </c>
      <c r="AE483" s="299" t="str">
        <f t="shared" si="142"/>
        <v>Complete</v>
      </c>
      <c r="AI483" s="301">
        <f t="shared" ca="1" si="139"/>
        <v>0</v>
      </c>
      <c r="AJ483" s="302">
        <f t="shared" ca="1" si="140"/>
        <v>0</v>
      </c>
      <c r="AL483" s="303">
        <f t="shared" si="143"/>
        <v>1755250</v>
      </c>
      <c r="AM483" s="303">
        <f t="shared" si="144"/>
        <v>21063</v>
      </c>
      <c r="AN483" s="303">
        <f t="shared" si="145"/>
        <v>1734187</v>
      </c>
      <c r="AO483" s="304">
        <f t="shared" si="146"/>
        <v>0</v>
      </c>
      <c r="AP483" s="273">
        <f t="shared" si="148"/>
        <v>6</v>
      </c>
      <c r="AQ483" s="273" t="str">
        <f t="shared" ca="1" si="147"/>
        <v>61900</v>
      </c>
    </row>
    <row r="484" spans="1:43">
      <c r="A484" s="392">
        <v>26</v>
      </c>
      <c r="B484" s="340" t="s">
        <v>2089</v>
      </c>
      <c r="C484" s="273" t="s">
        <v>2125</v>
      </c>
      <c r="D484" s="273" t="s">
        <v>2131</v>
      </c>
      <c r="N484" s="273" t="s">
        <v>1593</v>
      </c>
      <c r="O484" s="862" t="s">
        <v>2098</v>
      </c>
      <c r="P484" s="447">
        <v>0</v>
      </c>
      <c r="V484" s="340">
        <f t="shared" ca="1" si="149"/>
        <v>1</v>
      </c>
      <c r="W484" s="594">
        <f t="shared" ca="1" si="150"/>
        <v>1900</v>
      </c>
      <c r="X484" s="340" t="str">
        <f t="shared" ca="1" si="151"/>
        <v>0 WEEK</v>
      </c>
      <c r="Y484" s="436">
        <f t="shared" si="138"/>
        <v>0</v>
      </c>
      <c r="Z484" s="541" cm="1">
        <f t="array" aca="1" ref="Z484" ca="1">_xlfn.IFS(AD484&lt;100,Y484,Y484&lt;TODAY(),TODAY(),Y484&gt;TODAY(),Y484,Y484=TODAY(),Y484)</f>
        <v>0</v>
      </c>
      <c r="AD484" s="298">
        <f t="shared" si="141"/>
        <v>0</v>
      </c>
      <c r="AE484" s="299" t="str">
        <f t="shared" si="142"/>
        <v>Complete</v>
      </c>
      <c r="AI484" s="301">
        <f t="shared" ca="1" si="139"/>
        <v>0</v>
      </c>
      <c r="AJ484" s="302">
        <f t="shared" ca="1" si="140"/>
        <v>0</v>
      </c>
      <c r="AL484" s="303">
        <f t="shared" si="143"/>
        <v>0</v>
      </c>
      <c r="AM484" s="303">
        <f t="shared" si="144"/>
        <v>0</v>
      </c>
      <c r="AN484" s="303">
        <f t="shared" si="145"/>
        <v>0</v>
      </c>
      <c r="AO484" s="304">
        <f t="shared" si="146"/>
        <v>0</v>
      </c>
      <c r="AP484" s="273">
        <f t="shared" si="148"/>
        <v>1</v>
      </c>
      <c r="AQ484" s="273" t="str">
        <f t="shared" ca="1" si="147"/>
        <v>11900</v>
      </c>
    </row>
    <row r="485" spans="1:43">
      <c r="A485" s="392">
        <v>26</v>
      </c>
      <c r="B485" s="340" t="s">
        <v>2089</v>
      </c>
      <c r="C485" s="273" t="s">
        <v>2125</v>
      </c>
      <c r="D485" s="273" t="s">
        <v>2131</v>
      </c>
      <c r="G485" s="306">
        <v>1487500</v>
      </c>
      <c r="H485" s="307">
        <v>267750</v>
      </c>
      <c r="I485" s="308">
        <v>1755250</v>
      </c>
      <c r="N485" s="273" t="s">
        <v>1593</v>
      </c>
      <c r="P485" s="688">
        <v>45838</v>
      </c>
      <c r="Q485" s="273" t="s">
        <v>2134</v>
      </c>
      <c r="R485" s="314">
        <v>1734187</v>
      </c>
      <c r="V485" s="340">
        <f t="shared" ca="1" si="149"/>
        <v>1</v>
      </c>
      <c r="W485" s="594">
        <f t="shared" ca="1" si="150"/>
        <v>1900</v>
      </c>
      <c r="X485" s="340" t="str">
        <f t="shared" ca="1" si="151"/>
        <v>0 WEEK</v>
      </c>
      <c r="Y485" s="436">
        <f t="shared" si="138"/>
        <v>0</v>
      </c>
      <c r="Z485" s="541" cm="1">
        <f t="array" aca="1" ref="Z485" ca="1">_xlfn.IFS(AD485&lt;100,Y485,Y485&lt;TODAY(),TODAY(),Y485&gt;TODAY(),Y485,Y485=TODAY(),Y485)</f>
        <v>0</v>
      </c>
      <c r="AD485" s="298">
        <f t="shared" si="141"/>
        <v>0</v>
      </c>
      <c r="AE485" s="299" t="str">
        <f t="shared" si="142"/>
        <v>Complete</v>
      </c>
      <c r="AI485" s="301">
        <f t="shared" ca="1" si="139"/>
        <v>0</v>
      </c>
      <c r="AJ485" s="302">
        <f t="shared" ca="1" si="140"/>
        <v>0</v>
      </c>
      <c r="AL485" s="303">
        <f t="shared" si="143"/>
        <v>1755250</v>
      </c>
      <c r="AM485" s="303">
        <f t="shared" si="144"/>
        <v>21063</v>
      </c>
      <c r="AN485" s="303">
        <f t="shared" si="145"/>
        <v>1734187</v>
      </c>
      <c r="AO485" s="304">
        <f t="shared" si="146"/>
        <v>0</v>
      </c>
      <c r="AP485" s="273">
        <f t="shared" si="148"/>
        <v>6</v>
      </c>
      <c r="AQ485" s="273" t="str">
        <f t="shared" ca="1" si="147"/>
        <v>61900</v>
      </c>
    </row>
    <row r="486" spans="1:43">
      <c r="A486" s="392">
        <v>26</v>
      </c>
      <c r="B486" s="340" t="s">
        <v>2089</v>
      </c>
      <c r="C486" s="273" t="s">
        <v>2125</v>
      </c>
      <c r="D486" s="273" t="s">
        <v>2131</v>
      </c>
      <c r="N486" s="273" t="s">
        <v>1593</v>
      </c>
      <c r="O486" s="862" t="s">
        <v>2099</v>
      </c>
      <c r="P486" s="447">
        <v>0</v>
      </c>
      <c r="V486" s="340">
        <f t="shared" ca="1" si="149"/>
        <v>1</v>
      </c>
      <c r="W486" s="594">
        <f t="shared" ca="1" si="150"/>
        <v>1900</v>
      </c>
      <c r="X486" s="340" t="str">
        <f t="shared" ca="1" si="151"/>
        <v>0 WEEK</v>
      </c>
      <c r="Y486" s="436">
        <f t="shared" si="138"/>
        <v>0</v>
      </c>
      <c r="Z486" s="541" cm="1">
        <f t="array" aca="1" ref="Z486" ca="1">_xlfn.IFS(AD486&lt;100,Y486,Y486&lt;TODAY(),TODAY(),Y486&gt;TODAY(),Y486,Y486=TODAY(),Y486)</f>
        <v>0</v>
      </c>
      <c r="AD486" s="298">
        <f t="shared" si="141"/>
        <v>0</v>
      </c>
      <c r="AE486" s="299" t="str">
        <f t="shared" si="142"/>
        <v>Complete</v>
      </c>
      <c r="AI486" s="301">
        <f t="shared" ca="1" si="139"/>
        <v>0</v>
      </c>
      <c r="AJ486" s="302">
        <f t="shared" ca="1" si="140"/>
        <v>0</v>
      </c>
      <c r="AL486" s="303">
        <f t="shared" si="143"/>
        <v>0</v>
      </c>
      <c r="AM486" s="303">
        <f t="shared" si="144"/>
        <v>0</v>
      </c>
      <c r="AN486" s="303">
        <f t="shared" si="145"/>
        <v>0</v>
      </c>
      <c r="AO486" s="304">
        <f t="shared" si="146"/>
        <v>0</v>
      </c>
      <c r="AP486" s="273">
        <f t="shared" si="148"/>
        <v>1</v>
      </c>
      <c r="AQ486" s="273" t="str">
        <f t="shared" ca="1" si="147"/>
        <v>11900</v>
      </c>
    </row>
    <row r="487" spans="1:43">
      <c r="A487" s="392">
        <v>26</v>
      </c>
      <c r="B487" s="340" t="s">
        <v>2089</v>
      </c>
      <c r="C487" s="273" t="s">
        <v>2125</v>
      </c>
      <c r="D487" s="273" t="s">
        <v>2131</v>
      </c>
      <c r="G487" s="306">
        <v>2972500</v>
      </c>
      <c r="H487" s="307">
        <v>535050</v>
      </c>
      <c r="I487" s="308">
        <v>3507550</v>
      </c>
      <c r="N487" s="273" t="s">
        <v>1593</v>
      </c>
      <c r="O487" s="862" t="s">
        <v>2100</v>
      </c>
      <c r="P487" s="447">
        <v>0</v>
      </c>
      <c r="R487" s="314">
        <v>0</v>
      </c>
      <c r="V487" s="340">
        <f t="shared" ca="1" si="149"/>
        <v>1</v>
      </c>
      <c r="W487" s="594">
        <f t="shared" ca="1" si="150"/>
        <v>1900</v>
      </c>
      <c r="X487" s="340" t="str">
        <f t="shared" ca="1" si="151"/>
        <v>0 WEEK</v>
      </c>
      <c r="Y487" s="436">
        <f t="shared" si="138"/>
        <v>0</v>
      </c>
      <c r="Z487" s="541" cm="1">
        <f t="array" aca="1" ref="Z487" ca="1">_xlfn.IFS(AD487&lt;100,Y487,Y487&lt;TODAY(),TODAY(),Y487&gt;TODAY(),Y487,Y487=TODAY(),Y487)</f>
        <v>0</v>
      </c>
      <c r="AD487" s="298">
        <f t="shared" si="141"/>
        <v>0</v>
      </c>
      <c r="AE487" s="299" t="str">
        <f t="shared" si="142"/>
        <v>Complete</v>
      </c>
      <c r="AI487" s="301">
        <f t="shared" ca="1" si="139"/>
        <v>0</v>
      </c>
      <c r="AJ487" s="302">
        <f t="shared" ca="1" si="140"/>
        <v>0</v>
      </c>
      <c r="AL487" s="303">
        <f t="shared" si="143"/>
        <v>3507550</v>
      </c>
      <c r="AM487" s="303">
        <f t="shared" si="144"/>
        <v>3507550</v>
      </c>
      <c r="AN487" s="303">
        <f t="shared" si="145"/>
        <v>0</v>
      </c>
      <c r="AO487" s="304">
        <f t="shared" si="146"/>
        <v>0</v>
      </c>
      <c r="AP487" s="273">
        <f t="shared" si="148"/>
        <v>1</v>
      </c>
      <c r="AQ487" s="273" t="str">
        <f t="shared" ca="1" si="147"/>
        <v>11900</v>
      </c>
    </row>
    <row r="488" spans="1:43">
      <c r="A488" s="392">
        <v>26</v>
      </c>
      <c r="B488" s="340" t="s">
        <v>2089</v>
      </c>
      <c r="C488" s="273" t="s">
        <v>2125</v>
      </c>
      <c r="D488" s="273" t="s">
        <v>2131</v>
      </c>
      <c r="G488" s="306">
        <v>2230000</v>
      </c>
      <c r="H488" s="307">
        <v>401400</v>
      </c>
      <c r="I488" s="308">
        <v>2631400</v>
      </c>
      <c r="N488" s="273" t="s">
        <v>1593</v>
      </c>
      <c r="O488" s="862" t="s">
        <v>2101</v>
      </c>
      <c r="P488" s="447">
        <v>0</v>
      </c>
      <c r="R488" s="314">
        <v>0</v>
      </c>
      <c r="V488" s="340">
        <f t="shared" ca="1" si="149"/>
        <v>1</v>
      </c>
      <c r="W488" s="594">
        <f t="shared" ca="1" si="150"/>
        <v>1900</v>
      </c>
      <c r="X488" s="340" t="str">
        <f t="shared" ca="1" si="151"/>
        <v>0 WEEK</v>
      </c>
      <c r="Y488" s="436">
        <f t="shared" si="138"/>
        <v>0</v>
      </c>
      <c r="Z488" s="541" cm="1">
        <f t="array" aca="1" ref="Z488" ca="1">_xlfn.IFS(AD488&lt;100,Y488,Y488&lt;TODAY(),TODAY(),Y488&gt;TODAY(),Y488,Y488=TODAY(),Y488)</f>
        <v>0</v>
      </c>
      <c r="AD488" s="298">
        <f t="shared" si="141"/>
        <v>0</v>
      </c>
      <c r="AE488" s="299" t="str">
        <f t="shared" si="142"/>
        <v>Complete</v>
      </c>
      <c r="AI488" s="301">
        <f t="shared" ca="1" si="139"/>
        <v>0</v>
      </c>
      <c r="AJ488" s="302">
        <f t="shared" ca="1" si="140"/>
        <v>0</v>
      </c>
      <c r="AL488" s="303">
        <f t="shared" si="143"/>
        <v>2631400</v>
      </c>
      <c r="AM488" s="303">
        <f t="shared" si="144"/>
        <v>2631400</v>
      </c>
      <c r="AN488" s="303">
        <f t="shared" si="145"/>
        <v>0</v>
      </c>
      <c r="AO488" s="304">
        <f t="shared" si="146"/>
        <v>0</v>
      </c>
      <c r="AP488" s="273">
        <f t="shared" si="148"/>
        <v>1</v>
      </c>
      <c r="AQ488" s="273" t="str">
        <f t="shared" ca="1" si="147"/>
        <v>11900</v>
      </c>
    </row>
    <row r="489" spans="1:43">
      <c r="A489" s="392">
        <v>26</v>
      </c>
      <c r="B489" s="340" t="s">
        <v>2089</v>
      </c>
      <c r="C489" s="273" t="s">
        <v>2125</v>
      </c>
      <c r="D489" s="273" t="s">
        <v>2131</v>
      </c>
      <c r="G489" s="306">
        <v>2972500</v>
      </c>
      <c r="H489" s="307">
        <v>535050</v>
      </c>
      <c r="I489" s="308">
        <v>3507550</v>
      </c>
      <c r="N489" s="273" t="s">
        <v>1593</v>
      </c>
      <c r="P489" s="688">
        <v>45838</v>
      </c>
      <c r="Q489" s="273" t="s">
        <v>2134</v>
      </c>
      <c r="R489" s="314">
        <v>3465459</v>
      </c>
      <c r="V489" s="340">
        <f t="shared" ca="1" si="149"/>
        <v>1</v>
      </c>
      <c r="W489" s="594">
        <f t="shared" ca="1" si="150"/>
        <v>1900</v>
      </c>
      <c r="X489" s="340" t="str">
        <f t="shared" ca="1" si="151"/>
        <v>0 WEEK</v>
      </c>
      <c r="Y489" s="436">
        <f t="shared" si="138"/>
        <v>0</v>
      </c>
      <c r="Z489" s="541" cm="1">
        <f t="array" aca="1" ref="Z489" ca="1">_xlfn.IFS(AD489&lt;100,Y489,Y489&lt;TODAY(),TODAY(),Y489&gt;TODAY(),Y489,Y489=TODAY(),Y489)</f>
        <v>0</v>
      </c>
      <c r="AD489" s="298">
        <f t="shared" si="141"/>
        <v>0</v>
      </c>
      <c r="AE489" s="299" t="str">
        <f t="shared" si="142"/>
        <v>Complete</v>
      </c>
      <c r="AI489" s="301">
        <f t="shared" ca="1" si="139"/>
        <v>0</v>
      </c>
      <c r="AJ489" s="302">
        <f t="shared" ca="1" si="140"/>
        <v>0</v>
      </c>
      <c r="AL489" s="303">
        <f t="shared" si="143"/>
        <v>3507550</v>
      </c>
      <c r="AM489" s="303">
        <f t="shared" si="144"/>
        <v>42091</v>
      </c>
      <c r="AN489" s="303">
        <f t="shared" si="145"/>
        <v>3465459</v>
      </c>
      <c r="AO489" s="304">
        <f t="shared" si="146"/>
        <v>0</v>
      </c>
      <c r="AP489" s="273">
        <f t="shared" si="148"/>
        <v>6</v>
      </c>
      <c r="AQ489" s="273" t="str">
        <f t="shared" ca="1" si="147"/>
        <v>61900</v>
      </c>
    </row>
    <row r="490" spans="1:43">
      <c r="A490" s="392">
        <v>26</v>
      </c>
      <c r="B490" s="340" t="s">
        <v>2089</v>
      </c>
      <c r="C490" s="273" t="s">
        <v>2125</v>
      </c>
      <c r="D490" s="273" t="s">
        <v>2131</v>
      </c>
      <c r="N490" s="273" t="s">
        <v>1593</v>
      </c>
      <c r="O490" s="862" t="s">
        <v>2102</v>
      </c>
      <c r="P490" s="447">
        <v>0</v>
      </c>
      <c r="V490" s="340">
        <f t="shared" ca="1" si="149"/>
        <v>1</v>
      </c>
      <c r="W490" s="594">
        <f t="shared" ca="1" si="150"/>
        <v>1900</v>
      </c>
      <c r="X490" s="340" t="str">
        <f t="shared" ca="1" si="151"/>
        <v>0 WEEK</v>
      </c>
      <c r="Y490" s="436">
        <f t="shared" si="138"/>
        <v>0</v>
      </c>
      <c r="Z490" s="541" cm="1">
        <f t="array" aca="1" ref="Z490" ca="1">_xlfn.IFS(AD490&lt;100,Y490,Y490&lt;TODAY(),TODAY(),Y490&gt;TODAY(),Y490,Y490=TODAY(),Y490)</f>
        <v>0</v>
      </c>
      <c r="AD490" s="298">
        <f t="shared" si="141"/>
        <v>0</v>
      </c>
      <c r="AE490" s="299" t="str">
        <f t="shared" si="142"/>
        <v>Complete</v>
      </c>
      <c r="AI490" s="301">
        <f t="shared" ca="1" si="139"/>
        <v>0</v>
      </c>
      <c r="AJ490" s="302">
        <f t="shared" ca="1" si="140"/>
        <v>0</v>
      </c>
      <c r="AL490" s="303">
        <f t="shared" si="143"/>
        <v>0</v>
      </c>
      <c r="AM490" s="303">
        <f t="shared" si="144"/>
        <v>0</v>
      </c>
      <c r="AN490" s="303">
        <f t="shared" si="145"/>
        <v>0</v>
      </c>
      <c r="AO490" s="304">
        <f t="shared" si="146"/>
        <v>0</v>
      </c>
      <c r="AP490" s="273">
        <f t="shared" si="148"/>
        <v>1</v>
      </c>
      <c r="AQ490" s="273" t="str">
        <f t="shared" ca="1" si="147"/>
        <v>11900</v>
      </c>
    </row>
    <row r="491" spans="1:43">
      <c r="A491" s="392">
        <v>26</v>
      </c>
      <c r="B491" s="340" t="s">
        <v>2089</v>
      </c>
      <c r="C491" s="273" t="s">
        <v>2125</v>
      </c>
      <c r="D491" s="273" t="s">
        <v>2131</v>
      </c>
      <c r="G491" s="306">
        <v>372500</v>
      </c>
      <c r="H491" s="307">
        <v>67050</v>
      </c>
      <c r="I491" s="308">
        <v>439550</v>
      </c>
      <c r="N491" s="273" t="s">
        <v>1593</v>
      </c>
      <c r="P491" s="688">
        <v>45838</v>
      </c>
      <c r="Q491" s="273" t="s">
        <v>2134</v>
      </c>
      <c r="R491" s="314">
        <v>434275.4</v>
      </c>
      <c r="V491" s="340">
        <f t="shared" ca="1" si="149"/>
        <v>1</v>
      </c>
      <c r="W491" s="594">
        <f t="shared" ca="1" si="150"/>
        <v>1900</v>
      </c>
      <c r="X491" s="340" t="str">
        <f t="shared" ca="1" si="151"/>
        <v>0 WEEK</v>
      </c>
      <c r="Y491" s="436">
        <f t="shared" si="138"/>
        <v>0</v>
      </c>
      <c r="Z491" s="541" cm="1">
        <f t="array" aca="1" ref="Z491" ca="1">_xlfn.IFS(AD491&lt;100,Y491,Y491&lt;TODAY(),TODAY(),Y491&gt;TODAY(),Y491,Y491=TODAY(),Y491)</f>
        <v>0</v>
      </c>
      <c r="AD491" s="298">
        <f t="shared" si="141"/>
        <v>0</v>
      </c>
      <c r="AE491" s="299" t="str">
        <f t="shared" si="142"/>
        <v>Complete</v>
      </c>
      <c r="AI491" s="301">
        <f t="shared" ca="1" si="139"/>
        <v>0</v>
      </c>
      <c r="AJ491" s="302">
        <f t="shared" ca="1" si="140"/>
        <v>0</v>
      </c>
      <c r="AL491" s="303">
        <f t="shared" si="143"/>
        <v>439550</v>
      </c>
      <c r="AM491" s="303">
        <f t="shared" si="144"/>
        <v>5274.5999999999767</v>
      </c>
      <c r="AN491" s="303">
        <f t="shared" si="145"/>
        <v>434275.4</v>
      </c>
      <c r="AO491" s="304">
        <f t="shared" si="146"/>
        <v>0</v>
      </c>
      <c r="AP491" s="273">
        <f t="shared" si="148"/>
        <v>6</v>
      </c>
      <c r="AQ491" s="273" t="str">
        <f t="shared" ca="1" si="147"/>
        <v>61900</v>
      </c>
    </row>
    <row r="492" spans="1:43">
      <c r="A492" s="392">
        <v>26</v>
      </c>
      <c r="B492" s="340" t="s">
        <v>2089</v>
      </c>
      <c r="C492" s="273" t="s">
        <v>2125</v>
      </c>
      <c r="D492" s="273" t="s">
        <v>2131</v>
      </c>
      <c r="N492" s="273" t="s">
        <v>1593</v>
      </c>
      <c r="O492" s="862" t="s">
        <v>2103</v>
      </c>
      <c r="P492" s="447">
        <v>0</v>
      </c>
      <c r="V492" s="340">
        <f t="shared" ca="1" si="149"/>
        <v>1</v>
      </c>
      <c r="W492" s="594">
        <f t="shared" ca="1" si="150"/>
        <v>1900</v>
      </c>
      <c r="X492" s="340" t="str">
        <f t="shared" ca="1" si="151"/>
        <v>0 WEEK</v>
      </c>
      <c r="Y492" s="436">
        <f t="shared" si="138"/>
        <v>0</v>
      </c>
      <c r="Z492" s="541" cm="1">
        <f t="array" aca="1" ref="Z492" ca="1">_xlfn.IFS(AD492&lt;100,Y492,Y492&lt;TODAY(),TODAY(),Y492&gt;TODAY(),Y492,Y492=TODAY(),Y492)</f>
        <v>0</v>
      </c>
      <c r="AD492" s="298">
        <f t="shared" si="141"/>
        <v>0</v>
      </c>
      <c r="AE492" s="299" t="str">
        <f t="shared" si="142"/>
        <v>Complete</v>
      </c>
      <c r="AI492" s="301">
        <f t="shared" ca="1" si="139"/>
        <v>0</v>
      </c>
      <c r="AJ492" s="302">
        <f t="shared" ca="1" si="140"/>
        <v>0</v>
      </c>
      <c r="AL492" s="303">
        <f t="shared" si="143"/>
        <v>0</v>
      </c>
      <c r="AM492" s="303">
        <f t="shared" si="144"/>
        <v>0</v>
      </c>
      <c r="AN492" s="303">
        <f t="shared" si="145"/>
        <v>0</v>
      </c>
      <c r="AO492" s="304">
        <f t="shared" si="146"/>
        <v>0</v>
      </c>
      <c r="AP492" s="273">
        <f t="shared" si="148"/>
        <v>1</v>
      </c>
      <c r="AQ492" s="273" t="str">
        <f t="shared" ca="1" si="147"/>
        <v>11900</v>
      </c>
    </row>
    <row r="493" spans="1:43">
      <c r="A493" s="392">
        <v>26</v>
      </c>
      <c r="B493" s="340" t="s">
        <v>2089</v>
      </c>
      <c r="C493" s="273" t="s">
        <v>2125</v>
      </c>
      <c r="D493" s="273" t="s">
        <v>2131</v>
      </c>
      <c r="G493" s="306">
        <v>1487500</v>
      </c>
      <c r="H493" s="307">
        <v>267750</v>
      </c>
      <c r="I493" s="308">
        <v>1755250</v>
      </c>
      <c r="N493" s="273" t="s">
        <v>1593</v>
      </c>
      <c r="P493" s="688">
        <v>45838</v>
      </c>
      <c r="Q493" s="273" t="s">
        <v>2134</v>
      </c>
      <c r="R493" s="314">
        <v>1734187</v>
      </c>
      <c r="V493" s="340">
        <f t="shared" ca="1" si="149"/>
        <v>1</v>
      </c>
      <c r="W493" s="594">
        <f t="shared" ca="1" si="150"/>
        <v>1900</v>
      </c>
      <c r="X493" s="340" t="str">
        <f t="shared" ca="1" si="151"/>
        <v>0 WEEK</v>
      </c>
      <c r="Y493" s="436">
        <f t="shared" si="138"/>
        <v>0</v>
      </c>
      <c r="Z493" s="541" cm="1">
        <f t="array" aca="1" ref="Z493" ca="1">_xlfn.IFS(AD493&lt;100,Y493,Y493&lt;TODAY(),TODAY(),Y493&gt;TODAY(),Y493,Y493=TODAY(),Y493)</f>
        <v>0</v>
      </c>
      <c r="AD493" s="298">
        <f t="shared" si="141"/>
        <v>0</v>
      </c>
      <c r="AE493" s="299" t="str">
        <f t="shared" si="142"/>
        <v>Complete</v>
      </c>
      <c r="AI493" s="301">
        <f t="shared" ca="1" si="139"/>
        <v>0</v>
      </c>
      <c r="AJ493" s="302">
        <f t="shared" ca="1" si="140"/>
        <v>0</v>
      </c>
      <c r="AL493" s="303">
        <f t="shared" si="143"/>
        <v>1755250</v>
      </c>
      <c r="AM493" s="303">
        <f t="shared" si="144"/>
        <v>21063</v>
      </c>
      <c r="AN493" s="303">
        <f t="shared" si="145"/>
        <v>1734187</v>
      </c>
      <c r="AO493" s="304">
        <f t="shared" si="146"/>
        <v>0</v>
      </c>
      <c r="AP493" s="273">
        <f t="shared" si="148"/>
        <v>6</v>
      </c>
      <c r="AQ493" s="273" t="str">
        <f t="shared" ca="1" si="147"/>
        <v>61900</v>
      </c>
    </row>
    <row r="494" spans="1:43">
      <c r="A494" s="392">
        <v>26</v>
      </c>
      <c r="B494" s="340" t="s">
        <v>2089</v>
      </c>
      <c r="C494" s="273" t="s">
        <v>2125</v>
      </c>
      <c r="D494" s="273" t="s">
        <v>2131</v>
      </c>
      <c r="N494" s="273" t="s">
        <v>1593</v>
      </c>
      <c r="O494" s="862" t="s">
        <v>2104</v>
      </c>
      <c r="P494" s="447">
        <v>0</v>
      </c>
      <c r="V494" s="340">
        <f t="shared" ca="1" si="149"/>
        <v>1</v>
      </c>
      <c r="W494" s="594">
        <f t="shared" ca="1" si="150"/>
        <v>1900</v>
      </c>
      <c r="X494" s="340" t="str">
        <f t="shared" ca="1" si="151"/>
        <v>0 WEEK</v>
      </c>
      <c r="Y494" s="436">
        <f t="shared" si="138"/>
        <v>0</v>
      </c>
      <c r="Z494" s="541" cm="1">
        <f t="array" aca="1" ref="Z494" ca="1">_xlfn.IFS(AD494&lt;100,Y494,Y494&lt;TODAY(),TODAY(),Y494&gt;TODAY(),Y494,Y494=TODAY(),Y494)</f>
        <v>0</v>
      </c>
      <c r="AD494" s="298">
        <f t="shared" si="141"/>
        <v>0</v>
      </c>
      <c r="AE494" s="299" t="str">
        <f t="shared" si="142"/>
        <v>Complete</v>
      </c>
      <c r="AI494" s="301">
        <f t="shared" ca="1" si="139"/>
        <v>0</v>
      </c>
      <c r="AJ494" s="302">
        <f t="shared" ca="1" si="140"/>
        <v>0</v>
      </c>
      <c r="AL494" s="303">
        <f t="shared" si="143"/>
        <v>0</v>
      </c>
      <c r="AM494" s="303">
        <f t="shared" si="144"/>
        <v>0</v>
      </c>
      <c r="AN494" s="303">
        <f t="shared" si="145"/>
        <v>0</v>
      </c>
      <c r="AO494" s="304">
        <f t="shared" si="146"/>
        <v>0</v>
      </c>
      <c r="AP494" s="273">
        <f t="shared" si="148"/>
        <v>1</v>
      </c>
      <c r="AQ494" s="273" t="str">
        <f t="shared" ca="1" si="147"/>
        <v>11900</v>
      </c>
    </row>
    <row r="495" spans="1:43">
      <c r="A495" s="392">
        <v>26</v>
      </c>
      <c r="B495" s="340" t="s">
        <v>2089</v>
      </c>
      <c r="C495" s="273" t="s">
        <v>2125</v>
      </c>
      <c r="D495" s="273" t="s">
        <v>2131</v>
      </c>
      <c r="G495" s="306">
        <v>745000</v>
      </c>
      <c r="H495" s="307">
        <v>134100</v>
      </c>
      <c r="I495" s="308">
        <v>879100</v>
      </c>
      <c r="N495" s="273" t="s">
        <v>1593</v>
      </c>
      <c r="P495" s="688">
        <v>45838</v>
      </c>
      <c r="Q495" s="273" t="s">
        <v>2134</v>
      </c>
      <c r="R495" s="314">
        <v>868551</v>
      </c>
      <c r="V495" s="340">
        <f t="shared" ca="1" si="149"/>
        <v>1</v>
      </c>
      <c r="W495" s="594">
        <f t="shared" ca="1" si="150"/>
        <v>1900</v>
      </c>
      <c r="X495" s="340" t="str">
        <f t="shared" ca="1" si="151"/>
        <v>0 WEEK</v>
      </c>
      <c r="Y495" s="436">
        <f t="shared" si="138"/>
        <v>0</v>
      </c>
      <c r="Z495" s="541" cm="1">
        <f t="array" aca="1" ref="Z495" ca="1">_xlfn.IFS(AD495&lt;100,Y495,Y495&lt;TODAY(),TODAY(),Y495&gt;TODAY(),Y495,Y495=TODAY(),Y495)</f>
        <v>0</v>
      </c>
      <c r="AD495" s="298">
        <f t="shared" si="141"/>
        <v>0</v>
      </c>
      <c r="AE495" s="299" t="str">
        <f t="shared" si="142"/>
        <v>Complete</v>
      </c>
      <c r="AI495" s="301">
        <f t="shared" ca="1" si="139"/>
        <v>0</v>
      </c>
      <c r="AJ495" s="302">
        <f t="shared" ca="1" si="140"/>
        <v>0</v>
      </c>
      <c r="AL495" s="303">
        <f t="shared" si="143"/>
        <v>879100</v>
      </c>
      <c r="AM495" s="303">
        <f t="shared" si="144"/>
        <v>10549</v>
      </c>
      <c r="AN495" s="303">
        <f t="shared" si="145"/>
        <v>868551</v>
      </c>
      <c r="AO495" s="304">
        <f t="shared" si="146"/>
        <v>0</v>
      </c>
      <c r="AP495" s="273">
        <f t="shared" si="148"/>
        <v>6</v>
      </c>
      <c r="AQ495" s="273" t="str">
        <f t="shared" ca="1" si="147"/>
        <v>61900</v>
      </c>
    </row>
    <row r="496" spans="1:43">
      <c r="A496" s="392">
        <v>26</v>
      </c>
      <c r="B496" s="340" t="s">
        <v>2089</v>
      </c>
      <c r="C496" s="273" t="s">
        <v>2125</v>
      </c>
      <c r="D496" s="273" t="s">
        <v>2131</v>
      </c>
      <c r="N496" s="273" t="s">
        <v>1593</v>
      </c>
      <c r="O496" s="862" t="s">
        <v>2105</v>
      </c>
      <c r="P496" s="447">
        <v>0</v>
      </c>
      <c r="V496" s="340">
        <f t="shared" ca="1" si="149"/>
        <v>1</v>
      </c>
      <c r="W496" s="594">
        <f t="shared" ca="1" si="150"/>
        <v>1900</v>
      </c>
      <c r="X496" s="340" t="str">
        <f t="shared" ca="1" si="151"/>
        <v>0 WEEK</v>
      </c>
      <c r="Y496" s="436">
        <f t="shared" si="138"/>
        <v>0</v>
      </c>
      <c r="Z496" s="541" cm="1">
        <f t="array" aca="1" ref="Z496" ca="1">_xlfn.IFS(AD496&lt;100,Y496,Y496&lt;TODAY(),TODAY(),Y496&gt;TODAY(),Y496,Y496=TODAY(),Y496)</f>
        <v>0</v>
      </c>
      <c r="AD496" s="298">
        <f t="shared" si="141"/>
        <v>0</v>
      </c>
      <c r="AE496" s="299" t="str">
        <f t="shared" si="142"/>
        <v>Complete</v>
      </c>
      <c r="AI496" s="301">
        <f t="shared" ca="1" si="139"/>
        <v>0</v>
      </c>
      <c r="AJ496" s="302">
        <f t="shared" ca="1" si="140"/>
        <v>0</v>
      </c>
      <c r="AL496" s="303">
        <f t="shared" si="143"/>
        <v>0</v>
      </c>
      <c r="AM496" s="303">
        <f t="shared" si="144"/>
        <v>0</v>
      </c>
      <c r="AN496" s="303">
        <f t="shared" si="145"/>
        <v>0</v>
      </c>
      <c r="AO496" s="304">
        <f t="shared" si="146"/>
        <v>0</v>
      </c>
      <c r="AP496" s="273">
        <f t="shared" si="148"/>
        <v>1</v>
      </c>
      <c r="AQ496" s="273" t="str">
        <f t="shared" ca="1" si="147"/>
        <v>11900</v>
      </c>
    </row>
    <row r="497" spans="1:43">
      <c r="A497" s="392">
        <v>26</v>
      </c>
      <c r="B497" s="340" t="s">
        <v>2089</v>
      </c>
      <c r="C497" s="273" t="s">
        <v>2125</v>
      </c>
      <c r="D497" s="273" t="s">
        <v>2131</v>
      </c>
      <c r="G497" s="306">
        <v>297500</v>
      </c>
      <c r="H497" s="307">
        <v>53550</v>
      </c>
      <c r="I497" s="308">
        <v>351050</v>
      </c>
      <c r="N497" s="273" t="s">
        <v>1593</v>
      </c>
      <c r="O497" s="862" t="s">
        <v>2106</v>
      </c>
      <c r="P497" s="447">
        <v>0</v>
      </c>
      <c r="R497" s="314">
        <v>0</v>
      </c>
      <c r="V497" s="340">
        <f t="shared" ca="1" si="149"/>
        <v>1</v>
      </c>
      <c r="W497" s="594">
        <f t="shared" ca="1" si="150"/>
        <v>1900</v>
      </c>
      <c r="X497" s="340" t="str">
        <f t="shared" ca="1" si="151"/>
        <v>0 WEEK</v>
      </c>
      <c r="Y497" s="436">
        <f t="shared" si="138"/>
        <v>0</v>
      </c>
      <c r="Z497" s="541" cm="1">
        <f t="array" aca="1" ref="Z497" ca="1">_xlfn.IFS(AD497&lt;100,Y497,Y497&lt;TODAY(),TODAY(),Y497&gt;TODAY(),Y497,Y497=TODAY(),Y497)</f>
        <v>0</v>
      </c>
      <c r="AD497" s="298">
        <f t="shared" si="141"/>
        <v>0</v>
      </c>
      <c r="AE497" s="299" t="str">
        <f t="shared" si="142"/>
        <v>Complete</v>
      </c>
      <c r="AI497" s="301">
        <f t="shared" ca="1" si="139"/>
        <v>0</v>
      </c>
      <c r="AJ497" s="302">
        <f t="shared" ca="1" si="140"/>
        <v>0</v>
      </c>
      <c r="AL497" s="303">
        <f t="shared" si="143"/>
        <v>351050</v>
      </c>
      <c r="AM497" s="303">
        <f t="shared" si="144"/>
        <v>351050</v>
      </c>
      <c r="AN497" s="303">
        <f t="shared" si="145"/>
        <v>0</v>
      </c>
      <c r="AO497" s="304">
        <f t="shared" si="146"/>
        <v>0</v>
      </c>
      <c r="AP497" s="273">
        <f t="shared" si="148"/>
        <v>1</v>
      </c>
      <c r="AQ497" s="273" t="str">
        <f t="shared" ca="1" si="147"/>
        <v>11900</v>
      </c>
    </row>
    <row r="498" spans="1:43">
      <c r="A498" s="392">
        <v>26</v>
      </c>
      <c r="B498" s="340" t="s">
        <v>2089</v>
      </c>
      <c r="C498" s="273" t="s">
        <v>2125</v>
      </c>
      <c r="D498" s="273" t="s">
        <v>2131</v>
      </c>
      <c r="G498" s="306">
        <v>447500</v>
      </c>
      <c r="H498" s="307">
        <v>80550</v>
      </c>
      <c r="I498" s="308">
        <v>528050</v>
      </c>
      <c r="N498" s="273" t="s">
        <v>1593</v>
      </c>
      <c r="O498" s="862" t="s">
        <v>2107</v>
      </c>
      <c r="P498" s="447">
        <v>0</v>
      </c>
      <c r="R498" s="314">
        <v>0</v>
      </c>
      <c r="V498" s="340">
        <f t="shared" ca="1" si="149"/>
        <v>1</v>
      </c>
      <c r="W498" s="594">
        <f t="shared" ca="1" si="150"/>
        <v>1900</v>
      </c>
      <c r="X498" s="340" t="str">
        <f t="shared" ca="1" si="151"/>
        <v>0 WEEK</v>
      </c>
      <c r="Y498" s="436">
        <f t="shared" si="138"/>
        <v>0</v>
      </c>
      <c r="Z498" s="541" cm="1">
        <f t="array" aca="1" ref="Z498" ca="1">_xlfn.IFS(AD498&lt;100,Y498,Y498&lt;TODAY(),TODAY(),Y498&gt;TODAY(),Y498,Y498=TODAY(),Y498)</f>
        <v>0</v>
      </c>
      <c r="AD498" s="298">
        <f t="shared" si="141"/>
        <v>0</v>
      </c>
      <c r="AE498" s="299" t="str">
        <f t="shared" si="142"/>
        <v>Complete</v>
      </c>
      <c r="AI498" s="301">
        <f t="shared" ca="1" si="139"/>
        <v>0</v>
      </c>
      <c r="AJ498" s="302">
        <f t="shared" ca="1" si="140"/>
        <v>0</v>
      </c>
      <c r="AL498" s="303">
        <f t="shared" si="143"/>
        <v>528050</v>
      </c>
      <c r="AM498" s="303">
        <f t="shared" si="144"/>
        <v>528050</v>
      </c>
      <c r="AN498" s="303">
        <f t="shared" si="145"/>
        <v>0</v>
      </c>
      <c r="AO498" s="304">
        <f t="shared" si="146"/>
        <v>0</v>
      </c>
      <c r="AP498" s="273">
        <f t="shared" si="148"/>
        <v>1</v>
      </c>
      <c r="AQ498" s="273" t="str">
        <f t="shared" ca="1" si="147"/>
        <v>11900</v>
      </c>
    </row>
    <row r="499" spans="1:43">
      <c r="A499" s="392">
        <v>26</v>
      </c>
      <c r="B499" s="340" t="s">
        <v>2089</v>
      </c>
      <c r="C499" s="273" t="s">
        <v>2125</v>
      </c>
      <c r="D499" s="273" t="s">
        <v>2131</v>
      </c>
      <c r="G499" s="306">
        <v>372500</v>
      </c>
      <c r="H499" s="307">
        <v>67050</v>
      </c>
      <c r="I499" s="308">
        <v>439550</v>
      </c>
      <c r="N499" s="273" t="s">
        <v>1593</v>
      </c>
      <c r="O499" s="862" t="s">
        <v>2108</v>
      </c>
      <c r="P499" s="447">
        <v>0</v>
      </c>
      <c r="R499" s="314">
        <v>0</v>
      </c>
      <c r="V499" s="340">
        <f t="shared" ca="1" si="149"/>
        <v>1</v>
      </c>
      <c r="W499" s="594">
        <f t="shared" ca="1" si="150"/>
        <v>1900</v>
      </c>
      <c r="X499" s="340" t="str">
        <f t="shared" ca="1" si="151"/>
        <v>0 WEEK</v>
      </c>
      <c r="Y499" s="436">
        <f t="shared" si="138"/>
        <v>0</v>
      </c>
      <c r="Z499" s="541" cm="1">
        <f t="array" aca="1" ref="Z499" ca="1">_xlfn.IFS(AD499&lt;100,Y499,Y499&lt;TODAY(),TODAY(),Y499&gt;TODAY(),Y499,Y499=TODAY(),Y499)</f>
        <v>0</v>
      </c>
      <c r="AD499" s="298">
        <f t="shared" si="141"/>
        <v>0</v>
      </c>
      <c r="AE499" s="299" t="str">
        <f t="shared" si="142"/>
        <v>Complete</v>
      </c>
      <c r="AI499" s="301">
        <f t="shared" ca="1" si="139"/>
        <v>0</v>
      </c>
      <c r="AJ499" s="302">
        <f t="shared" ca="1" si="140"/>
        <v>0</v>
      </c>
      <c r="AL499" s="303">
        <f t="shared" si="143"/>
        <v>439550</v>
      </c>
      <c r="AM499" s="303">
        <f t="shared" si="144"/>
        <v>439550</v>
      </c>
      <c r="AN499" s="303">
        <f t="shared" si="145"/>
        <v>0</v>
      </c>
      <c r="AO499" s="304">
        <f t="shared" si="146"/>
        <v>0</v>
      </c>
      <c r="AP499" s="273">
        <f t="shared" si="148"/>
        <v>1</v>
      </c>
      <c r="AQ499" s="273" t="str">
        <f t="shared" ca="1" si="147"/>
        <v>11900</v>
      </c>
    </row>
    <row r="500" spans="1:43" ht="16.5">
      <c r="A500" s="392">
        <v>26</v>
      </c>
      <c r="B500" s="340" t="s">
        <v>2089</v>
      </c>
      <c r="C500" s="273" t="s">
        <v>2125</v>
      </c>
      <c r="D500" s="273" t="s">
        <v>2131</v>
      </c>
      <c r="G500" s="306">
        <v>1487500</v>
      </c>
      <c r="H500" s="307">
        <v>267750</v>
      </c>
      <c r="I500" s="308">
        <v>1755250</v>
      </c>
      <c r="N500" s="273" t="s">
        <v>1593</v>
      </c>
      <c r="O500" s="791" t="s">
        <v>2109</v>
      </c>
      <c r="P500" s="688">
        <v>45838</v>
      </c>
      <c r="Q500" s="273" t="s">
        <v>2134</v>
      </c>
      <c r="R500" s="314">
        <v>1734187</v>
      </c>
      <c r="V500" s="340">
        <f t="shared" ca="1" si="149"/>
        <v>1</v>
      </c>
      <c r="W500" s="594">
        <f t="shared" ca="1" si="150"/>
        <v>1900</v>
      </c>
      <c r="X500" s="340" t="str">
        <f t="shared" ca="1" si="151"/>
        <v>0 WEEK</v>
      </c>
      <c r="Y500" s="436">
        <f t="shared" si="138"/>
        <v>0</v>
      </c>
      <c r="Z500" s="541" cm="1">
        <f t="array" aca="1" ref="Z500" ca="1">_xlfn.IFS(AD500&lt;100,Y500,Y500&lt;TODAY(),TODAY(),Y500&gt;TODAY(),Y500,Y500=TODAY(),Y500)</f>
        <v>0</v>
      </c>
      <c r="AD500" s="298">
        <f t="shared" si="141"/>
        <v>0</v>
      </c>
      <c r="AE500" s="299" t="str">
        <f t="shared" si="142"/>
        <v>Complete</v>
      </c>
      <c r="AI500" s="301">
        <f t="shared" ca="1" si="139"/>
        <v>0</v>
      </c>
      <c r="AJ500" s="302">
        <f t="shared" ca="1" si="140"/>
        <v>0</v>
      </c>
      <c r="AL500" s="303">
        <f t="shared" si="143"/>
        <v>1755250</v>
      </c>
      <c r="AM500" s="303">
        <f t="shared" si="144"/>
        <v>21063</v>
      </c>
      <c r="AN500" s="303">
        <f t="shared" si="145"/>
        <v>1734187</v>
      </c>
      <c r="AO500" s="304">
        <f t="shared" si="146"/>
        <v>0</v>
      </c>
      <c r="AP500" s="273">
        <f t="shared" si="148"/>
        <v>6</v>
      </c>
      <c r="AQ500" s="273" t="str">
        <f t="shared" ca="1" si="147"/>
        <v>61900</v>
      </c>
    </row>
    <row r="501" spans="1:43" ht="16.5">
      <c r="A501" s="392">
        <v>27</v>
      </c>
      <c r="B501" s="340" t="s">
        <v>2089</v>
      </c>
      <c r="C501" s="273" t="s">
        <v>2125</v>
      </c>
      <c r="D501" s="273" t="s">
        <v>2131</v>
      </c>
      <c r="G501" s="306">
        <v>1727500</v>
      </c>
      <c r="H501" s="307">
        <v>310950</v>
      </c>
      <c r="I501" s="308">
        <v>2038450</v>
      </c>
      <c r="N501" s="273" t="s">
        <v>2110</v>
      </c>
      <c r="O501" s="791"/>
      <c r="P501" s="879">
        <v>45838</v>
      </c>
      <c r="Q501" s="668" t="s">
        <v>2136</v>
      </c>
      <c r="R501" s="314">
        <v>1909063</v>
      </c>
      <c r="V501" s="340">
        <f t="shared" ca="1" si="149"/>
        <v>1</v>
      </c>
      <c r="W501" s="594">
        <f t="shared" ca="1" si="150"/>
        <v>1900</v>
      </c>
      <c r="X501" s="340" t="str">
        <f t="shared" ca="1" si="151"/>
        <v>0 WEEK</v>
      </c>
      <c r="Y501" s="436">
        <f t="shared" si="138"/>
        <v>0</v>
      </c>
      <c r="Z501" s="541" cm="1">
        <f t="array" aca="1" ref="Z501" ca="1">_xlfn.IFS(AD501&lt;100,Y501,Y501&lt;TODAY(),TODAY(),Y501&gt;TODAY(),Y501,Y501=TODAY(),Y501)</f>
        <v>0</v>
      </c>
      <c r="AD501" s="298">
        <f t="shared" si="141"/>
        <v>0</v>
      </c>
      <c r="AE501" s="299" t="str">
        <f t="shared" si="142"/>
        <v>Complete</v>
      </c>
      <c r="AI501" s="301">
        <f t="shared" ca="1" si="139"/>
        <v>0</v>
      </c>
      <c r="AJ501" s="302">
        <f t="shared" ca="1" si="140"/>
        <v>0</v>
      </c>
      <c r="AL501" s="303">
        <f t="shared" si="143"/>
        <v>2038450</v>
      </c>
      <c r="AM501" s="303">
        <f t="shared" si="144"/>
        <v>129387</v>
      </c>
      <c r="AN501" s="303">
        <f t="shared" si="145"/>
        <v>1909063</v>
      </c>
      <c r="AO501" s="304">
        <f t="shared" si="146"/>
        <v>0</v>
      </c>
      <c r="AP501" s="273">
        <f t="shared" si="148"/>
        <v>6</v>
      </c>
      <c r="AQ501" s="273" t="str">
        <f t="shared" ca="1" si="147"/>
        <v>61900</v>
      </c>
    </row>
    <row r="502" spans="1:43" ht="16.5">
      <c r="A502" s="392">
        <v>27</v>
      </c>
      <c r="B502" s="340" t="s">
        <v>2089</v>
      </c>
      <c r="C502" s="273" t="s">
        <v>2125</v>
      </c>
      <c r="D502" s="273" t="s">
        <v>2131</v>
      </c>
      <c r="N502" s="273" t="s">
        <v>2110</v>
      </c>
      <c r="O502" s="791" t="s">
        <v>2111</v>
      </c>
      <c r="P502" s="447">
        <v>0</v>
      </c>
      <c r="V502" s="340">
        <f t="shared" ca="1" si="149"/>
        <v>1</v>
      </c>
      <c r="W502" s="594">
        <f t="shared" ca="1" si="150"/>
        <v>1900</v>
      </c>
      <c r="X502" s="340" t="str">
        <f t="shared" ca="1" si="151"/>
        <v>0 WEEK</v>
      </c>
      <c r="Y502" s="436">
        <f t="shared" si="138"/>
        <v>0</v>
      </c>
      <c r="Z502" s="541" cm="1">
        <f t="array" aca="1" ref="Z502" ca="1">_xlfn.IFS(AD502&lt;100,Y502,Y502&lt;TODAY(),TODAY(),Y502&gt;TODAY(),Y502,Y502=TODAY(),Y502)</f>
        <v>0</v>
      </c>
      <c r="AD502" s="298">
        <f t="shared" si="141"/>
        <v>0</v>
      </c>
      <c r="AE502" s="299" t="str">
        <f t="shared" si="142"/>
        <v>Complete</v>
      </c>
      <c r="AI502" s="301">
        <f t="shared" ca="1" si="139"/>
        <v>0</v>
      </c>
      <c r="AJ502" s="302">
        <f t="shared" ca="1" si="140"/>
        <v>0</v>
      </c>
      <c r="AL502" s="303">
        <f t="shared" si="143"/>
        <v>0</v>
      </c>
      <c r="AM502" s="303">
        <f t="shared" si="144"/>
        <v>0</v>
      </c>
      <c r="AN502" s="303">
        <f t="shared" si="145"/>
        <v>0</v>
      </c>
      <c r="AO502" s="304">
        <f t="shared" si="146"/>
        <v>0</v>
      </c>
      <c r="AP502" s="273">
        <f t="shared" si="148"/>
        <v>1</v>
      </c>
      <c r="AQ502" s="273" t="str">
        <f t="shared" ca="1" si="147"/>
        <v>11900</v>
      </c>
    </row>
    <row r="503" spans="1:43" ht="16.5">
      <c r="A503" s="392">
        <v>27</v>
      </c>
      <c r="B503" s="340" t="s">
        <v>2089</v>
      </c>
      <c r="C503" s="273" t="s">
        <v>2125</v>
      </c>
      <c r="D503" s="273" t="s">
        <v>2131</v>
      </c>
      <c r="G503" s="306">
        <v>5275000</v>
      </c>
      <c r="H503" s="307">
        <v>949500</v>
      </c>
      <c r="I503" s="308">
        <v>6224500</v>
      </c>
      <c r="N503" s="273" t="s">
        <v>2110</v>
      </c>
      <c r="O503" s="791" t="s">
        <v>2113</v>
      </c>
      <c r="P503" s="447">
        <v>0</v>
      </c>
      <c r="V503" s="340">
        <f t="shared" ca="1" si="149"/>
        <v>1</v>
      </c>
      <c r="W503" s="594">
        <f t="shared" ca="1" si="150"/>
        <v>1900</v>
      </c>
      <c r="X503" s="340" t="str">
        <f t="shared" ca="1" si="151"/>
        <v>0 WEEK</v>
      </c>
      <c r="Y503" s="436">
        <f t="shared" si="138"/>
        <v>0</v>
      </c>
      <c r="Z503" s="541" cm="1">
        <f t="array" aca="1" ref="Z503" ca="1">_xlfn.IFS(AD503&lt;100,Y503,Y503&lt;TODAY(),TODAY(),Y503&gt;TODAY(),Y503,Y503=TODAY(),Y503)</f>
        <v>0</v>
      </c>
      <c r="AD503" s="298">
        <f t="shared" si="141"/>
        <v>0</v>
      </c>
      <c r="AE503" s="299" t="str">
        <f t="shared" si="142"/>
        <v>Complete</v>
      </c>
      <c r="AI503" s="301">
        <f t="shared" ca="1" si="139"/>
        <v>0</v>
      </c>
      <c r="AJ503" s="302">
        <f t="shared" ca="1" si="140"/>
        <v>0</v>
      </c>
      <c r="AL503" s="303">
        <f t="shared" si="143"/>
        <v>6224500</v>
      </c>
      <c r="AM503" s="303">
        <f t="shared" si="144"/>
        <v>6224500</v>
      </c>
      <c r="AN503" s="303">
        <f t="shared" si="145"/>
        <v>0</v>
      </c>
      <c r="AO503" s="304">
        <f t="shared" si="146"/>
        <v>0</v>
      </c>
      <c r="AP503" s="273">
        <f t="shared" si="148"/>
        <v>1</v>
      </c>
      <c r="AQ503" s="273" t="str">
        <f t="shared" ca="1" si="147"/>
        <v>11900</v>
      </c>
    </row>
    <row r="504" spans="1:43" ht="16.5">
      <c r="A504" s="392">
        <v>27</v>
      </c>
      <c r="B504" s="340" t="s">
        <v>2089</v>
      </c>
      <c r="C504" s="273" t="s">
        <v>2125</v>
      </c>
      <c r="D504" s="273" t="s">
        <v>2131</v>
      </c>
      <c r="G504" s="306">
        <v>9385000</v>
      </c>
      <c r="H504" s="307">
        <v>1689300</v>
      </c>
      <c r="I504" s="308">
        <v>11074300</v>
      </c>
      <c r="N504" s="273" t="s">
        <v>2110</v>
      </c>
      <c r="O504" s="791" t="s">
        <v>2114</v>
      </c>
      <c r="P504" s="447">
        <v>0</v>
      </c>
      <c r="V504" s="340">
        <f t="shared" ca="1" si="149"/>
        <v>1</v>
      </c>
      <c r="W504" s="594">
        <f t="shared" ca="1" si="150"/>
        <v>1900</v>
      </c>
      <c r="X504" s="340" t="str">
        <f t="shared" ca="1" si="151"/>
        <v>0 WEEK</v>
      </c>
      <c r="Y504" s="436">
        <f t="shared" si="138"/>
        <v>0</v>
      </c>
      <c r="Z504" s="541" cm="1">
        <f t="array" aca="1" ref="Z504" ca="1">_xlfn.IFS(AD504&lt;100,Y504,Y504&lt;TODAY(),TODAY(),Y504&gt;TODAY(),Y504,Y504=TODAY(),Y504)</f>
        <v>0</v>
      </c>
      <c r="AD504" s="298">
        <f t="shared" si="141"/>
        <v>0</v>
      </c>
      <c r="AE504" s="299" t="str">
        <f t="shared" si="142"/>
        <v>Complete</v>
      </c>
      <c r="AI504" s="301">
        <f t="shared" ca="1" si="139"/>
        <v>0</v>
      </c>
      <c r="AJ504" s="302">
        <f t="shared" ca="1" si="140"/>
        <v>0</v>
      </c>
      <c r="AL504" s="303">
        <f t="shared" si="143"/>
        <v>11074300</v>
      </c>
      <c r="AM504" s="303">
        <f t="shared" si="144"/>
        <v>11074300</v>
      </c>
      <c r="AN504" s="303">
        <f t="shared" si="145"/>
        <v>0</v>
      </c>
      <c r="AO504" s="304">
        <f t="shared" si="146"/>
        <v>0</v>
      </c>
      <c r="AP504" s="273">
        <f t="shared" si="148"/>
        <v>1</v>
      </c>
      <c r="AQ504" s="273" t="str">
        <f t="shared" ca="1" si="147"/>
        <v>11900</v>
      </c>
    </row>
    <row r="505" spans="1:43">
      <c r="A505" s="574">
        <v>27</v>
      </c>
      <c r="B505" s="378" t="s">
        <v>2089</v>
      </c>
      <c r="C505" s="273" t="s">
        <v>2125</v>
      </c>
      <c r="D505" s="273" t="s">
        <v>2131</v>
      </c>
      <c r="G505" s="306">
        <v>831222</v>
      </c>
      <c r="H505" s="307">
        <v>149619.96</v>
      </c>
      <c r="I505" s="308">
        <v>980842</v>
      </c>
      <c r="N505" s="273" t="s">
        <v>2110</v>
      </c>
      <c r="P505" s="447">
        <v>0</v>
      </c>
      <c r="V505" s="378">
        <f t="shared" ca="1" si="149"/>
        <v>1</v>
      </c>
      <c r="W505" s="811">
        <f t="shared" ca="1" si="150"/>
        <v>1900</v>
      </c>
      <c r="X505" s="378" t="str">
        <f t="shared" ca="1" si="151"/>
        <v>0 WEEK</v>
      </c>
      <c r="Y505" s="436">
        <f t="shared" si="138"/>
        <v>0</v>
      </c>
      <c r="Z505" s="541" cm="1">
        <f t="array" aca="1" ref="Z505" ca="1">_xlfn.IFS(AD505&lt;100,Y505,Y505&lt;TODAY(),TODAY(),Y505&gt;TODAY(),Y505,Y505=TODAY(),Y505)</f>
        <v>0</v>
      </c>
      <c r="AD505" s="298">
        <f t="shared" si="141"/>
        <v>0</v>
      </c>
      <c r="AE505" s="299" t="str">
        <f t="shared" si="142"/>
        <v>Complete</v>
      </c>
      <c r="AI505" s="301">
        <f t="shared" ca="1" si="139"/>
        <v>0</v>
      </c>
      <c r="AJ505" s="302">
        <f t="shared" ca="1" si="140"/>
        <v>0</v>
      </c>
      <c r="AL505" s="303">
        <f t="shared" si="143"/>
        <v>980842</v>
      </c>
      <c r="AM505" s="303">
        <f t="shared" si="144"/>
        <v>980842</v>
      </c>
      <c r="AN505" s="303">
        <f t="shared" si="145"/>
        <v>0</v>
      </c>
      <c r="AO505" s="304">
        <f t="shared" si="146"/>
        <v>0</v>
      </c>
      <c r="AP505" s="273">
        <f t="shared" si="148"/>
        <v>1</v>
      </c>
      <c r="AQ505" s="273" t="str">
        <f t="shared" ca="1" si="147"/>
        <v>11900</v>
      </c>
    </row>
    <row r="506" spans="1:43" s="340" customFormat="1" ht="16.5">
      <c r="A506" s="392">
        <v>28</v>
      </c>
      <c r="B506" s="340" t="s">
        <v>2089</v>
      </c>
      <c r="C506" s="340" t="s">
        <v>2125</v>
      </c>
      <c r="D506" s="340" t="s">
        <v>2131</v>
      </c>
      <c r="F506" s="334"/>
      <c r="G506" s="623">
        <v>1425000</v>
      </c>
      <c r="H506" s="331">
        <v>256500</v>
      </c>
      <c r="I506" s="624">
        <v>1681500</v>
      </c>
      <c r="J506" s="624"/>
      <c r="M506" s="592"/>
      <c r="N506" s="340" t="s">
        <v>2116</v>
      </c>
      <c r="O506" s="610" t="s">
        <v>2115</v>
      </c>
      <c r="P506" s="578">
        <v>0</v>
      </c>
      <c r="R506" s="621"/>
      <c r="S506" s="621"/>
      <c r="T506" s="820"/>
      <c r="V506" s="340">
        <f t="shared" ca="1" si="149"/>
        <v>1</v>
      </c>
      <c r="W506" s="594">
        <f t="shared" ca="1" si="150"/>
        <v>1900</v>
      </c>
      <c r="X506" s="340" t="str">
        <f t="shared" ca="1" si="151"/>
        <v>0 WEEK</v>
      </c>
      <c r="Y506" s="436">
        <f t="shared" si="138"/>
        <v>0</v>
      </c>
      <c r="Z506" s="541" cm="1">
        <f t="array" aca="1" ref="Z506" ca="1">_xlfn.IFS(AD506&lt;100,Y506,Y506&lt;TODAY(),TODAY(),Y506&gt;TODAY(),Y506,Y506=TODAY(),Y506)</f>
        <v>0</v>
      </c>
      <c r="AA506" s="837"/>
      <c r="AB506" s="331"/>
      <c r="AC506" s="331"/>
      <c r="AD506" s="298">
        <f t="shared" si="141"/>
        <v>0</v>
      </c>
      <c r="AE506" s="299" t="str">
        <f t="shared" si="142"/>
        <v>Complete</v>
      </c>
      <c r="AI506" s="301">
        <f t="shared" ca="1" si="139"/>
        <v>0</v>
      </c>
      <c r="AJ506" s="302">
        <f t="shared" ca="1" si="140"/>
        <v>0</v>
      </c>
      <c r="AL506" s="303">
        <f t="shared" si="143"/>
        <v>1681500</v>
      </c>
      <c r="AM506" s="303">
        <f t="shared" si="144"/>
        <v>1681500</v>
      </c>
      <c r="AN506" s="303">
        <f t="shared" si="145"/>
        <v>0</v>
      </c>
      <c r="AO506" s="304">
        <f t="shared" si="146"/>
        <v>0</v>
      </c>
      <c r="AP506" s="273">
        <f t="shared" si="148"/>
        <v>1</v>
      </c>
      <c r="AQ506" s="273" t="str">
        <f t="shared" ca="1" si="147"/>
        <v>11900</v>
      </c>
    </row>
    <row r="507" spans="1:43" s="340" customFormat="1" ht="16.5">
      <c r="A507" s="392">
        <v>28</v>
      </c>
      <c r="B507" s="340" t="s">
        <v>2089</v>
      </c>
      <c r="C507" s="340" t="s">
        <v>2125</v>
      </c>
      <c r="D507" s="340" t="s">
        <v>2131</v>
      </c>
      <c r="F507" s="334"/>
      <c r="G507" s="623">
        <v>1479720</v>
      </c>
      <c r="H507" s="331">
        <v>266349.59999999998</v>
      </c>
      <c r="I507" s="624">
        <v>1746070</v>
      </c>
      <c r="J507" s="624"/>
      <c r="M507" s="592"/>
      <c r="N507" s="340" t="s">
        <v>2116</v>
      </c>
      <c r="O507" s="610" t="s">
        <v>2117</v>
      </c>
      <c r="P507" s="578">
        <v>0</v>
      </c>
      <c r="R507" s="621"/>
      <c r="S507" s="621"/>
      <c r="T507" s="820"/>
      <c r="V507" s="340">
        <f t="shared" ca="1" si="149"/>
        <v>1</v>
      </c>
      <c r="W507" s="594">
        <f t="shared" ca="1" si="150"/>
        <v>1900</v>
      </c>
      <c r="X507" s="340" t="str">
        <f t="shared" ca="1" si="151"/>
        <v>0 WEEK</v>
      </c>
      <c r="Y507" s="436">
        <f t="shared" si="138"/>
        <v>0</v>
      </c>
      <c r="Z507" s="541" cm="1">
        <f t="array" aca="1" ref="Z507" ca="1">_xlfn.IFS(AD507&lt;100,Y507,Y507&lt;TODAY(),TODAY(),Y507&gt;TODAY(),Y507,Y507=TODAY(),Y507)</f>
        <v>0</v>
      </c>
      <c r="AA507" s="837"/>
      <c r="AB507" s="331"/>
      <c r="AC507" s="331"/>
      <c r="AD507" s="298">
        <f t="shared" si="141"/>
        <v>0</v>
      </c>
      <c r="AE507" s="299" t="str">
        <f t="shared" si="142"/>
        <v>Complete</v>
      </c>
      <c r="AI507" s="301">
        <f t="shared" ca="1" si="139"/>
        <v>0</v>
      </c>
      <c r="AJ507" s="302">
        <f t="shared" ca="1" si="140"/>
        <v>0</v>
      </c>
      <c r="AL507" s="303">
        <f t="shared" si="143"/>
        <v>1746070</v>
      </c>
      <c r="AM507" s="303">
        <f t="shared" si="144"/>
        <v>1746070</v>
      </c>
      <c r="AN507" s="303">
        <f t="shared" si="145"/>
        <v>0</v>
      </c>
      <c r="AO507" s="304">
        <f t="shared" si="146"/>
        <v>0</v>
      </c>
      <c r="AP507" s="273">
        <f t="shared" si="148"/>
        <v>1</v>
      </c>
      <c r="AQ507" s="273" t="str">
        <f t="shared" ca="1" si="147"/>
        <v>11900</v>
      </c>
    </row>
    <row r="508" spans="1:43" s="340" customFormat="1" ht="16.5">
      <c r="A508" s="392">
        <v>28</v>
      </c>
      <c r="B508" s="340" t="s">
        <v>2089</v>
      </c>
      <c r="C508" s="340" t="s">
        <v>2125</v>
      </c>
      <c r="D508" s="340" t="s">
        <v>2131</v>
      </c>
      <c r="F508" s="334"/>
      <c r="G508" s="623">
        <v>1536541.25</v>
      </c>
      <c r="H508" s="331">
        <v>276577.42499999999</v>
      </c>
      <c r="I508" s="624">
        <v>1813119</v>
      </c>
      <c r="J508" s="624"/>
      <c r="M508" s="592"/>
      <c r="N508" s="340" t="s">
        <v>2116</v>
      </c>
      <c r="O508" s="610" t="s">
        <v>2118</v>
      </c>
      <c r="P508" s="578">
        <v>0</v>
      </c>
      <c r="R508" s="621"/>
      <c r="S508" s="621"/>
      <c r="T508" s="820"/>
      <c r="V508" s="340">
        <f t="shared" ca="1" si="149"/>
        <v>1</v>
      </c>
      <c r="W508" s="594">
        <f t="shared" ca="1" si="150"/>
        <v>1900</v>
      </c>
      <c r="X508" s="340" t="str">
        <f t="shared" ca="1" si="151"/>
        <v>0 WEEK</v>
      </c>
      <c r="Y508" s="436">
        <f t="shared" si="138"/>
        <v>0</v>
      </c>
      <c r="Z508" s="541" cm="1">
        <f t="array" aca="1" ref="Z508" ca="1">_xlfn.IFS(AD508&lt;100,Y508,Y508&lt;TODAY(),TODAY(),Y508&gt;TODAY(),Y508,Y508=TODAY(),Y508)</f>
        <v>0</v>
      </c>
      <c r="AA508" s="837"/>
      <c r="AB508" s="331"/>
      <c r="AC508" s="331"/>
      <c r="AD508" s="298">
        <f t="shared" si="141"/>
        <v>0</v>
      </c>
      <c r="AE508" s="299" t="str">
        <f t="shared" si="142"/>
        <v>Complete</v>
      </c>
      <c r="AI508" s="301">
        <f t="shared" ca="1" si="139"/>
        <v>0</v>
      </c>
      <c r="AJ508" s="302">
        <f t="shared" ca="1" si="140"/>
        <v>0</v>
      </c>
      <c r="AL508" s="303">
        <f t="shared" si="143"/>
        <v>1813119</v>
      </c>
      <c r="AM508" s="303">
        <f t="shared" si="144"/>
        <v>1813119</v>
      </c>
      <c r="AN508" s="303">
        <f t="shared" si="145"/>
        <v>0</v>
      </c>
      <c r="AO508" s="304">
        <f t="shared" si="146"/>
        <v>0</v>
      </c>
      <c r="AP508" s="273">
        <f t="shared" si="148"/>
        <v>1</v>
      </c>
      <c r="AQ508" s="273" t="str">
        <f t="shared" ca="1" si="147"/>
        <v>11900</v>
      </c>
    </row>
    <row r="509" spans="1:43" s="340" customFormat="1" ht="15.75">
      <c r="A509" s="392">
        <v>28</v>
      </c>
      <c r="B509" s="246" t="s">
        <v>2089</v>
      </c>
      <c r="D509" s="340" t="s">
        <v>2137</v>
      </c>
      <c r="F509" s="334"/>
      <c r="G509" s="623"/>
      <c r="H509" s="331"/>
      <c r="I509" s="624"/>
      <c r="J509" s="624"/>
      <c r="M509" s="592"/>
      <c r="O509" s="594"/>
      <c r="P509" s="578">
        <v>0</v>
      </c>
      <c r="R509" s="621"/>
      <c r="S509" s="621"/>
      <c r="T509" s="820"/>
      <c r="V509" s="340">
        <f t="shared" ca="1" si="149"/>
        <v>1</v>
      </c>
      <c r="W509" s="594">
        <f t="shared" ca="1" si="150"/>
        <v>1900</v>
      </c>
      <c r="X509" s="340" t="str">
        <f t="shared" ca="1" si="151"/>
        <v>0 WEEK</v>
      </c>
      <c r="Y509" s="436">
        <f t="shared" ref="Y509:Y519" si="152">U509+T509</f>
        <v>0</v>
      </c>
      <c r="Z509" s="541" cm="1">
        <f t="array" aca="1" ref="Z509" ca="1">_xlfn.IFS(AD509&lt;100,Y509,Y509&lt;TODAY(),TODAY(),Y509&gt;TODAY(),Y509,Y509=TODAY(),Y509)</f>
        <v>0</v>
      </c>
      <c r="AA509" s="837"/>
      <c r="AB509" s="331"/>
      <c r="AC509" s="331"/>
      <c r="AD509" s="298">
        <f t="shared" si="141"/>
        <v>0</v>
      </c>
      <c r="AE509" s="299" t="str">
        <f t="shared" si="142"/>
        <v>Complete</v>
      </c>
      <c r="AI509" s="301">
        <f t="shared" ca="1" si="139"/>
        <v>0</v>
      </c>
      <c r="AJ509" s="302">
        <f t="shared" ca="1" si="140"/>
        <v>0</v>
      </c>
      <c r="AL509" s="303">
        <f t="shared" si="143"/>
        <v>0</v>
      </c>
      <c r="AM509" s="303">
        <f t="shared" si="144"/>
        <v>0</v>
      </c>
      <c r="AN509" s="303">
        <f t="shared" si="145"/>
        <v>0</v>
      </c>
      <c r="AO509" s="304">
        <f t="shared" si="146"/>
        <v>0</v>
      </c>
      <c r="AP509" s="273">
        <f t="shared" si="148"/>
        <v>1</v>
      </c>
      <c r="AQ509" s="273" t="str">
        <f t="shared" ca="1" si="147"/>
        <v>11900</v>
      </c>
    </row>
    <row r="510" spans="1:43" ht="15.75">
      <c r="B510"/>
      <c r="P510" s="447">
        <v>0</v>
      </c>
      <c r="V510" s="291">
        <f t="shared" ca="1" si="149"/>
        <v>1</v>
      </c>
      <c r="W510" s="292">
        <f t="shared" ca="1" si="150"/>
        <v>1900</v>
      </c>
      <c r="X510" s="291" t="str">
        <f t="shared" ca="1" si="151"/>
        <v>0 WEEK</v>
      </c>
      <c r="Y510" s="436">
        <f t="shared" si="152"/>
        <v>0</v>
      </c>
      <c r="Z510" s="541" cm="1">
        <f t="array" aca="1" ref="Z510" ca="1">_xlfn.IFS(AD510&lt;100,Y510,Y510&lt;TODAY(),TODAY(),Y510&gt;TODAY(),Y510,Y510=TODAY(),Y510)</f>
        <v>0</v>
      </c>
      <c r="AD510" s="298">
        <f t="shared" si="141"/>
        <v>0</v>
      </c>
      <c r="AE510" s="299" t="str">
        <f t="shared" si="142"/>
        <v>Complete</v>
      </c>
      <c r="AI510" s="301">
        <f t="shared" ca="1" si="139"/>
        <v>0</v>
      </c>
      <c r="AJ510" s="302">
        <f t="shared" ca="1" si="140"/>
        <v>0</v>
      </c>
      <c r="AL510" s="303">
        <f t="shared" si="143"/>
        <v>0</v>
      </c>
      <c r="AM510" s="303">
        <f t="shared" si="144"/>
        <v>0</v>
      </c>
      <c r="AN510" s="303">
        <f t="shared" si="145"/>
        <v>0</v>
      </c>
      <c r="AO510" s="304">
        <f t="shared" si="146"/>
        <v>0</v>
      </c>
      <c r="AP510" s="273">
        <f t="shared" si="148"/>
        <v>1</v>
      </c>
      <c r="AQ510" s="273" t="str">
        <f t="shared" ca="1" si="147"/>
        <v>11900</v>
      </c>
    </row>
    <row r="511" spans="1:43" ht="18">
      <c r="A511" s="312">
        <v>29</v>
      </c>
      <c r="B511" s="880" t="s">
        <v>2138</v>
      </c>
      <c r="D511" s="246" t="s">
        <v>2139</v>
      </c>
      <c r="E511" s="440">
        <v>45162</v>
      </c>
      <c r="F511" s="739">
        <v>0.5551799999999999</v>
      </c>
      <c r="O511" s="881"/>
      <c r="P511" s="447">
        <v>0</v>
      </c>
      <c r="R511" s="741" t="e">
        <v>#VALUE!</v>
      </c>
      <c r="V511" s="340">
        <f t="shared" ca="1" si="149"/>
        <v>1</v>
      </c>
      <c r="W511" s="594">
        <f t="shared" ca="1" si="150"/>
        <v>1900</v>
      </c>
      <c r="X511" s="340" t="str">
        <f t="shared" ca="1" si="151"/>
        <v>0 WEEK</v>
      </c>
      <c r="Y511" s="436">
        <f t="shared" si="152"/>
        <v>0</v>
      </c>
      <c r="Z511" s="541" cm="1">
        <f t="array" aca="1" ref="Z511" ca="1">_xlfn.IFS(AD511&lt;100,Y511,Y511&lt;TODAY(),TODAY(),Y511&gt;TODAY(),Y511,Y511=TODAY(),Y511)</f>
        <v>0</v>
      </c>
      <c r="AB511" s="882"/>
      <c r="AD511" s="298">
        <f t="shared" si="141"/>
        <v>0</v>
      </c>
      <c r="AE511" s="299" t="str">
        <f t="shared" si="142"/>
        <v>Complete</v>
      </c>
      <c r="AI511" s="301">
        <f t="shared" ca="1" si="139"/>
        <v>0</v>
      </c>
      <c r="AJ511" s="302">
        <f t="shared" ca="1" si="140"/>
        <v>0</v>
      </c>
      <c r="AL511" s="303">
        <f t="shared" si="143"/>
        <v>0</v>
      </c>
      <c r="AM511" s="303">
        <f t="shared" si="144"/>
        <v>0</v>
      </c>
      <c r="AN511" s="303">
        <f t="shared" si="145"/>
        <v>0</v>
      </c>
      <c r="AO511" s="304">
        <f t="shared" si="146"/>
        <v>0</v>
      </c>
      <c r="AP511" s="273">
        <f t="shared" si="148"/>
        <v>1</v>
      </c>
      <c r="AQ511" s="273" t="str">
        <f t="shared" ca="1" si="147"/>
        <v>11900</v>
      </c>
    </row>
    <row r="512" spans="1:43" ht="16.5">
      <c r="A512" s="312">
        <v>29</v>
      </c>
      <c r="B512" s="880" t="s">
        <v>2138</v>
      </c>
      <c r="D512" s="246" t="s">
        <v>2139</v>
      </c>
      <c r="E512" s="440">
        <v>45162</v>
      </c>
      <c r="F512" s="739">
        <v>0.5551799999999999</v>
      </c>
      <c r="O512" s="883" t="s">
        <v>2140</v>
      </c>
      <c r="P512" s="447">
        <v>0</v>
      </c>
      <c r="U512" s="440">
        <v>45516</v>
      </c>
      <c r="V512" s="340">
        <f t="shared" ca="1" si="149"/>
        <v>8</v>
      </c>
      <c r="W512" s="594">
        <f t="shared" ca="1" si="150"/>
        <v>2024</v>
      </c>
      <c r="X512" s="340" t="str">
        <f t="shared" ca="1" si="151"/>
        <v>2 WEEK</v>
      </c>
      <c r="Y512" s="436">
        <f t="shared" si="152"/>
        <v>45516</v>
      </c>
      <c r="Z512" s="541" cm="1">
        <f t="array" aca="1" ref="Z512" ca="1">_xlfn.IFS(AD512&lt;100,Y512,Y512&lt;TODAY(),TODAY(),Y512&gt;TODAY(),Y512,Y512=TODAY(),Y512)</f>
        <v>45516</v>
      </c>
      <c r="AD512" s="298">
        <f t="shared" si="141"/>
        <v>0</v>
      </c>
      <c r="AE512" s="299" t="str">
        <f t="shared" si="142"/>
        <v>Complete</v>
      </c>
      <c r="AI512" s="301">
        <f t="shared" ca="1" si="139"/>
        <v>0</v>
      </c>
      <c r="AJ512" s="302">
        <f t="shared" ca="1" si="140"/>
        <v>0</v>
      </c>
      <c r="AL512" s="303">
        <f t="shared" si="143"/>
        <v>0</v>
      </c>
      <c r="AM512" s="303">
        <f t="shared" si="144"/>
        <v>0</v>
      </c>
      <c r="AN512" s="303">
        <f t="shared" si="145"/>
        <v>0</v>
      </c>
      <c r="AO512" s="304">
        <f t="shared" si="146"/>
        <v>0</v>
      </c>
      <c r="AP512" s="273">
        <f t="shared" si="148"/>
        <v>1</v>
      </c>
      <c r="AQ512" s="273" t="str">
        <f t="shared" ca="1" si="147"/>
        <v>12024</v>
      </c>
    </row>
    <row r="513" spans="1:43" ht="16.5">
      <c r="A513" s="312">
        <v>29</v>
      </c>
      <c r="B513" s="880" t="s">
        <v>2138</v>
      </c>
      <c r="D513" s="246" t="s">
        <v>2139</v>
      </c>
      <c r="E513" s="440">
        <v>45162</v>
      </c>
      <c r="F513" s="739">
        <v>0.5551799999999999</v>
      </c>
      <c r="G513" s="306">
        <v>5615281.8310000002</v>
      </c>
      <c r="H513" s="307">
        <v>1010750.72958</v>
      </c>
      <c r="I513" s="308">
        <v>6626033</v>
      </c>
      <c r="K513" s="823" t="s">
        <v>2141</v>
      </c>
      <c r="L513" s="273" t="s">
        <v>2142</v>
      </c>
      <c r="M513" s="665">
        <f>5%*95%</f>
        <v>4.7500000000000001E-2</v>
      </c>
      <c r="N513" s="273" t="s">
        <v>1593</v>
      </c>
      <c r="O513" s="884" t="s">
        <v>2143</v>
      </c>
      <c r="P513" s="688">
        <v>45198</v>
      </c>
      <c r="Q513" s="273" t="s">
        <v>2144</v>
      </c>
      <c r="R513" s="314">
        <v>6626033</v>
      </c>
      <c r="U513" s="440">
        <v>45516</v>
      </c>
      <c r="V513" s="340">
        <f t="shared" ca="1" si="149"/>
        <v>8</v>
      </c>
      <c r="W513" s="594">
        <f t="shared" ca="1" si="150"/>
        <v>2024</v>
      </c>
      <c r="X513" s="340" t="str">
        <f t="shared" ca="1" si="151"/>
        <v>2 WEEK</v>
      </c>
      <c r="Y513" s="436">
        <f t="shared" si="152"/>
        <v>45516</v>
      </c>
      <c r="Z513" s="541" cm="1">
        <f t="array" aca="1" ref="Z513" ca="1">_xlfn.IFS(AD513&lt;100,Y513,Y513&lt;TODAY(),TODAY(),Y513&gt;TODAY(),Y513,Y513=TODAY(),Y513)</f>
        <v>45516</v>
      </c>
      <c r="AA513" s="885">
        <f>SUM(I513:I586)*M513</f>
        <v>62947309.130000003</v>
      </c>
      <c r="AB513" s="307">
        <f>AA513-AC513</f>
        <v>62884361.820870005</v>
      </c>
      <c r="AC513" s="307">
        <f>AA513*0.1%</f>
        <v>62947.309130000001</v>
      </c>
      <c r="AD513" s="298">
        <f t="shared" si="141"/>
        <v>0</v>
      </c>
      <c r="AE513" s="299" t="str">
        <f t="shared" si="142"/>
        <v>Complete</v>
      </c>
      <c r="AI513" s="301">
        <f t="shared" ca="1" si="139"/>
        <v>0</v>
      </c>
      <c r="AJ513" s="302">
        <f t="shared" ca="1" si="140"/>
        <v>0</v>
      </c>
      <c r="AL513" s="303">
        <f t="shared" si="143"/>
        <v>6626033</v>
      </c>
      <c r="AM513" s="303">
        <f t="shared" si="144"/>
        <v>0</v>
      </c>
      <c r="AN513" s="303">
        <f t="shared" si="145"/>
        <v>6626033</v>
      </c>
      <c r="AO513" s="304">
        <f t="shared" si="146"/>
        <v>0</v>
      </c>
      <c r="AP513" s="273">
        <f t="shared" si="148"/>
        <v>9</v>
      </c>
      <c r="AQ513" s="273" t="str">
        <f t="shared" ca="1" si="147"/>
        <v>92024</v>
      </c>
    </row>
    <row r="514" spans="1:43" ht="16.5">
      <c r="A514" s="312">
        <v>29</v>
      </c>
      <c r="B514" s="880" t="s">
        <v>2138</v>
      </c>
      <c r="D514" s="246" t="s">
        <v>2139</v>
      </c>
      <c r="E514" s="440">
        <v>45162</v>
      </c>
      <c r="F514" s="739">
        <v>0.5551799999999999</v>
      </c>
      <c r="G514" s="306">
        <v>5615281.8310000002</v>
      </c>
      <c r="H514" s="307">
        <v>1010750.72958</v>
      </c>
      <c r="I514" s="308">
        <v>6626033</v>
      </c>
      <c r="K514" s="823" t="s">
        <v>2141</v>
      </c>
      <c r="L514" s="273" t="s">
        <v>2142</v>
      </c>
      <c r="M514" s="665">
        <f t="shared" ref="M514:M525" si="153">5%*95%</f>
        <v>4.7500000000000001E-2</v>
      </c>
      <c r="N514" s="273" t="s">
        <v>1593</v>
      </c>
      <c r="O514" s="884" t="s">
        <v>2143</v>
      </c>
      <c r="P514" s="688">
        <v>45198</v>
      </c>
      <c r="Q514" s="273" t="s">
        <v>2144</v>
      </c>
      <c r="R514" s="314">
        <v>6626033</v>
      </c>
      <c r="U514" s="440">
        <v>45516</v>
      </c>
      <c r="V514" s="340">
        <f t="shared" ca="1" si="149"/>
        <v>8</v>
      </c>
      <c r="W514" s="594">
        <f t="shared" ca="1" si="150"/>
        <v>2024</v>
      </c>
      <c r="X514" s="340" t="str">
        <f t="shared" ca="1" si="151"/>
        <v>2 WEEK</v>
      </c>
      <c r="Y514" s="436">
        <f t="shared" si="152"/>
        <v>45516</v>
      </c>
      <c r="Z514" s="541" cm="1">
        <f t="array" aca="1" ref="Z514" ca="1">_xlfn.IFS(AD514&lt;100,Y514,Y514&lt;TODAY(),TODAY(),Y514&gt;TODAY(),Y514,Y514=TODAY(),Y514)</f>
        <v>45516</v>
      </c>
      <c r="AD514" s="298">
        <f t="shared" si="141"/>
        <v>0</v>
      </c>
      <c r="AE514" s="299" t="str">
        <f t="shared" si="142"/>
        <v>Complete</v>
      </c>
      <c r="AI514" s="301">
        <f t="shared" ref="AI514:AI577" ca="1" si="154">Z514-Y514</f>
        <v>0</v>
      </c>
      <c r="AJ514" s="302">
        <f t="shared" ref="AJ514:AJ577" ca="1" si="155">IF(AI514&gt;1,"Delayed",0)</f>
        <v>0</v>
      </c>
      <c r="AL514" s="303">
        <f t="shared" si="143"/>
        <v>6626033</v>
      </c>
      <c r="AM514" s="303">
        <f t="shared" si="144"/>
        <v>0</v>
      </c>
      <c r="AN514" s="303">
        <f t="shared" si="145"/>
        <v>6626033</v>
      </c>
      <c r="AO514" s="304">
        <f t="shared" si="146"/>
        <v>0</v>
      </c>
      <c r="AP514" s="273">
        <f t="shared" si="148"/>
        <v>9</v>
      </c>
      <c r="AQ514" s="273" t="str">
        <f t="shared" ca="1" si="147"/>
        <v>92024</v>
      </c>
    </row>
    <row r="515" spans="1:43" ht="16.5">
      <c r="A515" s="312">
        <v>29</v>
      </c>
      <c r="B515" s="880" t="s">
        <v>2138</v>
      </c>
      <c r="D515" s="246" t="s">
        <v>2139</v>
      </c>
      <c r="E515" s="440">
        <v>45162</v>
      </c>
      <c r="F515" s="739">
        <v>0.5551799999999999</v>
      </c>
      <c r="K515" s="823" t="s">
        <v>2141</v>
      </c>
      <c r="L515" s="273" t="s">
        <v>2142</v>
      </c>
      <c r="M515" s="665">
        <f t="shared" si="153"/>
        <v>4.7500000000000001E-2</v>
      </c>
      <c r="N515" s="273" t="s">
        <v>1593</v>
      </c>
      <c r="O515" s="884" t="s">
        <v>2143</v>
      </c>
      <c r="P515" s="688">
        <v>45479</v>
      </c>
      <c r="Q515" s="273" t="s">
        <v>2145</v>
      </c>
      <c r="R515" s="314">
        <v>-6626032.5605800003</v>
      </c>
      <c r="U515" s="440">
        <v>45516</v>
      </c>
      <c r="V515" s="340">
        <f t="shared" ca="1" si="149"/>
        <v>8</v>
      </c>
      <c r="W515" s="594">
        <f t="shared" ca="1" si="150"/>
        <v>2024</v>
      </c>
      <c r="X515" s="340" t="str">
        <f t="shared" ca="1" si="151"/>
        <v>2 WEEK</v>
      </c>
      <c r="Y515" s="436">
        <f t="shared" si="152"/>
        <v>45516</v>
      </c>
      <c r="Z515" s="541" cm="1">
        <f t="array" aca="1" ref="Z515" ca="1">_xlfn.IFS(AD515&lt;100,Y515,Y515&lt;TODAY(),TODAY(),Y515&gt;TODAY(),Y515,Y515=TODAY(),Y515)</f>
        <v>45516</v>
      </c>
      <c r="AD515" s="298">
        <f t="shared" ref="AD515:AD578" si="156">ROUND(AA515-AB515-AC515,0)</f>
        <v>0</v>
      </c>
      <c r="AE515" s="299" t="str">
        <f t="shared" ref="AE515:AE578" si="157">IF(AD515&lt;100,"Complete","Incomplete")</f>
        <v>Complete</v>
      </c>
      <c r="AI515" s="301">
        <f t="shared" ca="1" si="154"/>
        <v>0</v>
      </c>
      <c r="AJ515" s="302">
        <f t="shared" ca="1" si="155"/>
        <v>0</v>
      </c>
      <c r="AL515" s="303">
        <f t="shared" ref="AL515:AL578" si="158">I515-J515</f>
        <v>0</v>
      </c>
      <c r="AM515" s="303">
        <f t="shared" ref="AM515:AM578" si="159">IFERROR(I515-R515,0)</f>
        <v>6626032.5605800003</v>
      </c>
      <c r="AN515" s="303">
        <f t="shared" ref="AN515:AN578" si="160">IFERROR(R515-J515,0)</f>
        <v>-6626032.5605800003</v>
      </c>
      <c r="AO515" s="304">
        <f t="shared" ref="AO515:AO578" si="161">IFERROR(P515/J515,0)</f>
        <v>0</v>
      </c>
      <c r="AP515" s="273">
        <f t="shared" si="148"/>
        <v>7</v>
      </c>
      <c r="AQ515" s="273" t="str">
        <f t="shared" ref="AQ515:AQ578" ca="1" si="162">AP515&amp;W515</f>
        <v>72024</v>
      </c>
    </row>
    <row r="516" spans="1:43" ht="16.5">
      <c r="A516" s="312">
        <v>29</v>
      </c>
      <c r="B516" s="880" t="s">
        <v>2138</v>
      </c>
      <c r="D516" s="246" t="s">
        <v>2139</v>
      </c>
      <c r="E516" s="440">
        <v>45162</v>
      </c>
      <c r="F516" s="739">
        <v>0.5551799999999999</v>
      </c>
      <c r="K516" s="823" t="s">
        <v>2141</v>
      </c>
      <c r="L516" s="273" t="s">
        <v>2142</v>
      </c>
      <c r="M516" s="665">
        <f t="shared" si="153"/>
        <v>4.7500000000000001E-2</v>
      </c>
      <c r="N516" s="273" t="s">
        <v>1593</v>
      </c>
      <c r="O516" s="884" t="s">
        <v>2143</v>
      </c>
      <c r="P516" s="688">
        <v>45363</v>
      </c>
      <c r="Q516" s="273" t="s">
        <v>2146</v>
      </c>
      <c r="R516" s="314">
        <v>-6626032.5605800003</v>
      </c>
      <c r="U516" s="440">
        <v>45516</v>
      </c>
      <c r="V516" s="340">
        <f t="shared" ca="1" si="149"/>
        <v>8</v>
      </c>
      <c r="W516" s="594">
        <f t="shared" ca="1" si="150"/>
        <v>2024</v>
      </c>
      <c r="X516" s="340" t="str">
        <f t="shared" ca="1" si="151"/>
        <v>2 WEEK</v>
      </c>
      <c r="Y516" s="436">
        <f t="shared" si="152"/>
        <v>45516</v>
      </c>
      <c r="Z516" s="541" cm="1">
        <f t="array" aca="1" ref="Z516" ca="1">_xlfn.IFS(AD516&lt;100,Y516,Y516&lt;TODAY(),TODAY(),Y516&gt;TODAY(),Y516,Y516=TODAY(),Y516)</f>
        <v>45516</v>
      </c>
      <c r="AD516" s="298">
        <f t="shared" si="156"/>
        <v>0</v>
      </c>
      <c r="AE516" s="299" t="str">
        <f t="shared" si="157"/>
        <v>Complete</v>
      </c>
      <c r="AI516" s="301">
        <f t="shared" ca="1" si="154"/>
        <v>0</v>
      </c>
      <c r="AJ516" s="302">
        <f t="shared" ca="1" si="155"/>
        <v>0</v>
      </c>
      <c r="AL516" s="303">
        <f t="shared" si="158"/>
        <v>0</v>
      </c>
      <c r="AM516" s="303">
        <f t="shared" si="159"/>
        <v>6626032.5605800003</v>
      </c>
      <c r="AN516" s="303">
        <f t="shared" si="160"/>
        <v>-6626032.5605800003</v>
      </c>
      <c r="AO516" s="304">
        <f t="shared" si="161"/>
        <v>0</v>
      </c>
      <c r="AP516" s="273">
        <f t="shared" si="148"/>
        <v>3</v>
      </c>
      <c r="AQ516" s="273" t="str">
        <f t="shared" ca="1" si="162"/>
        <v>32024</v>
      </c>
    </row>
    <row r="517" spans="1:43" ht="16.5">
      <c r="A517" s="312">
        <v>29</v>
      </c>
      <c r="B517" s="880" t="s">
        <v>2138</v>
      </c>
      <c r="D517" s="246" t="s">
        <v>2139</v>
      </c>
      <c r="E517" s="440">
        <v>45162</v>
      </c>
      <c r="F517" s="739">
        <v>0.5551799999999999</v>
      </c>
      <c r="K517" s="823" t="s">
        <v>2141</v>
      </c>
      <c r="L517" s="273" t="s">
        <v>2142</v>
      </c>
      <c r="M517" s="665">
        <f t="shared" si="153"/>
        <v>4.7500000000000001E-2</v>
      </c>
      <c r="N517" s="273" t="s">
        <v>1593</v>
      </c>
      <c r="O517" s="884" t="s">
        <v>2143</v>
      </c>
      <c r="P517" s="688">
        <v>45382</v>
      </c>
      <c r="Q517" s="273" t="s">
        <v>2147</v>
      </c>
      <c r="R517" s="314">
        <v>6626032.5605800003</v>
      </c>
      <c r="U517" s="440">
        <v>45516</v>
      </c>
      <c r="V517" s="340">
        <f t="shared" ca="1" si="149"/>
        <v>8</v>
      </c>
      <c r="W517" s="594">
        <f t="shared" ca="1" si="150"/>
        <v>2024</v>
      </c>
      <c r="X517" s="340" t="str">
        <f t="shared" ca="1" si="151"/>
        <v>2 WEEK</v>
      </c>
      <c r="Y517" s="436">
        <f t="shared" si="152"/>
        <v>45516</v>
      </c>
      <c r="Z517" s="541" cm="1">
        <f t="array" aca="1" ref="Z517" ca="1">_xlfn.IFS(AD517&lt;100,Y517,Y517&lt;TODAY(),TODAY(),Y517&gt;TODAY(),Y517,Y517=TODAY(),Y517)</f>
        <v>45516</v>
      </c>
      <c r="AD517" s="298">
        <f t="shared" si="156"/>
        <v>0</v>
      </c>
      <c r="AE517" s="299" t="str">
        <f t="shared" si="157"/>
        <v>Complete</v>
      </c>
      <c r="AI517" s="301">
        <f t="shared" ca="1" si="154"/>
        <v>0</v>
      </c>
      <c r="AJ517" s="302">
        <f t="shared" ca="1" si="155"/>
        <v>0</v>
      </c>
      <c r="AL517" s="303">
        <f t="shared" si="158"/>
        <v>0</v>
      </c>
      <c r="AM517" s="303">
        <f t="shared" si="159"/>
        <v>-6626032.5605800003</v>
      </c>
      <c r="AN517" s="303">
        <f t="shared" si="160"/>
        <v>6626032.5605800003</v>
      </c>
      <c r="AO517" s="304">
        <f t="shared" si="161"/>
        <v>0</v>
      </c>
      <c r="AP517" s="273">
        <f t="shared" ref="AP517:AP580" si="163">MONTH(P517)</f>
        <v>3</v>
      </c>
      <c r="AQ517" s="273" t="str">
        <f t="shared" ca="1" si="162"/>
        <v>32024</v>
      </c>
    </row>
    <row r="518" spans="1:43" ht="16.5">
      <c r="A518" s="312">
        <v>29</v>
      </c>
      <c r="B518" s="880" t="s">
        <v>2138</v>
      </c>
      <c r="D518" s="246" t="s">
        <v>2139</v>
      </c>
      <c r="E518" s="440">
        <v>45162</v>
      </c>
      <c r="F518" s="739">
        <v>0.5551799999999999</v>
      </c>
      <c r="K518" s="823" t="s">
        <v>2141</v>
      </c>
      <c r="L518" s="273" t="s">
        <v>2142</v>
      </c>
      <c r="M518" s="665">
        <f t="shared" si="153"/>
        <v>4.7500000000000001E-2</v>
      </c>
      <c r="N518" s="273" t="s">
        <v>1593</v>
      </c>
      <c r="O518" s="886" t="s">
        <v>2148</v>
      </c>
      <c r="P518" s="688">
        <v>45504</v>
      </c>
      <c r="Q518" s="273" t="s">
        <v>2149</v>
      </c>
      <c r="R518" s="314">
        <v>6626032.5593999997</v>
      </c>
      <c r="U518" s="440">
        <v>45516</v>
      </c>
      <c r="V518" s="340">
        <f t="shared" ref="V518:V581" ca="1" si="164">MONTH(Z518)</f>
        <v>8</v>
      </c>
      <c r="W518" s="594">
        <f t="shared" ref="W518:W581" ca="1" si="165">YEAR(Z518)</f>
        <v>2024</v>
      </c>
      <c r="X518" s="340" t="str">
        <f t="shared" ca="1" si="151"/>
        <v>2 WEEK</v>
      </c>
      <c r="Y518" s="436">
        <f t="shared" si="152"/>
        <v>45516</v>
      </c>
      <c r="Z518" s="541" cm="1">
        <f t="array" aca="1" ref="Z518" ca="1">_xlfn.IFS(AD518&lt;100,Y518,Y518&lt;TODAY(),TODAY(),Y518&gt;TODAY(),Y518,Y518=TODAY(),Y518)</f>
        <v>45516</v>
      </c>
      <c r="AD518" s="298">
        <f t="shared" si="156"/>
        <v>0</v>
      </c>
      <c r="AE518" s="299" t="str">
        <f t="shared" si="157"/>
        <v>Complete</v>
      </c>
      <c r="AI518" s="301">
        <f t="shared" ca="1" si="154"/>
        <v>0</v>
      </c>
      <c r="AJ518" s="302">
        <f t="shared" ca="1" si="155"/>
        <v>0</v>
      </c>
      <c r="AL518" s="303">
        <f t="shared" si="158"/>
        <v>0</v>
      </c>
      <c r="AM518" s="303">
        <f t="shared" si="159"/>
        <v>-6626032.5593999997</v>
      </c>
      <c r="AN518" s="303">
        <f t="shared" si="160"/>
        <v>6626032.5593999997</v>
      </c>
      <c r="AO518" s="304">
        <f t="shared" si="161"/>
        <v>0</v>
      </c>
      <c r="AP518" s="273">
        <f t="shared" si="163"/>
        <v>7</v>
      </c>
      <c r="AQ518" s="273" t="str">
        <f t="shared" ca="1" si="162"/>
        <v>72024</v>
      </c>
    </row>
    <row r="519" spans="1:43" ht="16.5">
      <c r="A519" s="312">
        <v>29</v>
      </c>
      <c r="B519" s="880" t="s">
        <v>2138</v>
      </c>
      <c r="D519" s="246" t="s">
        <v>2139</v>
      </c>
      <c r="E519" s="440">
        <v>45162</v>
      </c>
      <c r="F519" s="739">
        <v>0.5551799999999999</v>
      </c>
      <c r="G519" s="306">
        <v>5615281.8310000002</v>
      </c>
      <c r="H519" s="307">
        <v>1010750.72958</v>
      </c>
      <c r="I519" s="308">
        <v>6626033</v>
      </c>
      <c r="K519" s="823" t="s">
        <v>2141</v>
      </c>
      <c r="L519" s="273" t="s">
        <v>2142</v>
      </c>
      <c r="M519" s="665">
        <f t="shared" si="153"/>
        <v>4.7500000000000001E-2</v>
      </c>
      <c r="N519" s="273" t="s">
        <v>1593</v>
      </c>
      <c r="O519" s="886" t="s">
        <v>2150</v>
      </c>
      <c r="P519" s="688">
        <v>45198</v>
      </c>
      <c r="Q519" s="273" t="s">
        <v>2151</v>
      </c>
      <c r="R519" s="314">
        <v>6626033</v>
      </c>
      <c r="U519" s="440">
        <v>45516</v>
      </c>
      <c r="V519" s="340">
        <f t="shared" ca="1" si="164"/>
        <v>8</v>
      </c>
      <c r="W519" s="594">
        <f t="shared" ca="1" si="165"/>
        <v>2024</v>
      </c>
      <c r="X519" s="340" t="str">
        <f t="shared" ca="1" si="151"/>
        <v>2 WEEK</v>
      </c>
      <c r="Y519" s="436">
        <f t="shared" si="152"/>
        <v>45516</v>
      </c>
      <c r="Z519" s="541" cm="1">
        <f t="array" aca="1" ref="Z519" ca="1">_xlfn.IFS(AD519&lt;100,Y519,Y519&lt;TODAY(),TODAY(),Y519&gt;TODAY(),Y519,Y519=TODAY(),Y519)</f>
        <v>45516</v>
      </c>
      <c r="AD519" s="298">
        <f t="shared" si="156"/>
        <v>0</v>
      </c>
      <c r="AE519" s="299" t="str">
        <f t="shared" si="157"/>
        <v>Complete</v>
      </c>
      <c r="AI519" s="301">
        <f t="shared" ca="1" si="154"/>
        <v>0</v>
      </c>
      <c r="AJ519" s="302">
        <f t="shared" ca="1" si="155"/>
        <v>0</v>
      </c>
      <c r="AL519" s="303">
        <f t="shared" si="158"/>
        <v>6626033</v>
      </c>
      <c r="AM519" s="303">
        <f t="shared" si="159"/>
        <v>0</v>
      </c>
      <c r="AN519" s="303">
        <f t="shared" si="160"/>
        <v>6626033</v>
      </c>
      <c r="AO519" s="304">
        <f t="shared" si="161"/>
        <v>0</v>
      </c>
      <c r="AP519" s="273">
        <f t="shared" si="163"/>
        <v>9</v>
      </c>
      <c r="AQ519" s="273" t="str">
        <f t="shared" ca="1" si="162"/>
        <v>92024</v>
      </c>
    </row>
    <row r="520" spans="1:43" ht="16.5">
      <c r="A520" s="312">
        <v>29</v>
      </c>
      <c r="B520" s="880" t="s">
        <v>2138</v>
      </c>
      <c r="D520" s="246" t="s">
        <v>2139</v>
      </c>
      <c r="E520" s="440">
        <v>45162</v>
      </c>
      <c r="F520" s="739">
        <v>0.5551799999999999</v>
      </c>
      <c r="G520" s="306">
        <v>5615281.8310000002</v>
      </c>
      <c r="H520" s="307">
        <v>1010750.72958</v>
      </c>
      <c r="I520" s="308">
        <v>6626033</v>
      </c>
      <c r="K520" s="823" t="s">
        <v>2141</v>
      </c>
      <c r="L520" s="273" t="s">
        <v>2142</v>
      </c>
      <c r="M520" s="665">
        <f t="shared" si="153"/>
        <v>4.7500000000000001E-2</v>
      </c>
      <c r="N520" s="273" t="s">
        <v>1593</v>
      </c>
      <c r="O520" s="886" t="s">
        <v>2152</v>
      </c>
      <c r="P520" s="688">
        <v>45198</v>
      </c>
      <c r="Q520" s="273" t="s">
        <v>2144</v>
      </c>
      <c r="R520" s="314">
        <v>6626033</v>
      </c>
      <c r="U520" s="440">
        <v>45516</v>
      </c>
      <c r="V520" s="340">
        <f t="shared" ca="1" si="164"/>
        <v>9</v>
      </c>
      <c r="W520" s="594">
        <f t="shared" ca="1" si="165"/>
        <v>2023</v>
      </c>
      <c r="X520" s="340" t="str">
        <f t="shared" ca="1" si="151"/>
        <v>5 WEEK</v>
      </c>
      <c r="Y520" s="688">
        <f t="shared" ref="Y520:Y583" si="166">P520+T520</f>
        <v>45198</v>
      </c>
      <c r="Z520" s="541" cm="1">
        <f t="array" aca="1" ref="Z520" ca="1">_xlfn.IFS(AD520&lt;100,Y520,Y520&lt;TODAY(),TODAY(),Y520&gt;TODAY(),Y520,Y520=TODAY(),Y520)</f>
        <v>45198</v>
      </c>
      <c r="AD520" s="298">
        <f t="shared" si="156"/>
        <v>0</v>
      </c>
      <c r="AE520" s="299" t="str">
        <f t="shared" si="157"/>
        <v>Complete</v>
      </c>
      <c r="AI520" s="301">
        <f t="shared" ca="1" si="154"/>
        <v>0</v>
      </c>
      <c r="AJ520" s="302">
        <f t="shared" ca="1" si="155"/>
        <v>0</v>
      </c>
      <c r="AL520" s="303">
        <f t="shared" si="158"/>
        <v>6626033</v>
      </c>
      <c r="AM520" s="303">
        <f t="shared" si="159"/>
        <v>0</v>
      </c>
      <c r="AN520" s="303">
        <f t="shared" si="160"/>
        <v>6626033</v>
      </c>
      <c r="AO520" s="304">
        <f t="shared" si="161"/>
        <v>0</v>
      </c>
      <c r="AP520" s="273">
        <f t="shared" si="163"/>
        <v>9</v>
      </c>
      <c r="AQ520" s="273" t="str">
        <f t="shared" ca="1" si="162"/>
        <v>92023</v>
      </c>
    </row>
    <row r="521" spans="1:43" ht="16.5">
      <c r="A521" s="312">
        <v>29</v>
      </c>
      <c r="B521" s="880" t="s">
        <v>2138</v>
      </c>
      <c r="D521" s="246" t="s">
        <v>2139</v>
      </c>
      <c r="E521" s="440">
        <v>45162</v>
      </c>
      <c r="F521" s="739">
        <v>0.5551799999999999</v>
      </c>
      <c r="G521" s="306">
        <v>2807640.915</v>
      </c>
      <c r="H521" s="307">
        <v>505375.36469999998</v>
      </c>
      <c r="I521" s="308">
        <v>3313016</v>
      </c>
      <c r="K521" s="823" t="s">
        <v>2141</v>
      </c>
      <c r="L521" s="273" t="s">
        <v>2142</v>
      </c>
      <c r="M521" s="665">
        <f t="shared" si="153"/>
        <v>4.7500000000000001E-2</v>
      </c>
      <c r="N521" s="273" t="s">
        <v>1593</v>
      </c>
      <c r="O521" s="886" t="s">
        <v>2153</v>
      </c>
      <c r="P521" s="688">
        <v>45198</v>
      </c>
      <c r="Q521" s="273" t="s">
        <v>2144</v>
      </c>
      <c r="R521" s="314">
        <v>3313016</v>
      </c>
      <c r="U521" s="440">
        <v>45516</v>
      </c>
      <c r="V521" s="340">
        <f t="shared" ca="1" si="164"/>
        <v>9</v>
      </c>
      <c r="W521" s="594">
        <f t="shared" ca="1" si="165"/>
        <v>2023</v>
      </c>
      <c r="X521" s="340" t="str">
        <f t="shared" ca="1" si="151"/>
        <v>5 WEEK</v>
      </c>
      <c r="Y521" s="688">
        <f t="shared" si="166"/>
        <v>45198</v>
      </c>
      <c r="Z521" s="541" cm="1">
        <f t="array" aca="1" ref="Z521" ca="1">_xlfn.IFS(AD521&lt;100,Y521,Y521&lt;TODAY(),TODAY(),Y521&gt;TODAY(),Y521,Y521=TODAY(),Y521)</f>
        <v>45198</v>
      </c>
      <c r="AD521" s="298">
        <f t="shared" si="156"/>
        <v>0</v>
      </c>
      <c r="AE521" s="299" t="str">
        <f t="shared" si="157"/>
        <v>Complete</v>
      </c>
      <c r="AI521" s="301">
        <f t="shared" ca="1" si="154"/>
        <v>0</v>
      </c>
      <c r="AJ521" s="302">
        <f t="shared" ca="1" si="155"/>
        <v>0</v>
      </c>
      <c r="AL521" s="303">
        <f t="shared" si="158"/>
        <v>3313016</v>
      </c>
      <c r="AM521" s="303">
        <f t="shared" si="159"/>
        <v>0</v>
      </c>
      <c r="AN521" s="303">
        <f t="shared" si="160"/>
        <v>3313016</v>
      </c>
      <c r="AO521" s="304">
        <f t="shared" si="161"/>
        <v>0</v>
      </c>
      <c r="AP521" s="273">
        <f t="shared" si="163"/>
        <v>9</v>
      </c>
      <c r="AQ521" s="273" t="str">
        <f t="shared" ca="1" si="162"/>
        <v>92023</v>
      </c>
    </row>
    <row r="522" spans="1:43" ht="16.5">
      <c r="A522" s="312">
        <v>29</v>
      </c>
      <c r="B522" s="880" t="s">
        <v>2138</v>
      </c>
      <c r="D522" s="246" t="s">
        <v>2139</v>
      </c>
      <c r="E522" s="440">
        <v>45162</v>
      </c>
      <c r="F522" s="739">
        <v>0.5551799999999999</v>
      </c>
      <c r="G522" s="306">
        <v>5615281.8310000002</v>
      </c>
      <c r="H522" s="307">
        <v>1010750.72958</v>
      </c>
      <c r="I522" s="308">
        <v>6626033</v>
      </c>
      <c r="K522" s="823" t="s">
        <v>2141</v>
      </c>
      <c r="L522" s="273" t="s">
        <v>2142</v>
      </c>
      <c r="M522" s="665">
        <f t="shared" si="153"/>
        <v>4.7500000000000001E-2</v>
      </c>
      <c r="N522" s="273" t="s">
        <v>1593</v>
      </c>
      <c r="O522" s="887" t="s">
        <v>2154</v>
      </c>
      <c r="P522" s="688">
        <v>45198</v>
      </c>
      <c r="Q522" s="273" t="s">
        <v>2144</v>
      </c>
      <c r="R522" s="314">
        <v>6626033</v>
      </c>
      <c r="U522" s="440">
        <v>45516</v>
      </c>
      <c r="V522" s="340">
        <f t="shared" ca="1" si="164"/>
        <v>9</v>
      </c>
      <c r="W522" s="594">
        <f t="shared" ca="1" si="165"/>
        <v>2023</v>
      </c>
      <c r="X522" s="340" t="str">
        <f t="shared" ca="1" si="151"/>
        <v>5 WEEK</v>
      </c>
      <c r="Y522" s="688">
        <f t="shared" si="166"/>
        <v>45198</v>
      </c>
      <c r="Z522" s="541" cm="1">
        <f t="array" aca="1" ref="Z522" ca="1">_xlfn.IFS(AD522&lt;100,Y522,Y522&lt;TODAY(),TODAY(),Y522&gt;TODAY(),Y522,Y522=TODAY(),Y522)</f>
        <v>45198</v>
      </c>
      <c r="AD522" s="298">
        <f t="shared" si="156"/>
        <v>0</v>
      </c>
      <c r="AE522" s="299" t="str">
        <f t="shared" si="157"/>
        <v>Complete</v>
      </c>
      <c r="AI522" s="301">
        <f t="shared" ca="1" si="154"/>
        <v>0</v>
      </c>
      <c r="AJ522" s="302">
        <f t="shared" ca="1" si="155"/>
        <v>0</v>
      </c>
      <c r="AL522" s="303">
        <f t="shared" si="158"/>
        <v>6626033</v>
      </c>
      <c r="AM522" s="303">
        <f t="shared" si="159"/>
        <v>0</v>
      </c>
      <c r="AN522" s="303">
        <f t="shared" si="160"/>
        <v>6626033</v>
      </c>
      <c r="AO522" s="304">
        <f t="shared" si="161"/>
        <v>0</v>
      </c>
      <c r="AP522" s="273">
        <f t="shared" si="163"/>
        <v>9</v>
      </c>
      <c r="AQ522" s="273" t="str">
        <f t="shared" ca="1" si="162"/>
        <v>92023</v>
      </c>
    </row>
    <row r="523" spans="1:43" ht="16.5">
      <c r="A523" s="312">
        <v>29</v>
      </c>
      <c r="B523" s="880" t="s">
        <v>2138</v>
      </c>
      <c r="D523" s="246" t="s">
        <v>2139</v>
      </c>
      <c r="E523" s="440">
        <v>45162</v>
      </c>
      <c r="F523" s="739">
        <v>0.5551799999999999</v>
      </c>
      <c r="G523" s="306">
        <v>16845845.489999998</v>
      </c>
      <c r="H523" s="307">
        <v>3032252.1881999997</v>
      </c>
      <c r="I523" s="308">
        <v>19878098</v>
      </c>
      <c r="K523" s="823" t="s">
        <v>2141</v>
      </c>
      <c r="L523" s="273" t="s">
        <v>2142</v>
      </c>
      <c r="M523" s="665">
        <f t="shared" si="153"/>
        <v>4.7500000000000001E-2</v>
      </c>
      <c r="N523" s="273" t="s">
        <v>1593</v>
      </c>
      <c r="O523" s="886" t="s">
        <v>2155</v>
      </c>
      <c r="P523" s="688">
        <v>45198</v>
      </c>
      <c r="Q523" s="273" t="s">
        <v>2144</v>
      </c>
      <c r="R523" s="314">
        <v>19878098</v>
      </c>
      <c r="U523" s="440">
        <v>45516</v>
      </c>
      <c r="V523" s="340">
        <f t="shared" ca="1" si="164"/>
        <v>9</v>
      </c>
      <c r="W523" s="594">
        <f t="shared" ca="1" si="165"/>
        <v>2023</v>
      </c>
      <c r="X523" s="340" t="str">
        <f t="shared" ca="1" si="151"/>
        <v>5 WEEK</v>
      </c>
      <c r="Y523" s="688">
        <f t="shared" si="166"/>
        <v>45198</v>
      </c>
      <c r="Z523" s="541" cm="1">
        <f t="array" aca="1" ref="Z523" ca="1">_xlfn.IFS(AD523&lt;100,Y523,Y523&lt;TODAY(),TODAY(),Y523&gt;TODAY(),Y523,Y523=TODAY(),Y523)</f>
        <v>45198</v>
      </c>
      <c r="AD523" s="298">
        <f t="shared" si="156"/>
        <v>0</v>
      </c>
      <c r="AE523" s="299" t="str">
        <f t="shared" si="157"/>
        <v>Complete</v>
      </c>
      <c r="AI523" s="301">
        <f t="shared" ca="1" si="154"/>
        <v>0</v>
      </c>
      <c r="AJ523" s="302">
        <f t="shared" ca="1" si="155"/>
        <v>0</v>
      </c>
      <c r="AL523" s="303">
        <f t="shared" si="158"/>
        <v>19878098</v>
      </c>
      <c r="AM523" s="303">
        <f t="shared" si="159"/>
        <v>0</v>
      </c>
      <c r="AN523" s="303">
        <f t="shared" si="160"/>
        <v>19878098</v>
      </c>
      <c r="AO523" s="304">
        <f t="shared" si="161"/>
        <v>0</v>
      </c>
      <c r="AP523" s="273">
        <f t="shared" si="163"/>
        <v>9</v>
      </c>
      <c r="AQ523" s="273" t="str">
        <f t="shared" ca="1" si="162"/>
        <v>92023</v>
      </c>
    </row>
    <row r="524" spans="1:43" ht="16.5">
      <c r="A524" s="312">
        <v>29</v>
      </c>
      <c r="B524" s="880" t="s">
        <v>2138</v>
      </c>
      <c r="D524" s="246" t="s">
        <v>2139</v>
      </c>
      <c r="E524" s="440">
        <v>45162</v>
      </c>
      <c r="F524" s="739">
        <v>0.5551799999999999</v>
      </c>
      <c r="G524" s="306">
        <v>2807640.915</v>
      </c>
      <c r="H524" s="307">
        <v>505375.36469999998</v>
      </c>
      <c r="I524" s="308">
        <v>3313016</v>
      </c>
      <c r="K524" s="823" t="s">
        <v>2141</v>
      </c>
      <c r="L524" s="273" t="s">
        <v>2142</v>
      </c>
      <c r="M524" s="665">
        <f t="shared" si="153"/>
        <v>4.7500000000000001E-2</v>
      </c>
      <c r="N524" s="273" t="s">
        <v>1593</v>
      </c>
      <c r="O524" s="886" t="s">
        <v>2156</v>
      </c>
      <c r="P524" s="688">
        <v>45198</v>
      </c>
      <c r="Q524" s="273" t="s">
        <v>2151</v>
      </c>
      <c r="R524" s="314">
        <v>3313016</v>
      </c>
      <c r="U524" s="440">
        <v>45516</v>
      </c>
      <c r="V524" s="340">
        <f t="shared" ca="1" si="164"/>
        <v>9</v>
      </c>
      <c r="W524" s="594">
        <f t="shared" ca="1" si="165"/>
        <v>2023</v>
      </c>
      <c r="X524" s="340" t="str">
        <f t="shared" ca="1" si="151"/>
        <v>5 WEEK</v>
      </c>
      <c r="Y524" s="688">
        <f t="shared" si="166"/>
        <v>45198</v>
      </c>
      <c r="Z524" s="541" cm="1">
        <f t="array" aca="1" ref="Z524" ca="1">_xlfn.IFS(AD524&lt;100,Y524,Y524&lt;TODAY(),TODAY(),Y524&gt;TODAY(),Y524,Y524=TODAY(),Y524)</f>
        <v>45198</v>
      </c>
      <c r="AD524" s="298">
        <f t="shared" si="156"/>
        <v>0</v>
      </c>
      <c r="AE524" s="299" t="str">
        <f t="shared" si="157"/>
        <v>Complete</v>
      </c>
      <c r="AI524" s="301">
        <f t="shared" ca="1" si="154"/>
        <v>0</v>
      </c>
      <c r="AJ524" s="302">
        <f t="shared" ca="1" si="155"/>
        <v>0</v>
      </c>
      <c r="AL524" s="303">
        <f t="shared" si="158"/>
        <v>3313016</v>
      </c>
      <c r="AM524" s="303">
        <f t="shared" si="159"/>
        <v>0</v>
      </c>
      <c r="AN524" s="303">
        <f t="shared" si="160"/>
        <v>3313016</v>
      </c>
      <c r="AO524" s="304">
        <f t="shared" si="161"/>
        <v>0</v>
      </c>
      <c r="AP524" s="273">
        <f t="shared" si="163"/>
        <v>9</v>
      </c>
      <c r="AQ524" s="273" t="str">
        <f t="shared" ca="1" si="162"/>
        <v>92023</v>
      </c>
    </row>
    <row r="525" spans="1:43" ht="17.25" thickBot="1">
      <c r="A525" s="312">
        <v>29</v>
      </c>
      <c r="B525" s="880" t="s">
        <v>2138</v>
      </c>
      <c r="D525" s="246" t="s">
        <v>2139</v>
      </c>
      <c r="E525" s="440">
        <v>45162</v>
      </c>
      <c r="F525" s="739">
        <v>0.5551799999999999</v>
      </c>
      <c r="G525" s="306">
        <v>5615281.8310000002</v>
      </c>
      <c r="H525" s="307">
        <v>1010750.72958</v>
      </c>
      <c r="I525" s="308">
        <v>6626033</v>
      </c>
      <c r="K525" s="823" t="s">
        <v>2141</v>
      </c>
      <c r="L525" s="273" t="s">
        <v>2142</v>
      </c>
      <c r="M525" s="665">
        <f t="shared" si="153"/>
        <v>4.7500000000000001E-2</v>
      </c>
      <c r="N525" s="273" t="s">
        <v>1593</v>
      </c>
      <c r="O525" s="888" t="s">
        <v>2157</v>
      </c>
      <c r="P525" s="688">
        <v>45198</v>
      </c>
      <c r="Q525" s="273" t="s">
        <v>2144</v>
      </c>
      <c r="R525" s="314">
        <v>6626033</v>
      </c>
      <c r="U525" s="440">
        <v>45516</v>
      </c>
      <c r="V525" s="340">
        <f t="shared" ca="1" si="164"/>
        <v>9</v>
      </c>
      <c r="W525" s="594">
        <f t="shared" ca="1" si="165"/>
        <v>2023</v>
      </c>
      <c r="X525" s="340" t="str">
        <f t="shared" ca="1" si="151"/>
        <v>5 WEEK</v>
      </c>
      <c r="Y525" s="688">
        <f t="shared" si="166"/>
        <v>45198</v>
      </c>
      <c r="Z525" s="541" cm="1">
        <f t="array" aca="1" ref="Z525" ca="1">_xlfn.IFS(AD525&lt;100,Y525,Y525&lt;TODAY(),TODAY(),Y525&gt;TODAY(),Y525,Y525=TODAY(),Y525)</f>
        <v>45198</v>
      </c>
      <c r="AD525" s="298">
        <f t="shared" si="156"/>
        <v>0</v>
      </c>
      <c r="AE525" s="299" t="str">
        <f t="shared" si="157"/>
        <v>Complete</v>
      </c>
      <c r="AI525" s="301">
        <f t="shared" ca="1" si="154"/>
        <v>0</v>
      </c>
      <c r="AJ525" s="302">
        <f t="shared" ca="1" si="155"/>
        <v>0</v>
      </c>
      <c r="AL525" s="303">
        <f t="shared" si="158"/>
        <v>6626033</v>
      </c>
      <c r="AM525" s="303">
        <f t="shared" si="159"/>
        <v>0</v>
      </c>
      <c r="AN525" s="303">
        <f t="shared" si="160"/>
        <v>6626033</v>
      </c>
      <c r="AO525" s="304">
        <f t="shared" si="161"/>
        <v>0</v>
      </c>
      <c r="AP525" s="273">
        <f t="shared" si="163"/>
        <v>9</v>
      </c>
      <c r="AQ525" s="273" t="str">
        <f t="shared" ca="1" si="162"/>
        <v>92023</v>
      </c>
    </row>
    <row r="526" spans="1:43" ht="16.5">
      <c r="A526" s="312">
        <v>29</v>
      </c>
      <c r="B526" s="880" t="s">
        <v>2138</v>
      </c>
      <c r="D526" s="246" t="s">
        <v>2139</v>
      </c>
      <c r="E526" s="440">
        <v>45162</v>
      </c>
      <c r="F526" s="739">
        <v>0.5551799999999999</v>
      </c>
      <c r="G526" s="306">
        <v>2807641</v>
      </c>
      <c r="H526" s="307">
        <v>505375.38</v>
      </c>
      <c r="I526" s="308">
        <v>3313016</v>
      </c>
      <c r="K526" s="823" t="s">
        <v>2158</v>
      </c>
      <c r="L526" s="273" t="s">
        <v>1595</v>
      </c>
      <c r="M526" s="665">
        <f>20%*95%</f>
        <v>0.19</v>
      </c>
      <c r="N526" s="273" t="s">
        <v>1593</v>
      </c>
      <c r="O526" s="889" t="s">
        <v>2159</v>
      </c>
      <c r="P526" s="688">
        <v>45595</v>
      </c>
      <c r="Q526" s="273" t="s">
        <v>2160</v>
      </c>
      <c r="R526" s="314">
        <v>3313016</v>
      </c>
      <c r="S526" s="890">
        <f t="shared" ref="S526:S573" si="167">I526/SUM($I$526:$I$573)</f>
        <v>1.0395009749220143E-2</v>
      </c>
      <c r="U526" s="440">
        <v>45516</v>
      </c>
      <c r="V526" s="340">
        <f t="shared" ca="1" si="164"/>
        <v>10</v>
      </c>
      <c r="W526" s="594">
        <f t="shared" ca="1" si="165"/>
        <v>2024</v>
      </c>
      <c r="X526" s="340" t="str">
        <f t="shared" ca="1" si="151"/>
        <v>5 WEEK</v>
      </c>
      <c r="Y526" s="688">
        <f t="shared" si="166"/>
        <v>45595</v>
      </c>
      <c r="Z526" s="541" cm="1">
        <f t="array" aca="1" ref="Z526" ca="1">_xlfn.IFS(AD526&lt;100,Y526,Y526&lt;TODAY(),TODAY(),Y526&gt;TODAY(),Y526,Y526=TODAY(),Y526)</f>
        <v>45595</v>
      </c>
      <c r="AA526" s="891">
        <f t="shared" ref="AA526:AA573" si="168">SUM($I$513:$I$586)*$M$526*S526</f>
        <v>2617351.5683740964</v>
      </c>
      <c r="AB526" s="307">
        <f>AA526-AC526</f>
        <v>2614734.2168057221</v>
      </c>
      <c r="AC526" s="307">
        <f>AA526*0.1%</f>
        <v>2617.3515683740966</v>
      </c>
      <c r="AD526" s="298">
        <f t="shared" si="156"/>
        <v>0</v>
      </c>
      <c r="AE526" s="299" t="str">
        <f t="shared" si="157"/>
        <v>Complete</v>
      </c>
      <c r="AI526" s="301">
        <f t="shared" ca="1" si="154"/>
        <v>0</v>
      </c>
      <c r="AJ526" s="302">
        <f t="shared" ca="1" si="155"/>
        <v>0</v>
      </c>
      <c r="AL526" s="303">
        <f t="shared" si="158"/>
        <v>3313016</v>
      </c>
      <c r="AM526" s="303">
        <f t="shared" si="159"/>
        <v>0</v>
      </c>
      <c r="AN526" s="303">
        <f t="shared" si="160"/>
        <v>3313016</v>
      </c>
      <c r="AO526" s="304">
        <f t="shared" si="161"/>
        <v>0</v>
      </c>
      <c r="AP526" s="273">
        <f t="shared" si="163"/>
        <v>10</v>
      </c>
      <c r="AQ526" s="273" t="str">
        <f t="shared" ca="1" si="162"/>
        <v>102024</v>
      </c>
    </row>
    <row r="527" spans="1:43" ht="16.5">
      <c r="A527" s="312">
        <v>29</v>
      </c>
      <c r="B527" s="880" t="s">
        <v>2138</v>
      </c>
      <c r="D527" s="246" t="s">
        <v>2139</v>
      </c>
      <c r="E527" s="440">
        <v>45162</v>
      </c>
      <c r="F527" s="739">
        <v>0.5551799999999999</v>
      </c>
      <c r="G527" s="306">
        <v>2807641</v>
      </c>
      <c r="H527" s="307">
        <v>505375.38</v>
      </c>
      <c r="I527" s="308">
        <v>3313016</v>
      </c>
      <c r="K527" s="823" t="s">
        <v>2158</v>
      </c>
      <c r="L527" s="273" t="s">
        <v>1595</v>
      </c>
      <c r="M527" s="665">
        <f t="shared" ref="M527:M573" si="169">20%*95%</f>
        <v>0.19</v>
      </c>
      <c r="N527" s="273" t="s">
        <v>1593</v>
      </c>
      <c r="O527" s="889" t="s">
        <v>2161</v>
      </c>
      <c r="P527" s="688">
        <v>45595</v>
      </c>
      <c r="Q527" s="273" t="s">
        <v>2160</v>
      </c>
      <c r="R527" s="314">
        <v>3313016</v>
      </c>
      <c r="S527" s="892">
        <f t="shared" si="167"/>
        <v>1.0395009749220143E-2</v>
      </c>
      <c r="U527" s="440">
        <v>45516</v>
      </c>
      <c r="V527" s="340">
        <f t="shared" ca="1" si="164"/>
        <v>10</v>
      </c>
      <c r="W527" s="594">
        <f t="shared" ca="1" si="165"/>
        <v>2024</v>
      </c>
      <c r="X527" s="340" t="str">
        <f t="shared" ca="1" si="151"/>
        <v>5 WEEK</v>
      </c>
      <c r="Y527" s="688">
        <f t="shared" si="166"/>
        <v>45595</v>
      </c>
      <c r="Z527" s="541" cm="1">
        <f t="array" aca="1" ref="Z527" ca="1">_xlfn.IFS(AD527&lt;100,Y527,Y527&lt;TODAY(),TODAY(),Y527&gt;TODAY(),Y527,Y527=TODAY(),Y527)</f>
        <v>45595</v>
      </c>
      <c r="AA527" s="891">
        <f t="shared" si="168"/>
        <v>2617351.5683740964</v>
      </c>
      <c r="AB527" s="307">
        <f t="shared" ref="AB527:AB557" si="170">AA527-AC527</f>
        <v>2614734.2168057221</v>
      </c>
      <c r="AC527" s="307">
        <f t="shared" ref="AC527:AC573" si="171">AA527*0.1%</f>
        <v>2617.3515683740966</v>
      </c>
      <c r="AD527" s="298">
        <f t="shared" si="156"/>
        <v>0</v>
      </c>
      <c r="AE527" s="299" t="str">
        <f t="shared" si="157"/>
        <v>Complete</v>
      </c>
      <c r="AI527" s="301">
        <f t="shared" ca="1" si="154"/>
        <v>0</v>
      </c>
      <c r="AJ527" s="302">
        <f t="shared" ca="1" si="155"/>
        <v>0</v>
      </c>
      <c r="AL527" s="303">
        <f t="shared" si="158"/>
        <v>3313016</v>
      </c>
      <c r="AM527" s="303">
        <f t="shared" si="159"/>
        <v>0</v>
      </c>
      <c r="AN527" s="303">
        <f t="shared" si="160"/>
        <v>3313016</v>
      </c>
      <c r="AO527" s="304">
        <f t="shared" si="161"/>
        <v>0</v>
      </c>
      <c r="AP527" s="273">
        <f t="shared" si="163"/>
        <v>10</v>
      </c>
      <c r="AQ527" s="273" t="str">
        <f t="shared" ca="1" si="162"/>
        <v>102024</v>
      </c>
    </row>
    <row r="528" spans="1:43" ht="16.5">
      <c r="A528" s="312">
        <v>29</v>
      </c>
      <c r="B528" s="880" t="s">
        <v>2138</v>
      </c>
      <c r="D528" s="246" t="s">
        <v>2139</v>
      </c>
      <c r="E528" s="440">
        <v>45162</v>
      </c>
      <c r="F528" s="739">
        <v>0.5551799999999999</v>
      </c>
      <c r="G528" s="306">
        <v>5615282</v>
      </c>
      <c r="H528" s="307">
        <v>1010750.76</v>
      </c>
      <c r="I528" s="308">
        <v>6626033</v>
      </c>
      <c r="K528" s="823" t="s">
        <v>2158</v>
      </c>
      <c r="L528" s="273" t="s">
        <v>1595</v>
      </c>
      <c r="M528" s="665">
        <f t="shared" si="169"/>
        <v>0.19</v>
      </c>
      <c r="N528" s="273" t="s">
        <v>1593</v>
      </c>
      <c r="O528" s="889" t="s">
        <v>2162</v>
      </c>
      <c r="P528" s="688">
        <v>45595</v>
      </c>
      <c r="Q528" s="273" t="s">
        <v>2160</v>
      </c>
      <c r="R528" s="314">
        <v>6626033</v>
      </c>
      <c r="S528" s="892">
        <f t="shared" si="167"/>
        <v>2.0790022636067676E-2</v>
      </c>
      <c r="U528" s="440">
        <v>45516</v>
      </c>
      <c r="V528" s="340">
        <f t="shared" ca="1" si="164"/>
        <v>10</v>
      </c>
      <c r="W528" s="594">
        <f t="shared" ca="1" si="165"/>
        <v>2024</v>
      </c>
      <c r="X528" s="340" t="str">
        <f t="shared" ca="1" si="151"/>
        <v>5 WEEK</v>
      </c>
      <c r="Y528" s="688">
        <f t="shared" si="166"/>
        <v>45595</v>
      </c>
      <c r="Z528" s="541" cm="1">
        <f t="array" aca="1" ref="Z528" ca="1">_xlfn.IFS(AD528&lt;100,Y528,Y528&lt;TODAY(),TODAY(),Y528&gt;TODAY(),Y528,Y528=TODAY(),Y528)</f>
        <v>45595</v>
      </c>
      <c r="AA528" s="891">
        <f t="shared" si="168"/>
        <v>5234703.9267689986</v>
      </c>
      <c r="AB528" s="307">
        <f t="shared" si="170"/>
        <v>5229469.2228422295</v>
      </c>
      <c r="AC528" s="307">
        <f t="shared" si="171"/>
        <v>5234.7039267689988</v>
      </c>
      <c r="AD528" s="298">
        <f t="shared" si="156"/>
        <v>0</v>
      </c>
      <c r="AE528" s="299" t="str">
        <f t="shared" si="157"/>
        <v>Complete</v>
      </c>
      <c r="AI528" s="301">
        <f t="shared" ca="1" si="154"/>
        <v>0</v>
      </c>
      <c r="AJ528" s="302">
        <f t="shared" ca="1" si="155"/>
        <v>0</v>
      </c>
      <c r="AL528" s="303">
        <f t="shared" si="158"/>
        <v>6626033</v>
      </c>
      <c r="AM528" s="303">
        <f t="shared" si="159"/>
        <v>0</v>
      </c>
      <c r="AN528" s="303">
        <f t="shared" si="160"/>
        <v>6626033</v>
      </c>
      <c r="AO528" s="304">
        <f t="shared" si="161"/>
        <v>0</v>
      </c>
      <c r="AP528" s="273">
        <f t="shared" si="163"/>
        <v>10</v>
      </c>
      <c r="AQ528" s="273" t="str">
        <f t="shared" ca="1" si="162"/>
        <v>102024</v>
      </c>
    </row>
    <row r="529" spans="1:43" ht="16.5">
      <c r="A529" s="312">
        <v>29</v>
      </c>
      <c r="B529" s="880" t="s">
        <v>2138</v>
      </c>
      <c r="D529" s="246" t="s">
        <v>2139</v>
      </c>
      <c r="E529" s="440">
        <v>45162</v>
      </c>
      <c r="F529" s="739">
        <v>0.5551799999999999</v>
      </c>
      <c r="G529" s="306">
        <v>8422923</v>
      </c>
      <c r="H529" s="307">
        <v>1516126.14</v>
      </c>
      <c r="I529" s="308">
        <v>9939049</v>
      </c>
      <c r="K529" s="823" t="s">
        <v>2158</v>
      </c>
      <c r="L529" s="273" t="s">
        <v>1595</v>
      </c>
      <c r="M529" s="665">
        <f t="shared" si="169"/>
        <v>0.19</v>
      </c>
      <c r="N529" s="273" t="s">
        <v>1593</v>
      </c>
      <c r="O529" s="889" t="s">
        <v>2163</v>
      </c>
      <c r="P529" s="688">
        <v>45595</v>
      </c>
      <c r="Q529" s="273" t="s">
        <v>2160</v>
      </c>
      <c r="R529" s="314">
        <v>9939049</v>
      </c>
      <c r="S529" s="892">
        <f t="shared" si="167"/>
        <v>3.1185032385287817E-2</v>
      </c>
      <c r="U529" s="440">
        <v>45516</v>
      </c>
      <c r="V529" s="340">
        <f t="shared" ca="1" si="164"/>
        <v>10</v>
      </c>
      <c r="W529" s="594">
        <f t="shared" ca="1" si="165"/>
        <v>2024</v>
      </c>
      <c r="X529" s="340" t="str">
        <f t="shared" ref="X529:X593" ca="1" si="172">INT((DAY(Z529)-1)/7)+1&amp;" WEEK"</f>
        <v>5 WEEK</v>
      </c>
      <c r="Y529" s="688">
        <f t="shared" si="166"/>
        <v>45595</v>
      </c>
      <c r="Z529" s="541" cm="1">
        <f t="array" aca="1" ref="Z529" ca="1">_xlfn.IFS(AD529&lt;100,Y529,Y529&lt;TODAY(),TODAY(),Y529&gt;TODAY(),Y529,Y529=TODAY(),Y529)</f>
        <v>45595</v>
      </c>
      <c r="AA529" s="891">
        <f t="shared" si="168"/>
        <v>7852055.4951430941</v>
      </c>
      <c r="AB529" s="307">
        <f t="shared" si="170"/>
        <v>7844203.4396479512</v>
      </c>
      <c r="AC529" s="307">
        <f t="shared" si="171"/>
        <v>7852.055495143094</v>
      </c>
      <c r="AD529" s="298">
        <f t="shared" si="156"/>
        <v>0</v>
      </c>
      <c r="AE529" s="299" t="str">
        <f t="shared" si="157"/>
        <v>Complete</v>
      </c>
      <c r="AI529" s="301">
        <f t="shared" ca="1" si="154"/>
        <v>0</v>
      </c>
      <c r="AJ529" s="302">
        <f t="shared" ca="1" si="155"/>
        <v>0</v>
      </c>
      <c r="AL529" s="303">
        <f t="shared" si="158"/>
        <v>9939049</v>
      </c>
      <c r="AM529" s="303">
        <f t="shared" si="159"/>
        <v>0</v>
      </c>
      <c r="AN529" s="303">
        <f t="shared" si="160"/>
        <v>9939049</v>
      </c>
      <c r="AO529" s="304">
        <f t="shared" si="161"/>
        <v>0</v>
      </c>
      <c r="AP529" s="273">
        <f t="shared" si="163"/>
        <v>10</v>
      </c>
      <c r="AQ529" s="273" t="str">
        <f t="shared" ca="1" si="162"/>
        <v>102024</v>
      </c>
    </row>
    <row r="530" spans="1:43" ht="16.5">
      <c r="A530" s="312">
        <v>29</v>
      </c>
      <c r="B530" s="880" t="s">
        <v>2138</v>
      </c>
      <c r="D530" s="246" t="s">
        <v>2139</v>
      </c>
      <c r="E530" s="440">
        <v>45162</v>
      </c>
      <c r="F530" s="739">
        <v>0.5551799999999999</v>
      </c>
      <c r="G530" s="306">
        <v>11230564</v>
      </c>
      <c r="H530" s="307">
        <v>2021501.52</v>
      </c>
      <c r="I530" s="308">
        <v>13252066</v>
      </c>
      <c r="K530" s="823" t="s">
        <v>2158</v>
      </c>
      <c r="L530" s="273" t="s">
        <v>1595</v>
      </c>
      <c r="M530" s="665">
        <f t="shared" si="169"/>
        <v>0.19</v>
      </c>
      <c r="N530" s="273" t="s">
        <v>1593</v>
      </c>
      <c r="O530" s="893" t="s">
        <v>2164</v>
      </c>
      <c r="P530" s="688">
        <v>45595</v>
      </c>
      <c r="Q530" s="273" t="s">
        <v>2160</v>
      </c>
      <c r="R530" s="314">
        <v>13252066</v>
      </c>
      <c r="S530" s="892">
        <f t="shared" si="167"/>
        <v>4.1580045272135352E-2</v>
      </c>
      <c r="U530" s="440">
        <v>45516</v>
      </c>
      <c r="V530" s="340">
        <f t="shared" ca="1" si="164"/>
        <v>10</v>
      </c>
      <c r="W530" s="594">
        <f t="shared" ca="1" si="165"/>
        <v>2024</v>
      </c>
      <c r="X530" s="340" t="str">
        <f t="shared" ca="1" si="172"/>
        <v>5 WEEK</v>
      </c>
      <c r="Y530" s="688">
        <f t="shared" si="166"/>
        <v>45595</v>
      </c>
      <c r="Z530" s="541" cm="1">
        <f t="array" aca="1" ref="Z530" ca="1">_xlfn.IFS(AD530&lt;100,Y530,Y530&lt;TODAY(),TODAY(),Y530&gt;TODAY(),Y530,Y530=TODAY(),Y530)</f>
        <v>45595</v>
      </c>
      <c r="AA530" s="891">
        <f t="shared" si="168"/>
        <v>10469407.853537997</v>
      </c>
      <c r="AB530" s="307">
        <f t="shared" si="170"/>
        <v>10458938.445684459</v>
      </c>
      <c r="AC530" s="307">
        <f t="shared" si="171"/>
        <v>10469.407853537998</v>
      </c>
      <c r="AD530" s="298">
        <f t="shared" si="156"/>
        <v>0</v>
      </c>
      <c r="AE530" s="299" t="str">
        <f t="shared" si="157"/>
        <v>Complete</v>
      </c>
      <c r="AI530" s="301">
        <f t="shared" ca="1" si="154"/>
        <v>0</v>
      </c>
      <c r="AJ530" s="302">
        <f t="shared" ca="1" si="155"/>
        <v>0</v>
      </c>
      <c r="AL530" s="303">
        <f t="shared" si="158"/>
        <v>13252066</v>
      </c>
      <c r="AM530" s="303">
        <f t="shared" si="159"/>
        <v>0</v>
      </c>
      <c r="AN530" s="303">
        <f t="shared" si="160"/>
        <v>13252066</v>
      </c>
      <c r="AO530" s="304">
        <f t="shared" si="161"/>
        <v>0</v>
      </c>
      <c r="AP530" s="273">
        <f t="shared" si="163"/>
        <v>10</v>
      </c>
      <c r="AQ530" s="273" t="str">
        <f t="shared" ca="1" si="162"/>
        <v>102024</v>
      </c>
    </row>
    <row r="531" spans="1:43" ht="16.5">
      <c r="A531" s="312">
        <v>29</v>
      </c>
      <c r="B531" s="880" t="s">
        <v>2138</v>
      </c>
      <c r="D531" s="246" t="s">
        <v>2139</v>
      </c>
      <c r="E531" s="440">
        <v>45162</v>
      </c>
      <c r="F531" s="739">
        <v>0.5551799999999999</v>
      </c>
      <c r="G531" s="306">
        <v>82825407</v>
      </c>
      <c r="H531" s="307">
        <v>9939048.8399999999</v>
      </c>
      <c r="I531" s="308">
        <v>92764456</v>
      </c>
      <c r="K531" s="823" t="s">
        <v>2158</v>
      </c>
      <c r="L531" s="273" t="s">
        <v>1595</v>
      </c>
      <c r="M531" s="665">
        <f t="shared" si="169"/>
        <v>0.19</v>
      </c>
      <c r="N531" s="273" t="s">
        <v>1593</v>
      </c>
      <c r="O531" s="893" t="s">
        <v>2165</v>
      </c>
      <c r="P531" s="688">
        <v>45321</v>
      </c>
      <c r="Q531" s="273" t="s">
        <v>2166</v>
      </c>
      <c r="R531" s="314">
        <v>92764456</v>
      </c>
      <c r="S531" s="892">
        <f t="shared" si="167"/>
        <v>0.2910602980791831</v>
      </c>
      <c r="U531" s="440">
        <v>45516</v>
      </c>
      <c r="V531" s="340">
        <f t="shared" ca="1" si="164"/>
        <v>1</v>
      </c>
      <c r="W531" s="594">
        <f t="shared" ca="1" si="165"/>
        <v>2024</v>
      </c>
      <c r="X531" s="340" t="str">
        <f t="shared" ca="1" si="172"/>
        <v>5 WEEK</v>
      </c>
      <c r="Y531" s="688">
        <f t="shared" si="166"/>
        <v>45321</v>
      </c>
      <c r="Z531" s="541" cm="1">
        <f t="array" aca="1" ref="Z531" ca="1">_xlfn.IFS(AD531&lt;100,Y531,Y531&lt;TODAY(),TODAY(),Y531&gt;TODAY(),Y531,Y531=TODAY(),Y531)</f>
        <v>45321</v>
      </c>
      <c r="AA531" s="891">
        <f t="shared" si="168"/>
        <v>73285850.234641135</v>
      </c>
      <c r="AB531" s="307">
        <f t="shared" si="170"/>
        <v>73212564.384406492</v>
      </c>
      <c r="AC531" s="307">
        <f t="shared" si="171"/>
        <v>73285.850234641141</v>
      </c>
      <c r="AD531" s="298">
        <f t="shared" si="156"/>
        <v>0</v>
      </c>
      <c r="AE531" s="299" t="str">
        <f t="shared" si="157"/>
        <v>Complete</v>
      </c>
      <c r="AI531" s="301">
        <f t="shared" ca="1" si="154"/>
        <v>0</v>
      </c>
      <c r="AJ531" s="302">
        <f t="shared" ca="1" si="155"/>
        <v>0</v>
      </c>
      <c r="AL531" s="303">
        <f t="shared" si="158"/>
        <v>92764456</v>
      </c>
      <c r="AM531" s="303">
        <f t="shared" si="159"/>
        <v>0</v>
      </c>
      <c r="AN531" s="303">
        <f t="shared" si="160"/>
        <v>92764456</v>
      </c>
      <c r="AO531" s="304">
        <f t="shared" si="161"/>
        <v>0</v>
      </c>
      <c r="AP531" s="273">
        <f t="shared" si="163"/>
        <v>1</v>
      </c>
      <c r="AQ531" s="273" t="str">
        <f t="shared" ca="1" si="162"/>
        <v>12024</v>
      </c>
    </row>
    <row r="532" spans="1:43" ht="16.5">
      <c r="A532" s="312">
        <v>29</v>
      </c>
      <c r="B532" s="880" t="s">
        <v>2138</v>
      </c>
      <c r="D532" s="246" t="s">
        <v>2139</v>
      </c>
      <c r="E532" s="440">
        <v>45162</v>
      </c>
      <c r="F532" s="739">
        <v>0.5551799999999999</v>
      </c>
      <c r="G532" s="306">
        <v>65698797.420000002</v>
      </c>
      <c r="H532" s="307">
        <v>11825783.535599999</v>
      </c>
      <c r="I532" s="308">
        <v>77524581</v>
      </c>
      <c r="K532" s="823" t="s">
        <v>2158</v>
      </c>
      <c r="L532" s="273" t="s">
        <v>1595</v>
      </c>
      <c r="M532" s="665">
        <f t="shared" si="169"/>
        <v>0.19</v>
      </c>
      <c r="N532" s="273" t="s">
        <v>1593</v>
      </c>
      <c r="O532" s="894" t="s">
        <v>2167</v>
      </c>
      <c r="P532" s="688">
        <v>45504</v>
      </c>
      <c r="Q532" s="273" t="s">
        <v>2168</v>
      </c>
      <c r="R532" s="314">
        <v>77524581</v>
      </c>
      <c r="S532" s="892">
        <f t="shared" si="167"/>
        <v>0.2432432488400921</v>
      </c>
      <c r="U532" s="440">
        <v>45516</v>
      </c>
      <c r="V532" s="340">
        <f t="shared" ca="1" si="164"/>
        <v>7</v>
      </c>
      <c r="W532" s="594">
        <f t="shared" ca="1" si="165"/>
        <v>2024</v>
      </c>
      <c r="X532" s="340" t="str">
        <f t="shared" ca="1" si="172"/>
        <v>5 WEEK</v>
      </c>
      <c r="Y532" s="688">
        <f t="shared" si="166"/>
        <v>45504</v>
      </c>
      <c r="Z532" s="541" cm="1">
        <f t="array" aca="1" ref="Z532" ca="1">_xlfn.IFS(AD532&lt;100,Y532,Y532&lt;TODAY(),TODAY(),Y532&gt;TODAY(),Y532,Y532=TODAY(),Y532)</f>
        <v>45504</v>
      </c>
      <c r="AA532" s="891">
        <f t="shared" si="168"/>
        <v>61246031.91409117</v>
      </c>
      <c r="AB532" s="307">
        <f t="shared" si="170"/>
        <v>61184785.882177077</v>
      </c>
      <c r="AC532" s="307">
        <f t="shared" si="171"/>
        <v>61246.031914091174</v>
      </c>
      <c r="AD532" s="298">
        <f t="shared" si="156"/>
        <v>0</v>
      </c>
      <c r="AE532" s="299" t="str">
        <f t="shared" si="157"/>
        <v>Complete</v>
      </c>
      <c r="AI532" s="301">
        <f t="shared" ca="1" si="154"/>
        <v>0</v>
      </c>
      <c r="AJ532" s="302">
        <f t="shared" ca="1" si="155"/>
        <v>0</v>
      </c>
      <c r="AL532" s="303">
        <f t="shared" si="158"/>
        <v>77524581</v>
      </c>
      <c r="AM532" s="303">
        <f t="shared" si="159"/>
        <v>0</v>
      </c>
      <c r="AN532" s="303">
        <f t="shared" si="160"/>
        <v>77524581</v>
      </c>
      <c r="AO532" s="304">
        <f t="shared" si="161"/>
        <v>0</v>
      </c>
      <c r="AP532" s="273">
        <f t="shared" si="163"/>
        <v>7</v>
      </c>
      <c r="AQ532" s="273" t="str">
        <f t="shared" ca="1" si="162"/>
        <v>72024</v>
      </c>
    </row>
    <row r="533" spans="1:43" ht="16.5">
      <c r="A533" s="312">
        <v>29</v>
      </c>
      <c r="B533" s="880" t="s">
        <v>2138</v>
      </c>
      <c r="D533" s="246" t="s">
        <v>2139</v>
      </c>
      <c r="E533" s="440">
        <v>45162</v>
      </c>
      <c r="F533" s="739">
        <v>0.5551799999999999</v>
      </c>
      <c r="G533" s="306">
        <v>14599732.76</v>
      </c>
      <c r="H533" s="307">
        <v>2627951.8967999998</v>
      </c>
      <c r="I533" s="308">
        <v>17227685</v>
      </c>
      <c r="K533" s="823" t="s">
        <v>2158</v>
      </c>
      <c r="L533" s="273" t="s">
        <v>1595</v>
      </c>
      <c r="M533" s="665">
        <f t="shared" si="169"/>
        <v>0.19</v>
      </c>
      <c r="N533" s="273" t="s">
        <v>1593</v>
      </c>
      <c r="O533" s="893" t="s">
        <v>2169</v>
      </c>
      <c r="P533" s="688">
        <v>45646</v>
      </c>
      <c r="Q533" s="273" t="s">
        <v>2170</v>
      </c>
      <c r="R533" s="314">
        <v>17227685</v>
      </c>
      <c r="S533" s="892">
        <f t="shared" si="167"/>
        <v>5.4054056343674044E-2</v>
      </c>
      <c r="U533" s="440">
        <v>45516</v>
      </c>
      <c r="V533" s="340">
        <f t="shared" ca="1" si="164"/>
        <v>12</v>
      </c>
      <c r="W533" s="594">
        <f t="shared" ca="1" si="165"/>
        <v>2024</v>
      </c>
      <c r="X533" s="340" t="str">
        <f t="shared" ca="1" si="172"/>
        <v>3 WEEK</v>
      </c>
      <c r="Y533" s="688">
        <f t="shared" si="166"/>
        <v>45646</v>
      </c>
      <c r="Z533" s="541" cm="1">
        <f t="array" aca="1" ref="Z533" ca="1">_xlfn.IFS(AD533&lt;100,Y533,Y533&lt;TODAY(),TODAY(),Y533&gt;TODAY(),Y533,Y533=TODAY(),Y533)</f>
        <v>45646</v>
      </c>
      <c r="AA533" s="891">
        <f t="shared" si="168"/>
        <v>13610229.57758275</v>
      </c>
      <c r="AB533" s="307">
        <f t="shared" si="170"/>
        <v>13596619.348005168</v>
      </c>
      <c r="AC533" s="307">
        <f t="shared" si="171"/>
        <v>13610.229577582752</v>
      </c>
      <c r="AD533" s="298">
        <f t="shared" si="156"/>
        <v>0</v>
      </c>
      <c r="AE533" s="299" t="str">
        <f t="shared" si="157"/>
        <v>Complete</v>
      </c>
      <c r="AI533" s="301">
        <f t="shared" ca="1" si="154"/>
        <v>0</v>
      </c>
      <c r="AJ533" s="302">
        <f t="shared" ca="1" si="155"/>
        <v>0</v>
      </c>
      <c r="AL533" s="303">
        <f t="shared" si="158"/>
        <v>17227685</v>
      </c>
      <c r="AM533" s="303">
        <f t="shared" si="159"/>
        <v>0</v>
      </c>
      <c r="AN533" s="303">
        <f t="shared" si="160"/>
        <v>17227685</v>
      </c>
      <c r="AO533" s="304">
        <f t="shared" si="161"/>
        <v>0</v>
      </c>
      <c r="AP533" s="273">
        <f t="shared" si="163"/>
        <v>12</v>
      </c>
      <c r="AQ533" s="273" t="str">
        <f t="shared" ca="1" si="162"/>
        <v>122024</v>
      </c>
    </row>
    <row r="534" spans="1:43" ht="16.5">
      <c r="A534" s="312">
        <v>29</v>
      </c>
      <c r="B534" s="880" t="s">
        <v>2138</v>
      </c>
      <c r="D534" s="246" t="s">
        <v>2139</v>
      </c>
      <c r="E534" s="440">
        <v>45162</v>
      </c>
      <c r="F534" s="739">
        <v>0.5551799999999999</v>
      </c>
      <c r="G534" s="306">
        <v>7299866.3799999999</v>
      </c>
      <c r="H534" s="307">
        <v>1313975.9483999999</v>
      </c>
      <c r="I534" s="308">
        <v>8613842</v>
      </c>
      <c r="K534" s="823" t="s">
        <v>2158</v>
      </c>
      <c r="L534" s="273" t="s">
        <v>1595</v>
      </c>
      <c r="M534" s="665">
        <f t="shared" si="169"/>
        <v>0.19</v>
      </c>
      <c r="N534" s="273" t="s">
        <v>1593</v>
      </c>
      <c r="O534" s="883" t="s">
        <v>2169</v>
      </c>
      <c r="P534" s="688">
        <v>45618</v>
      </c>
      <c r="Q534" s="273" t="s">
        <v>2171</v>
      </c>
      <c r="R534" s="314">
        <v>1722768</v>
      </c>
      <c r="S534" s="892">
        <f t="shared" si="167"/>
        <v>2.7027026603023325E-2</v>
      </c>
      <c r="U534" s="440">
        <v>45516</v>
      </c>
      <c r="V534" s="340">
        <f t="shared" ca="1" si="164"/>
        <v>11</v>
      </c>
      <c r="W534" s="594">
        <f t="shared" ca="1" si="165"/>
        <v>2024</v>
      </c>
      <c r="X534" s="340" t="str">
        <f t="shared" ca="1" si="172"/>
        <v>4 WEEK</v>
      </c>
      <c r="Y534" s="688">
        <f t="shared" si="166"/>
        <v>45618</v>
      </c>
      <c r="Z534" s="541" cm="1">
        <f t="array" aca="1" ref="Z534" ca="1">_xlfn.IFS(AD534&lt;100,Y534,Y534&lt;TODAY(),TODAY(),Y534&gt;TODAY(),Y534,Y534=TODAY(),Y534)</f>
        <v>45618</v>
      </c>
      <c r="AA534" s="891">
        <f t="shared" si="168"/>
        <v>6805114.3937809728</v>
      </c>
      <c r="AB534" s="307">
        <f t="shared" si="170"/>
        <v>6798309.2793871919</v>
      </c>
      <c r="AC534" s="307">
        <f t="shared" si="171"/>
        <v>6805.1143937809729</v>
      </c>
      <c r="AD534" s="298">
        <f t="shared" si="156"/>
        <v>0</v>
      </c>
      <c r="AE534" s="299" t="str">
        <f t="shared" si="157"/>
        <v>Complete</v>
      </c>
      <c r="AI534" s="301">
        <f t="shared" ca="1" si="154"/>
        <v>0</v>
      </c>
      <c r="AJ534" s="302">
        <f t="shared" ca="1" si="155"/>
        <v>0</v>
      </c>
      <c r="AL534" s="303">
        <f t="shared" si="158"/>
        <v>8613842</v>
      </c>
      <c r="AM534" s="303">
        <f t="shared" si="159"/>
        <v>6891074</v>
      </c>
      <c r="AN534" s="303">
        <f t="shared" si="160"/>
        <v>1722768</v>
      </c>
      <c r="AO534" s="304">
        <f t="shared" si="161"/>
        <v>0</v>
      </c>
      <c r="AP534" s="273">
        <f t="shared" si="163"/>
        <v>11</v>
      </c>
      <c r="AQ534" s="273" t="str">
        <f t="shared" ca="1" si="162"/>
        <v>112024</v>
      </c>
    </row>
    <row r="535" spans="1:43" ht="16.5">
      <c r="A535" s="312">
        <v>29</v>
      </c>
      <c r="B535" s="880" t="s">
        <v>2138</v>
      </c>
      <c r="D535" s="246" t="s">
        <v>2139</v>
      </c>
      <c r="E535" s="440">
        <v>45162</v>
      </c>
      <c r="F535" s="739">
        <v>0.5551799999999999</v>
      </c>
      <c r="K535" s="823" t="s">
        <v>2158</v>
      </c>
      <c r="L535" s="273" t="s">
        <v>1595</v>
      </c>
      <c r="M535" s="665">
        <f t="shared" si="169"/>
        <v>0.19</v>
      </c>
      <c r="N535" s="273" t="s">
        <v>1593</v>
      </c>
      <c r="O535" s="895" t="s">
        <v>2169</v>
      </c>
      <c r="P535" s="688">
        <v>45654</v>
      </c>
      <c r="Q535" s="273" t="s">
        <v>2172</v>
      </c>
      <c r="R535" s="314">
        <v>-1722768.4704</v>
      </c>
      <c r="S535" s="892">
        <f t="shared" si="167"/>
        <v>0</v>
      </c>
      <c r="U535" s="440">
        <v>45516</v>
      </c>
      <c r="V535" s="340">
        <f t="shared" ca="1" si="164"/>
        <v>12</v>
      </c>
      <c r="W535" s="594">
        <f t="shared" ca="1" si="165"/>
        <v>2024</v>
      </c>
      <c r="X535" s="340" t="str">
        <f t="shared" ca="1" si="172"/>
        <v>4 WEEK</v>
      </c>
      <c r="Y535" s="688">
        <f t="shared" si="166"/>
        <v>45654</v>
      </c>
      <c r="Z535" s="541" cm="1">
        <f t="array" aca="1" ref="Z535" ca="1">_xlfn.IFS(AD535&lt;100,Y535,Y535&lt;TODAY(),TODAY(),Y535&gt;TODAY(),Y535,Y535=TODAY(),Y535)</f>
        <v>45654</v>
      </c>
      <c r="AA535" s="891">
        <f t="shared" si="168"/>
        <v>0</v>
      </c>
      <c r="AB535" s="307">
        <f t="shared" si="170"/>
        <v>0</v>
      </c>
      <c r="AC535" s="307">
        <f t="shared" si="171"/>
        <v>0</v>
      </c>
      <c r="AD535" s="298">
        <f t="shared" si="156"/>
        <v>0</v>
      </c>
      <c r="AE535" s="299" t="str">
        <f t="shared" si="157"/>
        <v>Complete</v>
      </c>
      <c r="AI535" s="301">
        <f t="shared" ca="1" si="154"/>
        <v>0</v>
      </c>
      <c r="AJ535" s="302">
        <f t="shared" ca="1" si="155"/>
        <v>0</v>
      </c>
      <c r="AL535" s="303">
        <f t="shared" si="158"/>
        <v>0</v>
      </c>
      <c r="AM535" s="303">
        <f t="shared" si="159"/>
        <v>1722768.4704</v>
      </c>
      <c r="AN535" s="303">
        <f t="shared" si="160"/>
        <v>-1722768.4704</v>
      </c>
      <c r="AO535" s="304">
        <f t="shared" si="161"/>
        <v>0</v>
      </c>
      <c r="AP535" s="273">
        <f t="shared" si="163"/>
        <v>12</v>
      </c>
      <c r="AQ535" s="273" t="str">
        <f t="shared" ca="1" si="162"/>
        <v>122024</v>
      </c>
    </row>
    <row r="536" spans="1:43" ht="16.5">
      <c r="A536" s="312">
        <v>29</v>
      </c>
      <c r="B536" s="880" t="s">
        <v>2138</v>
      </c>
      <c r="D536" s="246" t="s">
        <v>2139</v>
      </c>
      <c r="E536" s="440">
        <v>45162</v>
      </c>
      <c r="F536" s="739">
        <v>0.5551799999999999</v>
      </c>
      <c r="K536" s="823" t="s">
        <v>2158</v>
      </c>
      <c r="L536" s="273" t="s">
        <v>1595</v>
      </c>
      <c r="M536" s="665">
        <f t="shared" si="169"/>
        <v>0.19</v>
      </c>
      <c r="N536" s="273" t="s">
        <v>1593</v>
      </c>
      <c r="O536" s="896" t="s">
        <v>1832</v>
      </c>
      <c r="P536" s="688">
        <v>45680</v>
      </c>
      <c r="Q536" s="273" t="s">
        <v>2173</v>
      </c>
      <c r="R536" s="314">
        <v>8613842.3283999991</v>
      </c>
      <c r="S536" s="892">
        <f t="shared" si="167"/>
        <v>0</v>
      </c>
      <c r="U536" s="440">
        <v>45516</v>
      </c>
      <c r="V536" s="340">
        <f t="shared" ca="1" si="164"/>
        <v>1</v>
      </c>
      <c r="W536" s="594">
        <f t="shared" ca="1" si="165"/>
        <v>2025</v>
      </c>
      <c r="X536" s="340" t="str">
        <f t="shared" ca="1" si="172"/>
        <v>4 WEEK</v>
      </c>
      <c r="Y536" s="688">
        <f t="shared" si="166"/>
        <v>45680</v>
      </c>
      <c r="Z536" s="541" cm="1">
        <f t="array" aca="1" ref="Z536" ca="1">_xlfn.IFS(AD536&lt;100,Y536,Y536&lt;TODAY(),TODAY(),Y536&gt;TODAY(),Y536,Y536=TODAY(),Y536)</f>
        <v>45680</v>
      </c>
      <c r="AA536" s="891">
        <f t="shared" si="168"/>
        <v>0</v>
      </c>
      <c r="AB536" s="307">
        <f t="shared" si="170"/>
        <v>0</v>
      </c>
      <c r="AC536" s="307">
        <f t="shared" si="171"/>
        <v>0</v>
      </c>
      <c r="AD536" s="298">
        <f t="shared" si="156"/>
        <v>0</v>
      </c>
      <c r="AE536" s="299" t="str">
        <f t="shared" si="157"/>
        <v>Complete</v>
      </c>
      <c r="AI536" s="301">
        <f t="shared" ca="1" si="154"/>
        <v>0</v>
      </c>
      <c r="AJ536" s="302">
        <f t="shared" ca="1" si="155"/>
        <v>0</v>
      </c>
      <c r="AL536" s="303">
        <f t="shared" si="158"/>
        <v>0</v>
      </c>
      <c r="AM536" s="303">
        <f t="shared" si="159"/>
        <v>-8613842.3283999991</v>
      </c>
      <c r="AN536" s="303">
        <f t="shared" si="160"/>
        <v>8613842.3283999991</v>
      </c>
      <c r="AO536" s="304">
        <f t="shared" si="161"/>
        <v>0</v>
      </c>
      <c r="AP536" s="273">
        <f t="shared" si="163"/>
        <v>1</v>
      </c>
      <c r="AQ536" s="273" t="str">
        <f t="shared" ca="1" si="162"/>
        <v>12025</v>
      </c>
    </row>
    <row r="537" spans="1:43" ht="16.5">
      <c r="A537" s="312">
        <v>29</v>
      </c>
      <c r="B537" s="880" t="s">
        <v>2138</v>
      </c>
      <c r="D537" s="246" t="s">
        <v>2139</v>
      </c>
      <c r="E537" s="440">
        <v>45162</v>
      </c>
      <c r="F537" s="739">
        <v>0.5551799999999999</v>
      </c>
      <c r="G537" s="306">
        <v>7299866.3799999999</v>
      </c>
      <c r="H537" s="307">
        <v>1313975.9483999999</v>
      </c>
      <c r="I537" s="308">
        <v>8613842</v>
      </c>
      <c r="K537" s="823" t="s">
        <v>2158</v>
      </c>
      <c r="L537" s="273" t="s">
        <v>1595</v>
      </c>
      <c r="M537" s="665">
        <f t="shared" si="169"/>
        <v>0.19</v>
      </c>
      <c r="N537" s="273" t="s">
        <v>1593</v>
      </c>
      <c r="O537" s="897" t="s">
        <v>1834</v>
      </c>
      <c r="P537" s="688">
        <v>45412</v>
      </c>
      <c r="Q537" s="273" t="s">
        <v>2174</v>
      </c>
      <c r="R537" s="314">
        <v>8613842</v>
      </c>
      <c r="S537" s="892">
        <f t="shared" si="167"/>
        <v>2.7027026603023325E-2</v>
      </c>
      <c r="U537" s="440">
        <v>45516</v>
      </c>
      <c r="V537" s="340">
        <f t="shared" ca="1" si="164"/>
        <v>4</v>
      </c>
      <c r="W537" s="594">
        <f t="shared" ca="1" si="165"/>
        <v>2024</v>
      </c>
      <c r="X537" s="340" t="str">
        <f t="shared" ca="1" si="172"/>
        <v>5 WEEK</v>
      </c>
      <c r="Y537" s="688">
        <f t="shared" si="166"/>
        <v>45412</v>
      </c>
      <c r="Z537" s="541" cm="1">
        <f t="array" aca="1" ref="Z537" ca="1">_xlfn.IFS(AD537&lt;100,Y537,Y537&lt;TODAY(),TODAY(),Y537&gt;TODAY(),Y537,Y537=TODAY(),Y537)</f>
        <v>45412</v>
      </c>
      <c r="AA537" s="891">
        <f t="shared" si="168"/>
        <v>6805114.3937809728</v>
      </c>
      <c r="AB537" s="307">
        <f t="shared" si="170"/>
        <v>6798309.2793871919</v>
      </c>
      <c r="AC537" s="307">
        <f t="shared" si="171"/>
        <v>6805.1143937809729</v>
      </c>
      <c r="AD537" s="298">
        <f t="shared" si="156"/>
        <v>0</v>
      </c>
      <c r="AE537" s="299" t="str">
        <f t="shared" si="157"/>
        <v>Complete</v>
      </c>
      <c r="AI537" s="301">
        <f t="shared" ca="1" si="154"/>
        <v>0</v>
      </c>
      <c r="AJ537" s="302">
        <f t="shared" ca="1" si="155"/>
        <v>0</v>
      </c>
      <c r="AL537" s="303">
        <f t="shared" si="158"/>
        <v>8613842</v>
      </c>
      <c r="AM537" s="303">
        <f t="shared" si="159"/>
        <v>0</v>
      </c>
      <c r="AN537" s="303">
        <f t="shared" si="160"/>
        <v>8613842</v>
      </c>
      <c r="AO537" s="304">
        <f t="shared" si="161"/>
        <v>0</v>
      </c>
      <c r="AP537" s="273">
        <f t="shared" si="163"/>
        <v>4</v>
      </c>
      <c r="AQ537" s="273" t="str">
        <f t="shared" ca="1" si="162"/>
        <v>42024</v>
      </c>
    </row>
    <row r="538" spans="1:43" ht="16.5">
      <c r="A538" s="312">
        <v>29</v>
      </c>
      <c r="B538" s="880" t="s">
        <v>2138</v>
      </c>
      <c r="D538" s="246" t="s">
        <v>2139</v>
      </c>
      <c r="E538" s="440">
        <v>45162</v>
      </c>
      <c r="F538" s="739">
        <v>0.5551799999999999</v>
      </c>
      <c r="G538" s="306">
        <v>7299866.3799999999</v>
      </c>
      <c r="H538" s="307">
        <v>1313975.9483999999</v>
      </c>
      <c r="I538" s="308">
        <v>8613842</v>
      </c>
      <c r="K538" s="823" t="s">
        <v>2158</v>
      </c>
      <c r="L538" s="273" t="s">
        <v>1595</v>
      </c>
      <c r="M538" s="665">
        <f t="shared" si="169"/>
        <v>0.19</v>
      </c>
      <c r="N538" s="273" t="s">
        <v>1593</v>
      </c>
      <c r="O538" s="884" t="s">
        <v>2175</v>
      </c>
      <c r="P538" s="688">
        <v>45412</v>
      </c>
      <c r="Q538" s="273" t="s">
        <v>2174</v>
      </c>
      <c r="R538" s="314">
        <v>8613842</v>
      </c>
      <c r="S538" s="892">
        <f t="shared" si="167"/>
        <v>2.7027026603023325E-2</v>
      </c>
      <c r="U538" s="440">
        <v>45516</v>
      </c>
      <c r="V538" s="340">
        <f t="shared" ca="1" si="164"/>
        <v>4</v>
      </c>
      <c r="W538" s="594">
        <f t="shared" ca="1" si="165"/>
        <v>2024</v>
      </c>
      <c r="X538" s="340" t="str">
        <f t="shared" ca="1" si="172"/>
        <v>5 WEEK</v>
      </c>
      <c r="Y538" s="688">
        <f t="shared" si="166"/>
        <v>45412</v>
      </c>
      <c r="Z538" s="541" cm="1">
        <f t="array" aca="1" ref="Z538" ca="1">_xlfn.IFS(AD538&lt;100,Y538,Y538&lt;TODAY(),TODAY(),Y538&gt;TODAY(),Y538,Y538=TODAY(),Y538)</f>
        <v>45412</v>
      </c>
      <c r="AA538" s="891">
        <f t="shared" si="168"/>
        <v>6805114.3937809728</v>
      </c>
      <c r="AB538" s="307">
        <f t="shared" si="170"/>
        <v>6798309.2793871919</v>
      </c>
      <c r="AC538" s="307">
        <f t="shared" si="171"/>
        <v>6805.1143937809729</v>
      </c>
      <c r="AD538" s="298">
        <f t="shared" si="156"/>
        <v>0</v>
      </c>
      <c r="AE538" s="299" t="str">
        <f t="shared" si="157"/>
        <v>Complete</v>
      </c>
      <c r="AI538" s="301">
        <f t="shared" ca="1" si="154"/>
        <v>0</v>
      </c>
      <c r="AJ538" s="302">
        <f t="shared" ca="1" si="155"/>
        <v>0</v>
      </c>
      <c r="AL538" s="303">
        <f t="shared" si="158"/>
        <v>8613842</v>
      </c>
      <c r="AM538" s="303">
        <f t="shared" si="159"/>
        <v>0</v>
      </c>
      <c r="AN538" s="303">
        <f t="shared" si="160"/>
        <v>8613842</v>
      </c>
      <c r="AO538" s="304">
        <f t="shared" si="161"/>
        <v>0</v>
      </c>
      <c r="AP538" s="273">
        <f t="shared" si="163"/>
        <v>4</v>
      </c>
      <c r="AQ538" s="273" t="str">
        <f t="shared" ca="1" si="162"/>
        <v>42024</v>
      </c>
    </row>
    <row r="539" spans="1:43" ht="16.5">
      <c r="A539" s="312">
        <v>29</v>
      </c>
      <c r="B539" s="880" t="s">
        <v>2138</v>
      </c>
      <c r="D539" s="246" t="s">
        <v>2139</v>
      </c>
      <c r="E539" s="440">
        <v>45162</v>
      </c>
      <c r="F539" s="739">
        <v>0.5551799999999999</v>
      </c>
      <c r="G539" s="306">
        <v>2919946.5520000001</v>
      </c>
      <c r="H539" s="307">
        <v>525590.37936000002</v>
      </c>
      <c r="I539" s="308">
        <v>3445537</v>
      </c>
      <c r="K539" s="823" t="s">
        <v>2158</v>
      </c>
      <c r="L539" s="273" t="s">
        <v>1595</v>
      </c>
      <c r="M539" s="665">
        <f t="shared" si="169"/>
        <v>0.19</v>
      </c>
      <c r="N539" s="273" t="s">
        <v>1593</v>
      </c>
      <c r="O539" s="884" t="s">
        <v>2175</v>
      </c>
      <c r="P539" s="688">
        <v>45618</v>
      </c>
      <c r="Q539" s="273" t="s">
        <v>2171</v>
      </c>
      <c r="R539" s="314">
        <v>1722768</v>
      </c>
      <c r="S539" s="892">
        <f t="shared" si="167"/>
        <v>1.0810811268734809E-2</v>
      </c>
      <c r="U539" s="440">
        <v>45516</v>
      </c>
      <c r="V539" s="340">
        <f t="shared" ca="1" si="164"/>
        <v>11</v>
      </c>
      <c r="W539" s="594">
        <f t="shared" ca="1" si="165"/>
        <v>2024</v>
      </c>
      <c r="X539" s="340" t="str">
        <f t="shared" ca="1" si="172"/>
        <v>4 WEEK</v>
      </c>
      <c r="Y539" s="688">
        <f t="shared" si="166"/>
        <v>45618</v>
      </c>
      <c r="Z539" s="541" cm="1">
        <f t="array" aca="1" ref="Z539" ca="1">_xlfn.IFS(AD539&lt;100,Y539,Y539&lt;TODAY(),TODAY(),Y539&gt;TODAY(),Y539,Y539=TODAY(),Y539)</f>
        <v>45618</v>
      </c>
      <c r="AA539" s="891">
        <f t="shared" si="168"/>
        <v>2722045.9155165502</v>
      </c>
      <c r="AB539" s="307">
        <f t="shared" si="170"/>
        <v>2719323.8696010336</v>
      </c>
      <c r="AC539" s="307">
        <f t="shared" si="171"/>
        <v>2722.0459155165504</v>
      </c>
      <c r="AD539" s="298">
        <f t="shared" si="156"/>
        <v>0</v>
      </c>
      <c r="AE539" s="299" t="str">
        <f t="shared" si="157"/>
        <v>Complete</v>
      </c>
      <c r="AI539" s="301">
        <f t="shared" ca="1" si="154"/>
        <v>0</v>
      </c>
      <c r="AJ539" s="302">
        <f t="shared" ca="1" si="155"/>
        <v>0</v>
      </c>
      <c r="AL539" s="303">
        <f t="shared" si="158"/>
        <v>3445537</v>
      </c>
      <c r="AM539" s="303">
        <f t="shared" si="159"/>
        <v>1722769</v>
      </c>
      <c r="AN539" s="303">
        <f t="shared" si="160"/>
        <v>1722768</v>
      </c>
      <c r="AO539" s="304">
        <f t="shared" si="161"/>
        <v>0</v>
      </c>
      <c r="AP539" s="273">
        <f t="shared" si="163"/>
        <v>11</v>
      </c>
      <c r="AQ539" s="273" t="str">
        <f t="shared" ca="1" si="162"/>
        <v>112024</v>
      </c>
    </row>
    <row r="540" spans="1:43" ht="16.5">
      <c r="A540" s="312">
        <v>29</v>
      </c>
      <c r="B540" s="880" t="s">
        <v>2138</v>
      </c>
      <c r="D540" s="246" t="s">
        <v>2139</v>
      </c>
      <c r="E540" s="440">
        <v>45162</v>
      </c>
      <c r="F540" s="739">
        <v>0.5551799999999999</v>
      </c>
      <c r="K540" s="823" t="s">
        <v>2158</v>
      </c>
      <c r="L540" s="273" t="s">
        <v>1595</v>
      </c>
      <c r="M540" s="665">
        <f t="shared" si="169"/>
        <v>0.19</v>
      </c>
      <c r="N540" s="273" t="s">
        <v>1593</v>
      </c>
      <c r="O540" s="898" t="s">
        <v>2175</v>
      </c>
      <c r="P540" s="688">
        <v>45654</v>
      </c>
      <c r="Q540" s="273" t="s">
        <v>2172</v>
      </c>
      <c r="R540" s="314">
        <v>-1722768.4704</v>
      </c>
      <c r="S540" s="892">
        <f t="shared" si="167"/>
        <v>0</v>
      </c>
      <c r="U540" s="440">
        <v>45516</v>
      </c>
      <c r="V540" s="340">
        <f t="shared" ca="1" si="164"/>
        <v>12</v>
      </c>
      <c r="W540" s="594">
        <f t="shared" ca="1" si="165"/>
        <v>2024</v>
      </c>
      <c r="X540" s="340" t="str">
        <f t="shared" ca="1" si="172"/>
        <v>4 WEEK</v>
      </c>
      <c r="Y540" s="688">
        <f t="shared" si="166"/>
        <v>45654</v>
      </c>
      <c r="Z540" s="541" cm="1">
        <f t="array" aca="1" ref="Z540" ca="1">_xlfn.IFS(AD540&lt;100,Y540,Y540&lt;TODAY(),TODAY(),Y540&gt;TODAY(),Y540,Y540=TODAY(),Y540)</f>
        <v>45654</v>
      </c>
      <c r="AA540" s="891">
        <f t="shared" si="168"/>
        <v>0</v>
      </c>
      <c r="AB540" s="307">
        <f t="shared" si="170"/>
        <v>0</v>
      </c>
      <c r="AC540" s="307">
        <f t="shared" si="171"/>
        <v>0</v>
      </c>
      <c r="AD540" s="298">
        <f t="shared" si="156"/>
        <v>0</v>
      </c>
      <c r="AE540" s="299" t="str">
        <f t="shared" si="157"/>
        <v>Complete</v>
      </c>
      <c r="AI540" s="301">
        <f t="shared" ca="1" si="154"/>
        <v>0</v>
      </c>
      <c r="AJ540" s="302">
        <f t="shared" ca="1" si="155"/>
        <v>0</v>
      </c>
      <c r="AL540" s="303">
        <f t="shared" si="158"/>
        <v>0</v>
      </c>
      <c r="AM540" s="303">
        <f t="shared" si="159"/>
        <v>1722768.4704</v>
      </c>
      <c r="AN540" s="303">
        <f t="shared" si="160"/>
        <v>-1722768.4704</v>
      </c>
      <c r="AO540" s="304">
        <f t="shared" si="161"/>
        <v>0</v>
      </c>
      <c r="AP540" s="273">
        <f t="shared" si="163"/>
        <v>12</v>
      </c>
      <c r="AQ540" s="273" t="str">
        <f t="shared" ca="1" si="162"/>
        <v>122024</v>
      </c>
    </row>
    <row r="541" spans="1:43" ht="16.5">
      <c r="A541" s="312">
        <v>29</v>
      </c>
      <c r="B541" s="880" t="s">
        <v>2138</v>
      </c>
      <c r="D541" s="246" t="s">
        <v>2139</v>
      </c>
      <c r="E541" s="440">
        <v>45162</v>
      </c>
      <c r="F541" s="739">
        <v>0.5551799999999999</v>
      </c>
      <c r="K541" s="823" t="s">
        <v>2158</v>
      </c>
      <c r="L541" s="273" t="s">
        <v>1595</v>
      </c>
      <c r="M541" s="665">
        <f t="shared" si="169"/>
        <v>0.19</v>
      </c>
      <c r="N541" s="273" t="s">
        <v>1593</v>
      </c>
      <c r="O541" s="896" t="s">
        <v>2176</v>
      </c>
      <c r="P541" s="688">
        <v>45680</v>
      </c>
      <c r="Q541" s="273" t="s">
        <v>2177</v>
      </c>
      <c r="R541" s="314">
        <v>3445536.9289999995</v>
      </c>
      <c r="S541" s="892">
        <f t="shared" si="167"/>
        <v>0</v>
      </c>
      <c r="U541" s="440">
        <v>45516</v>
      </c>
      <c r="V541" s="340">
        <f t="shared" ca="1" si="164"/>
        <v>1</v>
      </c>
      <c r="W541" s="594">
        <f t="shared" ca="1" si="165"/>
        <v>2025</v>
      </c>
      <c r="X541" s="340" t="str">
        <f t="shared" ca="1" si="172"/>
        <v>4 WEEK</v>
      </c>
      <c r="Y541" s="688">
        <f t="shared" si="166"/>
        <v>45680</v>
      </c>
      <c r="Z541" s="541" cm="1">
        <f t="array" aca="1" ref="Z541" ca="1">_xlfn.IFS(AD541&lt;100,Y541,Y541&lt;TODAY(),TODAY(),Y541&gt;TODAY(),Y541,Y541=TODAY(),Y541)</f>
        <v>45680</v>
      </c>
      <c r="AA541" s="891">
        <f t="shared" si="168"/>
        <v>0</v>
      </c>
      <c r="AB541" s="307">
        <f t="shared" si="170"/>
        <v>0</v>
      </c>
      <c r="AC541" s="307">
        <f t="shared" si="171"/>
        <v>0</v>
      </c>
      <c r="AD541" s="298">
        <f t="shared" si="156"/>
        <v>0</v>
      </c>
      <c r="AE541" s="299" t="str">
        <f t="shared" si="157"/>
        <v>Complete</v>
      </c>
      <c r="AI541" s="301">
        <f t="shared" ca="1" si="154"/>
        <v>0</v>
      </c>
      <c r="AJ541" s="302">
        <f t="shared" ca="1" si="155"/>
        <v>0</v>
      </c>
      <c r="AL541" s="303">
        <f t="shared" si="158"/>
        <v>0</v>
      </c>
      <c r="AM541" s="303">
        <f t="shared" si="159"/>
        <v>-3445536.9289999995</v>
      </c>
      <c r="AN541" s="303">
        <f t="shared" si="160"/>
        <v>3445536.9289999995</v>
      </c>
      <c r="AO541" s="304">
        <f t="shared" si="161"/>
        <v>0</v>
      </c>
      <c r="AP541" s="273">
        <f t="shared" si="163"/>
        <v>1</v>
      </c>
      <c r="AQ541" s="273" t="str">
        <f t="shared" ca="1" si="162"/>
        <v>12025</v>
      </c>
    </row>
    <row r="542" spans="1:43" ht="16.5">
      <c r="A542" s="312">
        <v>29</v>
      </c>
      <c r="B542" s="880" t="s">
        <v>2138</v>
      </c>
      <c r="D542" s="246" t="s">
        <v>2139</v>
      </c>
      <c r="E542" s="440">
        <v>45162</v>
      </c>
      <c r="F542" s="739">
        <v>0.5551799999999999</v>
      </c>
      <c r="G542" s="306">
        <v>2919946.5520000001</v>
      </c>
      <c r="H542" s="307">
        <v>525590.37936000002</v>
      </c>
      <c r="I542" s="308">
        <v>3445537</v>
      </c>
      <c r="K542" s="823" t="s">
        <v>2158</v>
      </c>
      <c r="L542" s="273" t="s">
        <v>1595</v>
      </c>
      <c r="M542" s="665">
        <f t="shared" si="169"/>
        <v>0.19</v>
      </c>
      <c r="N542" s="273" t="s">
        <v>1593</v>
      </c>
      <c r="O542" s="897" t="s">
        <v>2176</v>
      </c>
      <c r="P542" s="688">
        <v>45618</v>
      </c>
      <c r="Q542" s="273" t="s">
        <v>2171</v>
      </c>
      <c r="R542" s="314">
        <v>689107</v>
      </c>
      <c r="S542" s="892">
        <f t="shared" si="167"/>
        <v>1.0810811268734809E-2</v>
      </c>
      <c r="U542" s="440">
        <v>45516</v>
      </c>
      <c r="V542" s="340">
        <f t="shared" ca="1" si="164"/>
        <v>11</v>
      </c>
      <c r="W542" s="594">
        <f t="shared" ca="1" si="165"/>
        <v>2024</v>
      </c>
      <c r="X542" s="340" t="str">
        <f t="shared" ca="1" si="172"/>
        <v>4 WEEK</v>
      </c>
      <c r="Y542" s="688">
        <f t="shared" si="166"/>
        <v>45618</v>
      </c>
      <c r="Z542" s="541" cm="1">
        <f t="array" aca="1" ref="Z542" ca="1">_xlfn.IFS(AD542&lt;100,Y542,Y542&lt;TODAY(),TODAY(),Y542&gt;TODAY(),Y542,Y542=TODAY(),Y542)</f>
        <v>45618</v>
      </c>
      <c r="AA542" s="891">
        <f t="shared" si="168"/>
        <v>2722045.9155165502</v>
      </c>
      <c r="AB542" s="307">
        <f t="shared" si="170"/>
        <v>2719323.8696010336</v>
      </c>
      <c r="AC542" s="307">
        <f t="shared" si="171"/>
        <v>2722.0459155165504</v>
      </c>
      <c r="AD542" s="298">
        <f t="shared" si="156"/>
        <v>0</v>
      </c>
      <c r="AE542" s="299" t="str">
        <f t="shared" si="157"/>
        <v>Complete</v>
      </c>
      <c r="AI542" s="301">
        <f t="shared" ca="1" si="154"/>
        <v>0</v>
      </c>
      <c r="AJ542" s="302">
        <f t="shared" ca="1" si="155"/>
        <v>0</v>
      </c>
      <c r="AL542" s="303">
        <f t="shared" si="158"/>
        <v>3445537</v>
      </c>
      <c r="AM542" s="303">
        <f t="shared" si="159"/>
        <v>2756430</v>
      </c>
      <c r="AN542" s="303">
        <f t="shared" si="160"/>
        <v>689107</v>
      </c>
      <c r="AO542" s="304">
        <f t="shared" si="161"/>
        <v>0</v>
      </c>
      <c r="AP542" s="273">
        <f t="shared" si="163"/>
        <v>11</v>
      </c>
      <c r="AQ542" s="273" t="str">
        <f t="shared" ca="1" si="162"/>
        <v>112024</v>
      </c>
    </row>
    <row r="543" spans="1:43" ht="16.5">
      <c r="A543" s="312">
        <v>29</v>
      </c>
      <c r="B543" s="880" t="s">
        <v>2138</v>
      </c>
      <c r="D543" s="246" t="s">
        <v>2139</v>
      </c>
      <c r="E543" s="440">
        <v>45162</v>
      </c>
      <c r="F543" s="739">
        <v>0.5551799999999999</v>
      </c>
      <c r="K543" s="823" t="s">
        <v>2158</v>
      </c>
      <c r="L543" s="273" t="s">
        <v>1595</v>
      </c>
      <c r="M543" s="665">
        <f t="shared" si="169"/>
        <v>0.19</v>
      </c>
      <c r="N543" s="273" t="s">
        <v>1593</v>
      </c>
      <c r="O543" s="884" t="s">
        <v>2178</v>
      </c>
      <c r="P543" s="688">
        <v>45646</v>
      </c>
      <c r="Q543" s="273" t="s">
        <v>2179</v>
      </c>
      <c r="R543" s="314">
        <v>2756430</v>
      </c>
      <c r="S543" s="892">
        <f t="shared" si="167"/>
        <v>0</v>
      </c>
      <c r="U543" s="440">
        <v>45516</v>
      </c>
      <c r="V543" s="340">
        <f t="shared" ca="1" si="164"/>
        <v>12</v>
      </c>
      <c r="W543" s="594">
        <f t="shared" ca="1" si="165"/>
        <v>2024</v>
      </c>
      <c r="X543" s="340" t="str">
        <f t="shared" ca="1" si="172"/>
        <v>3 WEEK</v>
      </c>
      <c r="Y543" s="688">
        <f t="shared" si="166"/>
        <v>45646</v>
      </c>
      <c r="Z543" s="541" cm="1">
        <f t="array" aca="1" ref="Z543" ca="1">_xlfn.IFS(AD543&lt;100,Y543,Y543&lt;TODAY(),TODAY(),Y543&gt;TODAY(),Y543,Y543=TODAY(),Y543)</f>
        <v>45646</v>
      </c>
      <c r="AA543" s="891">
        <f t="shared" si="168"/>
        <v>0</v>
      </c>
      <c r="AB543" s="307">
        <f t="shared" si="170"/>
        <v>0</v>
      </c>
      <c r="AC543" s="307">
        <f t="shared" si="171"/>
        <v>0</v>
      </c>
      <c r="AD543" s="298">
        <f t="shared" si="156"/>
        <v>0</v>
      </c>
      <c r="AE543" s="299" t="str">
        <f t="shared" si="157"/>
        <v>Complete</v>
      </c>
      <c r="AI543" s="301">
        <f t="shared" ca="1" si="154"/>
        <v>0</v>
      </c>
      <c r="AJ543" s="302">
        <f t="shared" ca="1" si="155"/>
        <v>0</v>
      </c>
      <c r="AL543" s="303">
        <f t="shared" si="158"/>
        <v>0</v>
      </c>
      <c r="AM543" s="303">
        <f t="shared" si="159"/>
        <v>-2756430</v>
      </c>
      <c r="AN543" s="303">
        <f t="shared" si="160"/>
        <v>2756430</v>
      </c>
      <c r="AO543" s="304">
        <f t="shared" si="161"/>
        <v>0</v>
      </c>
      <c r="AP543" s="273">
        <f t="shared" si="163"/>
        <v>12</v>
      </c>
      <c r="AQ543" s="273" t="str">
        <f t="shared" ca="1" si="162"/>
        <v>122024</v>
      </c>
    </row>
    <row r="544" spans="1:43" ht="16.5">
      <c r="A544" s="312">
        <v>29</v>
      </c>
      <c r="B544" s="880" t="s">
        <v>2138</v>
      </c>
      <c r="D544" s="246" t="s">
        <v>2139</v>
      </c>
      <c r="E544" s="440">
        <v>45162</v>
      </c>
      <c r="F544" s="739">
        <v>0.5551799999999999</v>
      </c>
      <c r="G544" s="306">
        <v>2919946.5520000001</v>
      </c>
      <c r="H544" s="307">
        <v>525590.37936000002</v>
      </c>
      <c r="I544" s="308">
        <v>3445537</v>
      </c>
      <c r="K544" s="823" t="s">
        <v>2158</v>
      </c>
      <c r="L544" s="273" t="s">
        <v>1595</v>
      </c>
      <c r="M544" s="665">
        <f t="shared" si="169"/>
        <v>0.19</v>
      </c>
      <c r="N544" s="273" t="s">
        <v>1593</v>
      </c>
      <c r="O544" s="884" t="s">
        <v>2178</v>
      </c>
      <c r="P544" s="688">
        <v>45636</v>
      </c>
      <c r="Q544" s="273" t="s">
        <v>2180</v>
      </c>
      <c r="R544" s="314">
        <v>34455</v>
      </c>
      <c r="S544" s="892">
        <f t="shared" si="167"/>
        <v>1.0810811268734809E-2</v>
      </c>
      <c r="U544" s="440">
        <v>45516</v>
      </c>
      <c r="V544" s="340">
        <f t="shared" ca="1" si="164"/>
        <v>12</v>
      </c>
      <c r="W544" s="594">
        <f t="shared" ca="1" si="165"/>
        <v>2024</v>
      </c>
      <c r="X544" s="340" t="str">
        <f t="shared" ca="1" si="172"/>
        <v>2 WEEK</v>
      </c>
      <c r="Y544" s="688">
        <f t="shared" si="166"/>
        <v>45636</v>
      </c>
      <c r="Z544" s="541" cm="1">
        <f t="array" aca="1" ref="Z544" ca="1">_xlfn.IFS(AD544&lt;100,Y544,Y544&lt;TODAY(),TODAY(),Y544&gt;TODAY(),Y544,Y544=TODAY(),Y544)</f>
        <v>45636</v>
      </c>
      <c r="AA544" s="891">
        <f t="shared" si="168"/>
        <v>2722045.9155165502</v>
      </c>
      <c r="AB544" s="307">
        <f t="shared" si="170"/>
        <v>2719323.8696010336</v>
      </c>
      <c r="AC544" s="307">
        <f t="shared" si="171"/>
        <v>2722.0459155165504</v>
      </c>
      <c r="AD544" s="298">
        <f t="shared" si="156"/>
        <v>0</v>
      </c>
      <c r="AE544" s="299" t="str">
        <f t="shared" si="157"/>
        <v>Complete</v>
      </c>
      <c r="AI544" s="301">
        <f t="shared" ca="1" si="154"/>
        <v>0</v>
      </c>
      <c r="AJ544" s="302">
        <f t="shared" ca="1" si="155"/>
        <v>0</v>
      </c>
      <c r="AL544" s="303">
        <f t="shared" si="158"/>
        <v>3445537</v>
      </c>
      <c r="AM544" s="303">
        <f t="shared" si="159"/>
        <v>3411082</v>
      </c>
      <c r="AN544" s="303">
        <f t="shared" si="160"/>
        <v>34455</v>
      </c>
      <c r="AO544" s="304">
        <f t="shared" si="161"/>
        <v>0</v>
      </c>
      <c r="AP544" s="273">
        <f t="shared" si="163"/>
        <v>12</v>
      </c>
      <c r="AQ544" s="273" t="str">
        <f t="shared" ca="1" si="162"/>
        <v>122024</v>
      </c>
    </row>
    <row r="545" spans="1:43" ht="16.5">
      <c r="A545" s="312">
        <v>29</v>
      </c>
      <c r="B545" s="880" t="s">
        <v>2138</v>
      </c>
      <c r="D545" s="246" t="s">
        <v>2139</v>
      </c>
      <c r="E545" s="440">
        <v>45162</v>
      </c>
      <c r="F545" s="739">
        <v>0.5551799999999999</v>
      </c>
      <c r="K545" s="823" t="s">
        <v>2158</v>
      </c>
      <c r="L545" s="273" t="s">
        <v>1595</v>
      </c>
      <c r="M545" s="665">
        <f t="shared" si="169"/>
        <v>0.19</v>
      </c>
      <c r="N545" s="273" t="s">
        <v>1593</v>
      </c>
      <c r="O545" s="898" t="s">
        <v>2178</v>
      </c>
      <c r="P545" s="688">
        <v>45654</v>
      </c>
      <c r="Q545" s="273" t="s">
        <v>2181</v>
      </c>
      <c r="R545" s="314">
        <v>-34455.374600000003</v>
      </c>
      <c r="S545" s="892">
        <f t="shared" si="167"/>
        <v>0</v>
      </c>
      <c r="U545" s="440">
        <v>45516</v>
      </c>
      <c r="V545" s="340">
        <f t="shared" ca="1" si="164"/>
        <v>12</v>
      </c>
      <c r="W545" s="594">
        <f t="shared" ca="1" si="165"/>
        <v>2024</v>
      </c>
      <c r="X545" s="340" t="str">
        <f t="shared" ca="1" si="172"/>
        <v>4 WEEK</v>
      </c>
      <c r="Y545" s="688">
        <f t="shared" si="166"/>
        <v>45654</v>
      </c>
      <c r="Z545" s="541" cm="1">
        <f t="array" aca="1" ref="Z545" ca="1">_xlfn.IFS(AD545&lt;100,Y545,Y545&lt;TODAY(),TODAY(),Y545&gt;TODAY(),Y545,Y545=TODAY(),Y545)</f>
        <v>45654</v>
      </c>
      <c r="AA545" s="891">
        <f t="shared" si="168"/>
        <v>0</v>
      </c>
      <c r="AB545" s="307">
        <f t="shared" si="170"/>
        <v>0</v>
      </c>
      <c r="AC545" s="307">
        <f t="shared" si="171"/>
        <v>0</v>
      </c>
      <c r="AD545" s="298">
        <f t="shared" si="156"/>
        <v>0</v>
      </c>
      <c r="AE545" s="299" t="str">
        <f t="shared" si="157"/>
        <v>Complete</v>
      </c>
      <c r="AI545" s="301">
        <f t="shared" ca="1" si="154"/>
        <v>0</v>
      </c>
      <c r="AJ545" s="302">
        <f t="shared" ca="1" si="155"/>
        <v>0</v>
      </c>
      <c r="AL545" s="303">
        <f t="shared" si="158"/>
        <v>0</v>
      </c>
      <c r="AM545" s="303">
        <f t="shared" si="159"/>
        <v>34455.374600000003</v>
      </c>
      <c r="AN545" s="303">
        <f t="shared" si="160"/>
        <v>-34455.374600000003</v>
      </c>
      <c r="AO545" s="304">
        <f t="shared" si="161"/>
        <v>0</v>
      </c>
      <c r="AP545" s="273">
        <f t="shared" si="163"/>
        <v>12</v>
      </c>
      <c r="AQ545" s="273" t="str">
        <f t="shared" ca="1" si="162"/>
        <v>122024</v>
      </c>
    </row>
    <row r="546" spans="1:43" ht="16.5">
      <c r="A546" s="312">
        <v>29</v>
      </c>
      <c r="B546" s="880" t="s">
        <v>2138</v>
      </c>
      <c r="D546" s="246" t="s">
        <v>2139</v>
      </c>
      <c r="E546" s="440">
        <v>45162</v>
      </c>
      <c r="F546" s="739">
        <v>0.5551799999999999</v>
      </c>
      <c r="K546" s="823" t="s">
        <v>2158</v>
      </c>
      <c r="L546" s="273" t="s">
        <v>1595</v>
      </c>
      <c r="M546" s="665">
        <f t="shared" si="169"/>
        <v>0.19</v>
      </c>
      <c r="N546" s="273" t="s">
        <v>1593</v>
      </c>
      <c r="O546" s="896" t="s">
        <v>2182</v>
      </c>
      <c r="P546" s="688">
        <v>45680</v>
      </c>
      <c r="Q546" s="273" t="s">
        <v>2183</v>
      </c>
      <c r="R546" s="314">
        <v>3445536.9289999995</v>
      </c>
      <c r="S546" s="892">
        <f t="shared" si="167"/>
        <v>0</v>
      </c>
      <c r="U546" s="440">
        <v>45516</v>
      </c>
      <c r="V546" s="340">
        <f t="shared" ca="1" si="164"/>
        <v>1</v>
      </c>
      <c r="W546" s="594">
        <f t="shared" ca="1" si="165"/>
        <v>2025</v>
      </c>
      <c r="X546" s="340" t="str">
        <f t="shared" ca="1" si="172"/>
        <v>4 WEEK</v>
      </c>
      <c r="Y546" s="688">
        <f t="shared" si="166"/>
        <v>45680</v>
      </c>
      <c r="Z546" s="541" cm="1">
        <f t="array" aca="1" ref="Z546" ca="1">_xlfn.IFS(AD546&lt;100,Y546,Y546&lt;TODAY(),TODAY(),Y546&gt;TODAY(),Y546,Y546=TODAY(),Y546)</f>
        <v>45680</v>
      </c>
      <c r="AA546" s="891">
        <f t="shared" si="168"/>
        <v>0</v>
      </c>
      <c r="AB546" s="307">
        <f t="shared" si="170"/>
        <v>0</v>
      </c>
      <c r="AC546" s="307">
        <f t="shared" si="171"/>
        <v>0</v>
      </c>
      <c r="AD546" s="298">
        <f t="shared" si="156"/>
        <v>0</v>
      </c>
      <c r="AE546" s="299" t="str">
        <f t="shared" si="157"/>
        <v>Complete</v>
      </c>
      <c r="AI546" s="301">
        <f t="shared" ca="1" si="154"/>
        <v>0</v>
      </c>
      <c r="AJ546" s="302">
        <f t="shared" ca="1" si="155"/>
        <v>0</v>
      </c>
      <c r="AL546" s="303">
        <f t="shared" si="158"/>
        <v>0</v>
      </c>
      <c r="AM546" s="303">
        <f t="shared" si="159"/>
        <v>-3445536.9289999995</v>
      </c>
      <c r="AN546" s="303">
        <f t="shared" si="160"/>
        <v>3445536.9289999995</v>
      </c>
      <c r="AO546" s="304">
        <f t="shared" si="161"/>
        <v>0</v>
      </c>
      <c r="AP546" s="273">
        <f t="shared" si="163"/>
        <v>1</v>
      </c>
      <c r="AQ546" s="273" t="str">
        <f t="shared" ca="1" si="162"/>
        <v>12025</v>
      </c>
    </row>
    <row r="547" spans="1:43" ht="16.5">
      <c r="A547" s="312">
        <v>29</v>
      </c>
      <c r="B547" s="880" t="s">
        <v>2138</v>
      </c>
      <c r="D547" s="246" t="s">
        <v>2139</v>
      </c>
      <c r="E547" s="440">
        <v>45162</v>
      </c>
      <c r="F547" s="739">
        <v>0.5551799999999999</v>
      </c>
      <c r="G547" s="306">
        <v>2919946.5520000001</v>
      </c>
      <c r="H547" s="307">
        <v>525590.37936000002</v>
      </c>
      <c r="I547" s="308">
        <v>3445537</v>
      </c>
      <c r="K547" s="823" t="s">
        <v>2158</v>
      </c>
      <c r="L547" s="273" t="s">
        <v>1595</v>
      </c>
      <c r="M547" s="665">
        <f t="shared" si="169"/>
        <v>0.19</v>
      </c>
      <c r="N547" s="273" t="s">
        <v>1593</v>
      </c>
      <c r="O547" s="897" t="s">
        <v>2184</v>
      </c>
      <c r="P547" s="688">
        <v>45595</v>
      </c>
      <c r="Q547" s="273" t="s">
        <v>2185</v>
      </c>
      <c r="R547" s="314">
        <v>3445537</v>
      </c>
      <c r="S547" s="892">
        <f t="shared" si="167"/>
        <v>1.0810811268734809E-2</v>
      </c>
      <c r="U547" s="440">
        <v>45516</v>
      </c>
      <c r="V547" s="340">
        <f t="shared" ca="1" si="164"/>
        <v>10</v>
      </c>
      <c r="W547" s="594">
        <f t="shared" ca="1" si="165"/>
        <v>2024</v>
      </c>
      <c r="X547" s="340" t="str">
        <f t="shared" ca="1" si="172"/>
        <v>5 WEEK</v>
      </c>
      <c r="Y547" s="688">
        <f t="shared" si="166"/>
        <v>45595</v>
      </c>
      <c r="Z547" s="541" cm="1">
        <f t="array" aca="1" ref="Z547" ca="1">_xlfn.IFS(AD547&lt;100,Y547,Y547&lt;TODAY(),TODAY(),Y547&gt;TODAY(),Y547,Y547=TODAY(),Y547)</f>
        <v>45595</v>
      </c>
      <c r="AA547" s="891">
        <f t="shared" si="168"/>
        <v>2722045.9155165502</v>
      </c>
      <c r="AB547" s="307">
        <f t="shared" si="170"/>
        <v>2719323.8696010336</v>
      </c>
      <c r="AC547" s="307">
        <f t="shared" si="171"/>
        <v>2722.0459155165504</v>
      </c>
      <c r="AD547" s="298">
        <f t="shared" si="156"/>
        <v>0</v>
      </c>
      <c r="AE547" s="299" t="str">
        <f t="shared" si="157"/>
        <v>Complete</v>
      </c>
      <c r="AI547" s="301">
        <f t="shared" ca="1" si="154"/>
        <v>0</v>
      </c>
      <c r="AJ547" s="302">
        <f t="shared" ca="1" si="155"/>
        <v>0</v>
      </c>
      <c r="AL547" s="303">
        <f t="shared" si="158"/>
        <v>3445537</v>
      </c>
      <c r="AM547" s="303">
        <f t="shared" si="159"/>
        <v>0</v>
      </c>
      <c r="AN547" s="303">
        <f t="shared" si="160"/>
        <v>3445537</v>
      </c>
      <c r="AO547" s="304">
        <f t="shared" si="161"/>
        <v>0</v>
      </c>
      <c r="AP547" s="273">
        <f t="shared" si="163"/>
        <v>10</v>
      </c>
      <c r="AQ547" s="273" t="str">
        <f t="shared" ca="1" si="162"/>
        <v>102024</v>
      </c>
    </row>
    <row r="548" spans="1:43" ht="16.5">
      <c r="A548" s="312">
        <v>29</v>
      </c>
      <c r="B548" s="880" t="s">
        <v>2138</v>
      </c>
      <c r="D548" s="246" t="s">
        <v>2139</v>
      </c>
      <c r="E548" s="440">
        <v>45162</v>
      </c>
      <c r="F548" s="739">
        <v>0.5551799999999999</v>
      </c>
      <c r="G548" s="306">
        <v>14599732.76</v>
      </c>
      <c r="H548" s="307">
        <v>2627951.8967999998</v>
      </c>
      <c r="I548" s="308">
        <v>17227685</v>
      </c>
      <c r="K548" s="823" t="s">
        <v>2158</v>
      </c>
      <c r="L548" s="273" t="s">
        <v>1595</v>
      </c>
      <c r="M548" s="665">
        <f t="shared" si="169"/>
        <v>0.19</v>
      </c>
      <c r="N548" s="273" t="s">
        <v>1593</v>
      </c>
      <c r="O548" s="884" t="s">
        <v>2186</v>
      </c>
      <c r="P548" s="688">
        <v>45595</v>
      </c>
      <c r="Q548" s="273" t="s">
        <v>2185</v>
      </c>
      <c r="R548" s="314">
        <v>17227685</v>
      </c>
      <c r="S548" s="892">
        <f t="shared" si="167"/>
        <v>5.4054056343674044E-2</v>
      </c>
      <c r="U548" s="440">
        <v>45516</v>
      </c>
      <c r="V548" s="340">
        <f t="shared" ca="1" si="164"/>
        <v>10</v>
      </c>
      <c r="W548" s="594">
        <f t="shared" ca="1" si="165"/>
        <v>2024</v>
      </c>
      <c r="X548" s="340" t="str">
        <f t="shared" ca="1" si="172"/>
        <v>5 WEEK</v>
      </c>
      <c r="Y548" s="688">
        <f t="shared" si="166"/>
        <v>45595</v>
      </c>
      <c r="Z548" s="541" cm="1">
        <f t="array" aca="1" ref="Z548" ca="1">_xlfn.IFS(AD548&lt;100,Y548,Y548&lt;TODAY(),TODAY(),Y548&gt;TODAY(),Y548,Y548=TODAY(),Y548)</f>
        <v>45595</v>
      </c>
      <c r="AA548" s="891">
        <f t="shared" si="168"/>
        <v>13610229.57758275</v>
      </c>
      <c r="AB548" s="307">
        <f t="shared" si="170"/>
        <v>13596619.348005168</v>
      </c>
      <c r="AC548" s="307">
        <f t="shared" si="171"/>
        <v>13610.229577582752</v>
      </c>
      <c r="AD548" s="298">
        <f t="shared" si="156"/>
        <v>0</v>
      </c>
      <c r="AE548" s="299" t="str">
        <f t="shared" si="157"/>
        <v>Complete</v>
      </c>
      <c r="AI548" s="301">
        <f t="shared" ca="1" si="154"/>
        <v>0</v>
      </c>
      <c r="AJ548" s="302">
        <f t="shared" ca="1" si="155"/>
        <v>0</v>
      </c>
      <c r="AL548" s="303">
        <f t="shared" si="158"/>
        <v>17227685</v>
      </c>
      <c r="AM548" s="303">
        <f t="shared" si="159"/>
        <v>0</v>
      </c>
      <c r="AN548" s="303">
        <f t="shared" si="160"/>
        <v>17227685</v>
      </c>
      <c r="AO548" s="304">
        <f t="shared" si="161"/>
        <v>0</v>
      </c>
      <c r="AP548" s="273">
        <f t="shared" si="163"/>
        <v>10</v>
      </c>
      <c r="AQ548" s="273" t="str">
        <f t="shared" ca="1" si="162"/>
        <v>102024</v>
      </c>
    </row>
    <row r="549" spans="1:43" ht="16.5">
      <c r="A549" s="312">
        <v>29</v>
      </c>
      <c r="B549" s="880" t="s">
        <v>2138</v>
      </c>
      <c r="D549" s="246" t="s">
        <v>2139</v>
      </c>
      <c r="E549" s="440">
        <v>45162</v>
      </c>
      <c r="F549" s="739">
        <v>0.5551799999999999</v>
      </c>
      <c r="G549" s="306">
        <v>1459973.2760000001</v>
      </c>
      <c r="H549" s="307">
        <v>262795.18968000001</v>
      </c>
      <c r="I549" s="308">
        <v>1722768</v>
      </c>
      <c r="K549" s="823" t="s">
        <v>2158</v>
      </c>
      <c r="L549" s="273" t="s">
        <v>1595</v>
      </c>
      <c r="M549" s="665">
        <f t="shared" si="169"/>
        <v>0.19</v>
      </c>
      <c r="N549" s="273" t="s">
        <v>1593</v>
      </c>
      <c r="O549" s="884" t="s">
        <v>2186</v>
      </c>
      <c r="P549" s="688">
        <v>45618</v>
      </c>
      <c r="Q549" s="273" t="s">
        <v>2171</v>
      </c>
      <c r="R549" s="314">
        <v>344554</v>
      </c>
      <c r="S549" s="892">
        <f t="shared" si="167"/>
        <v>5.4054040655537082E-3</v>
      </c>
      <c r="U549" s="440">
        <v>45516</v>
      </c>
      <c r="V549" s="340">
        <f t="shared" ca="1" si="164"/>
        <v>11</v>
      </c>
      <c r="W549" s="594">
        <f t="shared" ca="1" si="165"/>
        <v>2024</v>
      </c>
      <c r="X549" s="340" t="str">
        <f t="shared" ca="1" si="172"/>
        <v>4 WEEK</v>
      </c>
      <c r="Y549" s="688">
        <f t="shared" si="166"/>
        <v>45618</v>
      </c>
      <c r="Z549" s="541" cm="1">
        <f t="array" aca="1" ref="Z549" ca="1">_xlfn.IFS(AD549&lt;100,Y549,Y549&lt;TODAY(),TODAY(),Y549&gt;TODAY(),Y549,Y549=TODAY(),Y549)</f>
        <v>45618</v>
      </c>
      <c r="AA549" s="891">
        <f t="shared" si="168"/>
        <v>1361022.5627478722</v>
      </c>
      <c r="AB549" s="307">
        <f t="shared" si="170"/>
        <v>1359661.5401851244</v>
      </c>
      <c r="AC549" s="307">
        <f t="shared" si="171"/>
        <v>1361.0225627478721</v>
      </c>
      <c r="AD549" s="298">
        <f t="shared" si="156"/>
        <v>0</v>
      </c>
      <c r="AE549" s="299" t="str">
        <f t="shared" si="157"/>
        <v>Complete</v>
      </c>
      <c r="AI549" s="301">
        <f t="shared" ca="1" si="154"/>
        <v>0</v>
      </c>
      <c r="AJ549" s="302">
        <f t="shared" ca="1" si="155"/>
        <v>0</v>
      </c>
      <c r="AL549" s="303">
        <f t="shared" si="158"/>
        <v>1722768</v>
      </c>
      <c r="AM549" s="303">
        <f t="shared" si="159"/>
        <v>1378214</v>
      </c>
      <c r="AN549" s="303">
        <f t="shared" si="160"/>
        <v>344554</v>
      </c>
      <c r="AO549" s="304">
        <f t="shared" si="161"/>
        <v>0</v>
      </c>
      <c r="AP549" s="273">
        <f t="shared" si="163"/>
        <v>11</v>
      </c>
      <c r="AQ549" s="273" t="str">
        <f t="shared" ca="1" si="162"/>
        <v>112024</v>
      </c>
    </row>
    <row r="550" spans="1:43" ht="16.5">
      <c r="A550" s="312">
        <v>29</v>
      </c>
      <c r="B550" s="880" t="s">
        <v>2138</v>
      </c>
      <c r="D550" s="246" t="s">
        <v>2139</v>
      </c>
      <c r="E550" s="440">
        <v>45162</v>
      </c>
      <c r="F550" s="739">
        <v>0.5551799999999999</v>
      </c>
      <c r="K550" s="823" t="s">
        <v>2158</v>
      </c>
      <c r="L550" s="273" t="s">
        <v>1595</v>
      </c>
      <c r="M550" s="665">
        <f t="shared" si="169"/>
        <v>0.19</v>
      </c>
      <c r="N550" s="273" t="s">
        <v>1593</v>
      </c>
      <c r="O550" s="898" t="s">
        <v>2186</v>
      </c>
      <c r="P550" s="688">
        <v>45636</v>
      </c>
      <c r="Q550" s="273" t="s">
        <v>2180</v>
      </c>
      <c r="R550" s="314">
        <v>17228</v>
      </c>
      <c r="S550" s="892">
        <f t="shared" si="167"/>
        <v>0</v>
      </c>
      <c r="U550" s="440">
        <v>45516</v>
      </c>
      <c r="V550" s="340">
        <f t="shared" ca="1" si="164"/>
        <v>12</v>
      </c>
      <c r="W550" s="594">
        <f t="shared" ca="1" si="165"/>
        <v>2024</v>
      </c>
      <c r="X550" s="340" t="str">
        <f t="shared" ca="1" si="172"/>
        <v>2 WEEK</v>
      </c>
      <c r="Y550" s="688">
        <f t="shared" si="166"/>
        <v>45636</v>
      </c>
      <c r="Z550" s="541" cm="1">
        <f t="array" aca="1" ref="Z550" ca="1">_xlfn.IFS(AD550&lt;100,Y550,Y550&lt;TODAY(),TODAY(),Y550&gt;TODAY(),Y550,Y550=TODAY(),Y550)</f>
        <v>45636</v>
      </c>
      <c r="AA550" s="891">
        <f t="shared" si="168"/>
        <v>0</v>
      </c>
      <c r="AB550" s="307">
        <f t="shared" si="170"/>
        <v>0</v>
      </c>
      <c r="AC550" s="307">
        <f t="shared" si="171"/>
        <v>0</v>
      </c>
      <c r="AD550" s="298">
        <f t="shared" si="156"/>
        <v>0</v>
      </c>
      <c r="AE550" s="299" t="str">
        <f t="shared" si="157"/>
        <v>Complete</v>
      </c>
      <c r="AI550" s="301">
        <f t="shared" ca="1" si="154"/>
        <v>0</v>
      </c>
      <c r="AJ550" s="302">
        <f t="shared" ca="1" si="155"/>
        <v>0</v>
      </c>
      <c r="AL550" s="303">
        <f t="shared" si="158"/>
        <v>0</v>
      </c>
      <c r="AM550" s="303">
        <f t="shared" si="159"/>
        <v>-17228</v>
      </c>
      <c r="AN550" s="303">
        <f t="shared" si="160"/>
        <v>17228</v>
      </c>
      <c r="AO550" s="304">
        <f t="shared" si="161"/>
        <v>0</v>
      </c>
      <c r="AP550" s="273">
        <f t="shared" si="163"/>
        <v>12</v>
      </c>
      <c r="AQ550" s="273" t="str">
        <f t="shared" ca="1" si="162"/>
        <v>122024</v>
      </c>
    </row>
    <row r="551" spans="1:43" ht="16.5">
      <c r="A551" s="312">
        <v>29</v>
      </c>
      <c r="B551" s="880" t="s">
        <v>2138</v>
      </c>
      <c r="D551" s="246" t="s">
        <v>2139</v>
      </c>
      <c r="E551" s="440">
        <v>45162</v>
      </c>
      <c r="F551" s="739">
        <v>0.5551799999999999</v>
      </c>
      <c r="K551" s="823" t="s">
        <v>2158</v>
      </c>
      <c r="L551" s="273" t="s">
        <v>1595</v>
      </c>
      <c r="M551" s="665">
        <f t="shared" si="169"/>
        <v>0.19</v>
      </c>
      <c r="N551" s="273" t="s">
        <v>1593</v>
      </c>
      <c r="O551" s="896" t="s">
        <v>2187</v>
      </c>
      <c r="P551" s="688">
        <v>45646</v>
      </c>
      <c r="Q551" s="273" t="s">
        <v>2188</v>
      </c>
      <c r="R551" s="314">
        <v>1360987</v>
      </c>
      <c r="S551" s="892">
        <f t="shared" si="167"/>
        <v>0</v>
      </c>
      <c r="U551" s="440">
        <v>45516</v>
      </c>
      <c r="V551" s="340">
        <f t="shared" ca="1" si="164"/>
        <v>12</v>
      </c>
      <c r="W551" s="594">
        <f t="shared" ca="1" si="165"/>
        <v>2024</v>
      </c>
      <c r="X551" s="340" t="str">
        <f t="shared" ca="1" si="172"/>
        <v>3 WEEK</v>
      </c>
      <c r="Y551" s="688">
        <f t="shared" si="166"/>
        <v>45646</v>
      </c>
      <c r="Z551" s="541" cm="1">
        <f t="array" aca="1" ref="Z551" ca="1">_xlfn.IFS(AD551&lt;100,Y551,Y551&lt;TODAY(),TODAY(),Y551&gt;TODAY(),Y551,Y551=TODAY(),Y551)</f>
        <v>45646</v>
      </c>
      <c r="AA551" s="891">
        <f t="shared" si="168"/>
        <v>0</v>
      </c>
      <c r="AB551" s="307">
        <f t="shared" si="170"/>
        <v>0</v>
      </c>
      <c r="AC551" s="307">
        <f t="shared" si="171"/>
        <v>0</v>
      </c>
      <c r="AD551" s="298">
        <f t="shared" si="156"/>
        <v>0</v>
      </c>
      <c r="AE551" s="299" t="str">
        <f t="shared" si="157"/>
        <v>Complete</v>
      </c>
      <c r="AI551" s="301">
        <f t="shared" ca="1" si="154"/>
        <v>0</v>
      </c>
      <c r="AJ551" s="302">
        <f t="shared" ca="1" si="155"/>
        <v>0</v>
      </c>
      <c r="AL551" s="303">
        <f t="shared" si="158"/>
        <v>0</v>
      </c>
      <c r="AM551" s="303">
        <f t="shared" si="159"/>
        <v>-1360987</v>
      </c>
      <c r="AN551" s="303">
        <f t="shared" si="160"/>
        <v>1360987</v>
      </c>
      <c r="AO551" s="304">
        <f t="shared" si="161"/>
        <v>0</v>
      </c>
      <c r="AP551" s="273">
        <f t="shared" si="163"/>
        <v>12</v>
      </c>
      <c r="AQ551" s="273" t="str">
        <f t="shared" ca="1" si="162"/>
        <v>122024</v>
      </c>
    </row>
    <row r="552" spans="1:43" ht="16.5">
      <c r="A552" s="312">
        <v>29</v>
      </c>
      <c r="B552" s="880" t="s">
        <v>2138</v>
      </c>
      <c r="D552" s="246" t="s">
        <v>2139</v>
      </c>
      <c r="E552" s="440">
        <v>45162</v>
      </c>
      <c r="F552" s="739">
        <v>0.5551799999999999</v>
      </c>
      <c r="G552" s="306">
        <v>4379919.8279999997</v>
      </c>
      <c r="H552" s="307">
        <v>788385.56903999997</v>
      </c>
      <c r="I552" s="308">
        <v>5168305</v>
      </c>
      <c r="K552" s="823" t="s">
        <v>2158</v>
      </c>
      <c r="L552" s="273" t="s">
        <v>1595</v>
      </c>
      <c r="M552" s="665">
        <f t="shared" si="169"/>
        <v>0.19</v>
      </c>
      <c r="N552" s="273" t="s">
        <v>1593</v>
      </c>
      <c r="O552" s="897" t="s">
        <v>2187</v>
      </c>
      <c r="P552" s="688">
        <v>45618</v>
      </c>
      <c r="Q552" s="273" t="s">
        <v>2171</v>
      </c>
      <c r="R552" s="314">
        <v>1033661</v>
      </c>
      <c r="S552" s="892">
        <f t="shared" si="167"/>
        <v>1.6216215334288516E-2</v>
      </c>
      <c r="U552" s="440">
        <v>45516</v>
      </c>
      <c r="V552" s="340">
        <f t="shared" ca="1" si="164"/>
        <v>11</v>
      </c>
      <c r="W552" s="594">
        <f t="shared" ca="1" si="165"/>
        <v>2024</v>
      </c>
      <c r="X552" s="340" t="str">
        <f t="shared" ca="1" si="172"/>
        <v>4 WEEK</v>
      </c>
      <c r="Y552" s="688">
        <f t="shared" si="166"/>
        <v>45618</v>
      </c>
      <c r="Z552" s="541" cm="1">
        <f t="array" aca="1" ref="Z552" ca="1">_xlfn.IFS(AD552&lt;100,Y552,Y552&lt;TODAY(),TODAY(),Y552&gt;TODAY(),Y552,Y552=TODAY(),Y552)</f>
        <v>45618</v>
      </c>
      <c r="AA552" s="891">
        <f t="shared" si="168"/>
        <v>4083068.4782644222</v>
      </c>
      <c r="AB552" s="307">
        <f t="shared" si="170"/>
        <v>4078985.4097861578</v>
      </c>
      <c r="AC552" s="307">
        <f t="shared" si="171"/>
        <v>4083.0684782644221</v>
      </c>
      <c r="AD552" s="298">
        <f t="shared" si="156"/>
        <v>0</v>
      </c>
      <c r="AE552" s="299" t="str">
        <f t="shared" si="157"/>
        <v>Complete</v>
      </c>
      <c r="AI552" s="301">
        <f t="shared" ca="1" si="154"/>
        <v>0</v>
      </c>
      <c r="AJ552" s="302">
        <f t="shared" ca="1" si="155"/>
        <v>0</v>
      </c>
      <c r="AL552" s="303">
        <f t="shared" si="158"/>
        <v>5168305</v>
      </c>
      <c r="AM552" s="303">
        <f t="shared" si="159"/>
        <v>4134644</v>
      </c>
      <c r="AN552" s="303">
        <f t="shared" si="160"/>
        <v>1033661</v>
      </c>
      <c r="AO552" s="304">
        <f t="shared" si="161"/>
        <v>0</v>
      </c>
      <c r="AP552" s="273">
        <f t="shared" si="163"/>
        <v>11</v>
      </c>
      <c r="AQ552" s="273" t="str">
        <f t="shared" ca="1" si="162"/>
        <v>112024</v>
      </c>
    </row>
    <row r="553" spans="1:43" ht="16.5">
      <c r="A553" s="312">
        <v>29</v>
      </c>
      <c r="B553" s="880" t="s">
        <v>2138</v>
      </c>
      <c r="D553" s="246" t="s">
        <v>2139</v>
      </c>
      <c r="E553" s="440">
        <v>45162</v>
      </c>
      <c r="F553" s="739">
        <v>0.5551799999999999</v>
      </c>
      <c r="K553" s="823" t="s">
        <v>2158</v>
      </c>
      <c r="L553" s="273" t="s">
        <v>1595</v>
      </c>
      <c r="M553" s="665">
        <f t="shared" si="169"/>
        <v>0.19</v>
      </c>
      <c r="N553" s="273" t="s">
        <v>1593</v>
      </c>
      <c r="O553" s="897" t="s">
        <v>2187</v>
      </c>
      <c r="P553" s="688">
        <v>45636</v>
      </c>
      <c r="Q553" s="273" t="s">
        <v>2180</v>
      </c>
      <c r="R553" s="314">
        <v>568514</v>
      </c>
      <c r="S553" s="892">
        <f t="shared" si="167"/>
        <v>0</v>
      </c>
      <c r="U553" s="440">
        <v>45516</v>
      </c>
      <c r="V553" s="340">
        <f t="shared" ca="1" si="164"/>
        <v>12</v>
      </c>
      <c r="W553" s="594">
        <f t="shared" ca="1" si="165"/>
        <v>2024</v>
      </c>
      <c r="X553" s="340" t="str">
        <f t="shared" ca="1" si="172"/>
        <v>2 WEEK</v>
      </c>
      <c r="Y553" s="688">
        <f t="shared" si="166"/>
        <v>45636</v>
      </c>
      <c r="Z553" s="541" cm="1">
        <f t="array" aca="1" ref="Z553" ca="1">_xlfn.IFS(AD553&lt;100,Y553,Y553&lt;TODAY(),TODAY(),Y553&gt;TODAY(),Y553,Y553=TODAY(),Y553)</f>
        <v>45636</v>
      </c>
      <c r="AA553" s="891">
        <f t="shared" si="168"/>
        <v>0</v>
      </c>
      <c r="AB553" s="307">
        <f t="shared" si="170"/>
        <v>0</v>
      </c>
      <c r="AC553" s="307">
        <f t="shared" si="171"/>
        <v>0</v>
      </c>
      <c r="AD553" s="298">
        <f t="shared" si="156"/>
        <v>0</v>
      </c>
      <c r="AE553" s="299" t="str">
        <f t="shared" si="157"/>
        <v>Complete</v>
      </c>
      <c r="AI553" s="301">
        <f t="shared" ca="1" si="154"/>
        <v>0</v>
      </c>
      <c r="AJ553" s="302">
        <f t="shared" ca="1" si="155"/>
        <v>0</v>
      </c>
      <c r="AL553" s="303">
        <f t="shared" si="158"/>
        <v>0</v>
      </c>
      <c r="AM553" s="303">
        <f t="shared" si="159"/>
        <v>-568514</v>
      </c>
      <c r="AN553" s="303">
        <f t="shared" si="160"/>
        <v>568514</v>
      </c>
      <c r="AO553" s="304">
        <f t="shared" si="161"/>
        <v>0</v>
      </c>
      <c r="AP553" s="273">
        <f t="shared" si="163"/>
        <v>12</v>
      </c>
      <c r="AQ553" s="273" t="str">
        <f t="shared" ca="1" si="162"/>
        <v>122024</v>
      </c>
    </row>
    <row r="554" spans="1:43" ht="16.5">
      <c r="A554" s="312">
        <v>29</v>
      </c>
      <c r="B554" s="880" t="s">
        <v>2138</v>
      </c>
      <c r="D554" s="246" t="s">
        <v>2139</v>
      </c>
      <c r="E554" s="440">
        <v>45162</v>
      </c>
      <c r="F554" s="739">
        <v>0.5551799999999999</v>
      </c>
      <c r="K554" s="823" t="s">
        <v>2158</v>
      </c>
      <c r="L554" s="273" t="s">
        <v>1595</v>
      </c>
      <c r="M554" s="665">
        <f t="shared" si="169"/>
        <v>0.19</v>
      </c>
      <c r="N554" s="273" t="s">
        <v>1593</v>
      </c>
      <c r="O554" s="897" t="s">
        <v>2187</v>
      </c>
      <c r="P554" s="688">
        <v>45646</v>
      </c>
      <c r="Q554" s="273" t="s">
        <v>2189</v>
      </c>
      <c r="R554" s="314">
        <v>3566131</v>
      </c>
      <c r="S554" s="892">
        <f t="shared" si="167"/>
        <v>0</v>
      </c>
      <c r="U554" s="440">
        <v>45516</v>
      </c>
      <c r="V554" s="340">
        <f t="shared" ca="1" si="164"/>
        <v>12</v>
      </c>
      <c r="W554" s="594">
        <f t="shared" ca="1" si="165"/>
        <v>2024</v>
      </c>
      <c r="X554" s="340" t="str">
        <f t="shared" ca="1" si="172"/>
        <v>3 WEEK</v>
      </c>
      <c r="Y554" s="688">
        <f t="shared" si="166"/>
        <v>45646</v>
      </c>
      <c r="Z554" s="541" cm="1">
        <f t="array" aca="1" ref="Z554" ca="1">_xlfn.IFS(AD554&lt;100,Y554,Y554&lt;TODAY(),TODAY(),Y554&gt;TODAY(),Y554,Y554=TODAY(),Y554)</f>
        <v>45646</v>
      </c>
      <c r="AA554" s="891">
        <f t="shared" si="168"/>
        <v>0</v>
      </c>
      <c r="AB554" s="307">
        <f t="shared" si="170"/>
        <v>0</v>
      </c>
      <c r="AC554" s="307">
        <f t="shared" si="171"/>
        <v>0</v>
      </c>
      <c r="AD554" s="298">
        <f t="shared" si="156"/>
        <v>0</v>
      </c>
      <c r="AE554" s="299" t="str">
        <f t="shared" si="157"/>
        <v>Complete</v>
      </c>
      <c r="AI554" s="301">
        <f t="shared" ca="1" si="154"/>
        <v>0</v>
      </c>
      <c r="AJ554" s="302">
        <f t="shared" ca="1" si="155"/>
        <v>0</v>
      </c>
      <c r="AL554" s="303">
        <f t="shared" si="158"/>
        <v>0</v>
      </c>
      <c r="AM554" s="303">
        <f t="shared" si="159"/>
        <v>-3566131</v>
      </c>
      <c r="AN554" s="303">
        <f t="shared" si="160"/>
        <v>3566131</v>
      </c>
      <c r="AO554" s="304">
        <f t="shared" si="161"/>
        <v>0</v>
      </c>
      <c r="AP554" s="273">
        <f t="shared" si="163"/>
        <v>12</v>
      </c>
      <c r="AQ554" s="273" t="str">
        <f t="shared" ca="1" si="162"/>
        <v>122024</v>
      </c>
    </row>
    <row r="555" spans="1:43" ht="16.5">
      <c r="A555" s="312">
        <v>29</v>
      </c>
      <c r="B555" s="880" t="s">
        <v>2138</v>
      </c>
      <c r="D555" s="246" t="s">
        <v>2139</v>
      </c>
      <c r="E555" s="440">
        <v>45162</v>
      </c>
      <c r="F555" s="739">
        <v>0.5551799999999999</v>
      </c>
      <c r="K555" s="823" t="s">
        <v>2158</v>
      </c>
      <c r="L555" s="273" t="s">
        <v>1595</v>
      </c>
      <c r="M555" s="665">
        <f t="shared" si="169"/>
        <v>0.19</v>
      </c>
      <c r="N555" s="273" t="s">
        <v>1593</v>
      </c>
      <c r="O555" s="896" t="s">
        <v>2187</v>
      </c>
      <c r="P555" s="688">
        <v>45654</v>
      </c>
      <c r="Q555" s="273" t="s">
        <v>2172</v>
      </c>
      <c r="R555" s="314">
        <v>-1033661.0845999999</v>
      </c>
      <c r="S555" s="892">
        <f t="shared" si="167"/>
        <v>0</v>
      </c>
      <c r="U555" s="440">
        <v>45516</v>
      </c>
      <c r="V555" s="340">
        <f t="shared" ca="1" si="164"/>
        <v>12</v>
      </c>
      <c r="W555" s="594">
        <f t="shared" ca="1" si="165"/>
        <v>2024</v>
      </c>
      <c r="X555" s="340" t="str">
        <f t="shared" ca="1" si="172"/>
        <v>4 WEEK</v>
      </c>
      <c r="Y555" s="688">
        <f t="shared" si="166"/>
        <v>45654</v>
      </c>
      <c r="Z555" s="541" cm="1">
        <f t="array" aca="1" ref="Z555" ca="1">_xlfn.IFS(AD555&lt;100,Y555,Y555&lt;TODAY(),TODAY(),Y555&gt;TODAY(),Y555,Y555=TODAY(),Y555)</f>
        <v>45654</v>
      </c>
      <c r="AA555" s="891">
        <f t="shared" si="168"/>
        <v>0</v>
      </c>
      <c r="AB555" s="307">
        <f t="shared" si="170"/>
        <v>0</v>
      </c>
      <c r="AC555" s="307">
        <f t="shared" si="171"/>
        <v>0</v>
      </c>
      <c r="AD555" s="298">
        <f t="shared" si="156"/>
        <v>0</v>
      </c>
      <c r="AE555" s="299" t="str">
        <f t="shared" si="157"/>
        <v>Complete</v>
      </c>
      <c r="AI555" s="301">
        <f t="shared" ca="1" si="154"/>
        <v>0</v>
      </c>
      <c r="AJ555" s="302">
        <f t="shared" ca="1" si="155"/>
        <v>0</v>
      </c>
      <c r="AL555" s="303">
        <f t="shared" si="158"/>
        <v>0</v>
      </c>
      <c r="AM555" s="303">
        <f t="shared" si="159"/>
        <v>1033661.0845999999</v>
      </c>
      <c r="AN555" s="303">
        <f t="shared" si="160"/>
        <v>-1033661.0845999999</v>
      </c>
      <c r="AO555" s="304">
        <f t="shared" si="161"/>
        <v>0</v>
      </c>
      <c r="AP555" s="273">
        <f t="shared" si="163"/>
        <v>12</v>
      </c>
      <c r="AQ555" s="273" t="str">
        <f t="shared" ca="1" si="162"/>
        <v>122024</v>
      </c>
    </row>
    <row r="556" spans="1:43" ht="16.5">
      <c r="A556" s="312">
        <v>29</v>
      </c>
      <c r="B556" s="880" t="s">
        <v>2138</v>
      </c>
      <c r="D556" s="246" t="s">
        <v>2139</v>
      </c>
      <c r="E556" s="440">
        <v>45162</v>
      </c>
      <c r="F556" s="739">
        <v>0.5551799999999999</v>
      </c>
      <c r="K556" s="823" t="s">
        <v>2158</v>
      </c>
      <c r="L556" s="273" t="s">
        <v>1595</v>
      </c>
      <c r="M556" s="665">
        <f t="shared" si="169"/>
        <v>0.19</v>
      </c>
      <c r="N556" s="273" t="s">
        <v>1593</v>
      </c>
      <c r="O556" s="896" t="s">
        <v>2187</v>
      </c>
      <c r="P556" s="688">
        <v>45654</v>
      </c>
      <c r="Q556" s="273" t="s">
        <v>2181</v>
      </c>
      <c r="R556" s="314">
        <v>-568513.59239999996</v>
      </c>
      <c r="S556" s="892">
        <f t="shared" si="167"/>
        <v>0</v>
      </c>
      <c r="U556" s="440">
        <v>45516</v>
      </c>
      <c r="V556" s="340">
        <f t="shared" ca="1" si="164"/>
        <v>12</v>
      </c>
      <c r="W556" s="594">
        <f t="shared" ca="1" si="165"/>
        <v>2024</v>
      </c>
      <c r="X556" s="340" t="str">
        <f t="shared" ca="1" si="172"/>
        <v>4 WEEK</v>
      </c>
      <c r="Y556" s="688">
        <f t="shared" si="166"/>
        <v>45654</v>
      </c>
      <c r="Z556" s="541" cm="1">
        <f t="array" aca="1" ref="Z556" ca="1">_xlfn.IFS(AD556&lt;100,Y556,Y556&lt;TODAY(),TODAY(),Y556&gt;TODAY(),Y556,Y556=TODAY(),Y556)</f>
        <v>45654</v>
      </c>
      <c r="AA556" s="891">
        <f t="shared" si="168"/>
        <v>0</v>
      </c>
      <c r="AB556" s="307">
        <f t="shared" si="170"/>
        <v>0</v>
      </c>
      <c r="AC556" s="307">
        <f t="shared" si="171"/>
        <v>0</v>
      </c>
      <c r="AD556" s="298">
        <f t="shared" si="156"/>
        <v>0</v>
      </c>
      <c r="AE556" s="299" t="str">
        <f t="shared" si="157"/>
        <v>Complete</v>
      </c>
      <c r="AI556" s="301">
        <f t="shared" ca="1" si="154"/>
        <v>0</v>
      </c>
      <c r="AJ556" s="302">
        <f t="shared" ca="1" si="155"/>
        <v>0</v>
      </c>
      <c r="AL556" s="303">
        <f t="shared" si="158"/>
        <v>0</v>
      </c>
      <c r="AM556" s="303">
        <f t="shared" si="159"/>
        <v>568513.59239999996</v>
      </c>
      <c r="AN556" s="303">
        <f t="shared" si="160"/>
        <v>-568513.59239999996</v>
      </c>
      <c r="AO556" s="304">
        <f t="shared" si="161"/>
        <v>0</v>
      </c>
      <c r="AP556" s="273">
        <f t="shared" si="163"/>
        <v>12</v>
      </c>
      <c r="AQ556" s="273" t="str">
        <f t="shared" ca="1" si="162"/>
        <v>122024</v>
      </c>
    </row>
    <row r="557" spans="1:43" ht="16.5">
      <c r="A557" s="312">
        <v>29</v>
      </c>
      <c r="B557" s="880" t="s">
        <v>2138</v>
      </c>
      <c r="D557" s="246" t="s">
        <v>2139</v>
      </c>
      <c r="E557" s="440">
        <v>45162</v>
      </c>
      <c r="F557" s="739">
        <v>0.5551799999999999</v>
      </c>
      <c r="K557" s="823" t="s">
        <v>2158</v>
      </c>
      <c r="L557" s="273" t="s">
        <v>1595</v>
      </c>
      <c r="M557" s="665">
        <f t="shared" si="169"/>
        <v>0.19</v>
      </c>
      <c r="N557" s="273" t="s">
        <v>1593</v>
      </c>
      <c r="O557" s="898" t="s">
        <v>2190</v>
      </c>
      <c r="P557" s="688">
        <v>45680</v>
      </c>
      <c r="Q557" s="273" t="s">
        <v>2191</v>
      </c>
      <c r="R557" s="314">
        <v>1602174.6769999999</v>
      </c>
      <c r="S557" s="892">
        <f t="shared" si="167"/>
        <v>0</v>
      </c>
      <c r="U557" s="440">
        <v>45516</v>
      </c>
      <c r="V557" s="340">
        <f t="shared" ca="1" si="164"/>
        <v>1</v>
      </c>
      <c r="W557" s="594">
        <f t="shared" ca="1" si="165"/>
        <v>2025</v>
      </c>
      <c r="X557" s="340" t="str">
        <f t="shared" ca="1" si="172"/>
        <v>4 WEEK</v>
      </c>
      <c r="Y557" s="688">
        <f t="shared" si="166"/>
        <v>45680</v>
      </c>
      <c r="Z557" s="541" cm="1">
        <f t="array" aca="1" ref="Z557" ca="1">_xlfn.IFS(AD557&lt;100,Y557,Y557&lt;TODAY(),TODAY(),Y557&gt;TODAY(),Y557,Y557=TODAY(),Y557)</f>
        <v>45680</v>
      </c>
      <c r="AA557" s="891">
        <f t="shared" si="168"/>
        <v>0</v>
      </c>
      <c r="AB557" s="307">
        <f t="shared" si="170"/>
        <v>0</v>
      </c>
      <c r="AC557" s="307">
        <f t="shared" si="171"/>
        <v>0</v>
      </c>
      <c r="AD557" s="298">
        <f t="shared" si="156"/>
        <v>0</v>
      </c>
      <c r="AE557" s="299" t="str">
        <f t="shared" si="157"/>
        <v>Complete</v>
      </c>
      <c r="AI557" s="301">
        <f t="shared" ca="1" si="154"/>
        <v>0</v>
      </c>
      <c r="AJ557" s="302">
        <f t="shared" ca="1" si="155"/>
        <v>0</v>
      </c>
      <c r="AL557" s="303">
        <f t="shared" si="158"/>
        <v>0</v>
      </c>
      <c r="AM557" s="303">
        <f t="shared" si="159"/>
        <v>-1602174.6769999999</v>
      </c>
      <c r="AN557" s="303">
        <f t="shared" si="160"/>
        <v>1602174.6769999999</v>
      </c>
      <c r="AO557" s="304">
        <f t="shared" si="161"/>
        <v>0</v>
      </c>
      <c r="AP557" s="273">
        <f t="shared" si="163"/>
        <v>1</v>
      </c>
      <c r="AQ557" s="273" t="str">
        <f t="shared" ca="1" si="162"/>
        <v>12025</v>
      </c>
    </row>
    <row r="558" spans="1:43" ht="16.5">
      <c r="A558" s="312">
        <v>29</v>
      </c>
      <c r="B558" s="880" t="s">
        <v>2138</v>
      </c>
      <c r="D558" s="246" t="s">
        <v>2139</v>
      </c>
      <c r="E558" s="440">
        <v>45162</v>
      </c>
      <c r="F558" s="739">
        <v>0.5551799999999999</v>
      </c>
      <c r="G558" s="306">
        <v>2919946.5520000001</v>
      </c>
      <c r="H558" s="307">
        <v>525590.37936000002</v>
      </c>
      <c r="I558" s="308">
        <v>3445537</v>
      </c>
      <c r="K558" s="823" t="s">
        <v>2158</v>
      </c>
      <c r="L558" s="273" t="s">
        <v>1595</v>
      </c>
      <c r="M558" s="665">
        <f t="shared" si="169"/>
        <v>0.19</v>
      </c>
      <c r="N558" s="273" t="s">
        <v>1593</v>
      </c>
      <c r="O558" s="896" t="s">
        <v>2192</v>
      </c>
      <c r="P558" s="688">
        <v>45699</v>
      </c>
      <c r="Q558" s="273" t="s">
        <v>2193</v>
      </c>
      <c r="R558" s="314">
        <v>3445537</v>
      </c>
      <c r="S558" s="892">
        <f t="shared" si="167"/>
        <v>1.0810811268734809E-2</v>
      </c>
      <c r="U558" s="440">
        <v>45516</v>
      </c>
      <c r="V558" s="340">
        <f t="shared" ca="1" si="164"/>
        <v>2</v>
      </c>
      <c r="W558" s="594">
        <f t="shared" ca="1" si="165"/>
        <v>2025</v>
      </c>
      <c r="X558" s="340" t="str">
        <f t="shared" ca="1" si="172"/>
        <v>2 WEEK</v>
      </c>
      <c r="Y558" s="688">
        <f t="shared" si="166"/>
        <v>45699</v>
      </c>
      <c r="Z558" s="541" cm="1">
        <f t="array" aca="1" ref="Z558" ca="1">_xlfn.IFS(AD558&lt;100,Y558,Y558&lt;TODAY(),TODAY(),Y558&gt;TODAY(),Y558,Y558=TODAY(),Y558)</f>
        <v>45699</v>
      </c>
      <c r="AA558" s="891">
        <f t="shared" si="168"/>
        <v>2722045.9155165502</v>
      </c>
      <c r="AB558" s="307">
        <f>AA558-AC558</f>
        <v>2719323.8696010336</v>
      </c>
      <c r="AC558" s="307">
        <f t="shared" si="171"/>
        <v>2722.0459155165504</v>
      </c>
      <c r="AD558" s="298">
        <f t="shared" si="156"/>
        <v>0</v>
      </c>
      <c r="AE558" s="299" t="str">
        <f t="shared" si="157"/>
        <v>Complete</v>
      </c>
      <c r="AI558" s="301">
        <f t="shared" ca="1" si="154"/>
        <v>0</v>
      </c>
      <c r="AJ558" s="302">
        <f t="shared" ca="1" si="155"/>
        <v>0</v>
      </c>
      <c r="AL558" s="303">
        <f t="shared" si="158"/>
        <v>3445537</v>
      </c>
      <c r="AM558" s="303">
        <f t="shared" si="159"/>
        <v>0</v>
      </c>
      <c r="AN558" s="303">
        <f t="shared" si="160"/>
        <v>3445537</v>
      </c>
      <c r="AO558" s="304">
        <f t="shared" si="161"/>
        <v>0</v>
      </c>
      <c r="AP558" s="273">
        <f t="shared" si="163"/>
        <v>2</v>
      </c>
      <c r="AQ558" s="273" t="str">
        <f t="shared" ca="1" si="162"/>
        <v>22025</v>
      </c>
    </row>
    <row r="559" spans="1:43" ht="16.5">
      <c r="A559" s="312">
        <v>29</v>
      </c>
      <c r="B559" s="880" t="s">
        <v>2138</v>
      </c>
      <c r="D559" s="246" t="s">
        <v>2139</v>
      </c>
      <c r="E559" s="440">
        <v>45162</v>
      </c>
      <c r="F559" s="739">
        <v>0.5551799999999999</v>
      </c>
      <c r="G559" s="306">
        <v>4379919.8279999997</v>
      </c>
      <c r="H559" s="307">
        <v>788385.56903999997</v>
      </c>
      <c r="I559" s="308">
        <v>5168305</v>
      </c>
      <c r="K559" s="823" t="s">
        <v>2158</v>
      </c>
      <c r="L559" s="273" t="s">
        <v>1595</v>
      </c>
      <c r="M559" s="665">
        <f t="shared" si="169"/>
        <v>0.19</v>
      </c>
      <c r="N559" s="273" t="s">
        <v>1593</v>
      </c>
      <c r="O559" s="896" t="s">
        <v>2194</v>
      </c>
      <c r="P559" s="688">
        <v>45595</v>
      </c>
      <c r="Q559" s="273" t="s">
        <v>2195</v>
      </c>
      <c r="R559" s="314">
        <v>5168305</v>
      </c>
      <c r="S559" s="892">
        <f t="shared" si="167"/>
        <v>1.6216215334288516E-2</v>
      </c>
      <c r="U559" s="440">
        <v>45516</v>
      </c>
      <c r="V559" s="340">
        <f t="shared" ca="1" si="164"/>
        <v>10</v>
      </c>
      <c r="W559" s="594">
        <f t="shared" ca="1" si="165"/>
        <v>2024</v>
      </c>
      <c r="X559" s="340" t="str">
        <f t="shared" ca="1" si="172"/>
        <v>5 WEEK</v>
      </c>
      <c r="Y559" s="688">
        <f t="shared" si="166"/>
        <v>45595</v>
      </c>
      <c r="Z559" s="541" cm="1">
        <f t="array" aca="1" ref="Z559" ca="1">_xlfn.IFS(AD559&lt;100,Y559,Y559&lt;TODAY(),TODAY(),Y559&gt;TODAY(),Y559,Y559=TODAY(),Y559)</f>
        <v>45595</v>
      </c>
      <c r="AA559" s="891">
        <f t="shared" si="168"/>
        <v>4083068.4782644222</v>
      </c>
      <c r="AB559" s="307">
        <f t="shared" ref="AB559:AB573" si="173">AA559-AC559</f>
        <v>4078985.4097861578</v>
      </c>
      <c r="AC559" s="307">
        <f t="shared" si="171"/>
        <v>4083.0684782644221</v>
      </c>
      <c r="AD559" s="298">
        <f t="shared" si="156"/>
        <v>0</v>
      </c>
      <c r="AE559" s="299" t="str">
        <f t="shared" si="157"/>
        <v>Complete</v>
      </c>
      <c r="AI559" s="301">
        <f t="shared" ca="1" si="154"/>
        <v>0</v>
      </c>
      <c r="AJ559" s="302">
        <f t="shared" ca="1" si="155"/>
        <v>0</v>
      </c>
      <c r="AL559" s="303">
        <f t="shared" si="158"/>
        <v>5168305</v>
      </c>
      <c r="AM559" s="303">
        <f t="shared" si="159"/>
        <v>0</v>
      </c>
      <c r="AN559" s="303">
        <f t="shared" si="160"/>
        <v>5168305</v>
      </c>
      <c r="AO559" s="304">
        <f t="shared" si="161"/>
        <v>0</v>
      </c>
      <c r="AP559" s="273">
        <f t="shared" si="163"/>
        <v>10</v>
      </c>
      <c r="AQ559" s="273" t="str">
        <f t="shared" ca="1" si="162"/>
        <v>102024</v>
      </c>
    </row>
    <row r="560" spans="1:43" ht="16.5">
      <c r="A560" s="312">
        <v>29</v>
      </c>
      <c r="B560" s="880" t="s">
        <v>2138</v>
      </c>
      <c r="D560" s="246" t="s">
        <v>2139</v>
      </c>
      <c r="E560" s="440">
        <v>45162</v>
      </c>
      <c r="F560" s="739">
        <v>0.5551799999999999</v>
      </c>
      <c r="G560" s="306">
        <v>4379919.8279999997</v>
      </c>
      <c r="H560" s="307">
        <v>788385.56903999997</v>
      </c>
      <c r="I560" s="308">
        <v>5168305</v>
      </c>
      <c r="K560" s="823" t="s">
        <v>2158</v>
      </c>
      <c r="L560" s="273" t="s">
        <v>1595</v>
      </c>
      <c r="M560" s="665">
        <f t="shared" si="169"/>
        <v>0.19</v>
      </c>
      <c r="N560" s="273" t="s">
        <v>1593</v>
      </c>
      <c r="O560" s="896" t="s">
        <v>2196</v>
      </c>
      <c r="P560" s="688">
        <v>45721</v>
      </c>
      <c r="Q560" s="273" t="s">
        <v>2197</v>
      </c>
      <c r="R560" s="314">
        <v>5168305</v>
      </c>
      <c r="S560" s="892">
        <f t="shared" si="167"/>
        <v>1.6216215334288516E-2</v>
      </c>
      <c r="U560" s="440">
        <v>45516</v>
      </c>
      <c r="V560" s="340">
        <f t="shared" ca="1" si="164"/>
        <v>3</v>
      </c>
      <c r="W560" s="594">
        <f t="shared" ca="1" si="165"/>
        <v>2025</v>
      </c>
      <c r="X560" s="340" t="str">
        <f t="shared" ca="1" si="172"/>
        <v>1 WEEK</v>
      </c>
      <c r="Y560" s="688">
        <f t="shared" si="166"/>
        <v>45721</v>
      </c>
      <c r="Z560" s="541" cm="1">
        <f t="array" aca="1" ref="Z560" ca="1">_xlfn.IFS(AD560&lt;100,Y560,Y560&lt;TODAY(),TODAY(),Y560&gt;TODAY(),Y560,Y560=TODAY(),Y560)</f>
        <v>45721</v>
      </c>
      <c r="AA560" s="891">
        <f t="shared" si="168"/>
        <v>4083068.4782644222</v>
      </c>
      <c r="AB560" s="307">
        <f t="shared" si="173"/>
        <v>4078985.4097861578</v>
      </c>
      <c r="AC560" s="307">
        <f t="shared" si="171"/>
        <v>4083.0684782644221</v>
      </c>
      <c r="AD560" s="298">
        <f t="shared" si="156"/>
        <v>0</v>
      </c>
      <c r="AE560" s="299" t="str">
        <f t="shared" si="157"/>
        <v>Complete</v>
      </c>
      <c r="AI560" s="301">
        <f t="shared" ca="1" si="154"/>
        <v>0</v>
      </c>
      <c r="AJ560" s="302">
        <f t="shared" ca="1" si="155"/>
        <v>0</v>
      </c>
      <c r="AL560" s="303">
        <f t="shared" si="158"/>
        <v>5168305</v>
      </c>
      <c r="AM560" s="303">
        <f t="shared" si="159"/>
        <v>0</v>
      </c>
      <c r="AN560" s="303">
        <f t="shared" si="160"/>
        <v>5168305</v>
      </c>
      <c r="AO560" s="304">
        <f t="shared" si="161"/>
        <v>0</v>
      </c>
      <c r="AP560" s="273">
        <f t="shared" si="163"/>
        <v>3</v>
      </c>
      <c r="AQ560" s="273" t="str">
        <f t="shared" ca="1" si="162"/>
        <v>32025</v>
      </c>
    </row>
    <row r="561" spans="1:43" ht="16.5">
      <c r="A561" s="312">
        <v>29</v>
      </c>
      <c r="B561" s="880" t="s">
        <v>2138</v>
      </c>
      <c r="D561" s="246" t="s">
        <v>2139</v>
      </c>
      <c r="E561" s="440">
        <v>45162</v>
      </c>
      <c r="F561" s="739">
        <v>0.5551799999999999</v>
      </c>
      <c r="G561" s="306">
        <v>1123056</v>
      </c>
      <c r="H561" s="307">
        <v>202150.08</v>
      </c>
      <c r="I561" s="308">
        <v>1325206</v>
      </c>
      <c r="K561" s="823" t="s">
        <v>2158</v>
      </c>
      <c r="L561" s="273" t="s">
        <v>1595</v>
      </c>
      <c r="M561" s="665">
        <f t="shared" si="169"/>
        <v>0.19</v>
      </c>
      <c r="N561" s="273" t="s">
        <v>1593</v>
      </c>
      <c r="O561" s="896" t="s">
        <v>2198</v>
      </c>
      <c r="P561" s="688">
        <v>45595</v>
      </c>
      <c r="Q561" s="273" t="s">
        <v>2160</v>
      </c>
      <c r="R561" s="314">
        <v>1325206</v>
      </c>
      <c r="S561" s="892">
        <f t="shared" si="167"/>
        <v>4.1580026446371007E-3</v>
      </c>
      <c r="U561" s="440">
        <v>45516</v>
      </c>
      <c r="V561" s="340">
        <f t="shared" ca="1" si="164"/>
        <v>10</v>
      </c>
      <c r="W561" s="594">
        <f t="shared" ca="1" si="165"/>
        <v>2024</v>
      </c>
      <c r="X561" s="340" t="str">
        <f t="shared" ca="1" si="172"/>
        <v>5 WEEK</v>
      </c>
      <c r="Y561" s="688">
        <f t="shared" si="166"/>
        <v>45595</v>
      </c>
      <c r="Z561" s="541" cm="1">
        <f t="array" aca="1" ref="Z561" ca="1">_xlfn.IFS(AD561&lt;100,Y561,Y561&lt;TODAY(),TODAY(),Y561&gt;TODAY(),Y561,Y561=TODAY(),Y561)</f>
        <v>45595</v>
      </c>
      <c r="AA561" s="891">
        <f t="shared" si="168"/>
        <v>1046940.3113413166</v>
      </c>
      <c r="AB561" s="307">
        <f t="shared" si="173"/>
        <v>1045893.3710299752</v>
      </c>
      <c r="AC561" s="307">
        <f t="shared" si="171"/>
        <v>1046.9403113413166</v>
      </c>
      <c r="AD561" s="298">
        <f t="shared" si="156"/>
        <v>0</v>
      </c>
      <c r="AE561" s="299" t="str">
        <f t="shared" si="157"/>
        <v>Complete</v>
      </c>
      <c r="AI561" s="301">
        <f t="shared" ca="1" si="154"/>
        <v>0</v>
      </c>
      <c r="AJ561" s="302">
        <f t="shared" ca="1" si="155"/>
        <v>0</v>
      </c>
      <c r="AL561" s="303">
        <f t="shared" si="158"/>
        <v>1325206</v>
      </c>
      <c r="AM561" s="303">
        <f t="shared" si="159"/>
        <v>0</v>
      </c>
      <c r="AN561" s="303">
        <f t="shared" si="160"/>
        <v>1325206</v>
      </c>
      <c r="AO561" s="304">
        <f t="shared" si="161"/>
        <v>0</v>
      </c>
      <c r="AP561" s="273">
        <f t="shared" si="163"/>
        <v>10</v>
      </c>
      <c r="AQ561" s="273" t="str">
        <f t="shared" ca="1" si="162"/>
        <v>102024</v>
      </c>
    </row>
    <row r="562" spans="1:43" ht="16.5">
      <c r="A562" s="312">
        <v>29</v>
      </c>
      <c r="B562" s="880" t="s">
        <v>2138</v>
      </c>
      <c r="D562" s="246" t="s">
        <v>2139</v>
      </c>
      <c r="E562" s="440">
        <v>45162</v>
      </c>
      <c r="F562" s="739">
        <v>0.5551799999999999</v>
      </c>
      <c r="G562" s="306">
        <v>1123056</v>
      </c>
      <c r="H562" s="307">
        <v>202150.08</v>
      </c>
      <c r="I562" s="308">
        <v>1325206</v>
      </c>
      <c r="K562" s="823" t="s">
        <v>2158</v>
      </c>
      <c r="L562" s="273" t="s">
        <v>1595</v>
      </c>
      <c r="M562" s="665">
        <f t="shared" si="169"/>
        <v>0.19</v>
      </c>
      <c r="N562" s="273" t="s">
        <v>1593</v>
      </c>
      <c r="O562" s="896" t="s">
        <v>2199</v>
      </c>
      <c r="P562" s="688">
        <v>45595</v>
      </c>
      <c r="Q562" s="273" t="s">
        <v>2160</v>
      </c>
      <c r="R562" s="314">
        <v>1325206</v>
      </c>
      <c r="S562" s="892">
        <f t="shared" si="167"/>
        <v>4.1580026446371007E-3</v>
      </c>
      <c r="U562" s="440">
        <v>45516</v>
      </c>
      <c r="V562" s="340">
        <f t="shared" ca="1" si="164"/>
        <v>10</v>
      </c>
      <c r="W562" s="594">
        <f t="shared" ca="1" si="165"/>
        <v>2024</v>
      </c>
      <c r="X562" s="340" t="str">
        <f t="shared" ca="1" si="172"/>
        <v>5 WEEK</v>
      </c>
      <c r="Y562" s="688">
        <f t="shared" si="166"/>
        <v>45595</v>
      </c>
      <c r="Z562" s="541" cm="1">
        <f t="array" aca="1" ref="Z562" ca="1">_xlfn.IFS(AD562&lt;100,Y562,Y562&lt;TODAY(),TODAY(),Y562&gt;TODAY(),Y562,Y562=TODAY(),Y562)</f>
        <v>45595</v>
      </c>
      <c r="AA562" s="891">
        <f t="shared" si="168"/>
        <v>1046940.3113413166</v>
      </c>
      <c r="AB562" s="307">
        <f t="shared" si="173"/>
        <v>1045893.3710299752</v>
      </c>
      <c r="AC562" s="307">
        <f t="shared" si="171"/>
        <v>1046.9403113413166</v>
      </c>
      <c r="AD562" s="298">
        <f t="shared" si="156"/>
        <v>0</v>
      </c>
      <c r="AE562" s="299" t="str">
        <f t="shared" si="157"/>
        <v>Complete</v>
      </c>
      <c r="AI562" s="301">
        <f t="shared" ca="1" si="154"/>
        <v>0</v>
      </c>
      <c r="AJ562" s="302">
        <f t="shared" ca="1" si="155"/>
        <v>0</v>
      </c>
      <c r="AL562" s="303">
        <f t="shared" si="158"/>
        <v>1325206</v>
      </c>
      <c r="AM562" s="303">
        <f t="shared" si="159"/>
        <v>0</v>
      </c>
      <c r="AN562" s="303">
        <f t="shared" si="160"/>
        <v>1325206</v>
      </c>
      <c r="AO562" s="304">
        <f t="shared" si="161"/>
        <v>0</v>
      </c>
      <c r="AP562" s="273">
        <f t="shared" si="163"/>
        <v>10</v>
      </c>
      <c r="AQ562" s="273" t="str">
        <f t="shared" ca="1" si="162"/>
        <v>102024</v>
      </c>
    </row>
    <row r="563" spans="1:43" ht="16.5">
      <c r="A563" s="312">
        <v>29</v>
      </c>
      <c r="B563" s="880" t="s">
        <v>2138</v>
      </c>
      <c r="D563" s="246" t="s">
        <v>2139</v>
      </c>
      <c r="E563" s="440">
        <v>45162</v>
      </c>
      <c r="F563" s="739">
        <v>0.5551799999999999</v>
      </c>
      <c r="G563" s="306">
        <v>1123056</v>
      </c>
      <c r="H563" s="307">
        <v>202150.08</v>
      </c>
      <c r="I563" s="308">
        <v>1325206</v>
      </c>
      <c r="K563" s="823" t="s">
        <v>2158</v>
      </c>
      <c r="L563" s="273" t="s">
        <v>1595</v>
      </c>
      <c r="M563" s="665">
        <f t="shared" si="169"/>
        <v>0.19</v>
      </c>
      <c r="N563" s="273" t="s">
        <v>1593</v>
      </c>
      <c r="O563" s="896" t="s">
        <v>2200</v>
      </c>
      <c r="P563" s="688">
        <v>45595</v>
      </c>
      <c r="Q563" s="273" t="s">
        <v>2160</v>
      </c>
      <c r="R563" s="314">
        <v>1325206</v>
      </c>
      <c r="S563" s="892">
        <f t="shared" si="167"/>
        <v>4.1580026446371007E-3</v>
      </c>
      <c r="U563" s="440">
        <v>45516</v>
      </c>
      <c r="V563" s="340">
        <f t="shared" ca="1" si="164"/>
        <v>10</v>
      </c>
      <c r="W563" s="594">
        <f t="shared" ca="1" si="165"/>
        <v>2024</v>
      </c>
      <c r="X563" s="340" t="str">
        <f t="shared" ca="1" si="172"/>
        <v>5 WEEK</v>
      </c>
      <c r="Y563" s="688">
        <f t="shared" si="166"/>
        <v>45595</v>
      </c>
      <c r="Z563" s="541" cm="1">
        <f t="array" aca="1" ref="Z563" ca="1">_xlfn.IFS(AD563&lt;100,Y563,Y563&lt;TODAY(),TODAY(),Y563&gt;TODAY(),Y563,Y563=TODAY(),Y563)</f>
        <v>45595</v>
      </c>
      <c r="AA563" s="891">
        <f t="shared" si="168"/>
        <v>1046940.3113413166</v>
      </c>
      <c r="AB563" s="307">
        <f t="shared" si="173"/>
        <v>1045893.3710299752</v>
      </c>
      <c r="AC563" s="307">
        <f t="shared" si="171"/>
        <v>1046.9403113413166</v>
      </c>
      <c r="AD563" s="298">
        <f t="shared" si="156"/>
        <v>0</v>
      </c>
      <c r="AE563" s="299" t="str">
        <f t="shared" si="157"/>
        <v>Complete</v>
      </c>
      <c r="AI563" s="301">
        <f t="shared" ca="1" si="154"/>
        <v>0</v>
      </c>
      <c r="AJ563" s="302">
        <f t="shared" ca="1" si="155"/>
        <v>0</v>
      </c>
      <c r="AL563" s="303">
        <f t="shared" si="158"/>
        <v>1325206</v>
      </c>
      <c r="AM563" s="303">
        <f t="shared" si="159"/>
        <v>0</v>
      </c>
      <c r="AN563" s="303">
        <f t="shared" si="160"/>
        <v>1325206</v>
      </c>
      <c r="AO563" s="304">
        <f t="shared" si="161"/>
        <v>0</v>
      </c>
      <c r="AP563" s="273">
        <f t="shared" si="163"/>
        <v>10</v>
      </c>
      <c r="AQ563" s="273" t="str">
        <f t="shared" ca="1" si="162"/>
        <v>102024</v>
      </c>
    </row>
    <row r="564" spans="1:43" ht="16.5">
      <c r="A564" s="312">
        <v>29</v>
      </c>
      <c r="B564" s="880" t="s">
        <v>2138</v>
      </c>
      <c r="D564" s="246" t="s">
        <v>2139</v>
      </c>
      <c r="E564" s="440">
        <v>45162</v>
      </c>
      <c r="F564" s="739">
        <v>0.5551799999999999</v>
      </c>
      <c r="G564" s="306">
        <v>1123056</v>
      </c>
      <c r="H564" s="307">
        <v>202150.08</v>
      </c>
      <c r="I564" s="308">
        <v>1325206</v>
      </c>
      <c r="K564" s="823" t="s">
        <v>2158</v>
      </c>
      <c r="L564" s="273" t="s">
        <v>1595</v>
      </c>
      <c r="M564" s="665">
        <f t="shared" si="169"/>
        <v>0.19</v>
      </c>
      <c r="N564" s="273" t="s">
        <v>1593</v>
      </c>
      <c r="O564" s="888" t="s">
        <v>2201</v>
      </c>
      <c r="P564" s="688">
        <v>45595</v>
      </c>
      <c r="Q564" s="273" t="s">
        <v>2160</v>
      </c>
      <c r="R564" s="314">
        <v>1325206</v>
      </c>
      <c r="S564" s="892">
        <f t="shared" si="167"/>
        <v>4.1580026446371007E-3</v>
      </c>
      <c r="U564" s="440">
        <v>45516</v>
      </c>
      <c r="V564" s="340">
        <f t="shared" ca="1" si="164"/>
        <v>10</v>
      </c>
      <c r="W564" s="594">
        <f t="shared" ca="1" si="165"/>
        <v>2024</v>
      </c>
      <c r="X564" s="340" t="str">
        <f t="shared" ca="1" si="172"/>
        <v>5 WEEK</v>
      </c>
      <c r="Y564" s="688">
        <f t="shared" si="166"/>
        <v>45595</v>
      </c>
      <c r="Z564" s="541" cm="1">
        <f t="array" aca="1" ref="Z564" ca="1">_xlfn.IFS(AD564&lt;100,Y564,Y564&lt;TODAY(),TODAY(),Y564&gt;TODAY(),Y564,Y564=TODAY(),Y564)</f>
        <v>45595</v>
      </c>
      <c r="AA564" s="891">
        <f t="shared" si="168"/>
        <v>1046940.3113413166</v>
      </c>
      <c r="AB564" s="307">
        <f t="shared" si="173"/>
        <v>1045893.3710299752</v>
      </c>
      <c r="AC564" s="307">
        <f t="shared" si="171"/>
        <v>1046.9403113413166</v>
      </c>
      <c r="AD564" s="298">
        <f t="shared" si="156"/>
        <v>0</v>
      </c>
      <c r="AE564" s="299" t="str">
        <f t="shared" si="157"/>
        <v>Complete</v>
      </c>
      <c r="AI564" s="301">
        <f t="shared" ca="1" si="154"/>
        <v>0</v>
      </c>
      <c r="AJ564" s="302">
        <f t="shared" ca="1" si="155"/>
        <v>0</v>
      </c>
      <c r="AL564" s="303">
        <f t="shared" si="158"/>
        <v>1325206</v>
      </c>
      <c r="AM564" s="303">
        <f t="shared" si="159"/>
        <v>0</v>
      </c>
      <c r="AN564" s="303">
        <f t="shared" si="160"/>
        <v>1325206</v>
      </c>
      <c r="AO564" s="304">
        <f t="shared" si="161"/>
        <v>0</v>
      </c>
      <c r="AP564" s="273">
        <f t="shared" si="163"/>
        <v>10</v>
      </c>
      <c r="AQ564" s="273" t="str">
        <f t="shared" ca="1" si="162"/>
        <v>102024</v>
      </c>
    </row>
    <row r="565" spans="1:43" ht="16.5">
      <c r="A565" s="312">
        <v>29</v>
      </c>
      <c r="B565" s="880" t="s">
        <v>2138</v>
      </c>
      <c r="D565" s="246" t="s">
        <v>2139</v>
      </c>
      <c r="E565" s="440">
        <v>45162</v>
      </c>
      <c r="F565" s="739">
        <v>0.5551799999999999</v>
      </c>
      <c r="G565" s="306">
        <v>1123056</v>
      </c>
      <c r="H565" s="307">
        <v>202150.08</v>
      </c>
      <c r="I565" s="308">
        <v>1325206</v>
      </c>
      <c r="K565" s="823" t="s">
        <v>2158</v>
      </c>
      <c r="L565" s="273" t="s">
        <v>1595</v>
      </c>
      <c r="M565" s="665">
        <f t="shared" si="169"/>
        <v>0.19</v>
      </c>
      <c r="N565" s="273" t="s">
        <v>1593</v>
      </c>
      <c r="O565" s="889" t="s">
        <v>2202</v>
      </c>
      <c r="P565" s="688">
        <v>45595</v>
      </c>
      <c r="Q565" s="273" t="s">
        <v>2160</v>
      </c>
      <c r="R565" s="314">
        <v>1325206</v>
      </c>
      <c r="S565" s="892">
        <f t="shared" si="167"/>
        <v>4.1580026446371007E-3</v>
      </c>
      <c r="U565" s="440">
        <v>45516</v>
      </c>
      <c r="V565" s="340">
        <f t="shared" ca="1" si="164"/>
        <v>10</v>
      </c>
      <c r="W565" s="594">
        <f t="shared" ca="1" si="165"/>
        <v>2024</v>
      </c>
      <c r="X565" s="340" t="str">
        <f t="shared" ca="1" si="172"/>
        <v>5 WEEK</v>
      </c>
      <c r="Y565" s="688">
        <f t="shared" si="166"/>
        <v>45595</v>
      </c>
      <c r="Z565" s="541" cm="1">
        <f t="array" aca="1" ref="Z565" ca="1">_xlfn.IFS(AD565&lt;100,Y565,Y565&lt;TODAY(),TODAY(),Y565&gt;TODAY(),Y565,Y565=TODAY(),Y565)</f>
        <v>45595</v>
      </c>
      <c r="AA565" s="891">
        <f t="shared" si="168"/>
        <v>1046940.3113413166</v>
      </c>
      <c r="AB565" s="307">
        <f t="shared" si="173"/>
        <v>1045893.3710299752</v>
      </c>
      <c r="AC565" s="307">
        <f t="shared" si="171"/>
        <v>1046.9403113413166</v>
      </c>
      <c r="AD565" s="298">
        <f t="shared" si="156"/>
        <v>0</v>
      </c>
      <c r="AE565" s="299" t="str">
        <f t="shared" si="157"/>
        <v>Complete</v>
      </c>
      <c r="AI565" s="301">
        <f t="shared" ca="1" si="154"/>
        <v>0</v>
      </c>
      <c r="AJ565" s="302">
        <f t="shared" ca="1" si="155"/>
        <v>0</v>
      </c>
      <c r="AL565" s="303">
        <f t="shared" si="158"/>
        <v>1325206</v>
      </c>
      <c r="AM565" s="303">
        <f t="shared" si="159"/>
        <v>0</v>
      </c>
      <c r="AN565" s="303">
        <f t="shared" si="160"/>
        <v>1325206</v>
      </c>
      <c r="AO565" s="304">
        <f t="shared" si="161"/>
        <v>0</v>
      </c>
      <c r="AP565" s="273">
        <f t="shared" si="163"/>
        <v>10</v>
      </c>
      <c r="AQ565" s="273" t="str">
        <f t="shared" ca="1" si="162"/>
        <v>102024</v>
      </c>
    </row>
    <row r="566" spans="1:43" ht="16.5">
      <c r="A566" s="312">
        <v>29</v>
      </c>
      <c r="B566" s="880" t="s">
        <v>2138</v>
      </c>
      <c r="D566" s="246" t="s">
        <v>2139</v>
      </c>
      <c r="E566" s="440">
        <v>45162</v>
      </c>
      <c r="F566" s="739">
        <v>0.5551799999999999</v>
      </c>
      <c r="G566" s="306">
        <v>1123056</v>
      </c>
      <c r="H566" s="307">
        <v>202150.08</v>
      </c>
      <c r="I566" s="308">
        <v>1325206</v>
      </c>
      <c r="K566" s="823" t="s">
        <v>2158</v>
      </c>
      <c r="L566" s="273" t="s">
        <v>1595</v>
      </c>
      <c r="M566" s="665">
        <f t="shared" si="169"/>
        <v>0.19</v>
      </c>
      <c r="N566" s="273" t="s">
        <v>1593</v>
      </c>
      <c r="O566" s="889" t="s">
        <v>2203</v>
      </c>
      <c r="P566" s="688">
        <v>45595</v>
      </c>
      <c r="Q566" s="273" t="s">
        <v>2160</v>
      </c>
      <c r="R566" s="314">
        <v>1325206</v>
      </c>
      <c r="S566" s="892">
        <f t="shared" si="167"/>
        <v>4.1580026446371007E-3</v>
      </c>
      <c r="U566" s="440">
        <v>45516</v>
      </c>
      <c r="V566" s="340">
        <f t="shared" ca="1" si="164"/>
        <v>10</v>
      </c>
      <c r="W566" s="594">
        <f t="shared" ca="1" si="165"/>
        <v>2024</v>
      </c>
      <c r="X566" s="340" t="str">
        <f t="shared" ca="1" si="172"/>
        <v>5 WEEK</v>
      </c>
      <c r="Y566" s="688">
        <f t="shared" si="166"/>
        <v>45595</v>
      </c>
      <c r="Z566" s="541" cm="1">
        <f t="array" aca="1" ref="Z566" ca="1">_xlfn.IFS(AD566&lt;100,Y566,Y566&lt;TODAY(),TODAY(),Y566&gt;TODAY(),Y566,Y566=TODAY(),Y566)</f>
        <v>45595</v>
      </c>
      <c r="AA566" s="891">
        <f t="shared" si="168"/>
        <v>1046940.3113413166</v>
      </c>
      <c r="AB566" s="307">
        <f t="shared" si="173"/>
        <v>1045893.3710299752</v>
      </c>
      <c r="AC566" s="307">
        <f t="shared" si="171"/>
        <v>1046.9403113413166</v>
      </c>
      <c r="AD566" s="298">
        <f t="shared" si="156"/>
        <v>0</v>
      </c>
      <c r="AE566" s="299" t="str">
        <f t="shared" si="157"/>
        <v>Complete</v>
      </c>
      <c r="AI566" s="301">
        <f t="shared" ca="1" si="154"/>
        <v>0</v>
      </c>
      <c r="AJ566" s="302">
        <f t="shared" ca="1" si="155"/>
        <v>0</v>
      </c>
      <c r="AL566" s="303">
        <f t="shared" si="158"/>
        <v>1325206</v>
      </c>
      <c r="AM566" s="303">
        <f t="shared" si="159"/>
        <v>0</v>
      </c>
      <c r="AN566" s="303">
        <f t="shared" si="160"/>
        <v>1325206</v>
      </c>
      <c r="AO566" s="304">
        <f t="shared" si="161"/>
        <v>0</v>
      </c>
      <c r="AP566" s="273">
        <f t="shared" si="163"/>
        <v>10</v>
      </c>
      <c r="AQ566" s="273" t="str">
        <f t="shared" ca="1" si="162"/>
        <v>102024</v>
      </c>
    </row>
    <row r="567" spans="1:43" ht="16.5">
      <c r="A567" s="312">
        <v>29</v>
      </c>
      <c r="B567" s="880" t="s">
        <v>2138</v>
      </c>
      <c r="D567" s="246" t="s">
        <v>2139</v>
      </c>
      <c r="E567" s="440">
        <v>45162</v>
      </c>
      <c r="F567" s="739">
        <v>0.5551799999999999</v>
      </c>
      <c r="G567" s="306">
        <v>1123056</v>
      </c>
      <c r="H567" s="307">
        <v>202150.08</v>
      </c>
      <c r="I567" s="308">
        <v>1325206</v>
      </c>
      <c r="K567" s="823" t="s">
        <v>2158</v>
      </c>
      <c r="L567" s="273" t="s">
        <v>1595</v>
      </c>
      <c r="M567" s="665">
        <f t="shared" si="169"/>
        <v>0.19</v>
      </c>
      <c r="N567" s="273" t="s">
        <v>1593</v>
      </c>
      <c r="O567" s="889" t="s">
        <v>2204</v>
      </c>
      <c r="P567" s="688">
        <v>45595</v>
      </c>
      <c r="Q567" s="273" t="s">
        <v>2160</v>
      </c>
      <c r="R567" s="314">
        <v>1325206</v>
      </c>
      <c r="S567" s="892">
        <f t="shared" si="167"/>
        <v>4.1580026446371007E-3</v>
      </c>
      <c r="U567" s="440">
        <v>45516</v>
      </c>
      <c r="V567" s="340">
        <f t="shared" ca="1" si="164"/>
        <v>10</v>
      </c>
      <c r="W567" s="594">
        <f t="shared" ca="1" si="165"/>
        <v>2024</v>
      </c>
      <c r="X567" s="340" t="str">
        <f t="shared" ca="1" si="172"/>
        <v>5 WEEK</v>
      </c>
      <c r="Y567" s="688">
        <f t="shared" si="166"/>
        <v>45595</v>
      </c>
      <c r="Z567" s="541" cm="1">
        <f t="array" aca="1" ref="Z567" ca="1">_xlfn.IFS(AD567&lt;100,Y567,Y567&lt;TODAY(),TODAY(),Y567&gt;TODAY(),Y567,Y567=TODAY(),Y567)</f>
        <v>45595</v>
      </c>
      <c r="AA567" s="891">
        <f t="shared" si="168"/>
        <v>1046940.3113413166</v>
      </c>
      <c r="AB567" s="307">
        <f t="shared" si="173"/>
        <v>1045893.3710299752</v>
      </c>
      <c r="AC567" s="307">
        <f t="shared" si="171"/>
        <v>1046.9403113413166</v>
      </c>
      <c r="AD567" s="298">
        <f t="shared" si="156"/>
        <v>0</v>
      </c>
      <c r="AE567" s="299" t="str">
        <f t="shared" si="157"/>
        <v>Complete</v>
      </c>
      <c r="AI567" s="301">
        <f t="shared" ca="1" si="154"/>
        <v>0</v>
      </c>
      <c r="AJ567" s="302">
        <f t="shared" ca="1" si="155"/>
        <v>0</v>
      </c>
      <c r="AL567" s="303">
        <f t="shared" si="158"/>
        <v>1325206</v>
      </c>
      <c r="AM567" s="303">
        <f t="shared" si="159"/>
        <v>0</v>
      </c>
      <c r="AN567" s="303">
        <f t="shared" si="160"/>
        <v>1325206</v>
      </c>
      <c r="AO567" s="304">
        <f t="shared" si="161"/>
        <v>0</v>
      </c>
      <c r="AP567" s="273">
        <f t="shared" si="163"/>
        <v>10</v>
      </c>
      <c r="AQ567" s="273" t="str">
        <f t="shared" ca="1" si="162"/>
        <v>102024</v>
      </c>
    </row>
    <row r="568" spans="1:43" ht="16.5">
      <c r="A568" s="312">
        <v>29</v>
      </c>
      <c r="B568" s="880" t="s">
        <v>2138</v>
      </c>
      <c r="D568" s="246" t="s">
        <v>2139</v>
      </c>
      <c r="E568" s="440">
        <v>45162</v>
      </c>
      <c r="F568" s="739">
        <v>0.5551799999999999</v>
      </c>
      <c r="G568" s="306">
        <v>1123056</v>
      </c>
      <c r="H568" s="307">
        <v>202150.08</v>
      </c>
      <c r="I568" s="308">
        <v>1325206</v>
      </c>
      <c r="K568" s="823" t="s">
        <v>2158</v>
      </c>
      <c r="L568" s="273" t="s">
        <v>1595</v>
      </c>
      <c r="M568" s="665">
        <f t="shared" si="169"/>
        <v>0.19</v>
      </c>
      <c r="N568" s="273" t="s">
        <v>1593</v>
      </c>
      <c r="O568" s="889" t="s">
        <v>2205</v>
      </c>
      <c r="P568" s="688">
        <v>45595</v>
      </c>
      <c r="Q568" s="273" t="s">
        <v>2160</v>
      </c>
      <c r="R568" s="314">
        <v>1325206</v>
      </c>
      <c r="S568" s="892">
        <f t="shared" si="167"/>
        <v>4.1580026446371007E-3</v>
      </c>
      <c r="U568" s="440">
        <v>45516</v>
      </c>
      <c r="V568" s="340">
        <f t="shared" ca="1" si="164"/>
        <v>10</v>
      </c>
      <c r="W568" s="594">
        <f t="shared" ca="1" si="165"/>
        <v>2024</v>
      </c>
      <c r="X568" s="340" t="str">
        <f t="shared" ca="1" si="172"/>
        <v>5 WEEK</v>
      </c>
      <c r="Y568" s="688">
        <f t="shared" si="166"/>
        <v>45595</v>
      </c>
      <c r="Z568" s="541" cm="1">
        <f t="array" aca="1" ref="Z568" ca="1">_xlfn.IFS(AD568&lt;100,Y568,Y568&lt;TODAY(),TODAY(),Y568&gt;TODAY(),Y568,Y568=TODAY(),Y568)</f>
        <v>45595</v>
      </c>
      <c r="AA568" s="891">
        <f t="shared" si="168"/>
        <v>1046940.3113413166</v>
      </c>
      <c r="AB568" s="307">
        <f t="shared" si="173"/>
        <v>1045893.3710299752</v>
      </c>
      <c r="AC568" s="307">
        <f t="shared" si="171"/>
        <v>1046.9403113413166</v>
      </c>
      <c r="AD568" s="298">
        <f t="shared" si="156"/>
        <v>0</v>
      </c>
      <c r="AE568" s="299" t="str">
        <f t="shared" si="157"/>
        <v>Complete</v>
      </c>
      <c r="AI568" s="301">
        <f t="shared" ca="1" si="154"/>
        <v>0</v>
      </c>
      <c r="AJ568" s="302">
        <f t="shared" ca="1" si="155"/>
        <v>0</v>
      </c>
      <c r="AL568" s="303">
        <f t="shared" si="158"/>
        <v>1325206</v>
      </c>
      <c r="AM568" s="303">
        <f t="shared" si="159"/>
        <v>0</v>
      </c>
      <c r="AN568" s="303">
        <f t="shared" si="160"/>
        <v>1325206</v>
      </c>
      <c r="AO568" s="304">
        <f t="shared" si="161"/>
        <v>0</v>
      </c>
      <c r="AP568" s="273">
        <f t="shared" si="163"/>
        <v>10</v>
      </c>
      <c r="AQ568" s="273" t="str">
        <f t="shared" ca="1" si="162"/>
        <v>102024</v>
      </c>
    </row>
    <row r="569" spans="1:43" ht="16.5">
      <c r="A569" s="312">
        <v>29</v>
      </c>
      <c r="B569" s="880" t="s">
        <v>2138</v>
      </c>
      <c r="D569" s="246" t="s">
        <v>2139</v>
      </c>
      <c r="E569" s="440">
        <v>45162</v>
      </c>
      <c r="F569" s="739">
        <v>0.5551799999999999</v>
      </c>
      <c r="G569" s="306">
        <v>1123056</v>
      </c>
      <c r="H569" s="307">
        <v>202150.08</v>
      </c>
      <c r="I569" s="308">
        <v>1325206</v>
      </c>
      <c r="K569" s="823" t="s">
        <v>2158</v>
      </c>
      <c r="L569" s="273" t="s">
        <v>1595</v>
      </c>
      <c r="M569" s="665">
        <f t="shared" si="169"/>
        <v>0.19</v>
      </c>
      <c r="N569" s="273" t="s">
        <v>1593</v>
      </c>
      <c r="O569" s="889" t="s">
        <v>2206</v>
      </c>
      <c r="P569" s="688">
        <v>45595</v>
      </c>
      <c r="Q569" s="273" t="s">
        <v>2160</v>
      </c>
      <c r="R569" s="314">
        <v>1325206</v>
      </c>
      <c r="S569" s="892">
        <f t="shared" si="167"/>
        <v>4.1580026446371007E-3</v>
      </c>
      <c r="U569" s="440">
        <v>45516</v>
      </c>
      <c r="V569" s="340">
        <f t="shared" ca="1" si="164"/>
        <v>10</v>
      </c>
      <c r="W569" s="594">
        <f t="shared" ca="1" si="165"/>
        <v>2024</v>
      </c>
      <c r="X569" s="340" t="str">
        <f t="shared" ca="1" si="172"/>
        <v>5 WEEK</v>
      </c>
      <c r="Y569" s="688">
        <f t="shared" si="166"/>
        <v>45595</v>
      </c>
      <c r="Z569" s="541" cm="1">
        <f t="array" aca="1" ref="Z569" ca="1">_xlfn.IFS(AD569&lt;100,Y569,Y569&lt;TODAY(),TODAY(),Y569&gt;TODAY(),Y569,Y569=TODAY(),Y569)</f>
        <v>45595</v>
      </c>
      <c r="AA569" s="891">
        <f t="shared" si="168"/>
        <v>1046940.3113413166</v>
      </c>
      <c r="AB569" s="307">
        <f t="shared" si="173"/>
        <v>1045893.3710299752</v>
      </c>
      <c r="AC569" s="307">
        <f t="shared" si="171"/>
        <v>1046.9403113413166</v>
      </c>
      <c r="AD569" s="298">
        <f t="shared" si="156"/>
        <v>0</v>
      </c>
      <c r="AE569" s="299" t="str">
        <f t="shared" si="157"/>
        <v>Complete</v>
      </c>
      <c r="AI569" s="301">
        <f t="shared" ca="1" si="154"/>
        <v>0</v>
      </c>
      <c r="AJ569" s="302">
        <f t="shared" ca="1" si="155"/>
        <v>0</v>
      </c>
      <c r="AL569" s="303">
        <f t="shared" si="158"/>
        <v>1325206</v>
      </c>
      <c r="AM569" s="303">
        <f t="shared" si="159"/>
        <v>0</v>
      </c>
      <c r="AN569" s="303">
        <f t="shared" si="160"/>
        <v>1325206</v>
      </c>
      <c r="AO569" s="304">
        <f t="shared" si="161"/>
        <v>0</v>
      </c>
      <c r="AP569" s="273">
        <f t="shared" si="163"/>
        <v>10</v>
      </c>
      <c r="AQ569" s="273" t="str">
        <f t="shared" ca="1" si="162"/>
        <v>102024</v>
      </c>
    </row>
    <row r="570" spans="1:43" ht="16.5">
      <c r="A570" s="312">
        <v>29</v>
      </c>
      <c r="B570" s="880" t="s">
        <v>2138</v>
      </c>
      <c r="D570" s="246" t="s">
        <v>2139</v>
      </c>
      <c r="E570" s="440">
        <v>45162</v>
      </c>
      <c r="F570" s="739">
        <v>0.5551799999999999</v>
      </c>
      <c r="G570" s="306">
        <v>1123056</v>
      </c>
      <c r="H570" s="307">
        <v>202150.08</v>
      </c>
      <c r="I570" s="308">
        <v>1325206</v>
      </c>
      <c r="K570" s="823" t="s">
        <v>2158</v>
      </c>
      <c r="L570" s="273" t="s">
        <v>1595</v>
      </c>
      <c r="M570" s="665">
        <f t="shared" si="169"/>
        <v>0.19</v>
      </c>
      <c r="N570" s="273" t="s">
        <v>1593</v>
      </c>
      <c r="O570" s="889" t="s">
        <v>2207</v>
      </c>
      <c r="P570" s="688">
        <v>45595</v>
      </c>
      <c r="Q570" s="273" t="s">
        <v>2160</v>
      </c>
      <c r="R570" s="314">
        <v>1325206</v>
      </c>
      <c r="S570" s="892">
        <f t="shared" si="167"/>
        <v>4.1580026446371007E-3</v>
      </c>
      <c r="U570" s="440">
        <v>45516</v>
      </c>
      <c r="V570" s="340">
        <f t="shared" ca="1" si="164"/>
        <v>10</v>
      </c>
      <c r="W570" s="594">
        <f t="shared" ca="1" si="165"/>
        <v>2024</v>
      </c>
      <c r="X570" s="340" t="str">
        <f t="shared" ca="1" si="172"/>
        <v>5 WEEK</v>
      </c>
      <c r="Y570" s="688">
        <f t="shared" si="166"/>
        <v>45595</v>
      </c>
      <c r="Z570" s="541" cm="1">
        <f t="array" aca="1" ref="Z570" ca="1">_xlfn.IFS(AD570&lt;100,Y570,Y570&lt;TODAY(),TODAY(),Y570&gt;TODAY(),Y570,Y570=TODAY(),Y570)</f>
        <v>45595</v>
      </c>
      <c r="AA570" s="891">
        <f t="shared" si="168"/>
        <v>1046940.3113413166</v>
      </c>
      <c r="AB570" s="307">
        <f t="shared" si="173"/>
        <v>1045893.3710299752</v>
      </c>
      <c r="AC570" s="307">
        <f t="shared" si="171"/>
        <v>1046.9403113413166</v>
      </c>
      <c r="AD570" s="298">
        <f t="shared" si="156"/>
        <v>0</v>
      </c>
      <c r="AE570" s="299" t="str">
        <f t="shared" si="157"/>
        <v>Complete</v>
      </c>
      <c r="AI570" s="301">
        <f t="shared" ca="1" si="154"/>
        <v>0</v>
      </c>
      <c r="AJ570" s="302">
        <f t="shared" ca="1" si="155"/>
        <v>0</v>
      </c>
      <c r="AL570" s="303">
        <f t="shared" si="158"/>
        <v>1325206</v>
      </c>
      <c r="AM570" s="303">
        <f t="shared" si="159"/>
        <v>0</v>
      </c>
      <c r="AN570" s="303">
        <f t="shared" si="160"/>
        <v>1325206</v>
      </c>
      <c r="AO570" s="304">
        <f t="shared" si="161"/>
        <v>0</v>
      </c>
      <c r="AP570" s="273">
        <f t="shared" si="163"/>
        <v>10</v>
      </c>
      <c r="AQ570" s="273" t="str">
        <f t="shared" ca="1" si="162"/>
        <v>102024</v>
      </c>
    </row>
    <row r="571" spans="1:43" ht="16.5">
      <c r="A571" s="312">
        <v>29</v>
      </c>
      <c r="B571" s="880" t="s">
        <v>2138</v>
      </c>
      <c r="D571" s="246" t="s">
        <v>2139</v>
      </c>
      <c r="E571" s="440">
        <v>45162</v>
      </c>
      <c r="F571" s="739">
        <v>0.5551799999999999</v>
      </c>
      <c r="G571" s="306">
        <v>1123056</v>
      </c>
      <c r="H571" s="307">
        <v>202150.08</v>
      </c>
      <c r="I571" s="308">
        <v>1325206</v>
      </c>
      <c r="K571" s="823" t="s">
        <v>2158</v>
      </c>
      <c r="L571" s="273" t="s">
        <v>1595</v>
      </c>
      <c r="M571" s="665">
        <f t="shared" si="169"/>
        <v>0.19</v>
      </c>
      <c r="N571" s="273" t="s">
        <v>1593</v>
      </c>
      <c r="O571" s="889" t="s">
        <v>2208</v>
      </c>
      <c r="P571" s="688">
        <v>45595</v>
      </c>
      <c r="Q571" s="273" t="s">
        <v>2160</v>
      </c>
      <c r="R571" s="314">
        <v>1325206</v>
      </c>
      <c r="S571" s="892">
        <f t="shared" si="167"/>
        <v>4.1580026446371007E-3</v>
      </c>
      <c r="U571" s="440">
        <v>45516</v>
      </c>
      <c r="V571" s="340">
        <f t="shared" ca="1" si="164"/>
        <v>10</v>
      </c>
      <c r="W571" s="594">
        <f t="shared" ca="1" si="165"/>
        <v>2024</v>
      </c>
      <c r="X571" s="340" t="str">
        <f t="shared" ca="1" si="172"/>
        <v>5 WEEK</v>
      </c>
      <c r="Y571" s="688">
        <f t="shared" si="166"/>
        <v>45595</v>
      </c>
      <c r="Z571" s="541" cm="1">
        <f t="array" aca="1" ref="Z571" ca="1">_xlfn.IFS(AD571&lt;100,Y571,Y571&lt;TODAY(),TODAY(),Y571&gt;TODAY(),Y571,Y571=TODAY(),Y571)</f>
        <v>45595</v>
      </c>
      <c r="AA571" s="891">
        <f t="shared" si="168"/>
        <v>1046940.3113413166</v>
      </c>
      <c r="AB571" s="307">
        <f t="shared" si="173"/>
        <v>1045893.3710299752</v>
      </c>
      <c r="AC571" s="307">
        <f t="shared" si="171"/>
        <v>1046.9403113413166</v>
      </c>
      <c r="AD571" s="298">
        <f t="shared" si="156"/>
        <v>0</v>
      </c>
      <c r="AE571" s="299" t="str">
        <f t="shared" si="157"/>
        <v>Complete</v>
      </c>
      <c r="AI571" s="301">
        <f t="shared" ca="1" si="154"/>
        <v>0</v>
      </c>
      <c r="AJ571" s="302">
        <f t="shared" ca="1" si="155"/>
        <v>0</v>
      </c>
      <c r="AL571" s="303">
        <f t="shared" si="158"/>
        <v>1325206</v>
      </c>
      <c r="AM571" s="303">
        <f t="shared" si="159"/>
        <v>0</v>
      </c>
      <c r="AN571" s="303">
        <f t="shared" si="160"/>
        <v>1325206</v>
      </c>
      <c r="AO571" s="304">
        <f t="shared" si="161"/>
        <v>0</v>
      </c>
      <c r="AP571" s="273">
        <f t="shared" si="163"/>
        <v>10</v>
      </c>
      <c r="AQ571" s="273" t="str">
        <f t="shared" ca="1" si="162"/>
        <v>102024</v>
      </c>
    </row>
    <row r="572" spans="1:43" ht="16.5">
      <c r="A572" s="312">
        <v>29</v>
      </c>
      <c r="B572" s="880" t="s">
        <v>2138</v>
      </c>
      <c r="D572" s="246" t="s">
        <v>2139</v>
      </c>
      <c r="E572" s="440">
        <v>45162</v>
      </c>
      <c r="F572" s="739">
        <v>0.5551799999999999</v>
      </c>
      <c r="G572" s="306">
        <v>1123056</v>
      </c>
      <c r="H572" s="307">
        <v>202150.08</v>
      </c>
      <c r="I572" s="308">
        <v>1325206</v>
      </c>
      <c r="K572" s="823" t="s">
        <v>2158</v>
      </c>
      <c r="L572" s="273" t="s">
        <v>1595</v>
      </c>
      <c r="M572" s="665">
        <f t="shared" si="169"/>
        <v>0.19</v>
      </c>
      <c r="N572" s="273" t="s">
        <v>1593</v>
      </c>
      <c r="O572" s="889" t="s">
        <v>2209</v>
      </c>
      <c r="P572" s="688">
        <v>45595</v>
      </c>
      <c r="Q572" s="273" t="s">
        <v>2160</v>
      </c>
      <c r="R572" s="314">
        <v>1325206</v>
      </c>
      <c r="S572" s="892">
        <f t="shared" si="167"/>
        <v>4.1580026446371007E-3</v>
      </c>
      <c r="U572" s="440">
        <v>45516</v>
      </c>
      <c r="V572" s="340">
        <f t="shared" ca="1" si="164"/>
        <v>10</v>
      </c>
      <c r="W572" s="594">
        <f t="shared" ca="1" si="165"/>
        <v>2024</v>
      </c>
      <c r="X572" s="340" t="str">
        <f t="shared" ca="1" si="172"/>
        <v>5 WEEK</v>
      </c>
      <c r="Y572" s="688">
        <f t="shared" si="166"/>
        <v>45595</v>
      </c>
      <c r="Z572" s="541" cm="1">
        <f t="array" aca="1" ref="Z572" ca="1">_xlfn.IFS(AD572&lt;100,Y572,Y572&lt;TODAY(),TODAY(),Y572&gt;TODAY(),Y572,Y572=TODAY(),Y572)</f>
        <v>45595</v>
      </c>
      <c r="AA572" s="891">
        <f t="shared" si="168"/>
        <v>1046940.3113413166</v>
      </c>
      <c r="AB572" s="307">
        <f t="shared" si="173"/>
        <v>1045893.3710299752</v>
      </c>
      <c r="AC572" s="307">
        <f t="shared" si="171"/>
        <v>1046.9403113413166</v>
      </c>
      <c r="AD572" s="298">
        <f t="shared" si="156"/>
        <v>0</v>
      </c>
      <c r="AE572" s="299" t="str">
        <f t="shared" si="157"/>
        <v>Complete</v>
      </c>
      <c r="AI572" s="301">
        <f t="shared" ca="1" si="154"/>
        <v>0</v>
      </c>
      <c r="AJ572" s="302">
        <f t="shared" ca="1" si="155"/>
        <v>0</v>
      </c>
      <c r="AL572" s="303">
        <f t="shared" si="158"/>
        <v>1325206</v>
      </c>
      <c r="AM572" s="303">
        <f t="shared" si="159"/>
        <v>0</v>
      </c>
      <c r="AN572" s="303">
        <f t="shared" si="160"/>
        <v>1325206</v>
      </c>
      <c r="AO572" s="304">
        <f t="shared" si="161"/>
        <v>0</v>
      </c>
      <c r="AP572" s="273">
        <f t="shared" si="163"/>
        <v>10</v>
      </c>
      <c r="AQ572" s="273" t="str">
        <f t="shared" ca="1" si="162"/>
        <v>102024</v>
      </c>
    </row>
    <row r="573" spans="1:43" ht="17.25" thickBot="1">
      <c r="A573" s="312">
        <v>29</v>
      </c>
      <c r="B573" s="880" t="s">
        <v>2138</v>
      </c>
      <c r="D573" s="246" t="s">
        <v>2139</v>
      </c>
      <c r="E573" s="440">
        <v>45162</v>
      </c>
      <c r="F573" s="739">
        <v>0.5551799999999999</v>
      </c>
      <c r="G573" s="306">
        <v>1123056</v>
      </c>
      <c r="H573" s="307">
        <v>202150.08</v>
      </c>
      <c r="I573" s="308">
        <v>1325206</v>
      </c>
      <c r="K573" s="823" t="s">
        <v>2158</v>
      </c>
      <c r="L573" s="273" t="s">
        <v>1595</v>
      </c>
      <c r="M573" s="665">
        <f t="shared" si="169"/>
        <v>0.19</v>
      </c>
      <c r="N573" s="273" t="s">
        <v>1593</v>
      </c>
      <c r="O573" s="886" t="s">
        <v>2210</v>
      </c>
      <c r="P573" s="688">
        <v>45595</v>
      </c>
      <c r="Q573" s="273" t="s">
        <v>2160</v>
      </c>
      <c r="R573" s="314">
        <v>1325206</v>
      </c>
      <c r="S573" s="899">
        <f t="shared" si="167"/>
        <v>4.1580026446371007E-3</v>
      </c>
      <c r="U573" s="440">
        <v>45516</v>
      </c>
      <c r="V573" s="340">
        <f t="shared" ca="1" si="164"/>
        <v>10</v>
      </c>
      <c r="W573" s="594">
        <f t="shared" ca="1" si="165"/>
        <v>2024</v>
      </c>
      <c r="X573" s="340" t="str">
        <f t="shared" ca="1" si="172"/>
        <v>5 WEEK</v>
      </c>
      <c r="Y573" s="688">
        <f t="shared" si="166"/>
        <v>45595</v>
      </c>
      <c r="Z573" s="541" cm="1">
        <f t="array" aca="1" ref="Z573" ca="1">_xlfn.IFS(AD573&lt;100,Y573,Y573&lt;TODAY(),TODAY(),Y573&gt;TODAY(),Y573,Y573=TODAY(),Y573)</f>
        <v>45595</v>
      </c>
      <c r="AA573" s="891">
        <f t="shared" si="168"/>
        <v>1046940.3113413166</v>
      </c>
      <c r="AB573" s="307">
        <f t="shared" si="173"/>
        <v>1045893.3710299752</v>
      </c>
      <c r="AC573" s="307">
        <f t="shared" si="171"/>
        <v>1046.9403113413166</v>
      </c>
      <c r="AD573" s="298">
        <f t="shared" si="156"/>
        <v>0</v>
      </c>
      <c r="AE573" s="299" t="str">
        <f t="shared" si="157"/>
        <v>Complete</v>
      </c>
      <c r="AI573" s="301">
        <f t="shared" ca="1" si="154"/>
        <v>0</v>
      </c>
      <c r="AJ573" s="302">
        <f t="shared" ca="1" si="155"/>
        <v>0</v>
      </c>
      <c r="AL573" s="303">
        <f t="shared" si="158"/>
        <v>1325206</v>
      </c>
      <c r="AM573" s="303">
        <f t="shared" si="159"/>
        <v>0</v>
      </c>
      <c r="AN573" s="303">
        <f t="shared" si="160"/>
        <v>1325206</v>
      </c>
      <c r="AO573" s="304">
        <f t="shared" si="161"/>
        <v>0</v>
      </c>
      <c r="AP573" s="273">
        <f t="shared" si="163"/>
        <v>10</v>
      </c>
      <c r="AQ573" s="273" t="str">
        <f t="shared" ca="1" si="162"/>
        <v>102024</v>
      </c>
    </row>
    <row r="574" spans="1:43" ht="16.5">
      <c r="A574" s="312">
        <v>29</v>
      </c>
      <c r="B574" s="880" t="s">
        <v>2138</v>
      </c>
      <c r="D574" s="246" t="s">
        <v>2139</v>
      </c>
      <c r="E574" s="440">
        <v>45162</v>
      </c>
      <c r="F574" s="739">
        <v>0.5551799999999999</v>
      </c>
      <c r="G574" s="306">
        <v>67383382</v>
      </c>
      <c r="H574" s="307">
        <v>12129008.76</v>
      </c>
      <c r="I574" s="308">
        <v>79512391</v>
      </c>
      <c r="K574" s="823" t="s">
        <v>2211</v>
      </c>
      <c r="L574" s="273" t="s">
        <v>1595</v>
      </c>
      <c r="M574" s="665">
        <f>10%*95%</f>
        <v>9.5000000000000001E-2</v>
      </c>
      <c r="N574" s="273" t="s">
        <v>1593</v>
      </c>
      <c r="O574" s="886" t="s">
        <v>2212</v>
      </c>
      <c r="P574" s="688">
        <v>45382</v>
      </c>
      <c r="Q574" s="273" t="s">
        <v>2213</v>
      </c>
      <c r="R574" s="314">
        <v>79512391</v>
      </c>
      <c r="S574" s="900">
        <f>I574/SUM($I$574:$I$578)</f>
        <v>0.59999999396320514</v>
      </c>
      <c r="U574" s="440">
        <v>45516</v>
      </c>
      <c r="V574" s="340">
        <f t="shared" ca="1" si="164"/>
        <v>3</v>
      </c>
      <c r="W574" s="594">
        <f t="shared" ca="1" si="165"/>
        <v>2024</v>
      </c>
      <c r="X574" s="340" t="str">
        <f t="shared" ca="1" si="172"/>
        <v>5 WEEK</v>
      </c>
      <c r="Y574" s="688">
        <f t="shared" si="166"/>
        <v>45382</v>
      </c>
      <c r="Z574" s="541" cm="1">
        <f t="array" aca="1" ref="Z574" ca="1">_xlfn.IFS(AD574&lt;100,Y574,Y574&lt;TODAY(),TODAY(),Y574&gt;TODAY(),Y574,Y574=TODAY(),Y574)</f>
        <v>45382</v>
      </c>
      <c r="AA574" s="891">
        <f>SUM($I$513:$I$586)*$M$574*S574</f>
        <v>75536770.196000025</v>
      </c>
      <c r="AB574" s="307">
        <f>AA574-AC574</f>
        <v>75461233.425804019</v>
      </c>
      <c r="AC574" s="307">
        <f>AA574*0.1%</f>
        <v>75536.770196000027</v>
      </c>
      <c r="AD574" s="298">
        <f t="shared" si="156"/>
        <v>0</v>
      </c>
      <c r="AE574" s="299" t="str">
        <f t="shared" si="157"/>
        <v>Complete</v>
      </c>
      <c r="AI574" s="301">
        <f t="shared" ca="1" si="154"/>
        <v>0</v>
      </c>
      <c r="AJ574" s="302">
        <f t="shared" ca="1" si="155"/>
        <v>0</v>
      </c>
      <c r="AL574" s="303">
        <f t="shared" si="158"/>
        <v>79512391</v>
      </c>
      <c r="AM574" s="303">
        <f t="shared" si="159"/>
        <v>0</v>
      </c>
      <c r="AN574" s="303">
        <f t="shared" si="160"/>
        <v>79512391</v>
      </c>
      <c r="AO574" s="304">
        <f t="shared" si="161"/>
        <v>0</v>
      </c>
      <c r="AP574" s="273">
        <f t="shared" si="163"/>
        <v>3</v>
      </c>
      <c r="AQ574" s="273" t="str">
        <f t="shared" ca="1" si="162"/>
        <v>32024</v>
      </c>
    </row>
    <row r="575" spans="1:43" ht="16.5">
      <c r="A575" s="312">
        <v>29</v>
      </c>
      <c r="B575" s="880" t="s">
        <v>2138</v>
      </c>
      <c r="D575" s="246" t="s">
        <v>2139</v>
      </c>
      <c r="E575" s="440">
        <v>45162</v>
      </c>
      <c r="F575" s="739">
        <v>0.5551799999999999</v>
      </c>
      <c r="G575" s="306">
        <v>22461127</v>
      </c>
      <c r="H575" s="307">
        <v>4043002.86</v>
      </c>
      <c r="I575" s="308">
        <v>26504130</v>
      </c>
      <c r="K575" s="823" t="s">
        <v>2211</v>
      </c>
      <c r="L575" s="273" t="s">
        <v>1595</v>
      </c>
      <c r="M575" s="665">
        <f t="shared" ref="M575:M578" si="174">10%*95%</f>
        <v>9.5000000000000001E-2</v>
      </c>
      <c r="N575" s="273" t="s">
        <v>1593</v>
      </c>
      <c r="O575" s="886" t="s">
        <v>2214</v>
      </c>
      <c r="P575" s="688">
        <v>45412</v>
      </c>
      <c r="Q575" s="273" t="s">
        <v>2215</v>
      </c>
      <c r="R575" s="314">
        <v>26504130</v>
      </c>
      <c r="S575" s="901">
        <f>I575/SUM($I$574:$I$578)</f>
        <v>0.19999999547240382</v>
      </c>
      <c r="U575" s="440">
        <v>45516</v>
      </c>
      <c r="V575" s="340">
        <f t="shared" ca="1" si="164"/>
        <v>4</v>
      </c>
      <c r="W575" s="594">
        <f t="shared" ca="1" si="165"/>
        <v>2024</v>
      </c>
      <c r="X575" s="340" t="str">
        <f t="shared" ca="1" si="172"/>
        <v>5 WEEK</v>
      </c>
      <c r="Y575" s="688">
        <f t="shared" si="166"/>
        <v>45412</v>
      </c>
      <c r="Z575" s="541" cm="1">
        <f t="array" aca="1" ref="Z575" ca="1">_xlfn.IFS(AD575&lt;100,Y575,Y575&lt;TODAY(),TODAY(),Y575&gt;TODAY(),Y575,Y575=TODAY(),Y575)</f>
        <v>45412</v>
      </c>
      <c r="AA575" s="891">
        <f>SUM($I$513:$I$586)*$M$574*S575</f>
        <v>25178923.08200001</v>
      </c>
      <c r="AB575" s="307">
        <f t="shared" ref="AB575:AB582" si="175">AA575-AC575</f>
        <v>25153744.158918008</v>
      </c>
      <c r="AC575" s="307">
        <f t="shared" ref="AC575:AC582" si="176">AA575*0.1%</f>
        <v>25178.923082000008</v>
      </c>
      <c r="AD575" s="298">
        <f t="shared" si="156"/>
        <v>0</v>
      </c>
      <c r="AE575" s="299" t="str">
        <f t="shared" si="157"/>
        <v>Complete</v>
      </c>
      <c r="AI575" s="301">
        <f t="shared" ca="1" si="154"/>
        <v>0</v>
      </c>
      <c r="AJ575" s="302">
        <f t="shared" ca="1" si="155"/>
        <v>0</v>
      </c>
      <c r="AL575" s="303">
        <f t="shared" si="158"/>
        <v>26504130</v>
      </c>
      <c r="AM575" s="303">
        <f t="shared" si="159"/>
        <v>0</v>
      </c>
      <c r="AN575" s="303">
        <f t="shared" si="160"/>
        <v>26504130</v>
      </c>
      <c r="AO575" s="304">
        <f t="shared" si="161"/>
        <v>0</v>
      </c>
      <c r="AP575" s="273">
        <f t="shared" si="163"/>
        <v>4</v>
      </c>
      <c r="AQ575" s="273" t="str">
        <f t="shared" ca="1" si="162"/>
        <v>42024</v>
      </c>
    </row>
    <row r="576" spans="1:43" ht="16.5">
      <c r="A576" s="312">
        <v>29</v>
      </c>
      <c r="B576" s="880" t="s">
        <v>2138</v>
      </c>
      <c r="D576" s="246" t="s">
        <v>2139</v>
      </c>
      <c r="E576" s="440">
        <v>45162</v>
      </c>
      <c r="F576" s="739">
        <v>0.5551799999999999</v>
      </c>
      <c r="G576" s="306">
        <v>11230564</v>
      </c>
      <c r="H576" s="307">
        <v>2021501.52</v>
      </c>
      <c r="I576" s="308">
        <v>13252066</v>
      </c>
      <c r="K576" s="823" t="s">
        <v>2211</v>
      </c>
      <c r="L576" s="273" t="s">
        <v>1595</v>
      </c>
      <c r="M576" s="665">
        <f t="shared" si="174"/>
        <v>9.5000000000000001E-2</v>
      </c>
      <c r="N576" s="273" t="s">
        <v>1593</v>
      </c>
      <c r="O576" s="886" t="s">
        <v>2216</v>
      </c>
      <c r="P576" s="688">
        <v>45412</v>
      </c>
      <c r="Q576" s="273" t="s">
        <v>2215</v>
      </c>
      <c r="R576" s="314">
        <v>13252066</v>
      </c>
      <c r="S576" s="901">
        <f>I576/SUM($I$574:$I$578)</f>
        <v>0.10000000528219552</v>
      </c>
      <c r="U576" s="440">
        <v>45516</v>
      </c>
      <c r="V576" s="340">
        <f t="shared" ca="1" si="164"/>
        <v>4</v>
      </c>
      <c r="W576" s="594">
        <f t="shared" ca="1" si="165"/>
        <v>2024</v>
      </c>
      <c r="X576" s="340" t="str">
        <f t="shared" ca="1" si="172"/>
        <v>5 WEEK</v>
      </c>
      <c r="Y576" s="688">
        <f t="shared" si="166"/>
        <v>45412</v>
      </c>
      <c r="Z576" s="541" cm="1">
        <f t="array" aca="1" ref="Z576" ca="1">_xlfn.IFS(AD576&lt;100,Y576,Y576&lt;TODAY(),TODAY(),Y576&gt;TODAY(),Y576,Y576=TODAY(),Y576)</f>
        <v>45412</v>
      </c>
      <c r="AA576" s="891">
        <f>SUM($I$513:$I$586)*$M$574*S576</f>
        <v>12589462.490999989</v>
      </c>
      <c r="AB576" s="307">
        <f t="shared" si="175"/>
        <v>12576873.028508989</v>
      </c>
      <c r="AC576" s="307">
        <f t="shared" si="176"/>
        <v>12589.462490999989</v>
      </c>
      <c r="AD576" s="298">
        <f t="shared" si="156"/>
        <v>0</v>
      </c>
      <c r="AE576" s="299" t="str">
        <f t="shared" si="157"/>
        <v>Complete</v>
      </c>
      <c r="AI576" s="301">
        <f t="shared" ca="1" si="154"/>
        <v>0</v>
      </c>
      <c r="AJ576" s="302">
        <f t="shared" ca="1" si="155"/>
        <v>0</v>
      </c>
      <c r="AL576" s="303">
        <f t="shared" si="158"/>
        <v>13252066</v>
      </c>
      <c r="AM576" s="303">
        <f t="shared" si="159"/>
        <v>0</v>
      </c>
      <c r="AN576" s="303">
        <f t="shared" si="160"/>
        <v>13252066</v>
      </c>
      <c r="AO576" s="304">
        <f t="shared" si="161"/>
        <v>0</v>
      </c>
      <c r="AP576" s="273">
        <f t="shared" si="163"/>
        <v>4</v>
      </c>
      <c r="AQ576" s="273" t="str">
        <f t="shared" ca="1" si="162"/>
        <v>42024</v>
      </c>
    </row>
    <row r="577" spans="1:43" ht="16.5">
      <c r="A577" s="312">
        <v>29</v>
      </c>
      <c r="B577" s="880" t="s">
        <v>2138</v>
      </c>
      <c r="D577" s="246" t="s">
        <v>2139</v>
      </c>
      <c r="E577" s="440">
        <v>45162</v>
      </c>
      <c r="F577" s="739">
        <v>0.5551799999999999</v>
      </c>
      <c r="G577" s="306">
        <v>5615282</v>
      </c>
      <c r="H577" s="307">
        <v>1010750.76</v>
      </c>
      <c r="I577" s="308">
        <v>6626033</v>
      </c>
      <c r="K577" s="823" t="s">
        <v>2211</v>
      </c>
      <c r="L577" s="273" t="s">
        <v>1595</v>
      </c>
      <c r="M577" s="665">
        <f t="shared" si="174"/>
        <v>9.5000000000000001E-2</v>
      </c>
      <c r="N577" s="273" t="s">
        <v>1593</v>
      </c>
      <c r="O577" s="886" t="s">
        <v>2217</v>
      </c>
      <c r="P577" s="688">
        <v>45412</v>
      </c>
      <c r="Q577" s="273" t="s">
        <v>2215</v>
      </c>
      <c r="R577" s="314">
        <v>6626033</v>
      </c>
      <c r="S577" s="901">
        <f>I577/SUM($I$574:$I$578)</f>
        <v>5.000000264109776E-2</v>
      </c>
      <c r="U577" s="440">
        <v>45516</v>
      </c>
      <c r="V577" s="340">
        <f t="shared" ca="1" si="164"/>
        <v>4</v>
      </c>
      <c r="W577" s="594">
        <f t="shared" ca="1" si="165"/>
        <v>2024</v>
      </c>
      <c r="X577" s="340" t="str">
        <f t="shared" ca="1" si="172"/>
        <v>5 WEEK</v>
      </c>
      <c r="Y577" s="688">
        <f t="shared" si="166"/>
        <v>45412</v>
      </c>
      <c r="Z577" s="541" cm="1">
        <f t="array" aca="1" ref="Z577" ca="1">_xlfn.IFS(AD577&lt;100,Y577,Y577&lt;TODAY(),TODAY(),Y577&gt;TODAY(),Y577,Y577=TODAY(),Y577)</f>
        <v>45412</v>
      </c>
      <c r="AA577" s="891">
        <f>SUM($I$513:$I$586)*$M$574*S577</f>
        <v>6294731.2454999946</v>
      </c>
      <c r="AB577" s="307">
        <f t="shared" si="175"/>
        <v>6288436.5142544946</v>
      </c>
      <c r="AC577" s="307">
        <f t="shared" si="176"/>
        <v>6294.7312454999947</v>
      </c>
      <c r="AD577" s="298">
        <f t="shared" si="156"/>
        <v>0</v>
      </c>
      <c r="AE577" s="299" t="str">
        <f t="shared" si="157"/>
        <v>Complete</v>
      </c>
      <c r="AI577" s="301">
        <f t="shared" ca="1" si="154"/>
        <v>0</v>
      </c>
      <c r="AJ577" s="302">
        <f t="shared" ca="1" si="155"/>
        <v>0</v>
      </c>
      <c r="AL577" s="303">
        <f t="shared" si="158"/>
        <v>6626033</v>
      </c>
      <c r="AM577" s="303">
        <f t="shared" si="159"/>
        <v>0</v>
      </c>
      <c r="AN577" s="303">
        <f t="shared" si="160"/>
        <v>6626033</v>
      </c>
      <c r="AO577" s="304">
        <f t="shared" si="161"/>
        <v>0</v>
      </c>
      <c r="AP577" s="273">
        <f t="shared" si="163"/>
        <v>4</v>
      </c>
      <c r="AQ577" s="273" t="str">
        <f t="shared" ca="1" si="162"/>
        <v>42024</v>
      </c>
    </row>
    <row r="578" spans="1:43" ht="17.25" thickBot="1">
      <c r="A578" s="312">
        <v>29</v>
      </c>
      <c r="B578" s="880" t="s">
        <v>2138</v>
      </c>
      <c r="D578" s="246" t="s">
        <v>2139</v>
      </c>
      <c r="E578" s="440">
        <v>45162</v>
      </c>
      <c r="F578" s="739">
        <v>0.5551799999999999</v>
      </c>
      <c r="G578" s="306">
        <v>5615282</v>
      </c>
      <c r="H578" s="307">
        <v>1010750.76</v>
      </c>
      <c r="I578" s="308">
        <v>6626033</v>
      </c>
      <c r="K578" s="823" t="s">
        <v>2211</v>
      </c>
      <c r="L578" s="273" t="s">
        <v>1595</v>
      </c>
      <c r="M578" s="665">
        <f t="shared" si="174"/>
        <v>9.5000000000000001E-2</v>
      </c>
      <c r="N578" s="273" t="s">
        <v>1593</v>
      </c>
      <c r="O578" s="886" t="s">
        <v>2218</v>
      </c>
      <c r="P578" s="688">
        <v>45412</v>
      </c>
      <c r="Q578" s="273" t="s">
        <v>2215</v>
      </c>
      <c r="R578" s="314">
        <v>6626033</v>
      </c>
      <c r="S578" s="902">
        <f>I578/SUM($I$574:$I$578)</f>
        <v>5.000000264109776E-2</v>
      </c>
      <c r="U578" s="440">
        <v>45516</v>
      </c>
      <c r="V578" s="340">
        <f t="shared" ca="1" si="164"/>
        <v>4</v>
      </c>
      <c r="W578" s="594">
        <f t="shared" ca="1" si="165"/>
        <v>2024</v>
      </c>
      <c r="X578" s="340" t="str">
        <f t="shared" ca="1" si="172"/>
        <v>5 WEEK</v>
      </c>
      <c r="Y578" s="688">
        <f t="shared" si="166"/>
        <v>45412</v>
      </c>
      <c r="Z578" s="541" cm="1">
        <f t="array" aca="1" ref="Z578" ca="1">_xlfn.IFS(AD578&lt;100,Y578,Y578&lt;TODAY(),TODAY(),Y578&gt;TODAY(),Y578,Y578=TODAY(),Y578)</f>
        <v>45412</v>
      </c>
      <c r="AA578" s="891">
        <f>SUM($I$513:$I$586)*$M$574*S578</f>
        <v>6294731.2454999946</v>
      </c>
      <c r="AB578" s="307">
        <f t="shared" si="175"/>
        <v>6288436.5142544946</v>
      </c>
      <c r="AC578" s="307">
        <f t="shared" si="176"/>
        <v>6294.7312454999947</v>
      </c>
      <c r="AD578" s="298">
        <f t="shared" si="156"/>
        <v>0</v>
      </c>
      <c r="AE578" s="299" t="str">
        <f t="shared" si="157"/>
        <v>Complete</v>
      </c>
      <c r="AI578" s="301">
        <f t="shared" ref="AI578:AI641" ca="1" si="177">Z578-Y578</f>
        <v>0</v>
      </c>
      <c r="AJ578" s="302">
        <f t="shared" ref="AJ578:AJ641" ca="1" si="178">IF(AI578&gt;1,"Delayed",0)</f>
        <v>0</v>
      </c>
      <c r="AL578" s="303">
        <f t="shared" si="158"/>
        <v>6626033</v>
      </c>
      <c r="AM578" s="303">
        <f t="shared" si="159"/>
        <v>0</v>
      </c>
      <c r="AN578" s="303">
        <f t="shared" si="160"/>
        <v>6626033</v>
      </c>
      <c r="AO578" s="304">
        <f t="shared" si="161"/>
        <v>0</v>
      </c>
      <c r="AP578" s="273">
        <f t="shared" si="163"/>
        <v>4</v>
      </c>
      <c r="AQ578" s="273" t="str">
        <f t="shared" ca="1" si="162"/>
        <v>42024</v>
      </c>
    </row>
    <row r="579" spans="1:43" ht="16.5">
      <c r="A579" s="312">
        <v>29</v>
      </c>
      <c r="B579" s="880" t="s">
        <v>2138</v>
      </c>
      <c r="D579" s="246" t="s">
        <v>2139</v>
      </c>
      <c r="E579" s="440">
        <v>45162</v>
      </c>
      <c r="F579" s="739">
        <v>0.5551799999999999</v>
      </c>
      <c r="G579" s="306">
        <v>709932060</v>
      </c>
      <c r="H579" s="307">
        <v>85191847.200000003</v>
      </c>
      <c r="I579" s="308">
        <v>795123907</v>
      </c>
      <c r="K579" s="823" t="s">
        <v>2219</v>
      </c>
      <c r="L579" s="273" t="s">
        <v>1595</v>
      </c>
      <c r="M579" s="665">
        <f>60%*95%</f>
        <v>0.56999999999999995</v>
      </c>
      <c r="N579" s="273" t="s">
        <v>1593</v>
      </c>
      <c r="O579" s="883" t="s">
        <v>2218</v>
      </c>
      <c r="P579" s="688">
        <v>45199</v>
      </c>
      <c r="Q579" s="273" t="s">
        <v>2220</v>
      </c>
      <c r="R579" s="314">
        <v>42936691</v>
      </c>
      <c r="S579" s="890">
        <f>R579/SUM($I$579:$I$582)</f>
        <v>5.4000000027668645E-2</v>
      </c>
      <c r="U579" s="440">
        <v>45516</v>
      </c>
      <c r="V579" s="340">
        <f t="shared" ca="1" si="164"/>
        <v>9</v>
      </c>
      <c r="W579" s="594">
        <f t="shared" ca="1" si="165"/>
        <v>2023</v>
      </c>
      <c r="X579" s="340" t="str">
        <f t="shared" ca="1" si="172"/>
        <v>5 WEEK</v>
      </c>
      <c r="Y579" s="688">
        <f t="shared" si="166"/>
        <v>45199</v>
      </c>
      <c r="Z579" s="541" cm="1">
        <f t="array" aca="1" ref="Z579" ca="1">_xlfn.IFS(AD579&lt;100,Y579,Y579&lt;TODAY(),TODAY(),Y579&gt;TODAY(),Y579,Y579=TODAY(),Y579)</f>
        <v>45199</v>
      </c>
      <c r="AA579" s="891">
        <f>SUM($I$513:$I$586)*$M$579*S579</f>
        <v>40789856.337139994</v>
      </c>
      <c r="AB579" s="307">
        <f t="shared" si="175"/>
        <v>40749066.480802856</v>
      </c>
      <c r="AC579" s="307">
        <f t="shared" si="176"/>
        <v>40789.856337139994</v>
      </c>
      <c r="AD579" s="298">
        <f t="shared" ref="AD579:AD642" si="179">ROUND(AA579-AB579-AC579,0)</f>
        <v>0</v>
      </c>
      <c r="AE579" s="299" t="str">
        <f t="shared" ref="AE579:AE642" si="180">IF(AD579&lt;100,"Complete","Incomplete")</f>
        <v>Complete</v>
      </c>
      <c r="AI579" s="301">
        <f t="shared" ca="1" si="177"/>
        <v>0</v>
      </c>
      <c r="AJ579" s="302">
        <f t="shared" ca="1" si="178"/>
        <v>0</v>
      </c>
      <c r="AL579" s="303">
        <f t="shared" ref="AL579:AL642" si="181">I579-J579</f>
        <v>795123907</v>
      </c>
      <c r="AM579" s="303">
        <f t="shared" ref="AM579:AM642" si="182">IFERROR(I579-R579,0)</f>
        <v>752187216</v>
      </c>
      <c r="AN579" s="303">
        <f t="shared" ref="AN579:AN642" si="183">IFERROR(R579-J579,0)</f>
        <v>42936691</v>
      </c>
      <c r="AO579" s="304">
        <f t="shared" ref="AO579:AO642" si="184">IFERROR(P579/J579,0)</f>
        <v>0</v>
      </c>
      <c r="AP579" s="273">
        <f t="shared" si="163"/>
        <v>9</v>
      </c>
      <c r="AQ579" s="273" t="str">
        <f t="shared" ref="AQ579:AQ642" ca="1" si="185">AP579&amp;W579</f>
        <v>92023</v>
      </c>
    </row>
    <row r="580" spans="1:43" ht="16.5">
      <c r="A580" s="312">
        <v>29</v>
      </c>
      <c r="B580" s="880" t="s">
        <v>2138</v>
      </c>
      <c r="D580" s="246" t="s">
        <v>2139</v>
      </c>
      <c r="E580" s="440">
        <v>45162</v>
      </c>
      <c r="F580" s="739">
        <v>0.5551799999999999</v>
      </c>
      <c r="K580" s="823" t="s">
        <v>2219</v>
      </c>
      <c r="L580" s="273" t="s">
        <v>1595</v>
      </c>
      <c r="M580" s="665">
        <f t="shared" ref="M580:M582" si="186">60%*95%</f>
        <v>0.56999999999999995</v>
      </c>
      <c r="N580" s="273" t="s">
        <v>1593</v>
      </c>
      <c r="O580" s="886" t="s">
        <v>2218</v>
      </c>
      <c r="P580" s="688">
        <v>45230</v>
      </c>
      <c r="Q580" s="273" t="s">
        <v>2221</v>
      </c>
      <c r="R580" s="314">
        <v>423323968</v>
      </c>
      <c r="S580" s="892">
        <f t="shared" ref="S580:S582" si="187">R580/SUM($I$579:$I$582)</f>
        <v>0.53239999989083464</v>
      </c>
      <c r="U580" s="440">
        <v>45516</v>
      </c>
      <c r="V580" s="340">
        <f t="shared" ca="1" si="164"/>
        <v>10</v>
      </c>
      <c r="W580" s="594">
        <f t="shared" ca="1" si="165"/>
        <v>2023</v>
      </c>
      <c r="X580" s="340" t="str">
        <f t="shared" ca="1" si="172"/>
        <v>5 WEEK</v>
      </c>
      <c r="Y580" s="688">
        <f t="shared" si="166"/>
        <v>45230</v>
      </c>
      <c r="Z580" s="541" cm="1">
        <f t="array" aca="1" ref="Z580" ca="1">_xlfn.IFS(AD580&lt;100,Y580,Y580&lt;TODAY(),TODAY(),Y580&gt;TODAY(),Y580,Y580=TODAY(),Y580)</f>
        <v>45230</v>
      </c>
      <c r="AA580" s="891">
        <f>SUM($I$513:$I$586)*$M$579*S580</f>
        <v>402157768.487284</v>
      </c>
      <c r="AB580" s="307">
        <f t="shared" si="175"/>
        <v>401755610.71879673</v>
      </c>
      <c r="AC580" s="307">
        <f t="shared" si="176"/>
        <v>402157.76848728402</v>
      </c>
      <c r="AD580" s="298">
        <f t="shared" si="179"/>
        <v>0</v>
      </c>
      <c r="AE580" s="299" t="str">
        <f t="shared" si="180"/>
        <v>Complete</v>
      </c>
      <c r="AI580" s="301">
        <f t="shared" ca="1" si="177"/>
        <v>0</v>
      </c>
      <c r="AJ580" s="302">
        <f t="shared" ca="1" si="178"/>
        <v>0</v>
      </c>
      <c r="AL580" s="303">
        <f t="shared" si="181"/>
        <v>0</v>
      </c>
      <c r="AM580" s="303">
        <f t="shared" si="182"/>
        <v>-423323968</v>
      </c>
      <c r="AN580" s="303">
        <f t="shared" si="183"/>
        <v>423323968</v>
      </c>
      <c r="AO580" s="304">
        <f t="shared" si="184"/>
        <v>0</v>
      </c>
      <c r="AP580" s="273">
        <f t="shared" si="163"/>
        <v>10</v>
      </c>
      <c r="AQ580" s="273" t="str">
        <f t="shared" ca="1" si="185"/>
        <v>102023</v>
      </c>
    </row>
    <row r="581" spans="1:43" ht="16.5">
      <c r="A581" s="312">
        <v>29</v>
      </c>
      <c r="B581" s="880" t="s">
        <v>2138</v>
      </c>
      <c r="D581" s="246" t="s">
        <v>2139</v>
      </c>
      <c r="E581" s="440">
        <v>45162</v>
      </c>
      <c r="F581" s="739">
        <v>0.5551799999999999</v>
      </c>
      <c r="K581" s="823" t="s">
        <v>2219</v>
      </c>
      <c r="L581" s="273" t="s">
        <v>1595</v>
      </c>
      <c r="M581" s="665">
        <f t="shared" si="186"/>
        <v>0.56999999999999995</v>
      </c>
      <c r="N581" s="273" t="s">
        <v>1593</v>
      </c>
      <c r="O581" s="886" t="s">
        <v>2218</v>
      </c>
      <c r="P581" s="688">
        <v>45233</v>
      </c>
      <c r="Q581" s="273" t="s">
        <v>2222</v>
      </c>
      <c r="R581" s="314">
        <v>10813685</v>
      </c>
      <c r="S581" s="892">
        <f t="shared" si="187"/>
        <v>1.3599999829963608E-2</v>
      </c>
      <c r="U581" s="440">
        <v>45516</v>
      </c>
      <c r="V581" s="340">
        <f t="shared" ca="1" si="164"/>
        <v>11</v>
      </c>
      <c r="W581" s="594">
        <f t="shared" ca="1" si="165"/>
        <v>2023</v>
      </c>
      <c r="X581" s="340" t="str">
        <f t="shared" ca="1" si="172"/>
        <v>1 WEEK</v>
      </c>
      <c r="Y581" s="688">
        <f t="shared" si="166"/>
        <v>45233</v>
      </c>
      <c r="Z581" s="541" cm="1">
        <f t="array" aca="1" ref="Z581" ca="1">_xlfn.IFS(AD581&lt;100,Y581,Y581&lt;TODAY(),TODAY(),Y581&gt;TODAY(),Y581,Y581=TODAY(),Y581)</f>
        <v>45233</v>
      </c>
      <c r="AA581" s="891">
        <f>SUM($I$513:$I$586)*$M$579*S581</f>
        <v>10273000.721576</v>
      </c>
      <c r="AB581" s="307">
        <f t="shared" si="175"/>
        <v>10262727.720854424</v>
      </c>
      <c r="AC581" s="307">
        <f t="shared" si="176"/>
        <v>10273.000721576</v>
      </c>
      <c r="AD581" s="298">
        <f t="shared" si="179"/>
        <v>0</v>
      </c>
      <c r="AE581" s="299" t="str">
        <f t="shared" si="180"/>
        <v>Complete</v>
      </c>
      <c r="AI581" s="301">
        <f t="shared" ca="1" si="177"/>
        <v>0</v>
      </c>
      <c r="AJ581" s="302">
        <f t="shared" ca="1" si="178"/>
        <v>0</v>
      </c>
      <c r="AL581" s="303">
        <f t="shared" si="181"/>
        <v>0</v>
      </c>
      <c r="AM581" s="303">
        <f t="shared" si="182"/>
        <v>-10813685</v>
      </c>
      <c r="AN581" s="303">
        <f t="shared" si="183"/>
        <v>10813685</v>
      </c>
      <c r="AO581" s="304">
        <f t="shared" si="184"/>
        <v>0</v>
      </c>
      <c r="AP581" s="273">
        <f t="shared" ref="AP581:AP644" si="188">MONTH(P581)</f>
        <v>11</v>
      </c>
      <c r="AQ581" s="273" t="str">
        <f t="shared" ca="1" si="185"/>
        <v>112023</v>
      </c>
    </row>
    <row r="582" spans="1:43" ht="17.25" thickBot="1">
      <c r="A582" s="312">
        <v>29</v>
      </c>
      <c r="B582" s="880" t="s">
        <v>2138</v>
      </c>
      <c r="D582" s="246" t="s">
        <v>2139</v>
      </c>
      <c r="E582" s="440">
        <v>45162</v>
      </c>
      <c r="F582" s="739">
        <v>0.5551799999999999</v>
      </c>
      <c r="K582" s="823" t="s">
        <v>2219</v>
      </c>
      <c r="L582" s="273" t="s">
        <v>1595</v>
      </c>
      <c r="M582" s="665">
        <f t="shared" si="186"/>
        <v>0.56999999999999995</v>
      </c>
      <c r="N582" s="273" t="s">
        <v>1593</v>
      </c>
      <c r="O582" s="889" t="s">
        <v>2223</v>
      </c>
      <c r="P582" s="688">
        <v>45289</v>
      </c>
      <c r="Q582" s="273" t="s">
        <v>2224</v>
      </c>
      <c r="R582" s="314">
        <v>318049563</v>
      </c>
      <c r="S582" s="899">
        <f t="shared" si="187"/>
        <v>0.40000000025153315</v>
      </c>
      <c r="U582" s="440">
        <v>45516</v>
      </c>
      <c r="V582" s="340">
        <f t="shared" ref="V582:V611" ca="1" si="189">MONTH(Z582)</f>
        <v>12</v>
      </c>
      <c r="W582" s="594">
        <f t="shared" ref="W582:W611" ca="1" si="190">YEAR(Z582)</f>
        <v>2023</v>
      </c>
      <c r="X582" s="340" t="str">
        <f t="shared" ca="1" si="172"/>
        <v>5 WEEK</v>
      </c>
      <c r="Y582" s="688">
        <f t="shared" si="166"/>
        <v>45289</v>
      </c>
      <c r="Z582" s="541" cm="1">
        <f t="array" aca="1" ref="Z582" ca="1">_xlfn.IFS(AD582&lt;100,Y582,Y582&lt;TODAY(),TODAY(),Y582&gt;TODAY(),Y582,Y582=TODAY(),Y582)</f>
        <v>45289</v>
      </c>
      <c r="AA582" s="891">
        <f>SUM($I$513:$I$586)*$M$579*S582</f>
        <v>302147084.014</v>
      </c>
      <c r="AB582" s="307">
        <f t="shared" si="175"/>
        <v>301844936.929986</v>
      </c>
      <c r="AC582" s="307">
        <f t="shared" si="176"/>
        <v>302147.08401400002</v>
      </c>
      <c r="AD582" s="298">
        <f t="shared" si="179"/>
        <v>0</v>
      </c>
      <c r="AE582" s="299" t="str">
        <f t="shared" si="180"/>
        <v>Complete</v>
      </c>
      <c r="AI582" s="301">
        <f t="shared" ca="1" si="177"/>
        <v>0</v>
      </c>
      <c r="AJ582" s="302">
        <f t="shared" ca="1" si="178"/>
        <v>0</v>
      </c>
      <c r="AL582" s="303">
        <f t="shared" si="181"/>
        <v>0</v>
      </c>
      <c r="AM582" s="303">
        <f t="shared" si="182"/>
        <v>-318049563</v>
      </c>
      <c r="AN582" s="303">
        <f t="shared" si="183"/>
        <v>318049563</v>
      </c>
      <c r="AO582" s="304">
        <f t="shared" si="184"/>
        <v>0</v>
      </c>
      <c r="AP582" s="273">
        <f t="shared" si="188"/>
        <v>12</v>
      </c>
      <c r="AQ582" s="273" t="str">
        <f t="shared" ca="1" si="185"/>
        <v>122023</v>
      </c>
    </row>
    <row r="583" spans="1:43" ht="16.5">
      <c r="A583" s="312">
        <v>29</v>
      </c>
      <c r="B583" s="880" t="s">
        <v>2138</v>
      </c>
      <c r="D583" s="246" t="s">
        <v>2139</v>
      </c>
      <c r="E583" s="440">
        <v>45162</v>
      </c>
      <c r="F583" s="739">
        <v>0.5551799999999999</v>
      </c>
      <c r="G583" s="306">
        <v>1123056</v>
      </c>
      <c r="H583" s="307">
        <v>202150.08</v>
      </c>
      <c r="I583" s="308">
        <v>1325206</v>
      </c>
      <c r="K583" s="823" t="s">
        <v>2225</v>
      </c>
      <c r="L583" s="273" t="s">
        <v>1595</v>
      </c>
      <c r="M583" s="665">
        <f>5%*95%</f>
        <v>4.7500000000000001E-2</v>
      </c>
      <c r="N583" s="273" t="s">
        <v>1593</v>
      </c>
      <c r="O583" s="889" t="s">
        <v>2226</v>
      </c>
      <c r="P583" s="688">
        <v>45595</v>
      </c>
      <c r="Q583" s="273" t="s">
        <v>2160</v>
      </c>
      <c r="R583" s="314">
        <v>1325206</v>
      </c>
      <c r="U583" s="440">
        <v>45516</v>
      </c>
      <c r="V583" s="340">
        <f t="shared" ca="1" si="189"/>
        <v>10</v>
      </c>
      <c r="W583" s="594">
        <f t="shared" ca="1" si="190"/>
        <v>2025</v>
      </c>
      <c r="X583" s="340" t="str">
        <f t="shared" ca="1" si="172"/>
        <v>1 WEEK</v>
      </c>
      <c r="Y583" s="688">
        <f t="shared" si="166"/>
        <v>45595</v>
      </c>
      <c r="Z583" s="541" cm="1">
        <f t="array" aca="1" ref="Z583" ca="1">_xlfn.IFS(AD583&lt;100,Y583,Y583&lt;TODAY(),TODAY(),Y583&gt;TODAY(),Y583,Y583=TODAY(),Y583)</f>
        <v>45935</v>
      </c>
      <c r="AA583" s="891">
        <f>SUM(I513:I586)*M583</f>
        <v>62947309.130000003</v>
      </c>
      <c r="AB583" s="307">
        <v>14621660.853470087</v>
      </c>
      <c r="AC583" s="307">
        <f>AB583/99.9%*0.1%</f>
        <v>14636.297150620707</v>
      </c>
      <c r="AD583" s="298">
        <f t="shared" si="179"/>
        <v>48311012</v>
      </c>
      <c r="AE583" s="299" t="str">
        <f t="shared" si="180"/>
        <v>Incomplete</v>
      </c>
      <c r="AI583" s="301">
        <f t="shared" ca="1" si="177"/>
        <v>340</v>
      </c>
      <c r="AJ583" s="302" t="str">
        <f t="shared" ca="1" si="178"/>
        <v>Delayed</v>
      </c>
      <c r="AL583" s="303">
        <f t="shared" si="181"/>
        <v>1325206</v>
      </c>
      <c r="AM583" s="303">
        <f t="shared" si="182"/>
        <v>0</v>
      </c>
      <c r="AN583" s="303">
        <f t="shared" si="183"/>
        <v>1325206</v>
      </c>
      <c r="AO583" s="304">
        <f t="shared" si="184"/>
        <v>0</v>
      </c>
      <c r="AP583" s="273">
        <f t="shared" si="188"/>
        <v>10</v>
      </c>
      <c r="AQ583" s="273" t="str">
        <f t="shared" ca="1" si="185"/>
        <v>102025</v>
      </c>
    </row>
    <row r="584" spans="1:43" ht="16.5">
      <c r="A584" s="312">
        <v>29</v>
      </c>
      <c r="B584" s="880" t="s">
        <v>2138</v>
      </c>
      <c r="D584" s="246" t="s">
        <v>2139</v>
      </c>
      <c r="E584" s="440">
        <v>45162</v>
      </c>
      <c r="F584" s="739">
        <v>0.5551799999999999</v>
      </c>
      <c r="G584" s="306">
        <v>1123056</v>
      </c>
      <c r="H584" s="307">
        <v>202150.08</v>
      </c>
      <c r="I584" s="308">
        <v>1325206</v>
      </c>
      <c r="K584" s="823" t="s">
        <v>2225</v>
      </c>
      <c r="L584" s="273" t="s">
        <v>1595</v>
      </c>
      <c r="M584" s="665">
        <f t="shared" ref="M584:M586" si="191">5%*95%</f>
        <v>4.7500000000000001E-2</v>
      </c>
      <c r="N584" s="273" t="s">
        <v>1593</v>
      </c>
      <c r="O584" s="889" t="s">
        <v>2227</v>
      </c>
      <c r="P584" s="688">
        <v>45595</v>
      </c>
      <c r="Q584" s="273" t="s">
        <v>2160</v>
      </c>
      <c r="R584" s="314">
        <v>1325206</v>
      </c>
      <c r="U584" s="440">
        <v>45516</v>
      </c>
      <c r="V584" s="340">
        <f t="shared" ca="1" si="189"/>
        <v>10</v>
      </c>
      <c r="W584" s="594">
        <f t="shared" ca="1" si="190"/>
        <v>2024</v>
      </c>
      <c r="X584" s="340" t="str">
        <f t="shared" ca="1" si="172"/>
        <v>5 WEEK</v>
      </c>
      <c r="Y584" s="688">
        <f t="shared" ref="Y584:Y611" si="192">P584+T584</f>
        <v>45595</v>
      </c>
      <c r="Z584" s="541" cm="1">
        <f t="array" aca="1" ref="Z584" ca="1">_xlfn.IFS(AD584&lt;100,Y584,Y584&lt;TODAY(),TODAY(),Y584&gt;TODAY(),Y584,Y584=TODAY(),Y584)</f>
        <v>45595</v>
      </c>
      <c r="AD584" s="298">
        <f t="shared" si="179"/>
        <v>0</v>
      </c>
      <c r="AE584" s="299" t="str">
        <f t="shared" si="180"/>
        <v>Complete</v>
      </c>
      <c r="AI584" s="301">
        <f t="shared" ca="1" si="177"/>
        <v>0</v>
      </c>
      <c r="AJ584" s="302">
        <f t="shared" ca="1" si="178"/>
        <v>0</v>
      </c>
      <c r="AL584" s="303">
        <f t="shared" si="181"/>
        <v>1325206</v>
      </c>
      <c r="AM584" s="303">
        <f t="shared" si="182"/>
        <v>0</v>
      </c>
      <c r="AN584" s="303">
        <f t="shared" si="183"/>
        <v>1325206</v>
      </c>
      <c r="AO584" s="304">
        <f t="shared" si="184"/>
        <v>0</v>
      </c>
      <c r="AP584" s="273">
        <f t="shared" si="188"/>
        <v>10</v>
      </c>
      <c r="AQ584" s="273" t="str">
        <f t="shared" ca="1" si="185"/>
        <v>102024</v>
      </c>
    </row>
    <row r="585" spans="1:43" ht="16.5">
      <c r="A585" s="312">
        <v>29</v>
      </c>
      <c r="B585" s="880" t="s">
        <v>2138</v>
      </c>
      <c r="D585" s="246" t="s">
        <v>2139</v>
      </c>
      <c r="E585" s="440">
        <v>45162</v>
      </c>
      <c r="F585" s="739">
        <v>0.5551799999999999</v>
      </c>
      <c r="G585" s="306">
        <v>5615282</v>
      </c>
      <c r="H585" s="307">
        <v>1010750.76</v>
      </c>
      <c r="I585" s="308">
        <v>6626033</v>
      </c>
      <c r="K585" s="823" t="s">
        <v>2225</v>
      </c>
      <c r="L585" s="273" t="s">
        <v>1595</v>
      </c>
      <c r="M585" s="665">
        <f t="shared" si="191"/>
        <v>4.7500000000000001E-2</v>
      </c>
      <c r="N585" s="273" t="s">
        <v>1593</v>
      </c>
      <c r="O585" s="889" t="s">
        <v>2228</v>
      </c>
      <c r="P585" s="688">
        <v>45595</v>
      </c>
      <c r="Q585" s="273" t="s">
        <v>2160</v>
      </c>
      <c r="R585" s="314">
        <v>6626033</v>
      </c>
      <c r="U585" s="440">
        <v>45516</v>
      </c>
      <c r="V585" s="340">
        <f t="shared" ca="1" si="189"/>
        <v>10</v>
      </c>
      <c r="W585" s="594">
        <f t="shared" ca="1" si="190"/>
        <v>2024</v>
      </c>
      <c r="X585" s="340" t="str">
        <f t="shared" ca="1" si="172"/>
        <v>5 WEEK</v>
      </c>
      <c r="Y585" s="688">
        <f t="shared" si="192"/>
        <v>45595</v>
      </c>
      <c r="Z585" s="541" cm="1">
        <f t="array" aca="1" ref="Z585" ca="1">_xlfn.IFS(AD585&lt;100,Y585,Y585&lt;TODAY(),TODAY(),Y585&gt;TODAY(),Y585,Y585=TODAY(),Y585)</f>
        <v>45595</v>
      </c>
      <c r="AD585" s="298">
        <f t="shared" si="179"/>
        <v>0</v>
      </c>
      <c r="AE585" s="299" t="str">
        <f t="shared" si="180"/>
        <v>Complete</v>
      </c>
      <c r="AI585" s="301">
        <f t="shared" ca="1" si="177"/>
        <v>0</v>
      </c>
      <c r="AJ585" s="302">
        <f t="shared" ca="1" si="178"/>
        <v>0</v>
      </c>
      <c r="AL585" s="303">
        <f t="shared" si="181"/>
        <v>6626033</v>
      </c>
      <c r="AM585" s="303">
        <f t="shared" si="182"/>
        <v>0</v>
      </c>
      <c r="AN585" s="303">
        <f t="shared" si="183"/>
        <v>6626033</v>
      </c>
      <c r="AO585" s="304">
        <f t="shared" si="184"/>
        <v>0</v>
      </c>
      <c r="AP585" s="273">
        <f t="shared" si="188"/>
        <v>10</v>
      </c>
      <c r="AQ585" s="273" t="str">
        <f t="shared" ca="1" si="185"/>
        <v>102024</v>
      </c>
    </row>
    <row r="586" spans="1:43" ht="16.5">
      <c r="A586" s="312">
        <v>29</v>
      </c>
      <c r="B586" s="880" t="s">
        <v>2138</v>
      </c>
      <c r="D586" s="246" t="s">
        <v>2139</v>
      </c>
      <c r="E586" s="440">
        <v>45162</v>
      </c>
      <c r="F586" s="739">
        <v>0.5551799999999999</v>
      </c>
      <c r="G586" s="306">
        <v>2807641</v>
      </c>
      <c r="H586" s="307">
        <v>505375.38</v>
      </c>
      <c r="I586" s="308">
        <v>3313016</v>
      </c>
      <c r="K586" s="823" t="s">
        <v>2225</v>
      </c>
      <c r="L586" s="273" t="s">
        <v>1595</v>
      </c>
      <c r="M586" s="665">
        <f t="shared" si="191"/>
        <v>4.7500000000000001E-2</v>
      </c>
      <c r="N586" s="273" t="s">
        <v>1593</v>
      </c>
      <c r="O586" s="889"/>
      <c r="P586" s="688">
        <v>45595</v>
      </c>
      <c r="Q586" s="273" t="s">
        <v>2160</v>
      </c>
      <c r="R586" s="314">
        <v>3313016</v>
      </c>
      <c r="U586" s="440">
        <v>45516</v>
      </c>
      <c r="V586" s="340">
        <f t="shared" ca="1" si="189"/>
        <v>10</v>
      </c>
      <c r="W586" s="594">
        <f t="shared" ca="1" si="190"/>
        <v>2024</v>
      </c>
      <c r="X586" s="340" t="str">
        <f t="shared" ca="1" si="172"/>
        <v>5 WEEK</v>
      </c>
      <c r="Y586" s="688">
        <f t="shared" si="192"/>
        <v>45595</v>
      </c>
      <c r="Z586" s="541" cm="1">
        <f t="array" aca="1" ref="Z586" ca="1">_xlfn.IFS(AD586&lt;100,Y586,Y586&lt;TODAY(),TODAY(),Y586&gt;TODAY(),Y586,Y586=TODAY(),Y586)</f>
        <v>45595</v>
      </c>
      <c r="AA586" s="891"/>
      <c r="AD586" s="298">
        <f t="shared" si="179"/>
        <v>0</v>
      </c>
      <c r="AE586" s="299" t="str">
        <f t="shared" si="180"/>
        <v>Complete</v>
      </c>
      <c r="AI586" s="301">
        <f t="shared" ca="1" si="177"/>
        <v>0</v>
      </c>
      <c r="AJ586" s="302">
        <f t="shared" ca="1" si="178"/>
        <v>0</v>
      </c>
      <c r="AL586" s="303">
        <f t="shared" si="181"/>
        <v>3313016</v>
      </c>
      <c r="AM586" s="303">
        <f t="shared" si="182"/>
        <v>0</v>
      </c>
      <c r="AN586" s="303">
        <f t="shared" si="183"/>
        <v>3313016</v>
      </c>
      <c r="AO586" s="304">
        <f t="shared" si="184"/>
        <v>0</v>
      </c>
      <c r="AP586" s="273">
        <f t="shared" si="188"/>
        <v>10</v>
      </c>
      <c r="AQ586" s="273" t="str">
        <f t="shared" ca="1" si="185"/>
        <v>102024</v>
      </c>
    </row>
    <row r="587" spans="1:43" ht="16.5">
      <c r="A587" s="312">
        <v>29</v>
      </c>
      <c r="B587" s="880" t="s">
        <v>2138</v>
      </c>
      <c r="D587" s="246" t="s">
        <v>2139</v>
      </c>
      <c r="E587" s="440">
        <v>45162</v>
      </c>
      <c r="F587" s="739">
        <v>0.5551799999999999</v>
      </c>
      <c r="K587" s="823" t="s">
        <v>2229</v>
      </c>
      <c r="L587" s="273" t="s">
        <v>2230</v>
      </c>
      <c r="M587" s="665">
        <v>0.05</v>
      </c>
      <c r="N587" s="273" t="s">
        <v>2231</v>
      </c>
      <c r="O587" s="903"/>
      <c r="P587" s="904">
        <v>45901</v>
      </c>
      <c r="U587" s="440">
        <v>45516</v>
      </c>
      <c r="V587" s="340">
        <f t="shared" ca="1" si="189"/>
        <v>10</v>
      </c>
      <c r="W587" s="594">
        <f t="shared" ca="1" si="190"/>
        <v>2025</v>
      </c>
      <c r="X587" s="340" t="str">
        <f t="shared" ca="1" si="172"/>
        <v>1 WEEK</v>
      </c>
      <c r="Y587" s="794">
        <f t="shared" si="192"/>
        <v>45901</v>
      </c>
      <c r="Z587" s="541" cm="1">
        <f t="array" aca="1" ref="Z587" ca="1">_xlfn.IFS(AD587&lt;100,Y587,Y587&lt;TODAY(),TODAY(),Y587&gt;TODAY(),Y587,Y587=TODAY(),Y587)</f>
        <v>45935</v>
      </c>
      <c r="AA587" s="885">
        <f>SUM(I512:I587)*M587</f>
        <v>66260325.400000006</v>
      </c>
      <c r="AD587" s="298">
        <f t="shared" si="179"/>
        <v>66260325</v>
      </c>
      <c r="AE587" s="299" t="str">
        <f t="shared" si="180"/>
        <v>Incomplete</v>
      </c>
      <c r="AI587" s="301">
        <f t="shared" ca="1" si="177"/>
        <v>34</v>
      </c>
      <c r="AJ587" s="302" t="str">
        <f t="shared" ca="1" si="178"/>
        <v>Delayed</v>
      </c>
      <c r="AL587" s="303">
        <f t="shared" si="181"/>
        <v>0</v>
      </c>
      <c r="AM587" s="303">
        <f t="shared" si="182"/>
        <v>0</v>
      </c>
      <c r="AN587" s="303">
        <f t="shared" si="183"/>
        <v>0</v>
      </c>
      <c r="AO587" s="304">
        <f t="shared" si="184"/>
        <v>0</v>
      </c>
      <c r="AP587" s="273">
        <f t="shared" si="188"/>
        <v>9</v>
      </c>
      <c r="AQ587" s="273" t="str">
        <f t="shared" ca="1" si="185"/>
        <v>92025</v>
      </c>
    </row>
    <row r="588" spans="1:43" ht="16.5">
      <c r="B588" s="880"/>
      <c r="D588" s="246"/>
      <c r="E588" s="440"/>
      <c r="K588" s="823"/>
      <c r="O588" s="903"/>
      <c r="P588" s="447">
        <v>0</v>
      </c>
      <c r="U588" s="440"/>
      <c r="V588" s="340">
        <f t="shared" ca="1" si="189"/>
        <v>1</v>
      </c>
      <c r="W588" s="594">
        <f t="shared" ca="1" si="190"/>
        <v>1900</v>
      </c>
      <c r="X588" s="340" t="str">
        <f t="shared" ca="1" si="172"/>
        <v>0 WEEK</v>
      </c>
      <c r="Y588" s="447">
        <f t="shared" si="192"/>
        <v>0</v>
      </c>
      <c r="Z588" s="302" cm="1">
        <f t="array" aca="1" ref="Z588" ca="1">_xlfn.IFS(AD588&lt;100,Y588,Y588&lt;TODAY(),TODAY(),Y588&gt;TODAY(),Y588,Y588=TODAY(),Y588)</f>
        <v>0</v>
      </c>
      <c r="AA588" s="885"/>
      <c r="AD588" s="298">
        <f t="shared" si="179"/>
        <v>0</v>
      </c>
      <c r="AE588" s="299" t="str">
        <f t="shared" si="180"/>
        <v>Complete</v>
      </c>
      <c r="AI588" s="301">
        <f t="shared" ca="1" si="177"/>
        <v>0</v>
      </c>
      <c r="AJ588" s="302">
        <f t="shared" ca="1" si="178"/>
        <v>0</v>
      </c>
      <c r="AL588" s="303">
        <f t="shared" si="181"/>
        <v>0</v>
      </c>
      <c r="AM588" s="303">
        <f t="shared" si="182"/>
        <v>0</v>
      </c>
      <c r="AN588" s="303">
        <f t="shared" si="183"/>
        <v>0</v>
      </c>
      <c r="AO588" s="304">
        <f t="shared" si="184"/>
        <v>0</v>
      </c>
      <c r="AP588" s="273">
        <f t="shared" si="188"/>
        <v>1</v>
      </c>
      <c r="AQ588" s="273" t="str">
        <f t="shared" ca="1" si="185"/>
        <v>11900</v>
      </c>
    </row>
    <row r="589" spans="1:43" ht="16.5">
      <c r="A589" s="312">
        <v>30</v>
      </c>
      <c r="B589" s="880" t="s">
        <v>2138</v>
      </c>
      <c r="D589" s="246" t="s">
        <v>2139</v>
      </c>
      <c r="E589" s="440">
        <v>45162</v>
      </c>
      <c r="F589" s="739">
        <v>0.5551799999999999</v>
      </c>
      <c r="O589" s="888" t="s">
        <v>2232</v>
      </c>
      <c r="P589" s="447">
        <v>0</v>
      </c>
      <c r="U589" s="440">
        <v>45516</v>
      </c>
      <c r="V589" s="340">
        <f t="shared" ca="1" si="189"/>
        <v>1</v>
      </c>
      <c r="W589" s="594">
        <f t="shared" ca="1" si="190"/>
        <v>1900</v>
      </c>
      <c r="X589" s="340" t="str">
        <f t="shared" ca="1" si="172"/>
        <v>0 WEEK</v>
      </c>
      <c r="Y589" s="794">
        <f t="shared" si="192"/>
        <v>0</v>
      </c>
      <c r="Z589" s="541" cm="1">
        <f t="array" aca="1" ref="Z589" ca="1">_xlfn.IFS(AD589&lt;100,Y589,Y589&lt;TODAY(),TODAY(),Y589&gt;TODAY(),Y589,Y589=TODAY(),Y589)</f>
        <v>0</v>
      </c>
      <c r="AD589" s="298">
        <f t="shared" si="179"/>
        <v>0</v>
      </c>
      <c r="AE589" s="299" t="str">
        <f t="shared" si="180"/>
        <v>Complete</v>
      </c>
      <c r="AI589" s="301">
        <f t="shared" ca="1" si="177"/>
        <v>0</v>
      </c>
      <c r="AJ589" s="302">
        <f t="shared" ca="1" si="178"/>
        <v>0</v>
      </c>
      <c r="AL589" s="303">
        <f t="shared" si="181"/>
        <v>0</v>
      </c>
      <c r="AM589" s="303">
        <f t="shared" si="182"/>
        <v>0</v>
      </c>
      <c r="AN589" s="303">
        <f t="shared" si="183"/>
        <v>0</v>
      </c>
      <c r="AO589" s="304">
        <f t="shared" si="184"/>
        <v>0</v>
      </c>
      <c r="AP589" s="273">
        <f t="shared" si="188"/>
        <v>1</v>
      </c>
      <c r="AQ589" s="273" t="str">
        <f t="shared" ca="1" si="185"/>
        <v>11900</v>
      </c>
    </row>
    <row r="590" spans="1:43" ht="16.5">
      <c r="A590" s="312">
        <v>30</v>
      </c>
      <c r="B590" s="880" t="s">
        <v>2138</v>
      </c>
      <c r="D590" s="246" t="s">
        <v>2139</v>
      </c>
      <c r="E590" s="440">
        <v>45162</v>
      </c>
      <c r="F590" s="739">
        <v>0.5551799999999999</v>
      </c>
      <c r="G590" s="306">
        <v>2100000</v>
      </c>
      <c r="H590" s="307">
        <v>378000</v>
      </c>
      <c r="I590" s="308">
        <v>2478000</v>
      </c>
      <c r="K590" s="905" t="s">
        <v>2233</v>
      </c>
      <c r="M590" s="665">
        <v>0.75</v>
      </c>
      <c r="N590" s="889" t="s">
        <v>1618</v>
      </c>
      <c r="O590" s="889" t="s">
        <v>2234</v>
      </c>
      <c r="P590" s="688">
        <v>45746</v>
      </c>
      <c r="Q590" s="273" t="s">
        <v>2235</v>
      </c>
      <c r="R590" s="314">
        <v>2478000</v>
      </c>
      <c r="U590" s="440">
        <v>45516</v>
      </c>
      <c r="V590" s="340">
        <f t="shared" ca="1" si="189"/>
        <v>10</v>
      </c>
      <c r="W590" s="594">
        <f t="shared" ca="1" si="190"/>
        <v>2025</v>
      </c>
      <c r="X590" s="340" t="str">
        <f t="shared" ca="1" si="172"/>
        <v>1 WEEK</v>
      </c>
      <c r="Y590" s="688">
        <f t="shared" si="192"/>
        <v>45746</v>
      </c>
      <c r="Z590" s="541" cm="1">
        <f t="array" aca="1" ref="Z590" ca="1">_xlfn.IFS(AD590&lt;100,Y590,Y590&lt;TODAY(),TODAY(),Y590&gt;TODAY(),Y590,Y590=TODAY(),Y590)</f>
        <v>45935</v>
      </c>
      <c r="AA590" s="891">
        <f>SUM(I590:I610)*M590</f>
        <v>24780000</v>
      </c>
      <c r="AD590" s="298">
        <f t="shared" si="179"/>
        <v>24780000</v>
      </c>
      <c r="AE590" s="299" t="str">
        <f t="shared" si="180"/>
        <v>Incomplete</v>
      </c>
      <c r="AI590" s="301">
        <f t="shared" ca="1" si="177"/>
        <v>189</v>
      </c>
      <c r="AJ590" s="302" t="str">
        <f t="shared" ca="1" si="178"/>
        <v>Delayed</v>
      </c>
      <c r="AL590" s="303">
        <f t="shared" si="181"/>
        <v>2478000</v>
      </c>
      <c r="AM590" s="303">
        <f t="shared" si="182"/>
        <v>0</v>
      </c>
      <c r="AN590" s="303">
        <f t="shared" si="183"/>
        <v>2478000</v>
      </c>
      <c r="AO590" s="304">
        <f t="shared" si="184"/>
        <v>0</v>
      </c>
      <c r="AP590" s="273">
        <f t="shared" si="188"/>
        <v>3</v>
      </c>
      <c r="AQ590" s="273" t="str">
        <f t="shared" ca="1" si="185"/>
        <v>32025</v>
      </c>
    </row>
    <row r="591" spans="1:43" ht="16.5">
      <c r="A591" s="312">
        <v>30</v>
      </c>
      <c r="B591" s="880" t="s">
        <v>2138</v>
      </c>
      <c r="D591" s="246" t="s">
        <v>2139</v>
      </c>
      <c r="E591" s="440">
        <v>45162</v>
      </c>
      <c r="F591" s="739">
        <v>0.5551799999999999</v>
      </c>
      <c r="G591" s="306">
        <v>2100000</v>
      </c>
      <c r="H591" s="307">
        <v>378000</v>
      </c>
      <c r="I591" s="308">
        <v>2478000</v>
      </c>
      <c r="K591" s="905" t="s">
        <v>2233</v>
      </c>
      <c r="M591" s="665">
        <v>0.75</v>
      </c>
      <c r="N591" s="889" t="s">
        <v>1618</v>
      </c>
      <c r="O591" s="889" t="s">
        <v>2236</v>
      </c>
      <c r="P591" s="688">
        <v>45746</v>
      </c>
      <c r="Q591" s="273" t="s">
        <v>2235</v>
      </c>
      <c r="R591" s="314">
        <v>2478000</v>
      </c>
      <c r="U591" s="440">
        <v>45516</v>
      </c>
      <c r="V591" s="340">
        <f t="shared" ca="1" si="189"/>
        <v>3</v>
      </c>
      <c r="W591" s="594">
        <f t="shared" ca="1" si="190"/>
        <v>2025</v>
      </c>
      <c r="X591" s="340" t="str">
        <f t="shared" ca="1" si="172"/>
        <v>5 WEEK</v>
      </c>
      <c r="Y591" s="688">
        <f t="shared" si="192"/>
        <v>45746</v>
      </c>
      <c r="Z591" s="541" cm="1">
        <f t="array" aca="1" ref="Z591" ca="1">_xlfn.IFS(AD591&lt;100,Y591,Y591&lt;TODAY(),TODAY(),Y591&gt;TODAY(),Y591,Y591=TODAY(),Y591)</f>
        <v>45746</v>
      </c>
      <c r="AD591" s="298">
        <f t="shared" si="179"/>
        <v>0</v>
      </c>
      <c r="AE591" s="299" t="str">
        <f t="shared" si="180"/>
        <v>Complete</v>
      </c>
      <c r="AI591" s="301">
        <f t="shared" ca="1" si="177"/>
        <v>0</v>
      </c>
      <c r="AJ591" s="302">
        <f t="shared" ca="1" si="178"/>
        <v>0</v>
      </c>
      <c r="AL591" s="303">
        <f t="shared" si="181"/>
        <v>2478000</v>
      </c>
      <c r="AM591" s="303">
        <f t="shared" si="182"/>
        <v>0</v>
      </c>
      <c r="AN591" s="303">
        <f t="shared" si="183"/>
        <v>2478000</v>
      </c>
      <c r="AO591" s="304">
        <f t="shared" si="184"/>
        <v>0</v>
      </c>
      <c r="AP591" s="273">
        <f t="shared" si="188"/>
        <v>3</v>
      </c>
      <c r="AQ591" s="273" t="str">
        <f t="shared" ca="1" si="185"/>
        <v>32025</v>
      </c>
    </row>
    <row r="592" spans="1:43" ht="16.5">
      <c r="A592" s="312">
        <v>30</v>
      </c>
      <c r="B592" s="880" t="s">
        <v>2138</v>
      </c>
      <c r="D592" s="246" t="s">
        <v>2139</v>
      </c>
      <c r="E592" s="440">
        <v>45162</v>
      </c>
      <c r="F592" s="739">
        <v>0.5551799999999999</v>
      </c>
      <c r="G592" s="306">
        <v>2100000</v>
      </c>
      <c r="H592" s="307">
        <v>378000</v>
      </c>
      <c r="I592" s="308">
        <v>2478000</v>
      </c>
      <c r="K592" s="905" t="s">
        <v>2233</v>
      </c>
      <c r="M592" s="665">
        <v>0.75</v>
      </c>
      <c r="N592" s="889" t="s">
        <v>1618</v>
      </c>
      <c r="O592" s="889" t="s">
        <v>2237</v>
      </c>
      <c r="P592" s="688">
        <v>45746</v>
      </c>
      <c r="Q592" s="273" t="s">
        <v>2235</v>
      </c>
      <c r="R592" s="314">
        <v>2478000</v>
      </c>
      <c r="U592" s="440">
        <v>45516</v>
      </c>
      <c r="V592" s="340">
        <f t="shared" ca="1" si="189"/>
        <v>3</v>
      </c>
      <c r="W592" s="594">
        <f t="shared" ca="1" si="190"/>
        <v>2025</v>
      </c>
      <c r="X592" s="340" t="str">
        <f t="shared" ca="1" si="172"/>
        <v>5 WEEK</v>
      </c>
      <c r="Y592" s="688">
        <f t="shared" si="192"/>
        <v>45746</v>
      </c>
      <c r="Z592" s="541" cm="1">
        <f t="array" aca="1" ref="Z592" ca="1">_xlfn.IFS(AD592&lt;100,Y592,Y592&lt;TODAY(),TODAY(),Y592&gt;TODAY(),Y592,Y592=TODAY(),Y592)</f>
        <v>45746</v>
      </c>
      <c r="AD592" s="298">
        <f t="shared" si="179"/>
        <v>0</v>
      </c>
      <c r="AE592" s="299" t="str">
        <f t="shared" si="180"/>
        <v>Complete</v>
      </c>
      <c r="AI592" s="301">
        <f t="shared" ca="1" si="177"/>
        <v>0</v>
      </c>
      <c r="AJ592" s="302">
        <f t="shared" ca="1" si="178"/>
        <v>0</v>
      </c>
      <c r="AL592" s="303">
        <f t="shared" si="181"/>
        <v>2478000</v>
      </c>
      <c r="AM592" s="303">
        <f t="shared" si="182"/>
        <v>0</v>
      </c>
      <c r="AN592" s="303">
        <f t="shared" si="183"/>
        <v>2478000</v>
      </c>
      <c r="AO592" s="304">
        <f t="shared" si="184"/>
        <v>0</v>
      </c>
      <c r="AP592" s="273">
        <f t="shared" si="188"/>
        <v>3</v>
      </c>
      <c r="AQ592" s="273" t="str">
        <f t="shared" ca="1" si="185"/>
        <v>32025</v>
      </c>
    </row>
    <row r="593" spans="1:43" ht="16.5">
      <c r="A593" s="312">
        <v>30</v>
      </c>
      <c r="B593" s="880" t="s">
        <v>2138</v>
      </c>
      <c r="D593" s="246" t="s">
        <v>2139</v>
      </c>
      <c r="E593" s="440">
        <v>45162</v>
      </c>
      <c r="F593" s="739">
        <v>0.5551799999999999</v>
      </c>
      <c r="G593" s="306">
        <v>2100000</v>
      </c>
      <c r="H593" s="307">
        <v>378000</v>
      </c>
      <c r="I593" s="308">
        <v>2478000</v>
      </c>
      <c r="K593" s="905" t="s">
        <v>2233</v>
      </c>
      <c r="M593" s="665">
        <v>0.75</v>
      </c>
      <c r="N593" s="889" t="s">
        <v>1618</v>
      </c>
      <c r="O593" s="889" t="s">
        <v>2238</v>
      </c>
      <c r="P593" s="688">
        <v>45746</v>
      </c>
      <c r="Q593" s="273" t="s">
        <v>2235</v>
      </c>
      <c r="R593" s="314">
        <v>2478000</v>
      </c>
      <c r="U593" s="440">
        <v>45516</v>
      </c>
      <c r="V593" s="340">
        <f t="shared" ca="1" si="189"/>
        <v>3</v>
      </c>
      <c r="W593" s="594">
        <f t="shared" ca="1" si="190"/>
        <v>2025</v>
      </c>
      <c r="X593" s="340" t="str">
        <f t="shared" ca="1" si="172"/>
        <v>5 WEEK</v>
      </c>
      <c r="Y593" s="688">
        <f t="shared" si="192"/>
        <v>45746</v>
      </c>
      <c r="Z593" s="541" cm="1">
        <f t="array" aca="1" ref="Z593" ca="1">_xlfn.IFS(AD593&lt;100,Y593,Y593&lt;TODAY(),TODAY(),Y593&gt;TODAY(),Y593,Y593=TODAY(),Y593)</f>
        <v>45746</v>
      </c>
      <c r="AD593" s="298">
        <f t="shared" si="179"/>
        <v>0</v>
      </c>
      <c r="AE593" s="299" t="str">
        <f t="shared" si="180"/>
        <v>Complete</v>
      </c>
      <c r="AI593" s="301">
        <f t="shared" ca="1" si="177"/>
        <v>0</v>
      </c>
      <c r="AJ593" s="302">
        <f t="shared" ca="1" si="178"/>
        <v>0</v>
      </c>
      <c r="AL593" s="303">
        <f t="shared" si="181"/>
        <v>2478000</v>
      </c>
      <c r="AM593" s="303">
        <f t="shared" si="182"/>
        <v>0</v>
      </c>
      <c r="AN593" s="303">
        <f t="shared" si="183"/>
        <v>2478000</v>
      </c>
      <c r="AO593" s="304">
        <f t="shared" si="184"/>
        <v>0</v>
      </c>
      <c r="AP593" s="273">
        <f t="shared" si="188"/>
        <v>3</v>
      </c>
      <c r="AQ593" s="273" t="str">
        <f t="shared" ca="1" si="185"/>
        <v>32025</v>
      </c>
    </row>
    <row r="594" spans="1:43" ht="16.5">
      <c r="A594" s="312">
        <v>30</v>
      </c>
      <c r="B594" s="880" t="s">
        <v>2138</v>
      </c>
      <c r="D594" s="246" t="s">
        <v>2139</v>
      </c>
      <c r="E594" s="440">
        <v>45162</v>
      </c>
      <c r="F594" s="739">
        <v>0.5551799999999999</v>
      </c>
      <c r="G594" s="306">
        <v>420000</v>
      </c>
      <c r="H594" s="307">
        <v>75600</v>
      </c>
      <c r="I594" s="308">
        <v>495600</v>
      </c>
      <c r="K594" s="905" t="s">
        <v>2233</v>
      </c>
      <c r="M594" s="665">
        <v>0.75</v>
      </c>
      <c r="N594" s="889" t="s">
        <v>1618</v>
      </c>
      <c r="O594" s="889" t="s">
        <v>2239</v>
      </c>
      <c r="P594" s="688">
        <v>45746</v>
      </c>
      <c r="Q594" s="273" t="s">
        <v>2235</v>
      </c>
      <c r="R594" s="314">
        <v>495600</v>
      </c>
      <c r="U594" s="440">
        <v>45516</v>
      </c>
      <c r="V594" s="340">
        <f t="shared" ca="1" si="189"/>
        <v>3</v>
      </c>
      <c r="W594" s="594">
        <f t="shared" ca="1" si="190"/>
        <v>2025</v>
      </c>
      <c r="X594" s="340" t="str">
        <f t="shared" ref="X594:X710" ca="1" si="193">INT((DAY(Z594)-1)/7)+1&amp;" WEEK"</f>
        <v>5 WEEK</v>
      </c>
      <c r="Y594" s="688">
        <f t="shared" si="192"/>
        <v>45746</v>
      </c>
      <c r="Z594" s="541" cm="1">
        <f t="array" aca="1" ref="Z594" ca="1">_xlfn.IFS(AD594&lt;100,Y594,Y594&lt;TODAY(),TODAY(),Y594&gt;TODAY(),Y594,Y594=TODAY(),Y594)</f>
        <v>45746</v>
      </c>
      <c r="AD594" s="298">
        <f t="shared" si="179"/>
        <v>0</v>
      </c>
      <c r="AE594" s="299" t="str">
        <f t="shared" si="180"/>
        <v>Complete</v>
      </c>
      <c r="AI594" s="301">
        <f t="shared" ca="1" si="177"/>
        <v>0</v>
      </c>
      <c r="AJ594" s="302">
        <f t="shared" ca="1" si="178"/>
        <v>0</v>
      </c>
      <c r="AL594" s="303">
        <f t="shared" si="181"/>
        <v>495600</v>
      </c>
      <c r="AM594" s="303">
        <f t="shared" si="182"/>
        <v>0</v>
      </c>
      <c r="AN594" s="303">
        <f t="shared" si="183"/>
        <v>495600</v>
      </c>
      <c r="AO594" s="304">
        <f t="shared" si="184"/>
        <v>0</v>
      </c>
      <c r="AP594" s="273">
        <f t="shared" si="188"/>
        <v>3</v>
      </c>
      <c r="AQ594" s="273" t="str">
        <f t="shared" ca="1" si="185"/>
        <v>32025</v>
      </c>
    </row>
    <row r="595" spans="1:43" ht="16.5">
      <c r="A595" s="312">
        <v>30</v>
      </c>
      <c r="B595" s="880" t="s">
        <v>2138</v>
      </c>
      <c r="D595" s="246" t="s">
        <v>2139</v>
      </c>
      <c r="E595" s="440">
        <v>45162</v>
      </c>
      <c r="F595" s="739">
        <v>0.5551799999999999</v>
      </c>
      <c r="G595" s="306">
        <v>420000</v>
      </c>
      <c r="H595" s="307">
        <v>75600</v>
      </c>
      <c r="I595" s="308">
        <v>495600</v>
      </c>
      <c r="K595" s="905" t="s">
        <v>2233</v>
      </c>
      <c r="M595" s="665">
        <v>0.75</v>
      </c>
      <c r="N595" s="889" t="s">
        <v>1618</v>
      </c>
      <c r="O595" s="889" t="s">
        <v>2240</v>
      </c>
      <c r="P595" s="688">
        <v>45746</v>
      </c>
      <c r="Q595" s="273" t="s">
        <v>2235</v>
      </c>
      <c r="R595" s="314">
        <v>495600</v>
      </c>
      <c r="U595" s="440">
        <v>45516</v>
      </c>
      <c r="V595" s="340">
        <f t="shared" ca="1" si="189"/>
        <v>3</v>
      </c>
      <c r="W595" s="594">
        <f t="shared" ca="1" si="190"/>
        <v>2025</v>
      </c>
      <c r="X595" s="340" t="str">
        <f t="shared" ca="1" si="193"/>
        <v>5 WEEK</v>
      </c>
      <c r="Y595" s="688">
        <f t="shared" si="192"/>
        <v>45746</v>
      </c>
      <c r="Z595" s="541" cm="1">
        <f t="array" aca="1" ref="Z595" ca="1">_xlfn.IFS(AD595&lt;100,Y595,Y595&lt;TODAY(),TODAY(),Y595&gt;TODAY(),Y595,Y595=TODAY(),Y595)</f>
        <v>45746</v>
      </c>
      <c r="AD595" s="298">
        <f t="shared" si="179"/>
        <v>0</v>
      </c>
      <c r="AE595" s="299" t="str">
        <f t="shared" si="180"/>
        <v>Complete</v>
      </c>
      <c r="AI595" s="301">
        <f t="shared" ca="1" si="177"/>
        <v>0</v>
      </c>
      <c r="AJ595" s="302">
        <f t="shared" ca="1" si="178"/>
        <v>0</v>
      </c>
      <c r="AL595" s="303">
        <f t="shared" si="181"/>
        <v>495600</v>
      </c>
      <c r="AM595" s="303">
        <f t="shared" si="182"/>
        <v>0</v>
      </c>
      <c r="AN595" s="303">
        <f t="shared" si="183"/>
        <v>495600</v>
      </c>
      <c r="AO595" s="304">
        <f t="shared" si="184"/>
        <v>0</v>
      </c>
      <c r="AP595" s="273">
        <f t="shared" si="188"/>
        <v>3</v>
      </c>
      <c r="AQ595" s="273" t="str">
        <f t="shared" ca="1" si="185"/>
        <v>32025</v>
      </c>
    </row>
    <row r="596" spans="1:43" ht="16.5">
      <c r="A596" s="312">
        <v>30</v>
      </c>
      <c r="B596" s="880" t="s">
        <v>2138</v>
      </c>
      <c r="D596" s="246" t="s">
        <v>2139</v>
      </c>
      <c r="E596" s="440">
        <v>45162</v>
      </c>
      <c r="F596" s="739">
        <v>0.5551799999999999</v>
      </c>
      <c r="G596" s="306">
        <v>420000</v>
      </c>
      <c r="H596" s="307">
        <v>75600</v>
      </c>
      <c r="I596" s="308">
        <v>495600</v>
      </c>
      <c r="K596" s="905" t="s">
        <v>2233</v>
      </c>
      <c r="M596" s="665">
        <v>0.75</v>
      </c>
      <c r="N596" s="889" t="s">
        <v>1618</v>
      </c>
      <c r="O596" s="889" t="s">
        <v>2241</v>
      </c>
      <c r="P596" s="688">
        <v>45746</v>
      </c>
      <c r="Q596" s="273" t="s">
        <v>2235</v>
      </c>
      <c r="R596" s="314">
        <v>495600</v>
      </c>
      <c r="U596" s="440">
        <v>45516</v>
      </c>
      <c r="V596" s="340">
        <f t="shared" ca="1" si="189"/>
        <v>3</v>
      </c>
      <c r="W596" s="594">
        <f t="shared" ca="1" si="190"/>
        <v>2025</v>
      </c>
      <c r="X596" s="340" t="str">
        <f t="shared" ca="1" si="193"/>
        <v>5 WEEK</v>
      </c>
      <c r="Y596" s="688">
        <f t="shared" si="192"/>
        <v>45746</v>
      </c>
      <c r="Z596" s="541" cm="1">
        <f t="array" aca="1" ref="Z596" ca="1">_xlfn.IFS(AD596&lt;100,Y596,Y596&lt;TODAY(),TODAY(),Y596&gt;TODAY(),Y596,Y596=TODAY(),Y596)</f>
        <v>45746</v>
      </c>
      <c r="AD596" s="298">
        <f t="shared" si="179"/>
        <v>0</v>
      </c>
      <c r="AE596" s="299" t="str">
        <f t="shared" si="180"/>
        <v>Complete</v>
      </c>
      <c r="AI596" s="301">
        <f t="shared" ca="1" si="177"/>
        <v>0</v>
      </c>
      <c r="AJ596" s="302">
        <f t="shared" ca="1" si="178"/>
        <v>0</v>
      </c>
      <c r="AL596" s="303">
        <f t="shared" si="181"/>
        <v>495600</v>
      </c>
      <c r="AM596" s="303">
        <f t="shared" si="182"/>
        <v>0</v>
      </c>
      <c r="AN596" s="303">
        <f t="shared" si="183"/>
        <v>495600</v>
      </c>
      <c r="AO596" s="304">
        <f t="shared" si="184"/>
        <v>0</v>
      </c>
      <c r="AP596" s="273">
        <f t="shared" si="188"/>
        <v>3</v>
      </c>
      <c r="AQ596" s="273" t="str">
        <f t="shared" ca="1" si="185"/>
        <v>32025</v>
      </c>
    </row>
    <row r="597" spans="1:43" ht="16.5">
      <c r="A597" s="312">
        <v>30</v>
      </c>
      <c r="B597" s="880" t="s">
        <v>2138</v>
      </c>
      <c r="D597" s="246" t="s">
        <v>2139</v>
      </c>
      <c r="E597" s="440">
        <v>45162</v>
      </c>
      <c r="F597" s="739">
        <v>0.5551799999999999</v>
      </c>
      <c r="G597" s="306">
        <v>210000</v>
      </c>
      <c r="H597" s="307">
        <v>37800</v>
      </c>
      <c r="I597" s="308">
        <v>247800</v>
      </c>
      <c r="K597" s="905" t="s">
        <v>2233</v>
      </c>
      <c r="M597" s="665">
        <v>0.75</v>
      </c>
      <c r="N597" s="889" t="s">
        <v>1618</v>
      </c>
      <c r="O597" s="888" t="s">
        <v>2242</v>
      </c>
      <c r="P597" s="688">
        <v>45746</v>
      </c>
      <c r="Q597" s="273" t="s">
        <v>2235</v>
      </c>
      <c r="R597" s="314">
        <v>247800</v>
      </c>
      <c r="U597" s="440">
        <v>45516</v>
      </c>
      <c r="V597" s="340">
        <f t="shared" ca="1" si="189"/>
        <v>3</v>
      </c>
      <c r="W597" s="594">
        <f t="shared" ca="1" si="190"/>
        <v>2025</v>
      </c>
      <c r="X597" s="340" t="str">
        <f t="shared" ca="1" si="193"/>
        <v>5 WEEK</v>
      </c>
      <c r="Y597" s="688">
        <f t="shared" si="192"/>
        <v>45746</v>
      </c>
      <c r="Z597" s="541" cm="1">
        <f t="array" aca="1" ref="Z597" ca="1">_xlfn.IFS(AD597&lt;100,Y597,Y597&lt;TODAY(),TODAY(),Y597&gt;TODAY(),Y597,Y597=TODAY(),Y597)</f>
        <v>45746</v>
      </c>
      <c r="AD597" s="298">
        <f t="shared" si="179"/>
        <v>0</v>
      </c>
      <c r="AE597" s="299" t="str">
        <f t="shared" si="180"/>
        <v>Complete</v>
      </c>
      <c r="AI597" s="301">
        <f t="shared" ca="1" si="177"/>
        <v>0</v>
      </c>
      <c r="AJ597" s="302">
        <f t="shared" ca="1" si="178"/>
        <v>0</v>
      </c>
      <c r="AL597" s="303">
        <f t="shared" si="181"/>
        <v>247800</v>
      </c>
      <c r="AM597" s="303">
        <f t="shared" si="182"/>
        <v>0</v>
      </c>
      <c r="AN597" s="303">
        <f t="shared" si="183"/>
        <v>247800</v>
      </c>
      <c r="AO597" s="304">
        <f t="shared" si="184"/>
        <v>0</v>
      </c>
      <c r="AP597" s="273">
        <f t="shared" si="188"/>
        <v>3</v>
      </c>
      <c r="AQ597" s="273" t="str">
        <f t="shared" ca="1" si="185"/>
        <v>32025</v>
      </c>
    </row>
    <row r="598" spans="1:43" ht="16.5">
      <c r="A598" s="312">
        <v>30</v>
      </c>
      <c r="B598" s="880" t="s">
        <v>2138</v>
      </c>
      <c r="D598" s="246" t="s">
        <v>2139</v>
      </c>
      <c r="E598" s="440">
        <v>45162</v>
      </c>
      <c r="F598" s="739">
        <v>0.5551799999999999</v>
      </c>
      <c r="G598" s="306">
        <v>2100000</v>
      </c>
      <c r="H598" s="307">
        <v>378000</v>
      </c>
      <c r="I598" s="308">
        <v>2478000</v>
      </c>
      <c r="K598" s="905" t="s">
        <v>2233</v>
      </c>
      <c r="M598" s="665">
        <v>0.75</v>
      </c>
      <c r="N598" s="889" t="s">
        <v>1618</v>
      </c>
      <c r="O598" s="889" t="s">
        <v>2243</v>
      </c>
      <c r="P598" s="688">
        <v>45746</v>
      </c>
      <c r="Q598" s="273" t="s">
        <v>2235</v>
      </c>
      <c r="R598" s="314">
        <v>2478000</v>
      </c>
      <c r="U598" s="440">
        <v>45516</v>
      </c>
      <c r="V598" s="340">
        <f t="shared" ca="1" si="189"/>
        <v>3</v>
      </c>
      <c r="W598" s="594">
        <f t="shared" ca="1" si="190"/>
        <v>2025</v>
      </c>
      <c r="X598" s="340" t="str">
        <f t="shared" ca="1" si="193"/>
        <v>5 WEEK</v>
      </c>
      <c r="Y598" s="688">
        <f t="shared" si="192"/>
        <v>45746</v>
      </c>
      <c r="Z598" s="541" cm="1">
        <f t="array" aca="1" ref="Z598" ca="1">_xlfn.IFS(AD598&lt;100,Y598,Y598&lt;TODAY(),TODAY(),Y598&gt;TODAY(),Y598,Y598=TODAY(),Y598)</f>
        <v>45746</v>
      </c>
      <c r="AD598" s="298">
        <f t="shared" si="179"/>
        <v>0</v>
      </c>
      <c r="AE598" s="299" t="str">
        <f t="shared" si="180"/>
        <v>Complete</v>
      </c>
      <c r="AI598" s="301">
        <f t="shared" ca="1" si="177"/>
        <v>0</v>
      </c>
      <c r="AJ598" s="302">
        <f t="shared" ca="1" si="178"/>
        <v>0</v>
      </c>
      <c r="AL598" s="303">
        <f t="shared" si="181"/>
        <v>2478000</v>
      </c>
      <c r="AM598" s="303">
        <f t="shared" si="182"/>
        <v>0</v>
      </c>
      <c r="AN598" s="303">
        <f t="shared" si="183"/>
        <v>2478000</v>
      </c>
      <c r="AO598" s="304">
        <f t="shared" si="184"/>
        <v>0</v>
      </c>
      <c r="AP598" s="273">
        <f t="shared" si="188"/>
        <v>3</v>
      </c>
      <c r="AQ598" s="273" t="str">
        <f t="shared" ca="1" si="185"/>
        <v>32025</v>
      </c>
    </row>
    <row r="599" spans="1:43" ht="16.5">
      <c r="A599" s="312">
        <v>30</v>
      </c>
      <c r="B599" s="880" t="s">
        <v>2138</v>
      </c>
      <c r="D599" s="246" t="s">
        <v>2139</v>
      </c>
      <c r="E599" s="440">
        <v>45162</v>
      </c>
      <c r="F599" s="739">
        <v>0.5551799999999999</v>
      </c>
      <c r="G599" s="306">
        <v>3150000</v>
      </c>
      <c r="H599" s="307">
        <v>567000</v>
      </c>
      <c r="I599" s="308">
        <v>3717000</v>
      </c>
      <c r="K599" s="905" t="s">
        <v>2233</v>
      </c>
      <c r="M599" s="665">
        <v>0.75</v>
      </c>
      <c r="N599" s="889" t="s">
        <v>1618</v>
      </c>
      <c r="O599" s="889" t="s">
        <v>2244</v>
      </c>
      <c r="P599" s="688">
        <v>45746</v>
      </c>
      <c r="Q599" s="273" t="s">
        <v>2235</v>
      </c>
      <c r="R599" s="314">
        <v>3717000</v>
      </c>
      <c r="U599" s="440">
        <v>45516</v>
      </c>
      <c r="V599" s="340">
        <f t="shared" ca="1" si="189"/>
        <v>3</v>
      </c>
      <c r="W599" s="594">
        <f t="shared" ca="1" si="190"/>
        <v>2025</v>
      </c>
      <c r="X599" s="340" t="str">
        <f t="shared" ca="1" si="193"/>
        <v>5 WEEK</v>
      </c>
      <c r="Y599" s="688">
        <f t="shared" si="192"/>
        <v>45746</v>
      </c>
      <c r="Z599" s="541" cm="1">
        <f t="array" aca="1" ref="Z599" ca="1">_xlfn.IFS(AD599&lt;100,Y599,Y599&lt;TODAY(),TODAY(),Y599&gt;TODAY(),Y599,Y599=TODAY(),Y599)</f>
        <v>45746</v>
      </c>
      <c r="AD599" s="298">
        <f t="shared" si="179"/>
        <v>0</v>
      </c>
      <c r="AE599" s="299" t="str">
        <f t="shared" si="180"/>
        <v>Complete</v>
      </c>
      <c r="AI599" s="301">
        <f t="shared" ca="1" si="177"/>
        <v>0</v>
      </c>
      <c r="AJ599" s="302">
        <f t="shared" ca="1" si="178"/>
        <v>0</v>
      </c>
      <c r="AL599" s="303">
        <f t="shared" si="181"/>
        <v>3717000</v>
      </c>
      <c r="AM599" s="303">
        <f t="shared" si="182"/>
        <v>0</v>
      </c>
      <c r="AN599" s="303">
        <f t="shared" si="183"/>
        <v>3717000</v>
      </c>
      <c r="AO599" s="304">
        <f t="shared" si="184"/>
        <v>0</v>
      </c>
      <c r="AP599" s="273">
        <f t="shared" si="188"/>
        <v>3</v>
      </c>
      <c r="AQ599" s="273" t="str">
        <f t="shared" ca="1" si="185"/>
        <v>32025</v>
      </c>
    </row>
    <row r="600" spans="1:43" ht="16.5">
      <c r="A600" s="312">
        <v>30</v>
      </c>
      <c r="B600" s="880" t="s">
        <v>2138</v>
      </c>
      <c r="D600" s="246" t="s">
        <v>2139</v>
      </c>
      <c r="E600" s="440">
        <v>45162</v>
      </c>
      <c r="F600" s="739">
        <v>0.5551799999999999</v>
      </c>
      <c r="G600" s="306">
        <v>1050000</v>
      </c>
      <c r="H600" s="307">
        <v>189000</v>
      </c>
      <c r="I600" s="308">
        <v>1239000</v>
      </c>
      <c r="K600" s="905" t="s">
        <v>2233</v>
      </c>
      <c r="M600" s="665">
        <v>0.75</v>
      </c>
      <c r="N600" s="889" t="s">
        <v>1618</v>
      </c>
      <c r="O600" s="889" t="s">
        <v>2245</v>
      </c>
      <c r="P600" s="688">
        <v>45746</v>
      </c>
      <c r="Q600" s="273" t="s">
        <v>2235</v>
      </c>
      <c r="R600" s="314">
        <v>1239000</v>
      </c>
      <c r="U600" s="440">
        <v>45516</v>
      </c>
      <c r="V600" s="340">
        <f t="shared" ca="1" si="189"/>
        <v>3</v>
      </c>
      <c r="W600" s="594">
        <f t="shared" ca="1" si="190"/>
        <v>2025</v>
      </c>
      <c r="X600" s="340" t="str">
        <f t="shared" ca="1" si="193"/>
        <v>5 WEEK</v>
      </c>
      <c r="Y600" s="688">
        <f t="shared" si="192"/>
        <v>45746</v>
      </c>
      <c r="Z600" s="541" cm="1">
        <f t="array" aca="1" ref="Z600" ca="1">_xlfn.IFS(AD600&lt;100,Y600,Y600&lt;TODAY(),TODAY(),Y600&gt;TODAY(),Y600,Y600=TODAY(),Y600)</f>
        <v>45746</v>
      </c>
      <c r="AD600" s="298">
        <f t="shared" si="179"/>
        <v>0</v>
      </c>
      <c r="AE600" s="299" t="str">
        <f t="shared" si="180"/>
        <v>Complete</v>
      </c>
      <c r="AI600" s="301">
        <f t="shared" ca="1" si="177"/>
        <v>0</v>
      </c>
      <c r="AJ600" s="302">
        <f t="shared" ca="1" si="178"/>
        <v>0</v>
      </c>
      <c r="AL600" s="303">
        <f t="shared" si="181"/>
        <v>1239000</v>
      </c>
      <c r="AM600" s="303">
        <f t="shared" si="182"/>
        <v>0</v>
      </c>
      <c r="AN600" s="303">
        <f t="shared" si="183"/>
        <v>1239000</v>
      </c>
      <c r="AO600" s="304">
        <f t="shared" si="184"/>
        <v>0</v>
      </c>
      <c r="AP600" s="273">
        <f t="shared" si="188"/>
        <v>3</v>
      </c>
      <c r="AQ600" s="273" t="str">
        <f t="shared" ca="1" si="185"/>
        <v>32025</v>
      </c>
    </row>
    <row r="601" spans="1:43" ht="16.5">
      <c r="A601" s="312">
        <v>30</v>
      </c>
      <c r="B601" s="880" t="s">
        <v>2138</v>
      </c>
      <c r="D601" s="246" t="s">
        <v>2139</v>
      </c>
      <c r="E601" s="440">
        <v>45162</v>
      </c>
      <c r="F601" s="739">
        <v>0.5551799999999999</v>
      </c>
      <c r="G601" s="306">
        <v>1050000</v>
      </c>
      <c r="H601" s="307">
        <v>189000</v>
      </c>
      <c r="I601" s="308">
        <v>1239000</v>
      </c>
      <c r="K601" s="905" t="s">
        <v>2233</v>
      </c>
      <c r="M601" s="665">
        <v>0.75</v>
      </c>
      <c r="N601" s="889" t="s">
        <v>1618</v>
      </c>
      <c r="O601" s="889" t="s">
        <v>2246</v>
      </c>
      <c r="P601" s="688">
        <v>45746</v>
      </c>
      <c r="Q601" s="273" t="s">
        <v>2235</v>
      </c>
      <c r="R601" s="314">
        <v>1239000</v>
      </c>
      <c r="U601" s="440">
        <v>45516</v>
      </c>
      <c r="V601" s="340">
        <f t="shared" ca="1" si="189"/>
        <v>3</v>
      </c>
      <c r="W601" s="594">
        <f t="shared" ca="1" si="190"/>
        <v>2025</v>
      </c>
      <c r="X601" s="340" t="str">
        <f t="shared" ca="1" si="193"/>
        <v>5 WEEK</v>
      </c>
      <c r="Y601" s="688">
        <f t="shared" si="192"/>
        <v>45746</v>
      </c>
      <c r="Z601" s="541" cm="1">
        <f t="array" aca="1" ref="Z601" ca="1">_xlfn.IFS(AD601&lt;100,Y601,Y601&lt;TODAY(),TODAY(),Y601&gt;TODAY(),Y601,Y601=TODAY(),Y601)</f>
        <v>45746</v>
      </c>
      <c r="AD601" s="298">
        <f t="shared" si="179"/>
        <v>0</v>
      </c>
      <c r="AE601" s="299" t="str">
        <f t="shared" si="180"/>
        <v>Complete</v>
      </c>
      <c r="AI601" s="301">
        <f t="shared" ca="1" si="177"/>
        <v>0</v>
      </c>
      <c r="AJ601" s="302">
        <f t="shared" ca="1" si="178"/>
        <v>0</v>
      </c>
      <c r="AL601" s="303">
        <f t="shared" si="181"/>
        <v>1239000</v>
      </c>
      <c r="AM601" s="303">
        <f t="shared" si="182"/>
        <v>0</v>
      </c>
      <c r="AN601" s="303">
        <f t="shared" si="183"/>
        <v>1239000</v>
      </c>
      <c r="AO601" s="304">
        <f t="shared" si="184"/>
        <v>0</v>
      </c>
      <c r="AP601" s="273">
        <f t="shared" si="188"/>
        <v>3</v>
      </c>
      <c r="AQ601" s="273" t="str">
        <f t="shared" ca="1" si="185"/>
        <v>32025</v>
      </c>
    </row>
    <row r="602" spans="1:43" ht="16.5">
      <c r="A602" s="312">
        <v>30</v>
      </c>
      <c r="B602" s="880" t="s">
        <v>2138</v>
      </c>
      <c r="D602" s="246" t="s">
        <v>2139</v>
      </c>
      <c r="E602" s="440">
        <v>45162</v>
      </c>
      <c r="F602" s="739">
        <v>0.5551799999999999</v>
      </c>
      <c r="G602" s="306">
        <v>630000</v>
      </c>
      <c r="H602" s="307">
        <v>113400</v>
      </c>
      <c r="I602" s="308">
        <v>743400</v>
      </c>
      <c r="K602" s="905" t="s">
        <v>2233</v>
      </c>
      <c r="M602" s="665">
        <v>0.75</v>
      </c>
      <c r="N602" s="889" t="s">
        <v>1618</v>
      </c>
      <c r="O602" s="889" t="s">
        <v>2247</v>
      </c>
      <c r="P602" s="688">
        <v>45746</v>
      </c>
      <c r="Q602" s="273" t="s">
        <v>2235</v>
      </c>
      <c r="R602" s="314">
        <v>743400</v>
      </c>
      <c r="U602" s="440">
        <v>45516</v>
      </c>
      <c r="V602" s="340">
        <f t="shared" ca="1" si="189"/>
        <v>3</v>
      </c>
      <c r="W602" s="594">
        <f t="shared" ca="1" si="190"/>
        <v>2025</v>
      </c>
      <c r="X602" s="340" t="str">
        <f t="shared" ca="1" si="193"/>
        <v>5 WEEK</v>
      </c>
      <c r="Y602" s="688">
        <f t="shared" si="192"/>
        <v>45746</v>
      </c>
      <c r="Z602" s="541" cm="1">
        <f t="array" aca="1" ref="Z602" ca="1">_xlfn.IFS(AD602&lt;100,Y602,Y602&lt;TODAY(),TODAY(),Y602&gt;TODAY(),Y602,Y602=TODAY(),Y602)</f>
        <v>45746</v>
      </c>
      <c r="AD602" s="298">
        <f t="shared" si="179"/>
        <v>0</v>
      </c>
      <c r="AE602" s="299" t="str">
        <f t="shared" si="180"/>
        <v>Complete</v>
      </c>
      <c r="AI602" s="301">
        <f t="shared" ca="1" si="177"/>
        <v>0</v>
      </c>
      <c r="AJ602" s="302">
        <f t="shared" ca="1" si="178"/>
        <v>0</v>
      </c>
      <c r="AL602" s="303">
        <f t="shared" si="181"/>
        <v>743400</v>
      </c>
      <c r="AM602" s="303">
        <f t="shared" si="182"/>
        <v>0</v>
      </c>
      <c r="AN602" s="303">
        <f t="shared" si="183"/>
        <v>743400</v>
      </c>
      <c r="AO602" s="304">
        <f t="shared" si="184"/>
        <v>0</v>
      </c>
      <c r="AP602" s="273">
        <f t="shared" si="188"/>
        <v>3</v>
      </c>
      <c r="AQ602" s="273" t="str">
        <f t="shared" ca="1" si="185"/>
        <v>32025</v>
      </c>
    </row>
    <row r="603" spans="1:43" ht="16.5">
      <c r="A603" s="312">
        <v>30</v>
      </c>
      <c r="B603" s="880" t="s">
        <v>2138</v>
      </c>
      <c r="D603" s="246" t="s">
        <v>2139</v>
      </c>
      <c r="E603" s="440">
        <v>45162</v>
      </c>
      <c r="F603" s="739">
        <v>0.5551799999999999</v>
      </c>
      <c r="G603" s="306">
        <v>1050000</v>
      </c>
      <c r="H603" s="307">
        <v>189000</v>
      </c>
      <c r="I603" s="308">
        <v>1239000</v>
      </c>
      <c r="K603" s="905" t="s">
        <v>2233</v>
      </c>
      <c r="M603" s="665">
        <v>0.75</v>
      </c>
      <c r="N603" s="889" t="s">
        <v>1618</v>
      </c>
      <c r="O603" s="889" t="s">
        <v>2248</v>
      </c>
      <c r="P603" s="688">
        <v>45746</v>
      </c>
      <c r="Q603" s="273" t="s">
        <v>2235</v>
      </c>
      <c r="R603" s="314">
        <v>1239000</v>
      </c>
      <c r="U603" s="440">
        <v>45516</v>
      </c>
      <c r="V603" s="340">
        <f t="shared" ca="1" si="189"/>
        <v>3</v>
      </c>
      <c r="W603" s="594">
        <f t="shared" ca="1" si="190"/>
        <v>2025</v>
      </c>
      <c r="X603" s="340" t="str">
        <f t="shared" ca="1" si="193"/>
        <v>5 WEEK</v>
      </c>
      <c r="Y603" s="688">
        <f t="shared" si="192"/>
        <v>45746</v>
      </c>
      <c r="Z603" s="541" cm="1">
        <f t="array" aca="1" ref="Z603" ca="1">_xlfn.IFS(AD603&lt;100,Y603,Y603&lt;TODAY(),TODAY(),Y603&gt;TODAY(),Y603,Y603=TODAY(),Y603)</f>
        <v>45746</v>
      </c>
      <c r="AD603" s="298">
        <f t="shared" si="179"/>
        <v>0</v>
      </c>
      <c r="AE603" s="299" t="str">
        <f t="shared" si="180"/>
        <v>Complete</v>
      </c>
      <c r="AI603" s="301">
        <f t="shared" ca="1" si="177"/>
        <v>0</v>
      </c>
      <c r="AJ603" s="302">
        <f t="shared" ca="1" si="178"/>
        <v>0</v>
      </c>
      <c r="AL603" s="303">
        <f t="shared" si="181"/>
        <v>1239000</v>
      </c>
      <c r="AM603" s="303">
        <f t="shared" si="182"/>
        <v>0</v>
      </c>
      <c r="AN603" s="303">
        <f t="shared" si="183"/>
        <v>1239000</v>
      </c>
      <c r="AO603" s="304">
        <f t="shared" si="184"/>
        <v>0</v>
      </c>
      <c r="AP603" s="273">
        <f t="shared" si="188"/>
        <v>3</v>
      </c>
      <c r="AQ603" s="273" t="str">
        <f t="shared" ca="1" si="185"/>
        <v>32025</v>
      </c>
    </row>
    <row r="604" spans="1:43" ht="16.5">
      <c r="A604" s="312">
        <v>30</v>
      </c>
      <c r="B604" s="880" t="s">
        <v>2138</v>
      </c>
      <c r="D604" s="246" t="s">
        <v>2139</v>
      </c>
      <c r="E604" s="440">
        <v>45162</v>
      </c>
      <c r="F604" s="739">
        <v>0.5551799999999999</v>
      </c>
      <c r="G604" s="306">
        <v>1050000</v>
      </c>
      <c r="H604" s="307">
        <v>189000</v>
      </c>
      <c r="I604" s="308">
        <v>1239000</v>
      </c>
      <c r="K604" s="905" t="s">
        <v>2233</v>
      </c>
      <c r="M604" s="665">
        <v>0.75</v>
      </c>
      <c r="N604" s="889" t="s">
        <v>1618</v>
      </c>
      <c r="O604" s="889" t="s">
        <v>2249</v>
      </c>
      <c r="P604" s="688">
        <v>45746</v>
      </c>
      <c r="Q604" s="273" t="s">
        <v>2235</v>
      </c>
      <c r="R604" s="314">
        <v>1239000</v>
      </c>
      <c r="U604" s="440">
        <v>45516</v>
      </c>
      <c r="V604" s="340">
        <f t="shared" ca="1" si="189"/>
        <v>3</v>
      </c>
      <c r="W604" s="594">
        <f t="shared" ca="1" si="190"/>
        <v>2025</v>
      </c>
      <c r="X604" s="340" t="str">
        <f t="shared" ca="1" si="193"/>
        <v>5 WEEK</v>
      </c>
      <c r="Y604" s="688">
        <f t="shared" si="192"/>
        <v>45746</v>
      </c>
      <c r="Z604" s="541" cm="1">
        <f t="array" aca="1" ref="Z604" ca="1">_xlfn.IFS(AD604&lt;100,Y604,Y604&lt;TODAY(),TODAY(),Y604&gt;TODAY(),Y604,Y604=TODAY(),Y604)</f>
        <v>45746</v>
      </c>
      <c r="AD604" s="298">
        <f t="shared" si="179"/>
        <v>0</v>
      </c>
      <c r="AE604" s="299" t="str">
        <f t="shared" si="180"/>
        <v>Complete</v>
      </c>
      <c r="AI604" s="301">
        <f t="shared" ca="1" si="177"/>
        <v>0</v>
      </c>
      <c r="AJ604" s="302">
        <f t="shared" ca="1" si="178"/>
        <v>0</v>
      </c>
      <c r="AL604" s="303">
        <f t="shared" si="181"/>
        <v>1239000</v>
      </c>
      <c r="AM604" s="303">
        <f t="shared" si="182"/>
        <v>0</v>
      </c>
      <c r="AN604" s="303">
        <f t="shared" si="183"/>
        <v>1239000</v>
      </c>
      <c r="AO604" s="304">
        <f t="shared" si="184"/>
        <v>0</v>
      </c>
      <c r="AP604" s="273">
        <f t="shared" si="188"/>
        <v>3</v>
      </c>
      <c r="AQ604" s="273" t="str">
        <f t="shared" ca="1" si="185"/>
        <v>32025</v>
      </c>
    </row>
    <row r="605" spans="1:43" ht="16.5">
      <c r="A605" s="312">
        <v>30</v>
      </c>
      <c r="B605" s="880" t="s">
        <v>2138</v>
      </c>
      <c r="D605" s="246" t="s">
        <v>2139</v>
      </c>
      <c r="E605" s="440">
        <v>45162</v>
      </c>
      <c r="F605" s="739">
        <v>0.5551799999999999</v>
      </c>
      <c r="G605" s="306">
        <v>630000</v>
      </c>
      <c r="H605" s="307">
        <v>113400</v>
      </c>
      <c r="I605" s="308">
        <v>743400</v>
      </c>
      <c r="K605" s="905" t="s">
        <v>2233</v>
      </c>
      <c r="M605" s="665">
        <v>0.75</v>
      </c>
      <c r="N605" s="889" t="s">
        <v>1618</v>
      </c>
      <c r="O605" s="889" t="s">
        <v>2250</v>
      </c>
      <c r="P605" s="688">
        <v>45746</v>
      </c>
      <c r="Q605" s="273" t="s">
        <v>2235</v>
      </c>
      <c r="R605" s="314">
        <v>743400</v>
      </c>
      <c r="U605" s="440">
        <v>45516</v>
      </c>
      <c r="V605" s="340">
        <f t="shared" ca="1" si="189"/>
        <v>3</v>
      </c>
      <c r="W605" s="594">
        <f t="shared" ca="1" si="190"/>
        <v>2025</v>
      </c>
      <c r="X605" s="340" t="str">
        <f t="shared" ca="1" si="193"/>
        <v>5 WEEK</v>
      </c>
      <c r="Y605" s="688">
        <f t="shared" si="192"/>
        <v>45746</v>
      </c>
      <c r="Z605" s="541" cm="1">
        <f t="array" aca="1" ref="Z605" ca="1">_xlfn.IFS(AD605&lt;100,Y605,Y605&lt;TODAY(),TODAY(),Y605&gt;TODAY(),Y605,Y605=TODAY(),Y605)</f>
        <v>45746</v>
      </c>
      <c r="AD605" s="298">
        <f t="shared" si="179"/>
        <v>0</v>
      </c>
      <c r="AE605" s="299" t="str">
        <f t="shared" si="180"/>
        <v>Complete</v>
      </c>
      <c r="AI605" s="301">
        <f t="shared" ca="1" si="177"/>
        <v>0</v>
      </c>
      <c r="AJ605" s="302">
        <f t="shared" ca="1" si="178"/>
        <v>0</v>
      </c>
      <c r="AL605" s="303">
        <f t="shared" si="181"/>
        <v>743400</v>
      </c>
      <c r="AM605" s="303">
        <f t="shared" si="182"/>
        <v>0</v>
      </c>
      <c r="AN605" s="303">
        <f t="shared" si="183"/>
        <v>743400</v>
      </c>
      <c r="AO605" s="304">
        <f t="shared" si="184"/>
        <v>0</v>
      </c>
      <c r="AP605" s="273">
        <f t="shared" si="188"/>
        <v>3</v>
      </c>
      <c r="AQ605" s="273" t="str">
        <f t="shared" ca="1" si="185"/>
        <v>32025</v>
      </c>
    </row>
    <row r="606" spans="1:43" ht="16.5">
      <c r="A606" s="312">
        <v>30</v>
      </c>
      <c r="B606" s="880" t="s">
        <v>2138</v>
      </c>
      <c r="D606" s="246" t="s">
        <v>2139</v>
      </c>
      <c r="E606" s="440">
        <v>45162</v>
      </c>
      <c r="F606" s="739">
        <v>0.5551799999999999</v>
      </c>
      <c r="G606" s="306">
        <v>420000</v>
      </c>
      <c r="H606" s="307">
        <v>75600</v>
      </c>
      <c r="I606" s="308">
        <v>495600</v>
      </c>
      <c r="K606" s="905" t="s">
        <v>2233</v>
      </c>
      <c r="M606" s="665">
        <v>0.75</v>
      </c>
      <c r="N606" s="889" t="s">
        <v>1618</v>
      </c>
      <c r="O606" s="888" t="s">
        <v>2251</v>
      </c>
      <c r="P606" s="688">
        <v>45746</v>
      </c>
      <c r="Q606" s="273" t="s">
        <v>2235</v>
      </c>
      <c r="R606" s="314">
        <v>495600</v>
      </c>
      <c r="U606" s="440">
        <v>45516</v>
      </c>
      <c r="V606" s="340">
        <f t="shared" ca="1" si="189"/>
        <v>3</v>
      </c>
      <c r="W606" s="594">
        <f t="shared" ca="1" si="190"/>
        <v>2025</v>
      </c>
      <c r="X606" s="340" t="str">
        <f t="shared" ca="1" si="193"/>
        <v>5 WEEK</v>
      </c>
      <c r="Y606" s="688">
        <f t="shared" si="192"/>
        <v>45746</v>
      </c>
      <c r="Z606" s="541" cm="1">
        <f t="array" aca="1" ref="Z606" ca="1">_xlfn.IFS(AD606&lt;100,Y606,Y606&lt;TODAY(),TODAY(),Y606&gt;TODAY(),Y606,Y606=TODAY(),Y606)</f>
        <v>45746</v>
      </c>
      <c r="AD606" s="298">
        <f t="shared" si="179"/>
        <v>0</v>
      </c>
      <c r="AE606" s="299" t="str">
        <f t="shared" si="180"/>
        <v>Complete</v>
      </c>
      <c r="AI606" s="301">
        <f t="shared" ca="1" si="177"/>
        <v>0</v>
      </c>
      <c r="AJ606" s="302">
        <f t="shared" ca="1" si="178"/>
        <v>0</v>
      </c>
      <c r="AL606" s="303">
        <f t="shared" si="181"/>
        <v>495600</v>
      </c>
      <c r="AM606" s="303">
        <f t="shared" si="182"/>
        <v>0</v>
      </c>
      <c r="AN606" s="303">
        <f t="shared" si="183"/>
        <v>495600</v>
      </c>
      <c r="AO606" s="304">
        <f t="shared" si="184"/>
        <v>0</v>
      </c>
      <c r="AP606" s="273">
        <f t="shared" si="188"/>
        <v>3</v>
      </c>
      <c r="AQ606" s="273" t="str">
        <f t="shared" ca="1" si="185"/>
        <v>32025</v>
      </c>
    </row>
    <row r="607" spans="1:43" ht="16.5">
      <c r="A607" s="312">
        <v>30</v>
      </c>
      <c r="B607" s="880" t="s">
        <v>2138</v>
      </c>
      <c r="D607" s="246" t="s">
        <v>2139</v>
      </c>
      <c r="E607" s="440">
        <v>45162</v>
      </c>
      <c r="F607" s="739">
        <v>0.5551799999999999</v>
      </c>
      <c r="G607" s="306">
        <v>4200000</v>
      </c>
      <c r="H607" s="307">
        <v>756000</v>
      </c>
      <c r="I607" s="308">
        <v>4956000</v>
      </c>
      <c r="K607" s="905" t="s">
        <v>2252</v>
      </c>
      <c r="M607" s="665">
        <v>0.15</v>
      </c>
      <c r="N607" s="889" t="s">
        <v>1618</v>
      </c>
      <c r="O607" s="888" t="s">
        <v>2253</v>
      </c>
      <c r="P607" s="688">
        <v>45746</v>
      </c>
      <c r="Q607" s="273" t="s">
        <v>2235</v>
      </c>
      <c r="R607" s="314">
        <v>4956000</v>
      </c>
      <c r="U607" s="440">
        <v>45516</v>
      </c>
      <c r="V607" s="340">
        <f t="shared" ca="1" si="189"/>
        <v>10</v>
      </c>
      <c r="W607" s="594">
        <f t="shared" ca="1" si="190"/>
        <v>2025</v>
      </c>
      <c r="X607" s="340" t="str">
        <f t="shared" ca="1" si="193"/>
        <v>1 WEEK</v>
      </c>
      <c r="Y607" s="688">
        <f t="shared" si="192"/>
        <v>45746</v>
      </c>
      <c r="Z607" s="541" cm="1">
        <f t="array" aca="1" ref="Z607" ca="1">_xlfn.IFS(AD607&lt;100,Y607,Y607&lt;TODAY(),TODAY(),Y607&gt;TODAY(),Y607,Y607=TODAY(),Y607)</f>
        <v>45935</v>
      </c>
      <c r="AA607" s="906">
        <f>SUM(I590:I610)*M607</f>
        <v>4956000</v>
      </c>
      <c r="AD607" s="298">
        <f t="shared" si="179"/>
        <v>4956000</v>
      </c>
      <c r="AE607" s="299" t="str">
        <f t="shared" si="180"/>
        <v>Incomplete</v>
      </c>
      <c r="AI607" s="301">
        <f t="shared" ca="1" si="177"/>
        <v>189</v>
      </c>
      <c r="AJ607" s="302" t="str">
        <f t="shared" ca="1" si="178"/>
        <v>Delayed</v>
      </c>
      <c r="AL607" s="303">
        <f t="shared" si="181"/>
        <v>4956000</v>
      </c>
      <c r="AM607" s="303">
        <f t="shared" si="182"/>
        <v>0</v>
      </c>
      <c r="AN607" s="303">
        <f t="shared" si="183"/>
        <v>4956000</v>
      </c>
      <c r="AO607" s="304">
        <f t="shared" si="184"/>
        <v>0</v>
      </c>
      <c r="AP607" s="273">
        <f t="shared" si="188"/>
        <v>3</v>
      </c>
      <c r="AQ607" s="273" t="str">
        <f t="shared" ca="1" si="185"/>
        <v>32025</v>
      </c>
    </row>
    <row r="608" spans="1:43" ht="16.5">
      <c r="A608" s="312">
        <v>30</v>
      </c>
      <c r="B608" s="880" t="s">
        <v>2138</v>
      </c>
      <c r="D608" s="246" t="s">
        <v>2139</v>
      </c>
      <c r="E608" s="440">
        <v>45162</v>
      </c>
      <c r="F608" s="739">
        <v>0.5551799999999999</v>
      </c>
      <c r="G608" s="306">
        <v>2800000</v>
      </c>
      <c r="H608" s="307">
        <v>504000</v>
      </c>
      <c r="I608" s="308">
        <v>3304000</v>
      </c>
      <c r="K608" s="905" t="s">
        <v>2254</v>
      </c>
      <c r="M608" s="665">
        <v>0.1</v>
      </c>
      <c r="N608" s="889" t="s">
        <v>1618</v>
      </c>
      <c r="O608" s="888" t="s">
        <v>2255</v>
      </c>
      <c r="P608" s="688">
        <v>45746</v>
      </c>
      <c r="Q608" s="273" t="s">
        <v>2235</v>
      </c>
      <c r="R608" s="314">
        <v>3304000</v>
      </c>
      <c r="U608" s="440">
        <v>45516</v>
      </c>
      <c r="V608" s="340">
        <f t="shared" ca="1" si="189"/>
        <v>10</v>
      </c>
      <c r="W608" s="594">
        <f t="shared" ca="1" si="190"/>
        <v>2025</v>
      </c>
      <c r="X608" s="340" t="str">
        <f t="shared" ca="1" si="193"/>
        <v>1 WEEK</v>
      </c>
      <c r="Y608" s="688">
        <f t="shared" si="192"/>
        <v>45746</v>
      </c>
      <c r="Z608" s="541" cm="1">
        <f t="array" aca="1" ref="Z608" ca="1">_xlfn.IFS(AD608&lt;100,Y608,Y608&lt;TODAY(),TODAY(),Y608&gt;TODAY(),Y608,Y608=TODAY(),Y608)</f>
        <v>45935</v>
      </c>
      <c r="AA608" s="891">
        <f>SUM(I590:I610)*M608</f>
        <v>3304000</v>
      </c>
      <c r="AD608" s="298">
        <f t="shared" si="179"/>
        <v>3304000</v>
      </c>
      <c r="AE608" s="299" t="str">
        <f t="shared" si="180"/>
        <v>Incomplete</v>
      </c>
      <c r="AI608" s="301">
        <f t="shared" ca="1" si="177"/>
        <v>189</v>
      </c>
      <c r="AJ608" s="302" t="str">
        <f t="shared" ca="1" si="178"/>
        <v>Delayed</v>
      </c>
      <c r="AL608" s="303">
        <f t="shared" si="181"/>
        <v>3304000</v>
      </c>
      <c r="AM608" s="303">
        <f t="shared" si="182"/>
        <v>0</v>
      </c>
      <c r="AN608" s="303">
        <f t="shared" si="183"/>
        <v>3304000</v>
      </c>
      <c r="AO608" s="304">
        <f t="shared" si="184"/>
        <v>0</v>
      </c>
      <c r="AP608" s="273">
        <f t="shared" si="188"/>
        <v>3</v>
      </c>
      <c r="AQ608" s="273" t="str">
        <f t="shared" ca="1" si="185"/>
        <v>32025</v>
      </c>
    </row>
    <row r="609" spans="1:43" ht="16.5">
      <c r="A609" s="312">
        <v>30</v>
      </c>
      <c r="B609" s="880" t="s">
        <v>2138</v>
      </c>
      <c r="D609" s="246" t="s">
        <v>2139</v>
      </c>
      <c r="E609" s="440">
        <v>45162</v>
      </c>
      <c r="F609" s="739">
        <v>0.5551799999999999</v>
      </c>
      <c r="K609" s="905" t="s">
        <v>2254</v>
      </c>
      <c r="M609" s="665">
        <v>0.1</v>
      </c>
      <c r="N609" s="889" t="s">
        <v>1618</v>
      </c>
      <c r="O609" s="888" t="s">
        <v>2255</v>
      </c>
      <c r="P609" s="688">
        <v>45834</v>
      </c>
      <c r="Q609" s="273" t="s">
        <v>2256</v>
      </c>
      <c r="R609" s="314">
        <v>-3304000</v>
      </c>
      <c r="U609" s="440">
        <v>45516</v>
      </c>
      <c r="V609" s="340">
        <f t="shared" ca="1" si="189"/>
        <v>6</v>
      </c>
      <c r="W609" s="594">
        <f t="shared" ca="1" si="190"/>
        <v>2025</v>
      </c>
      <c r="X609" s="340" t="str">
        <f t="shared" ca="1" si="193"/>
        <v>4 WEEK</v>
      </c>
      <c r="Y609" s="688">
        <f t="shared" si="192"/>
        <v>45834</v>
      </c>
      <c r="Z609" s="541" cm="1">
        <f t="array" aca="1" ref="Z609" ca="1">_xlfn.IFS(AD609&lt;100,Y609,Y609&lt;TODAY(),TODAY(),Y609&gt;TODAY(),Y609,Y609=TODAY(),Y609)</f>
        <v>45834</v>
      </c>
      <c r="AD609" s="298">
        <f t="shared" si="179"/>
        <v>0</v>
      </c>
      <c r="AE609" s="299" t="str">
        <f t="shared" si="180"/>
        <v>Complete</v>
      </c>
      <c r="AI609" s="301">
        <f t="shared" ca="1" si="177"/>
        <v>0</v>
      </c>
      <c r="AJ609" s="302">
        <f t="shared" ca="1" si="178"/>
        <v>0</v>
      </c>
      <c r="AL609" s="303">
        <f t="shared" si="181"/>
        <v>0</v>
      </c>
      <c r="AM609" s="303">
        <f t="shared" si="182"/>
        <v>3304000</v>
      </c>
      <c r="AN609" s="303">
        <f t="shared" si="183"/>
        <v>-3304000</v>
      </c>
      <c r="AO609" s="304">
        <f t="shared" si="184"/>
        <v>0</v>
      </c>
      <c r="AP609" s="273">
        <f t="shared" si="188"/>
        <v>6</v>
      </c>
      <c r="AQ609" s="273" t="str">
        <f t="shared" ca="1" si="185"/>
        <v>62025</v>
      </c>
    </row>
    <row r="610" spans="1:43" ht="16.5">
      <c r="A610" s="312">
        <v>30</v>
      </c>
      <c r="B610" s="880" t="s">
        <v>2138</v>
      </c>
      <c r="D610" s="246" t="s">
        <v>2139</v>
      </c>
      <c r="E610" s="440">
        <v>45162</v>
      </c>
      <c r="F610" s="739">
        <v>0.5551799999999999</v>
      </c>
      <c r="K610" s="905" t="s">
        <v>2254</v>
      </c>
      <c r="M610" s="665">
        <v>0.1</v>
      </c>
      <c r="N610" s="889" t="s">
        <v>1618</v>
      </c>
      <c r="O610" s="907"/>
      <c r="P610" s="688">
        <v>45441</v>
      </c>
      <c r="Q610" s="273" t="s">
        <v>2257</v>
      </c>
      <c r="R610" s="314">
        <v>-183</v>
      </c>
      <c r="U610" s="440">
        <v>45516</v>
      </c>
      <c r="V610" s="340">
        <f t="shared" ca="1" si="189"/>
        <v>5</v>
      </c>
      <c r="W610" s="594">
        <f t="shared" ca="1" si="190"/>
        <v>2024</v>
      </c>
      <c r="X610" s="340" t="str">
        <f t="shared" ca="1" si="193"/>
        <v>5 WEEK</v>
      </c>
      <c r="Y610" s="688">
        <f t="shared" si="192"/>
        <v>45441</v>
      </c>
      <c r="Z610" s="541" cm="1">
        <f t="array" aca="1" ref="Z610" ca="1">_xlfn.IFS(AD610&lt;100,Y610,Y610&lt;TODAY(),TODAY(),Y610&gt;TODAY(),Y610,Y610=TODAY(),Y610)</f>
        <v>45441</v>
      </c>
      <c r="AD610" s="298">
        <f t="shared" si="179"/>
        <v>0</v>
      </c>
      <c r="AE610" s="299" t="str">
        <f t="shared" si="180"/>
        <v>Complete</v>
      </c>
      <c r="AI610" s="301">
        <f t="shared" ca="1" si="177"/>
        <v>0</v>
      </c>
      <c r="AJ610" s="302">
        <f t="shared" ca="1" si="178"/>
        <v>0</v>
      </c>
      <c r="AL610" s="303">
        <f t="shared" si="181"/>
        <v>0</v>
      </c>
      <c r="AM610" s="303">
        <f t="shared" si="182"/>
        <v>183</v>
      </c>
      <c r="AN610" s="303">
        <f t="shared" si="183"/>
        <v>-183</v>
      </c>
      <c r="AO610" s="304">
        <f t="shared" si="184"/>
        <v>0</v>
      </c>
      <c r="AP610" s="273">
        <f t="shared" si="188"/>
        <v>5</v>
      </c>
      <c r="AQ610" s="273" t="str">
        <f t="shared" ca="1" si="185"/>
        <v>52024</v>
      </c>
    </row>
    <row r="611" spans="1:43" ht="16.5">
      <c r="B611" s="880" t="s">
        <v>2138</v>
      </c>
      <c r="O611" s="908" t="s">
        <v>2258</v>
      </c>
      <c r="P611" s="794">
        <v>45673</v>
      </c>
      <c r="Q611" s="909" t="s">
        <v>2259</v>
      </c>
      <c r="R611" s="314">
        <v>354000</v>
      </c>
      <c r="U611" s="440">
        <v>45516</v>
      </c>
      <c r="V611" s="340">
        <f t="shared" ca="1" si="189"/>
        <v>1</v>
      </c>
      <c r="W611" s="594">
        <f t="shared" ca="1" si="190"/>
        <v>2025</v>
      </c>
      <c r="X611" s="340" t="str">
        <f t="shared" ca="1" si="193"/>
        <v>3 WEEK</v>
      </c>
      <c r="Y611" s="794">
        <f t="shared" si="192"/>
        <v>45673</v>
      </c>
      <c r="Z611" s="541" cm="1">
        <f t="array" aca="1" ref="Z611" ca="1">_xlfn.IFS(AD611&lt;100,Y611,Y611&lt;TODAY(),TODAY(),Y611&gt;TODAY(),Y611,Y611=TODAY(),Y611)</f>
        <v>45673</v>
      </c>
      <c r="AD611" s="298">
        <f t="shared" si="179"/>
        <v>0</v>
      </c>
      <c r="AE611" s="299" t="str">
        <f t="shared" si="180"/>
        <v>Complete</v>
      </c>
      <c r="AI611" s="301">
        <f t="shared" ca="1" si="177"/>
        <v>0</v>
      </c>
      <c r="AJ611" s="302">
        <f t="shared" ca="1" si="178"/>
        <v>0</v>
      </c>
      <c r="AL611" s="303">
        <f t="shared" si="181"/>
        <v>0</v>
      </c>
      <c r="AM611" s="303">
        <f t="shared" si="182"/>
        <v>-354000</v>
      </c>
      <c r="AN611" s="303">
        <f t="shared" si="183"/>
        <v>354000</v>
      </c>
      <c r="AO611" s="304">
        <f t="shared" si="184"/>
        <v>0</v>
      </c>
      <c r="AP611" s="273">
        <f t="shared" si="188"/>
        <v>1</v>
      </c>
      <c r="AQ611" s="273" t="str">
        <f t="shared" ca="1" si="185"/>
        <v>12025</v>
      </c>
    </row>
    <row r="612" spans="1:43" ht="16.5">
      <c r="B612" s="880" t="s">
        <v>2138</v>
      </c>
      <c r="O612" s="908" t="s">
        <v>2258</v>
      </c>
      <c r="P612" s="794">
        <v>45777</v>
      </c>
      <c r="Q612" s="909" t="s">
        <v>2260</v>
      </c>
      <c r="R612" s="314">
        <v>396020</v>
      </c>
      <c r="U612" s="440"/>
      <c r="V612" s="340"/>
      <c r="W612" s="594"/>
      <c r="X612" s="340" t="str">
        <f t="shared" ca="1" si="193"/>
        <v>0 WEEK</v>
      </c>
      <c r="Y612" s="794"/>
      <c r="Z612" s="541" cm="1">
        <f t="array" aca="1" ref="Z612" ca="1">_xlfn.IFS(AD612&lt;100,Y612,Y612&lt;TODAY(),TODAY(),Y612&gt;TODAY(),Y612,Y612=TODAY(),Y612)</f>
        <v>0</v>
      </c>
      <c r="AD612" s="298">
        <f t="shared" si="179"/>
        <v>0</v>
      </c>
      <c r="AE612" s="299" t="str">
        <f t="shared" si="180"/>
        <v>Complete</v>
      </c>
      <c r="AI612" s="301">
        <f t="shared" ca="1" si="177"/>
        <v>0</v>
      </c>
      <c r="AJ612" s="302">
        <f t="shared" ca="1" si="178"/>
        <v>0</v>
      </c>
      <c r="AL612" s="303">
        <f t="shared" si="181"/>
        <v>0</v>
      </c>
      <c r="AM612" s="303">
        <f t="shared" si="182"/>
        <v>-396020</v>
      </c>
      <c r="AN612" s="303">
        <f t="shared" si="183"/>
        <v>396020</v>
      </c>
      <c r="AO612" s="304">
        <f t="shared" si="184"/>
        <v>0</v>
      </c>
      <c r="AP612" s="273">
        <f t="shared" si="188"/>
        <v>4</v>
      </c>
      <c r="AQ612" s="273" t="str">
        <f t="shared" si="185"/>
        <v>4</v>
      </c>
    </row>
    <row r="613" spans="1:43" ht="16.5">
      <c r="B613" s="880"/>
      <c r="O613" s="908"/>
      <c r="P613" s="447"/>
      <c r="Q613" s="909"/>
      <c r="U613" s="440"/>
      <c r="V613" s="340"/>
      <c r="W613" s="594"/>
      <c r="X613" s="340" t="str">
        <f t="shared" ca="1" si="193"/>
        <v>0 WEEK</v>
      </c>
      <c r="Y613" s="794"/>
      <c r="Z613" s="541" cm="1">
        <f t="array" aca="1" ref="Z613" ca="1">_xlfn.IFS(AD613&lt;100,Y613,Y613&lt;TODAY(),TODAY(),Y613&gt;TODAY(),Y613,Y613=TODAY(),Y613)</f>
        <v>0</v>
      </c>
      <c r="AD613" s="298">
        <f t="shared" si="179"/>
        <v>0</v>
      </c>
      <c r="AE613" s="299" t="str">
        <f t="shared" si="180"/>
        <v>Complete</v>
      </c>
      <c r="AI613" s="301">
        <f t="shared" ca="1" si="177"/>
        <v>0</v>
      </c>
      <c r="AJ613" s="302">
        <f t="shared" ca="1" si="178"/>
        <v>0</v>
      </c>
      <c r="AL613" s="303">
        <f t="shared" si="181"/>
        <v>0</v>
      </c>
      <c r="AM613" s="303">
        <f t="shared" si="182"/>
        <v>0</v>
      </c>
      <c r="AN613" s="303">
        <f t="shared" si="183"/>
        <v>0</v>
      </c>
      <c r="AO613" s="304">
        <f t="shared" si="184"/>
        <v>0</v>
      </c>
      <c r="AP613" s="273">
        <f t="shared" si="188"/>
        <v>1</v>
      </c>
      <c r="AQ613" s="273" t="str">
        <f t="shared" si="185"/>
        <v>1</v>
      </c>
    </row>
    <row r="614" spans="1:43" ht="16.5">
      <c r="A614" s="312">
        <v>31</v>
      </c>
      <c r="B614" s="880" t="s">
        <v>2138</v>
      </c>
      <c r="D614" s="246" t="s">
        <v>2139</v>
      </c>
      <c r="E614" s="440">
        <v>45162</v>
      </c>
      <c r="F614" s="739">
        <v>0.5551799999999999</v>
      </c>
      <c r="O614" s="908" t="s">
        <v>1870</v>
      </c>
      <c r="P614" s="447">
        <v>0</v>
      </c>
      <c r="U614" s="440">
        <v>45516</v>
      </c>
      <c r="V614" s="340">
        <f t="shared" ref="V614:V625" ca="1" si="194">MONTH(Z614)</f>
        <v>1</v>
      </c>
      <c r="W614" s="594">
        <f t="shared" ref="W614:W625" ca="1" si="195">YEAR(Z614)</f>
        <v>1900</v>
      </c>
      <c r="X614" s="340" t="str">
        <f t="shared" ca="1" si="193"/>
        <v>0 WEEK</v>
      </c>
      <c r="Y614" s="794">
        <f t="shared" ref="Y614:Y625" si="196">P614+T614</f>
        <v>0</v>
      </c>
      <c r="Z614" s="541" cm="1">
        <f t="array" aca="1" ref="Z614" ca="1">_xlfn.IFS(AD614&lt;100,Y614,Y614&lt;TODAY(),TODAY(),Y614&gt;TODAY(),Y614,Y614=TODAY(),Y614)</f>
        <v>0</v>
      </c>
      <c r="AD614" s="298">
        <f t="shared" si="179"/>
        <v>0</v>
      </c>
      <c r="AE614" s="299" t="str">
        <f t="shared" si="180"/>
        <v>Complete</v>
      </c>
      <c r="AI614" s="301">
        <f t="shared" ca="1" si="177"/>
        <v>0</v>
      </c>
      <c r="AJ614" s="302">
        <f t="shared" ca="1" si="178"/>
        <v>0</v>
      </c>
      <c r="AL614" s="303">
        <f t="shared" si="181"/>
        <v>0</v>
      </c>
      <c r="AM614" s="303">
        <f t="shared" si="182"/>
        <v>0</v>
      </c>
      <c r="AN614" s="303">
        <f t="shared" si="183"/>
        <v>0</v>
      </c>
      <c r="AO614" s="304">
        <f t="shared" si="184"/>
        <v>0</v>
      </c>
      <c r="AP614" s="273">
        <f t="shared" si="188"/>
        <v>1</v>
      </c>
      <c r="AQ614" s="273" t="str">
        <f t="shared" ca="1" si="185"/>
        <v>11900</v>
      </c>
    </row>
    <row r="615" spans="1:43" ht="16.5">
      <c r="A615" s="312">
        <v>31</v>
      </c>
      <c r="B615" s="880" t="s">
        <v>2138</v>
      </c>
      <c r="D615" s="246" t="s">
        <v>2139</v>
      </c>
      <c r="E615" s="440">
        <v>45162</v>
      </c>
      <c r="F615" s="739">
        <v>0.5551799999999999</v>
      </c>
      <c r="G615" s="306">
        <v>3713224</v>
      </c>
      <c r="H615" s="307">
        <v>668380.31999999995</v>
      </c>
      <c r="I615" s="308">
        <v>4381604</v>
      </c>
      <c r="L615" s="273" t="s">
        <v>2116</v>
      </c>
      <c r="N615" s="273" t="s">
        <v>2116</v>
      </c>
      <c r="O615" s="908" t="s">
        <v>1871</v>
      </c>
      <c r="P615" s="447">
        <v>0</v>
      </c>
      <c r="R615" s="314">
        <v>0</v>
      </c>
      <c r="U615" s="440">
        <v>45516</v>
      </c>
      <c r="V615" s="340">
        <f t="shared" ca="1" si="194"/>
        <v>10</v>
      </c>
      <c r="W615" s="594">
        <f t="shared" ca="1" si="195"/>
        <v>2025</v>
      </c>
      <c r="X615" s="340" t="str">
        <f t="shared" ca="1" si="193"/>
        <v>1 WEEK</v>
      </c>
      <c r="Y615" s="794">
        <f t="shared" si="196"/>
        <v>0</v>
      </c>
      <c r="Z615" s="541" cm="1">
        <f t="array" aca="1" ref="Z615" ca="1">_xlfn.IFS(AD615&lt;100,Y615,Y615&lt;TODAY(),TODAY(),Y615&gt;TODAY(),Y615,Y615=TODAY(),Y615)</f>
        <v>45935</v>
      </c>
      <c r="AA615" s="910">
        <f>I615</f>
        <v>4381604</v>
      </c>
      <c r="AD615" s="298">
        <f t="shared" si="179"/>
        <v>4381604</v>
      </c>
      <c r="AE615" s="299" t="str">
        <f t="shared" si="180"/>
        <v>Incomplete</v>
      </c>
      <c r="AI615" s="301">
        <f t="shared" ca="1" si="177"/>
        <v>45935</v>
      </c>
      <c r="AJ615" s="302" t="str">
        <f t="shared" ca="1" si="178"/>
        <v>Delayed</v>
      </c>
      <c r="AL615" s="303">
        <f t="shared" si="181"/>
        <v>4381604</v>
      </c>
      <c r="AM615" s="303">
        <f t="shared" si="182"/>
        <v>4381604</v>
      </c>
      <c r="AN615" s="303">
        <f t="shared" si="183"/>
        <v>0</v>
      </c>
      <c r="AO615" s="304">
        <f t="shared" si="184"/>
        <v>0</v>
      </c>
      <c r="AP615" s="273">
        <f t="shared" si="188"/>
        <v>1</v>
      </c>
      <c r="AQ615" s="273" t="str">
        <f t="shared" ca="1" si="185"/>
        <v>12025</v>
      </c>
    </row>
    <row r="616" spans="1:43" ht="16.5">
      <c r="A616" s="312">
        <v>31</v>
      </c>
      <c r="B616" s="880" t="s">
        <v>2138</v>
      </c>
      <c r="D616" s="246" t="s">
        <v>2139</v>
      </c>
      <c r="E616" s="440">
        <v>45162</v>
      </c>
      <c r="F616" s="739">
        <v>0.5551799999999999</v>
      </c>
      <c r="G616" s="306">
        <v>3713224.068</v>
      </c>
      <c r="H616" s="307">
        <v>668380.33224000002</v>
      </c>
      <c r="I616" s="308">
        <v>4381604</v>
      </c>
      <c r="L616" s="273" t="s">
        <v>2116</v>
      </c>
      <c r="N616" s="273" t="s">
        <v>2116</v>
      </c>
      <c r="O616" s="908" t="s">
        <v>1872</v>
      </c>
      <c r="P616" s="447">
        <v>0</v>
      </c>
      <c r="R616" s="314">
        <v>0</v>
      </c>
      <c r="U616" s="440">
        <v>45516</v>
      </c>
      <c r="V616" s="340">
        <f t="shared" ca="1" si="194"/>
        <v>10</v>
      </c>
      <c r="W616" s="594">
        <f t="shared" ca="1" si="195"/>
        <v>2025</v>
      </c>
      <c r="X616" s="340" t="str">
        <f t="shared" ca="1" si="193"/>
        <v>1 WEEK</v>
      </c>
      <c r="Y616" s="794">
        <f t="shared" si="196"/>
        <v>0</v>
      </c>
      <c r="Z616" s="541" cm="1">
        <f t="array" aca="1" ref="Z616" ca="1">_xlfn.IFS(AD616&lt;100,Y616,Y616&lt;TODAY(),TODAY(),Y616&gt;TODAY(),Y616,Y616=TODAY(),Y616)</f>
        <v>45935</v>
      </c>
      <c r="AA616" s="910">
        <f>I616</f>
        <v>4381604</v>
      </c>
      <c r="AD616" s="298">
        <f t="shared" si="179"/>
        <v>4381604</v>
      </c>
      <c r="AE616" s="299" t="str">
        <f t="shared" si="180"/>
        <v>Incomplete</v>
      </c>
      <c r="AI616" s="301">
        <f t="shared" ca="1" si="177"/>
        <v>45935</v>
      </c>
      <c r="AJ616" s="302" t="str">
        <f t="shared" ca="1" si="178"/>
        <v>Delayed</v>
      </c>
      <c r="AL616" s="303">
        <f t="shared" si="181"/>
        <v>4381604</v>
      </c>
      <c r="AM616" s="303">
        <f t="shared" si="182"/>
        <v>4381604</v>
      </c>
      <c r="AN616" s="303">
        <f t="shared" si="183"/>
        <v>0</v>
      </c>
      <c r="AO616" s="304">
        <f t="shared" si="184"/>
        <v>0</v>
      </c>
      <c r="AP616" s="273">
        <f t="shared" si="188"/>
        <v>1</v>
      </c>
      <c r="AQ616" s="273" t="str">
        <f t="shared" ca="1" si="185"/>
        <v>12025</v>
      </c>
    </row>
    <row r="617" spans="1:43" ht="16.5">
      <c r="A617" s="312">
        <v>31</v>
      </c>
      <c r="B617" s="880" t="s">
        <v>2138</v>
      </c>
      <c r="D617" s="246" t="s">
        <v>2139</v>
      </c>
      <c r="E617" s="440">
        <v>45162</v>
      </c>
      <c r="F617" s="739">
        <v>0.5551799999999999</v>
      </c>
      <c r="G617" s="306">
        <v>3713224.068</v>
      </c>
      <c r="H617" s="307">
        <v>668380.33224000002</v>
      </c>
      <c r="I617" s="308">
        <v>4381604</v>
      </c>
      <c r="L617" s="273" t="s">
        <v>2116</v>
      </c>
      <c r="N617" s="273" t="s">
        <v>2116</v>
      </c>
      <c r="O617" s="908" t="s">
        <v>1873</v>
      </c>
      <c r="P617" s="447">
        <v>0</v>
      </c>
      <c r="R617" s="314">
        <v>0</v>
      </c>
      <c r="U617" s="440">
        <v>45516</v>
      </c>
      <c r="V617" s="340">
        <f t="shared" ca="1" si="194"/>
        <v>10</v>
      </c>
      <c r="W617" s="594">
        <f t="shared" ca="1" si="195"/>
        <v>2025</v>
      </c>
      <c r="X617" s="340" t="str">
        <f t="shared" ca="1" si="193"/>
        <v>1 WEEK</v>
      </c>
      <c r="Y617" s="794">
        <f t="shared" si="196"/>
        <v>0</v>
      </c>
      <c r="Z617" s="541" cm="1">
        <f t="array" aca="1" ref="Z617" ca="1">_xlfn.IFS(AD617&lt;100,Y617,Y617&lt;TODAY(),TODAY(),Y617&gt;TODAY(),Y617,Y617=TODAY(),Y617)</f>
        <v>45935</v>
      </c>
      <c r="AA617" s="910">
        <f>I617</f>
        <v>4381604</v>
      </c>
      <c r="AD617" s="298">
        <f t="shared" si="179"/>
        <v>4381604</v>
      </c>
      <c r="AE617" s="299" t="str">
        <f t="shared" si="180"/>
        <v>Incomplete</v>
      </c>
      <c r="AI617" s="301">
        <f t="shared" ca="1" si="177"/>
        <v>45935</v>
      </c>
      <c r="AJ617" s="302" t="str">
        <f t="shared" ca="1" si="178"/>
        <v>Delayed</v>
      </c>
      <c r="AL617" s="303">
        <f t="shared" si="181"/>
        <v>4381604</v>
      </c>
      <c r="AM617" s="303">
        <f t="shared" si="182"/>
        <v>4381604</v>
      </c>
      <c r="AN617" s="303">
        <f t="shared" si="183"/>
        <v>0</v>
      </c>
      <c r="AO617" s="304">
        <f t="shared" si="184"/>
        <v>0</v>
      </c>
      <c r="AP617" s="273">
        <f t="shared" si="188"/>
        <v>1</v>
      </c>
      <c r="AQ617" s="273" t="str">
        <f t="shared" ca="1" si="185"/>
        <v>12025</v>
      </c>
    </row>
    <row r="618" spans="1:43" ht="16.5">
      <c r="A618" s="312">
        <v>31</v>
      </c>
      <c r="B618" s="880" t="s">
        <v>2138</v>
      </c>
      <c r="D618" s="246" t="s">
        <v>2139</v>
      </c>
      <c r="E618" s="440">
        <v>45162</v>
      </c>
      <c r="F618" s="739">
        <v>0.5551799999999999</v>
      </c>
      <c r="G618" s="306">
        <v>3713224.068</v>
      </c>
      <c r="H618" s="307">
        <v>668380.33224000002</v>
      </c>
      <c r="I618" s="308">
        <v>4381604</v>
      </c>
      <c r="L618" s="273" t="s">
        <v>2116</v>
      </c>
      <c r="N618" s="273" t="s">
        <v>2116</v>
      </c>
      <c r="O618" s="908" t="s">
        <v>1874</v>
      </c>
      <c r="P618" s="447">
        <v>0</v>
      </c>
      <c r="R618" s="314">
        <v>0</v>
      </c>
      <c r="U618" s="440">
        <v>45516</v>
      </c>
      <c r="V618" s="340">
        <f t="shared" ca="1" si="194"/>
        <v>10</v>
      </c>
      <c r="W618" s="594">
        <f t="shared" ca="1" si="195"/>
        <v>2025</v>
      </c>
      <c r="X618" s="340" t="str">
        <f t="shared" ca="1" si="193"/>
        <v>1 WEEK</v>
      </c>
      <c r="Y618" s="794">
        <f t="shared" si="196"/>
        <v>0</v>
      </c>
      <c r="Z618" s="541" cm="1">
        <f t="array" aca="1" ref="Z618" ca="1">_xlfn.IFS(AD618&lt;100,Y618,Y618&lt;TODAY(),TODAY(),Y618&gt;TODAY(),Y618,Y618=TODAY(),Y618)</f>
        <v>45935</v>
      </c>
      <c r="AA618" s="910">
        <f>I618</f>
        <v>4381604</v>
      </c>
      <c r="AD618" s="298">
        <f t="shared" si="179"/>
        <v>4381604</v>
      </c>
      <c r="AE618" s="299" t="str">
        <f t="shared" si="180"/>
        <v>Incomplete</v>
      </c>
      <c r="AI618" s="301">
        <f t="shared" ca="1" si="177"/>
        <v>45935</v>
      </c>
      <c r="AJ618" s="302" t="str">
        <f t="shared" ca="1" si="178"/>
        <v>Delayed</v>
      </c>
      <c r="AL618" s="303">
        <f t="shared" si="181"/>
        <v>4381604</v>
      </c>
      <c r="AM618" s="303">
        <f t="shared" si="182"/>
        <v>4381604</v>
      </c>
      <c r="AN618" s="303">
        <f t="shared" si="183"/>
        <v>0</v>
      </c>
      <c r="AO618" s="304">
        <f t="shared" si="184"/>
        <v>0</v>
      </c>
      <c r="AP618" s="273">
        <f t="shared" si="188"/>
        <v>1</v>
      </c>
      <c r="AQ618" s="273" t="str">
        <f t="shared" ca="1" si="185"/>
        <v>12025</v>
      </c>
    </row>
    <row r="619" spans="1:43" ht="16.5">
      <c r="A619" s="312">
        <v>31</v>
      </c>
      <c r="B619" s="880" t="s">
        <v>2138</v>
      </c>
      <c r="D619" s="246" t="s">
        <v>2139</v>
      </c>
      <c r="E619" s="440">
        <v>45162</v>
      </c>
      <c r="F619" s="739">
        <v>0.5551799999999999</v>
      </c>
      <c r="G619" s="306">
        <v>3713224.068</v>
      </c>
      <c r="H619" s="307">
        <v>668380.33224000002</v>
      </c>
      <c r="I619" s="308">
        <v>4381604</v>
      </c>
      <c r="L619" s="273" t="s">
        <v>2116</v>
      </c>
      <c r="N619" s="273" t="s">
        <v>2116</v>
      </c>
      <c r="O619" s="908" t="s">
        <v>1874</v>
      </c>
      <c r="P619" s="447">
        <v>0</v>
      </c>
      <c r="R619" s="314">
        <v>0</v>
      </c>
      <c r="U619" s="440">
        <v>45516</v>
      </c>
      <c r="V619" s="340">
        <f t="shared" ca="1" si="194"/>
        <v>10</v>
      </c>
      <c r="W619" s="594">
        <f t="shared" ca="1" si="195"/>
        <v>2025</v>
      </c>
      <c r="X619" s="340" t="str">
        <f t="shared" ca="1" si="193"/>
        <v>1 WEEK</v>
      </c>
      <c r="Y619" s="794">
        <f t="shared" si="196"/>
        <v>0</v>
      </c>
      <c r="Z619" s="541" cm="1">
        <f t="array" aca="1" ref="Z619" ca="1">_xlfn.IFS(AD619&lt;100,Y619,Y619&lt;TODAY(),TODAY(),Y619&gt;TODAY(),Y619,Y619=TODAY(),Y619)</f>
        <v>45935</v>
      </c>
      <c r="AA619" s="910">
        <f>I619</f>
        <v>4381604</v>
      </c>
      <c r="AD619" s="298">
        <f t="shared" si="179"/>
        <v>4381604</v>
      </c>
      <c r="AE619" s="299" t="str">
        <f t="shared" si="180"/>
        <v>Incomplete</v>
      </c>
      <c r="AI619" s="301">
        <f t="shared" ca="1" si="177"/>
        <v>45935</v>
      </c>
      <c r="AJ619" s="302" t="str">
        <f t="shared" ca="1" si="178"/>
        <v>Delayed</v>
      </c>
      <c r="AL619" s="303">
        <f t="shared" si="181"/>
        <v>4381604</v>
      </c>
      <c r="AM619" s="303">
        <f t="shared" si="182"/>
        <v>4381604</v>
      </c>
      <c r="AN619" s="303">
        <f t="shared" si="183"/>
        <v>0</v>
      </c>
      <c r="AO619" s="304">
        <f t="shared" si="184"/>
        <v>0</v>
      </c>
      <c r="AP619" s="273">
        <f t="shared" si="188"/>
        <v>1</v>
      </c>
      <c r="AQ619" s="273" t="str">
        <f t="shared" ca="1" si="185"/>
        <v>12025</v>
      </c>
    </row>
    <row r="620" spans="1:43">
      <c r="P620" s="447">
        <v>0</v>
      </c>
      <c r="V620" s="340">
        <f t="shared" ca="1" si="194"/>
        <v>1</v>
      </c>
      <c r="W620" s="594">
        <f t="shared" ca="1" si="195"/>
        <v>1900</v>
      </c>
      <c r="X620" s="340" t="str">
        <f t="shared" ca="1" si="193"/>
        <v>0 WEEK</v>
      </c>
      <c r="Y620" s="794">
        <f t="shared" si="196"/>
        <v>0</v>
      </c>
      <c r="Z620" s="541" cm="1">
        <f t="array" aca="1" ref="Z620" ca="1">_xlfn.IFS(AD620&lt;100,Y620,Y620&lt;TODAY(),TODAY(),Y620&gt;TODAY(),Y620,Y620=TODAY(),Y620)</f>
        <v>0</v>
      </c>
      <c r="AD620" s="298">
        <f t="shared" si="179"/>
        <v>0</v>
      </c>
      <c r="AE620" s="299" t="str">
        <f t="shared" si="180"/>
        <v>Complete</v>
      </c>
      <c r="AI620" s="301">
        <f t="shared" ca="1" si="177"/>
        <v>0</v>
      </c>
      <c r="AJ620" s="302">
        <f t="shared" ca="1" si="178"/>
        <v>0</v>
      </c>
      <c r="AL620" s="303">
        <f t="shared" si="181"/>
        <v>0</v>
      </c>
      <c r="AM620" s="303">
        <f t="shared" si="182"/>
        <v>0</v>
      </c>
      <c r="AN620" s="303">
        <f t="shared" si="183"/>
        <v>0</v>
      </c>
      <c r="AO620" s="304">
        <f t="shared" si="184"/>
        <v>0</v>
      </c>
      <c r="AP620" s="273">
        <f t="shared" si="188"/>
        <v>1</v>
      </c>
      <c r="AQ620" s="273" t="str">
        <f t="shared" ca="1" si="185"/>
        <v>11900</v>
      </c>
    </row>
    <row r="621" spans="1:43" ht="16.5">
      <c r="A621" s="312">
        <f>A619+1</f>
        <v>32</v>
      </c>
      <c r="B621" s="880" t="s">
        <v>2138</v>
      </c>
      <c r="D621" s="246" t="s">
        <v>2139</v>
      </c>
      <c r="G621" s="306">
        <v>3713224</v>
      </c>
      <c r="H621" s="307">
        <v>668380.31999999995</v>
      </c>
      <c r="I621" s="308">
        <v>4381604.32</v>
      </c>
      <c r="P621" s="447"/>
      <c r="V621" s="340">
        <f t="shared" ca="1" si="194"/>
        <v>1</v>
      </c>
      <c r="W621" s="594">
        <f t="shared" ca="1" si="195"/>
        <v>1900</v>
      </c>
      <c r="X621" s="340" t="str">
        <f t="shared" ca="1" si="193"/>
        <v>0 WEEK</v>
      </c>
      <c r="Y621" s="794">
        <f t="shared" si="196"/>
        <v>0</v>
      </c>
      <c r="Z621" s="541" cm="1">
        <f t="array" aca="1" ref="Z621" ca="1">_xlfn.IFS(AD621&lt;100,Y621,Y621&lt;TODAY(),TODAY(),Y621&gt;TODAY(),Y621,Y621=TODAY(),Y621)</f>
        <v>0</v>
      </c>
      <c r="AD621" s="298">
        <f t="shared" si="179"/>
        <v>0</v>
      </c>
      <c r="AE621" s="299" t="str">
        <f t="shared" si="180"/>
        <v>Complete</v>
      </c>
      <c r="AI621" s="301">
        <f t="shared" ca="1" si="177"/>
        <v>0</v>
      </c>
      <c r="AJ621" s="302">
        <f t="shared" ca="1" si="178"/>
        <v>0</v>
      </c>
      <c r="AL621" s="303">
        <f t="shared" si="181"/>
        <v>4381604.32</v>
      </c>
      <c r="AM621" s="303">
        <f t="shared" si="182"/>
        <v>4381604.32</v>
      </c>
      <c r="AN621" s="303">
        <f t="shared" si="183"/>
        <v>0</v>
      </c>
      <c r="AO621" s="304">
        <f t="shared" si="184"/>
        <v>0</v>
      </c>
      <c r="AP621" s="273">
        <f t="shared" si="188"/>
        <v>1</v>
      </c>
      <c r="AQ621" s="273" t="str">
        <f t="shared" ca="1" si="185"/>
        <v>11900</v>
      </c>
    </row>
    <row r="622" spans="1:43" ht="16.5">
      <c r="B622" s="880" t="s">
        <v>2138</v>
      </c>
      <c r="D622" s="246" t="s">
        <v>2139</v>
      </c>
      <c r="G622" s="306">
        <v>3713224.07</v>
      </c>
      <c r="H622" s="307">
        <v>668380.33259999997</v>
      </c>
      <c r="I622" s="308">
        <v>4381604.4025999997</v>
      </c>
      <c r="P622" s="447"/>
      <c r="V622" s="340">
        <f t="shared" ca="1" si="194"/>
        <v>1</v>
      </c>
      <c r="W622" s="594">
        <f t="shared" ca="1" si="195"/>
        <v>1900</v>
      </c>
      <c r="X622" s="340" t="str">
        <f t="shared" ca="1" si="193"/>
        <v>0 WEEK</v>
      </c>
      <c r="Y622" s="794">
        <f t="shared" si="196"/>
        <v>0</v>
      </c>
      <c r="Z622" s="541" cm="1">
        <f t="array" aca="1" ref="Z622" ca="1">_xlfn.IFS(AD622&lt;100,Y622,Y622&lt;TODAY(),TODAY(),Y622&gt;TODAY(),Y622,Y622=TODAY(),Y622)</f>
        <v>0</v>
      </c>
      <c r="AD622" s="298">
        <f t="shared" si="179"/>
        <v>0</v>
      </c>
      <c r="AE622" s="299" t="str">
        <f t="shared" si="180"/>
        <v>Complete</v>
      </c>
      <c r="AI622" s="301">
        <f t="shared" ca="1" si="177"/>
        <v>0</v>
      </c>
      <c r="AJ622" s="302">
        <f t="shared" ca="1" si="178"/>
        <v>0</v>
      </c>
      <c r="AL622" s="303">
        <f t="shared" si="181"/>
        <v>4381604.4025999997</v>
      </c>
      <c r="AM622" s="303">
        <f t="shared" si="182"/>
        <v>4381604.4025999997</v>
      </c>
      <c r="AN622" s="303">
        <f t="shared" si="183"/>
        <v>0</v>
      </c>
      <c r="AO622" s="304">
        <f t="shared" si="184"/>
        <v>0</v>
      </c>
      <c r="AP622" s="273">
        <f t="shared" si="188"/>
        <v>1</v>
      </c>
      <c r="AQ622" s="273" t="str">
        <f t="shared" ca="1" si="185"/>
        <v>11900</v>
      </c>
    </row>
    <row r="623" spans="1:43" ht="16.5">
      <c r="B623" s="880" t="s">
        <v>2138</v>
      </c>
      <c r="D623" s="246" t="s">
        <v>2139</v>
      </c>
      <c r="G623" s="306">
        <v>3713224.07</v>
      </c>
      <c r="H623" s="307">
        <v>668380.33259999997</v>
      </c>
      <c r="I623" s="308">
        <v>4381604.4025999997</v>
      </c>
      <c r="P623" s="447"/>
      <c r="V623" s="340">
        <f t="shared" ca="1" si="194"/>
        <v>1</v>
      </c>
      <c r="W623" s="594">
        <f t="shared" ca="1" si="195"/>
        <v>1900</v>
      </c>
      <c r="X623" s="340" t="str">
        <f t="shared" ca="1" si="193"/>
        <v>0 WEEK</v>
      </c>
      <c r="Y623" s="794">
        <f t="shared" si="196"/>
        <v>0</v>
      </c>
      <c r="Z623" s="541" cm="1">
        <f t="array" aca="1" ref="Z623" ca="1">_xlfn.IFS(AD623&lt;100,Y623,Y623&lt;TODAY(),TODAY(),Y623&gt;TODAY(),Y623,Y623=TODAY(),Y623)</f>
        <v>0</v>
      </c>
      <c r="AD623" s="298">
        <f t="shared" si="179"/>
        <v>0</v>
      </c>
      <c r="AE623" s="299" t="str">
        <f t="shared" si="180"/>
        <v>Complete</v>
      </c>
      <c r="AI623" s="301">
        <f t="shared" ca="1" si="177"/>
        <v>0</v>
      </c>
      <c r="AJ623" s="302">
        <f t="shared" ca="1" si="178"/>
        <v>0</v>
      </c>
      <c r="AL623" s="303">
        <f t="shared" si="181"/>
        <v>4381604.4025999997</v>
      </c>
      <c r="AM623" s="303">
        <f t="shared" si="182"/>
        <v>4381604.4025999997</v>
      </c>
      <c r="AN623" s="303">
        <f t="shared" si="183"/>
        <v>0</v>
      </c>
      <c r="AO623" s="304">
        <f t="shared" si="184"/>
        <v>0</v>
      </c>
      <c r="AP623" s="273">
        <f t="shared" si="188"/>
        <v>1</v>
      </c>
      <c r="AQ623" s="273" t="str">
        <f t="shared" ca="1" si="185"/>
        <v>11900</v>
      </c>
    </row>
    <row r="624" spans="1:43" ht="16.5">
      <c r="B624" s="880" t="s">
        <v>2138</v>
      </c>
      <c r="D624" s="246" t="s">
        <v>2139</v>
      </c>
      <c r="G624" s="306">
        <v>3713224.07</v>
      </c>
      <c r="H624" s="307">
        <v>668380.33259999997</v>
      </c>
      <c r="I624" s="308">
        <v>4381604.4025999997</v>
      </c>
      <c r="P624" s="447"/>
      <c r="V624" s="340">
        <f t="shared" ca="1" si="194"/>
        <v>1</v>
      </c>
      <c r="W624" s="594">
        <f t="shared" ca="1" si="195"/>
        <v>1900</v>
      </c>
      <c r="X624" s="340" t="str">
        <f t="shared" ca="1" si="193"/>
        <v>0 WEEK</v>
      </c>
      <c r="Y624" s="794">
        <f t="shared" si="196"/>
        <v>0</v>
      </c>
      <c r="Z624" s="541" cm="1">
        <f t="array" aca="1" ref="Z624" ca="1">_xlfn.IFS(AD624&lt;100,Y624,Y624&lt;TODAY(),TODAY(),Y624&gt;TODAY(),Y624,Y624=TODAY(),Y624)</f>
        <v>0</v>
      </c>
      <c r="AD624" s="298">
        <f t="shared" si="179"/>
        <v>0</v>
      </c>
      <c r="AE624" s="299" t="str">
        <f t="shared" si="180"/>
        <v>Complete</v>
      </c>
      <c r="AI624" s="301">
        <f t="shared" ca="1" si="177"/>
        <v>0</v>
      </c>
      <c r="AJ624" s="302">
        <f t="shared" ca="1" si="178"/>
        <v>0</v>
      </c>
      <c r="AL624" s="303">
        <f t="shared" si="181"/>
        <v>4381604.4025999997</v>
      </c>
      <c r="AM624" s="303">
        <f t="shared" si="182"/>
        <v>4381604.4025999997</v>
      </c>
      <c r="AN624" s="303">
        <f t="shared" si="183"/>
        <v>0</v>
      </c>
      <c r="AO624" s="304">
        <f t="shared" si="184"/>
        <v>0</v>
      </c>
      <c r="AP624" s="273">
        <f t="shared" si="188"/>
        <v>1</v>
      </c>
      <c r="AQ624" s="273" t="str">
        <f t="shared" ca="1" si="185"/>
        <v>11900</v>
      </c>
    </row>
    <row r="625" spans="1:43" ht="16.5">
      <c r="B625" s="880" t="s">
        <v>2138</v>
      </c>
      <c r="D625" s="246" t="s">
        <v>2139</v>
      </c>
      <c r="G625" s="306">
        <v>3713224.07</v>
      </c>
      <c r="H625" s="307">
        <v>668380.33259999997</v>
      </c>
      <c r="I625" s="308">
        <v>4381604.4025999997</v>
      </c>
      <c r="P625" s="447"/>
      <c r="V625" s="340">
        <f t="shared" ca="1" si="194"/>
        <v>1</v>
      </c>
      <c r="W625" s="594">
        <f t="shared" ca="1" si="195"/>
        <v>1900</v>
      </c>
      <c r="X625" s="340" t="str">
        <f t="shared" ca="1" si="193"/>
        <v>0 WEEK</v>
      </c>
      <c r="Y625" s="794">
        <f t="shared" si="196"/>
        <v>0</v>
      </c>
      <c r="Z625" s="541" cm="1">
        <f t="array" aca="1" ref="Z625" ca="1">_xlfn.IFS(AD625&lt;100,Y625,Y625&lt;TODAY(),TODAY(),Y625&gt;TODAY(),Y625,Y625=TODAY(),Y625)</f>
        <v>0</v>
      </c>
      <c r="AD625" s="298">
        <f t="shared" si="179"/>
        <v>0</v>
      </c>
      <c r="AE625" s="299" t="str">
        <f t="shared" si="180"/>
        <v>Complete</v>
      </c>
      <c r="AI625" s="301">
        <f t="shared" ca="1" si="177"/>
        <v>0</v>
      </c>
      <c r="AJ625" s="302">
        <f t="shared" ca="1" si="178"/>
        <v>0</v>
      </c>
      <c r="AL625" s="303">
        <f t="shared" si="181"/>
        <v>4381604.4025999997</v>
      </c>
      <c r="AM625" s="303">
        <f t="shared" si="182"/>
        <v>4381604.4025999997</v>
      </c>
      <c r="AN625" s="303">
        <f t="shared" si="183"/>
        <v>0</v>
      </c>
      <c r="AO625" s="304">
        <f t="shared" si="184"/>
        <v>0</v>
      </c>
      <c r="AP625" s="273">
        <f t="shared" si="188"/>
        <v>1</v>
      </c>
      <c r="AQ625" s="273" t="str">
        <f t="shared" ca="1" si="185"/>
        <v>11900</v>
      </c>
    </row>
    <row r="626" spans="1:43" ht="16.5">
      <c r="B626" s="911"/>
      <c r="D626"/>
      <c r="P626" s="447"/>
      <c r="V626" s="340"/>
      <c r="W626" s="594"/>
      <c r="X626" s="340" t="str">
        <f t="shared" ca="1" si="193"/>
        <v>0 WEEK</v>
      </c>
      <c r="Y626" s="794"/>
      <c r="Z626" s="541" cm="1">
        <f t="array" aca="1" ref="Z626" ca="1">_xlfn.IFS(AD626&lt;100,Y626,Y626&lt;TODAY(),TODAY(),Y626&gt;TODAY(),Y626,Y626=TODAY(),Y626)</f>
        <v>0</v>
      </c>
      <c r="AD626" s="298">
        <f t="shared" si="179"/>
        <v>0</v>
      </c>
      <c r="AE626" s="299" t="str">
        <f t="shared" si="180"/>
        <v>Complete</v>
      </c>
      <c r="AI626" s="301">
        <f t="shared" ca="1" si="177"/>
        <v>0</v>
      </c>
      <c r="AJ626" s="302">
        <f t="shared" ca="1" si="178"/>
        <v>0</v>
      </c>
      <c r="AL626" s="303">
        <f t="shared" si="181"/>
        <v>0</v>
      </c>
      <c r="AM626" s="303">
        <f t="shared" si="182"/>
        <v>0</v>
      </c>
      <c r="AN626" s="303">
        <f t="shared" si="183"/>
        <v>0</v>
      </c>
      <c r="AO626" s="304">
        <f t="shared" si="184"/>
        <v>0</v>
      </c>
      <c r="AP626" s="273">
        <f t="shared" si="188"/>
        <v>1</v>
      </c>
      <c r="AQ626" s="273" t="str">
        <f t="shared" si="185"/>
        <v>1</v>
      </c>
    </row>
    <row r="627" spans="1:43" ht="18">
      <c r="A627" s="312">
        <v>32</v>
      </c>
      <c r="B627" s="246" t="s">
        <v>2261</v>
      </c>
      <c r="P627" s="447"/>
      <c r="R627" s="741" t="e">
        <v>#VALUE!</v>
      </c>
      <c r="V627" s="340">
        <f t="shared" ref="V627:V628" ca="1" si="197">MONTH(Z627)</f>
        <v>1</v>
      </c>
      <c r="W627" s="594">
        <f t="shared" ref="W627:W628" ca="1" si="198">YEAR(Z627)</f>
        <v>1900</v>
      </c>
      <c r="X627" s="340" t="str">
        <f t="shared" ca="1" si="193"/>
        <v>0 WEEK</v>
      </c>
      <c r="Y627" s="794">
        <f t="shared" ref="Y627:Y628" si="199">P627+T627</f>
        <v>0</v>
      </c>
      <c r="Z627" s="541" cm="1">
        <f t="array" aca="1" ref="Z627" ca="1">_xlfn.IFS(AD627&lt;100,Y627,Y627&lt;TODAY(),TODAY(),Y627&gt;TODAY(),Y627,Y627=TODAY(),Y627)</f>
        <v>0</v>
      </c>
      <c r="AD627" s="298">
        <f t="shared" si="179"/>
        <v>0</v>
      </c>
      <c r="AE627" s="299" t="str">
        <f t="shared" si="180"/>
        <v>Complete</v>
      </c>
      <c r="AI627" s="301">
        <f t="shared" ca="1" si="177"/>
        <v>0</v>
      </c>
      <c r="AJ627" s="302">
        <f t="shared" ca="1" si="178"/>
        <v>0</v>
      </c>
      <c r="AL627" s="303">
        <f t="shared" si="181"/>
        <v>0</v>
      </c>
      <c r="AM627" s="303">
        <f t="shared" si="182"/>
        <v>0</v>
      </c>
      <c r="AN627" s="303">
        <f t="shared" si="183"/>
        <v>0</v>
      </c>
      <c r="AO627" s="304">
        <f t="shared" si="184"/>
        <v>0</v>
      </c>
      <c r="AP627" s="273">
        <f t="shared" si="188"/>
        <v>1</v>
      </c>
      <c r="AQ627" s="273" t="str">
        <f t="shared" ca="1" si="185"/>
        <v>11900</v>
      </c>
    </row>
    <row r="628" spans="1:43" ht="15.75">
      <c r="B628" s="246" t="s">
        <v>2261</v>
      </c>
      <c r="P628" s="912">
        <v>45747</v>
      </c>
      <c r="Q628" s="913" t="s">
        <v>3763</v>
      </c>
      <c r="R628" s="914">
        <v>256526971</v>
      </c>
      <c r="V628" s="340">
        <f t="shared" ca="1" si="197"/>
        <v>3</v>
      </c>
      <c r="W628" s="594">
        <f t="shared" ca="1" si="198"/>
        <v>2025</v>
      </c>
      <c r="X628" s="340" t="str">
        <f t="shared" ca="1" si="193"/>
        <v>5 WEEK</v>
      </c>
      <c r="Y628" s="794">
        <f t="shared" si="199"/>
        <v>45747</v>
      </c>
      <c r="Z628" s="541" cm="1">
        <f t="array" aca="1" ref="Z628" ca="1">_xlfn.IFS(AD628&lt;100,Y628,Y628&lt;TODAY(),TODAY(),Y628&gt;TODAY(),Y628,Y628=TODAY(),Y628)</f>
        <v>45747</v>
      </c>
      <c r="AB628" s="307">
        <v>0</v>
      </c>
      <c r="AD628" s="298">
        <f t="shared" si="179"/>
        <v>0</v>
      </c>
      <c r="AE628" s="299" t="str">
        <f t="shared" si="180"/>
        <v>Complete</v>
      </c>
      <c r="AI628" s="301">
        <f t="shared" ca="1" si="177"/>
        <v>0</v>
      </c>
      <c r="AJ628" s="302">
        <f t="shared" ca="1" si="178"/>
        <v>0</v>
      </c>
      <c r="AL628" s="303">
        <f t="shared" si="181"/>
        <v>0</v>
      </c>
      <c r="AM628" s="303">
        <f t="shared" si="182"/>
        <v>-256526971</v>
      </c>
      <c r="AN628" s="303">
        <f t="shared" si="183"/>
        <v>256526971</v>
      </c>
      <c r="AO628" s="304">
        <f t="shared" si="184"/>
        <v>0</v>
      </c>
      <c r="AP628" s="273">
        <f t="shared" si="188"/>
        <v>3</v>
      </c>
      <c r="AQ628" s="273" t="str">
        <f t="shared" ca="1" si="185"/>
        <v>32025</v>
      </c>
    </row>
    <row r="629" spans="1:43" ht="15.75">
      <c r="B629" s="340" t="s">
        <v>2261</v>
      </c>
      <c r="P629" s="798">
        <v>45747</v>
      </c>
      <c r="Q629" s="913" t="s">
        <v>3764</v>
      </c>
      <c r="R629" s="915">
        <v>277348834</v>
      </c>
      <c r="V629" s="340"/>
      <c r="W629" s="594"/>
      <c r="X629" s="340" t="str">
        <f t="shared" ca="1" si="193"/>
        <v>0 WEEK</v>
      </c>
      <c r="Y629" s="794"/>
      <c r="Z629" s="541" cm="1">
        <f t="array" aca="1" ref="Z629" ca="1">_xlfn.IFS(AD629&lt;100,Y629,Y629&lt;TODAY(),TODAY(),Y629&gt;TODAY(),Y629,Y629=TODAY(),Y629)</f>
        <v>0</v>
      </c>
      <c r="AD629" s="298">
        <f t="shared" si="179"/>
        <v>0</v>
      </c>
      <c r="AE629" s="299" t="str">
        <f t="shared" si="180"/>
        <v>Complete</v>
      </c>
      <c r="AI629" s="301">
        <f t="shared" ca="1" si="177"/>
        <v>0</v>
      </c>
      <c r="AJ629" s="302">
        <f t="shared" ca="1" si="178"/>
        <v>0</v>
      </c>
      <c r="AL629" s="303">
        <f t="shared" si="181"/>
        <v>0</v>
      </c>
      <c r="AM629" s="303">
        <f t="shared" si="182"/>
        <v>-277348834</v>
      </c>
      <c r="AN629" s="303">
        <f t="shared" si="183"/>
        <v>277348834</v>
      </c>
      <c r="AO629" s="304">
        <f t="shared" si="184"/>
        <v>0</v>
      </c>
      <c r="AP629" s="273">
        <f t="shared" si="188"/>
        <v>3</v>
      </c>
      <c r="AQ629" s="273" t="str">
        <f t="shared" si="185"/>
        <v>3</v>
      </c>
    </row>
    <row r="630" spans="1:43">
      <c r="P630" s="794"/>
      <c r="Q630" s="913"/>
      <c r="R630" s="916"/>
      <c r="V630" s="340"/>
      <c r="W630" s="594"/>
      <c r="X630" s="340" t="str">
        <f t="shared" ca="1" si="193"/>
        <v>0 WEEK</v>
      </c>
      <c r="Y630" s="794"/>
      <c r="Z630" s="541" cm="1">
        <f t="array" aca="1" ref="Z630" ca="1">_xlfn.IFS(AD630&lt;100,Y630,Y630&lt;TODAY(),TODAY(),Y630&gt;TODAY(),Y630,Y630=TODAY(),Y630)</f>
        <v>0</v>
      </c>
      <c r="AD630" s="298">
        <f t="shared" si="179"/>
        <v>0</v>
      </c>
      <c r="AE630" s="299" t="str">
        <f t="shared" si="180"/>
        <v>Complete</v>
      </c>
      <c r="AI630" s="301">
        <f t="shared" ca="1" si="177"/>
        <v>0</v>
      </c>
      <c r="AJ630" s="302">
        <f t="shared" ca="1" si="178"/>
        <v>0</v>
      </c>
      <c r="AL630" s="303">
        <f t="shared" si="181"/>
        <v>0</v>
      </c>
      <c r="AM630" s="303">
        <f t="shared" si="182"/>
        <v>0</v>
      </c>
      <c r="AN630" s="303">
        <f t="shared" si="183"/>
        <v>0</v>
      </c>
      <c r="AO630" s="304">
        <f t="shared" si="184"/>
        <v>0</v>
      </c>
      <c r="AP630" s="273">
        <f t="shared" si="188"/>
        <v>1</v>
      </c>
      <c r="AQ630" s="273" t="str">
        <f t="shared" si="185"/>
        <v>1</v>
      </c>
    </row>
    <row r="631" spans="1:43">
      <c r="A631" s="312">
        <f>A628+1</f>
        <v>1</v>
      </c>
      <c r="P631" s="794"/>
      <c r="Q631" s="913"/>
      <c r="R631" s="916"/>
      <c r="V631" s="340"/>
      <c r="W631" s="594"/>
      <c r="X631" s="340" t="str">
        <f t="shared" ca="1" si="193"/>
        <v>0 WEEK</v>
      </c>
      <c r="Y631" s="794"/>
      <c r="Z631" s="541" cm="1">
        <f t="array" aca="1" ref="Z631" ca="1">_xlfn.IFS(AD631&lt;100,Y631,Y631&lt;TODAY(),TODAY(),Y631&gt;TODAY(),Y631,Y631=TODAY(),Y631)</f>
        <v>0</v>
      </c>
      <c r="AD631" s="298">
        <f t="shared" si="179"/>
        <v>0</v>
      </c>
      <c r="AE631" s="299" t="str">
        <f t="shared" si="180"/>
        <v>Complete</v>
      </c>
      <c r="AI631" s="301">
        <f t="shared" ca="1" si="177"/>
        <v>0</v>
      </c>
      <c r="AJ631" s="302">
        <f t="shared" ca="1" si="178"/>
        <v>0</v>
      </c>
      <c r="AL631" s="303">
        <f t="shared" si="181"/>
        <v>0</v>
      </c>
      <c r="AM631" s="303">
        <f t="shared" si="182"/>
        <v>0</v>
      </c>
      <c r="AN631" s="303">
        <f t="shared" si="183"/>
        <v>0</v>
      </c>
      <c r="AO631" s="304">
        <f t="shared" si="184"/>
        <v>0</v>
      </c>
      <c r="AP631" s="273">
        <f t="shared" si="188"/>
        <v>1</v>
      </c>
      <c r="AQ631" s="273" t="str">
        <f t="shared" si="185"/>
        <v>1</v>
      </c>
    </row>
    <row r="632" spans="1:43" ht="15.75">
      <c r="B632" t="s">
        <v>2262</v>
      </c>
      <c r="P632" s="447">
        <v>45353</v>
      </c>
      <c r="Q632" s="913" t="s">
        <v>3779</v>
      </c>
      <c r="R632" s="916">
        <v>359526</v>
      </c>
      <c r="V632" s="340">
        <f t="shared" ref="V632" ca="1" si="200">MONTH(Z632)</f>
        <v>3</v>
      </c>
      <c r="W632" s="594">
        <f t="shared" ref="W632" ca="1" si="201">YEAR(Z632)</f>
        <v>2024</v>
      </c>
      <c r="X632" s="340" t="str">
        <f t="shared" ca="1" si="193"/>
        <v>1 WEEK</v>
      </c>
      <c r="Y632" s="794">
        <f t="shared" ref="Y632:Y742" si="202">P632+T632</f>
        <v>45353</v>
      </c>
      <c r="Z632" s="541" cm="1">
        <f t="array" aca="1" ref="Z632" ca="1">_xlfn.IFS(AD632&lt;100,Y632,Y632&lt;TODAY(),TODAY(),Y632&gt;TODAY(),Y632,Y632=TODAY(),Y632)</f>
        <v>45353</v>
      </c>
      <c r="AB632" s="307">
        <v>0</v>
      </c>
      <c r="AD632" s="298">
        <f t="shared" si="179"/>
        <v>0</v>
      </c>
      <c r="AE632" s="299" t="str">
        <f t="shared" si="180"/>
        <v>Complete</v>
      </c>
      <c r="AI632" s="301">
        <f t="shared" ca="1" si="177"/>
        <v>0</v>
      </c>
      <c r="AJ632" s="302">
        <f t="shared" ca="1" si="178"/>
        <v>0</v>
      </c>
      <c r="AL632" s="303">
        <f t="shared" si="181"/>
        <v>0</v>
      </c>
      <c r="AM632" s="303">
        <f t="shared" si="182"/>
        <v>-359526</v>
      </c>
      <c r="AN632" s="303">
        <f t="shared" si="183"/>
        <v>359526</v>
      </c>
      <c r="AO632" s="304">
        <f t="shared" si="184"/>
        <v>0</v>
      </c>
      <c r="AP632" s="273">
        <f t="shared" si="188"/>
        <v>3</v>
      </c>
      <c r="AQ632" s="273" t="str">
        <f t="shared" ca="1" si="185"/>
        <v>32024</v>
      </c>
    </row>
    <row r="633" spans="1:43" ht="15.75">
      <c r="B633" t="s">
        <v>2262</v>
      </c>
      <c r="P633" s="794">
        <v>45355</v>
      </c>
      <c r="Q633" s="913" t="s">
        <v>3780</v>
      </c>
      <c r="R633" s="916">
        <v>25030354</v>
      </c>
      <c r="V633" s="340"/>
      <c r="W633" s="594"/>
      <c r="X633" s="340" t="str">
        <f t="shared" ca="1" si="193"/>
        <v>1 WEEK</v>
      </c>
      <c r="Y633" s="794">
        <f t="shared" si="202"/>
        <v>45355</v>
      </c>
      <c r="Z633" s="541" cm="1">
        <f t="array" aca="1" ref="Z633" ca="1">_xlfn.IFS(AD633&lt;100,Y633,Y633&lt;TODAY(),TODAY(),Y633&gt;TODAY(),Y633,Y633=TODAY(),Y633)</f>
        <v>45355</v>
      </c>
      <c r="AD633" s="298">
        <f t="shared" si="179"/>
        <v>0</v>
      </c>
      <c r="AE633" s="299" t="str">
        <f t="shared" si="180"/>
        <v>Complete</v>
      </c>
      <c r="AI633" s="301">
        <f t="shared" ca="1" si="177"/>
        <v>0</v>
      </c>
      <c r="AJ633" s="302">
        <f t="shared" ca="1" si="178"/>
        <v>0</v>
      </c>
      <c r="AL633" s="303">
        <f t="shared" si="181"/>
        <v>0</v>
      </c>
      <c r="AM633" s="303">
        <f t="shared" si="182"/>
        <v>-25030354</v>
      </c>
      <c r="AN633" s="303">
        <f t="shared" si="183"/>
        <v>25030354</v>
      </c>
      <c r="AO633" s="304">
        <f t="shared" si="184"/>
        <v>0</v>
      </c>
      <c r="AP633" s="273">
        <f t="shared" si="188"/>
        <v>3</v>
      </c>
      <c r="AQ633" s="273" t="str">
        <f t="shared" si="185"/>
        <v>3</v>
      </c>
    </row>
    <row r="634" spans="1:43" ht="15.75">
      <c r="B634" t="s">
        <v>2262</v>
      </c>
      <c r="P634" s="794">
        <v>45363</v>
      </c>
      <c r="Q634" s="913" t="s">
        <v>3781</v>
      </c>
      <c r="R634" s="916">
        <v>6227096</v>
      </c>
      <c r="V634" s="340"/>
      <c r="W634" s="594"/>
      <c r="X634" s="340" t="str">
        <f t="shared" ca="1" si="193"/>
        <v>2 WEEK</v>
      </c>
      <c r="Y634" s="794">
        <f t="shared" si="202"/>
        <v>45363</v>
      </c>
      <c r="Z634" s="541" cm="1">
        <f t="array" aca="1" ref="Z634" ca="1">_xlfn.IFS(AD634&lt;100,Y634,Y634&lt;TODAY(),TODAY(),Y634&gt;TODAY(),Y634,Y634=TODAY(),Y634)</f>
        <v>45363</v>
      </c>
      <c r="AD634" s="298">
        <f t="shared" si="179"/>
        <v>0</v>
      </c>
      <c r="AE634" s="299" t="str">
        <f t="shared" si="180"/>
        <v>Complete</v>
      </c>
      <c r="AI634" s="301">
        <f t="shared" ca="1" si="177"/>
        <v>0</v>
      </c>
      <c r="AJ634" s="302">
        <f t="shared" ca="1" si="178"/>
        <v>0</v>
      </c>
      <c r="AL634" s="303">
        <f t="shared" si="181"/>
        <v>0</v>
      </c>
      <c r="AM634" s="303">
        <f t="shared" si="182"/>
        <v>-6227096</v>
      </c>
      <c r="AN634" s="303">
        <f t="shared" si="183"/>
        <v>6227096</v>
      </c>
      <c r="AO634" s="304">
        <f t="shared" si="184"/>
        <v>0</v>
      </c>
      <c r="AP634" s="273">
        <f t="shared" si="188"/>
        <v>3</v>
      </c>
      <c r="AQ634" s="273" t="str">
        <f t="shared" si="185"/>
        <v>3</v>
      </c>
    </row>
    <row r="635" spans="1:43" ht="15.75">
      <c r="B635" t="s">
        <v>2262</v>
      </c>
      <c r="P635" s="794">
        <v>45369</v>
      </c>
      <c r="Q635" s="913" t="s">
        <v>3782</v>
      </c>
      <c r="R635" s="916">
        <v>-447456</v>
      </c>
      <c r="V635" s="340"/>
      <c r="W635" s="594"/>
      <c r="X635" s="340" t="str">
        <f t="shared" ca="1" si="193"/>
        <v>3 WEEK</v>
      </c>
      <c r="Y635" s="794">
        <f t="shared" si="202"/>
        <v>45369</v>
      </c>
      <c r="Z635" s="541" cm="1">
        <f t="array" aca="1" ref="Z635" ca="1">_xlfn.IFS(AD635&lt;100,Y635,Y635&lt;TODAY(),TODAY(),Y635&gt;TODAY(),Y635,Y635=TODAY(),Y635)</f>
        <v>45369</v>
      </c>
      <c r="AD635" s="298">
        <f t="shared" si="179"/>
        <v>0</v>
      </c>
      <c r="AE635" s="299" t="str">
        <f t="shared" si="180"/>
        <v>Complete</v>
      </c>
      <c r="AI635" s="301">
        <f t="shared" ca="1" si="177"/>
        <v>0</v>
      </c>
      <c r="AJ635" s="302">
        <f t="shared" ca="1" si="178"/>
        <v>0</v>
      </c>
      <c r="AL635" s="303">
        <f t="shared" si="181"/>
        <v>0</v>
      </c>
      <c r="AM635" s="303">
        <f t="shared" si="182"/>
        <v>447456</v>
      </c>
      <c r="AN635" s="303">
        <f t="shared" si="183"/>
        <v>-447456</v>
      </c>
      <c r="AO635" s="304">
        <f t="shared" si="184"/>
        <v>0</v>
      </c>
      <c r="AP635" s="273">
        <f t="shared" si="188"/>
        <v>3</v>
      </c>
      <c r="AQ635" s="273" t="str">
        <f t="shared" si="185"/>
        <v>3</v>
      </c>
    </row>
    <row r="636" spans="1:43" ht="15.75">
      <c r="B636" t="s">
        <v>2262</v>
      </c>
      <c r="P636" s="794">
        <v>45369</v>
      </c>
      <c r="Q636" s="913" t="s">
        <v>3783</v>
      </c>
      <c r="R636" s="916">
        <v>25899596</v>
      </c>
      <c r="V636" s="340"/>
      <c r="W636" s="594"/>
      <c r="X636" s="340" t="str">
        <f t="shared" ca="1" si="193"/>
        <v>3 WEEK</v>
      </c>
      <c r="Y636" s="794">
        <f t="shared" si="202"/>
        <v>45369</v>
      </c>
      <c r="Z636" s="541" cm="1">
        <f t="array" aca="1" ref="Z636" ca="1">_xlfn.IFS(AD636&lt;100,Y636,Y636&lt;TODAY(),TODAY(),Y636&gt;TODAY(),Y636,Y636=TODAY(),Y636)</f>
        <v>45369</v>
      </c>
      <c r="AD636" s="298">
        <f t="shared" si="179"/>
        <v>0</v>
      </c>
      <c r="AE636" s="299" t="str">
        <f t="shared" si="180"/>
        <v>Complete</v>
      </c>
      <c r="AI636" s="301">
        <f t="shared" ca="1" si="177"/>
        <v>0</v>
      </c>
      <c r="AJ636" s="302">
        <f t="shared" ca="1" si="178"/>
        <v>0</v>
      </c>
      <c r="AL636" s="303">
        <f t="shared" si="181"/>
        <v>0</v>
      </c>
      <c r="AM636" s="303">
        <f t="shared" si="182"/>
        <v>-25899596</v>
      </c>
      <c r="AN636" s="303">
        <f t="shared" si="183"/>
        <v>25899596</v>
      </c>
      <c r="AO636" s="304">
        <f t="shared" si="184"/>
        <v>0</v>
      </c>
      <c r="AP636" s="273">
        <f t="shared" si="188"/>
        <v>3</v>
      </c>
      <c r="AQ636" s="273" t="str">
        <f t="shared" si="185"/>
        <v>3</v>
      </c>
    </row>
    <row r="637" spans="1:43" ht="15.75">
      <c r="B637" t="s">
        <v>2262</v>
      </c>
      <c r="P637" s="794">
        <v>45373</v>
      </c>
      <c r="Q637" s="913" t="s">
        <v>3784</v>
      </c>
      <c r="R637" s="916">
        <v>1264938</v>
      </c>
      <c r="V637" s="340"/>
      <c r="W637" s="594"/>
      <c r="X637" s="340" t="str">
        <f t="shared" ca="1" si="193"/>
        <v>4 WEEK</v>
      </c>
      <c r="Y637" s="794">
        <f t="shared" si="202"/>
        <v>45373</v>
      </c>
      <c r="Z637" s="541" cm="1">
        <f t="array" aca="1" ref="Z637" ca="1">_xlfn.IFS(AD637&lt;100,Y637,Y637&lt;TODAY(),TODAY(),Y637&gt;TODAY(),Y637,Y637=TODAY(),Y637)</f>
        <v>45373</v>
      </c>
      <c r="AD637" s="298">
        <f t="shared" si="179"/>
        <v>0</v>
      </c>
      <c r="AE637" s="299" t="str">
        <f t="shared" si="180"/>
        <v>Complete</v>
      </c>
      <c r="AI637" s="301">
        <f t="shared" ca="1" si="177"/>
        <v>0</v>
      </c>
      <c r="AJ637" s="302">
        <f t="shared" ca="1" si="178"/>
        <v>0</v>
      </c>
      <c r="AL637" s="303">
        <f t="shared" si="181"/>
        <v>0</v>
      </c>
      <c r="AM637" s="303">
        <f t="shared" si="182"/>
        <v>-1264938</v>
      </c>
      <c r="AN637" s="303">
        <f t="shared" si="183"/>
        <v>1264938</v>
      </c>
      <c r="AO637" s="304">
        <f t="shared" si="184"/>
        <v>0</v>
      </c>
      <c r="AP637" s="273">
        <f t="shared" si="188"/>
        <v>3</v>
      </c>
      <c r="AQ637" s="273" t="str">
        <f t="shared" si="185"/>
        <v>3</v>
      </c>
    </row>
    <row r="638" spans="1:43" ht="15.75">
      <c r="B638" t="s">
        <v>2262</v>
      </c>
      <c r="P638" s="794">
        <v>45379</v>
      </c>
      <c r="Q638" s="913" t="s">
        <v>3785</v>
      </c>
      <c r="R638" s="916">
        <v>1264938</v>
      </c>
      <c r="V638" s="340"/>
      <c r="W638" s="594"/>
      <c r="X638" s="340" t="str">
        <f t="shared" ca="1" si="193"/>
        <v>4 WEEK</v>
      </c>
      <c r="Y638" s="794">
        <f t="shared" si="202"/>
        <v>45379</v>
      </c>
      <c r="Z638" s="541" cm="1">
        <f t="array" aca="1" ref="Z638" ca="1">_xlfn.IFS(AD638&lt;100,Y638,Y638&lt;TODAY(),TODAY(),Y638&gt;TODAY(),Y638,Y638=TODAY(),Y638)</f>
        <v>45379</v>
      </c>
      <c r="AD638" s="298">
        <f t="shared" si="179"/>
        <v>0</v>
      </c>
      <c r="AE638" s="299" t="str">
        <f t="shared" si="180"/>
        <v>Complete</v>
      </c>
      <c r="AI638" s="301">
        <f t="shared" ca="1" si="177"/>
        <v>0</v>
      </c>
      <c r="AJ638" s="302">
        <f t="shared" ca="1" si="178"/>
        <v>0</v>
      </c>
      <c r="AL638" s="303">
        <f t="shared" si="181"/>
        <v>0</v>
      </c>
      <c r="AM638" s="303">
        <f t="shared" si="182"/>
        <v>-1264938</v>
      </c>
      <c r="AN638" s="303">
        <f t="shared" si="183"/>
        <v>1264938</v>
      </c>
      <c r="AO638" s="304">
        <f t="shared" si="184"/>
        <v>0</v>
      </c>
      <c r="AP638" s="273">
        <f t="shared" si="188"/>
        <v>3</v>
      </c>
      <c r="AQ638" s="273" t="str">
        <f t="shared" si="185"/>
        <v>3</v>
      </c>
    </row>
    <row r="639" spans="1:43" ht="15.75">
      <c r="B639" t="s">
        <v>2262</v>
      </c>
      <c r="P639" s="794">
        <v>45380</v>
      </c>
      <c r="Q639" s="913" t="s">
        <v>3786</v>
      </c>
      <c r="R639" s="916">
        <v>7080000</v>
      </c>
      <c r="V639" s="340"/>
      <c r="W639" s="594"/>
      <c r="X639" s="340" t="str">
        <f t="shared" ca="1" si="193"/>
        <v>5 WEEK</v>
      </c>
      <c r="Y639" s="794">
        <f t="shared" si="202"/>
        <v>45380</v>
      </c>
      <c r="Z639" s="541" cm="1">
        <f t="array" aca="1" ref="Z639" ca="1">_xlfn.IFS(AD639&lt;100,Y639,Y639&lt;TODAY(),TODAY(),Y639&gt;TODAY(),Y639,Y639=TODAY(),Y639)</f>
        <v>45380</v>
      </c>
      <c r="AD639" s="298">
        <f t="shared" si="179"/>
        <v>0</v>
      </c>
      <c r="AE639" s="299" t="str">
        <f t="shared" si="180"/>
        <v>Complete</v>
      </c>
      <c r="AI639" s="301">
        <f t="shared" ca="1" si="177"/>
        <v>0</v>
      </c>
      <c r="AJ639" s="302">
        <f t="shared" ca="1" si="178"/>
        <v>0</v>
      </c>
      <c r="AL639" s="303">
        <f t="shared" si="181"/>
        <v>0</v>
      </c>
      <c r="AM639" s="303">
        <f t="shared" si="182"/>
        <v>-7080000</v>
      </c>
      <c r="AN639" s="303">
        <f t="shared" si="183"/>
        <v>7080000</v>
      </c>
      <c r="AO639" s="304">
        <f t="shared" si="184"/>
        <v>0</v>
      </c>
      <c r="AP639" s="273">
        <f t="shared" si="188"/>
        <v>3</v>
      </c>
      <c r="AQ639" s="273" t="str">
        <f t="shared" si="185"/>
        <v>3</v>
      </c>
    </row>
    <row r="640" spans="1:43" ht="15.75">
      <c r="B640" t="s">
        <v>2262</v>
      </c>
      <c r="P640" s="794">
        <v>45429</v>
      </c>
      <c r="Q640" s="913" t="s">
        <v>3787</v>
      </c>
      <c r="R640" s="916">
        <v>1230021</v>
      </c>
      <c r="V640" s="340"/>
      <c r="W640" s="594"/>
      <c r="X640" s="340" t="str">
        <f t="shared" ca="1" si="193"/>
        <v>3 WEEK</v>
      </c>
      <c r="Y640" s="794">
        <f t="shared" si="202"/>
        <v>45429</v>
      </c>
      <c r="Z640" s="541" cm="1">
        <f t="array" aca="1" ref="Z640" ca="1">_xlfn.IFS(AD640&lt;100,Y640,Y640&lt;TODAY(),TODAY(),Y640&gt;TODAY(),Y640,Y640=TODAY(),Y640)</f>
        <v>45429</v>
      </c>
      <c r="AD640" s="298">
        <f t="shared" si="179"/>
        <v>0</v>
      </c>
      <c r="AE640" s="299" t="str">
        <f t="shared" si="180"/>
        <v>Complete</v>
      </c>
      <c r="AI640" s="301">
        <f t="shared" ca="1" si="177"/>
        <v>0</v>
      </c>
      <c r="AJ640" s="302">
        <f t="shared" ca="1" si="178"/>
        <v>0</v>
      </c>
      <c r="AL640" s="303">
        <f t="shared" si="181"/>
        <v>0</v>
      </c>
      <c r="AM640" s="303">
        <f t="shared" si="182"/>
        <v>-1230021</v>
      </c>
      <c r="AN640" s="303">
        <f t="shared" si="183"/>
        <v>1230021</v>
      </c>
      <c r="AO640" s="304">
        <f t="shared" si="184"/>
        <v>0</v>
      </c>
      <c r="AP640" s="273">
        <f t="shared" si="188"/>
        <v>5</v>
      </c>
      <c r="AQ640" s="273" t="str">
        <f t="shared" si="185"/>
        <v>5</v>
      </c>
    </row>
    <row r="641" spans="1:43" ht="15.75">
      <c r="B641" t="s">
        <v>2262</v>
      </c>
      <c r="P641" s="794">
        <v>45457</v>
      </c>
      <c r="Q641" s="913" t="s">
        <v>3788</v>
      </c>
      <c r="R641" s="916">
        <v>1199889</v>
      </c>
      <c r="V641" s="340"/>
      <c r="W641" s="594"/>
      <c r="X641" s="340" t="str">
        <f t="shared" ca="1" si="193"/>
        <v>2 WEEK</v>
      </c>
      <c r="Y641" s="794">
        <f t="shared" si="202"/>
        <v>45457</v>
      </c>
      <c r="Z641" s="541" cm="1">
        <f t="array" aca="1" ref="Z641" ca="1">_xlfn.IFS(AD641&lt;100,Y641,Y641&lt;TODAY(),TODAY(),Y641&gt;TODAY(),Y641,Y641=TODAY(),Y641)</f>
        <v>45457</v>
      </c>
      <c r="AD641" s="298">
        <f t="shared" si="179"/>
        <v>0</v>
      </c>
      <c r="AE641" s="299" t="str">
        <f t="shared" si="180"/>
        <v>Complete</v>
      </c>
      <c r="AI641" s="301">
        <f t="shared" ca="1" si="177"/>
        <v>0</v>
      </c>
      <c r="AJ641" s="302">
        <f t="shared" ca="1" si="178"/>
        <v>0</v>
      </c>
      <c r="AL641" s="303">
        <f t="shared" si="181"/>
        <v>0</v>
      </c>
      <c r="AM641" s="303">
        <f t="shared" si="182"/>
        <v>-1199889</v>
      </c>
      <c r="AN641" s="303">
        <f t="shared" si="183"/>
        <v>1199889</v>
      </c>
      <c r="AO641" s="304">
        <f t="shared" si="184"/>
        <v>0</v>
      </c>
      <c r="AP641" s="273">
        <f t="shared" si="188"/>
        <v>6</v>
      </c>
      <c r="AQ641" s="273" t="str">
        <f t="shared" si="185"/>
        <v>6</v>
      </c>
    </row>
    <row r="642" spans="1:43" ht="15.75">
      <c r="B642" t="s">
        <v>2262</v>
      </c>
      <c r="P642" s="794">
        <v>45458</v>
      </c>
      <c r="Q642" s="913" t="s">
        <v>3789</v>
      </c>
      <c r="R642" s="916">
        <v>-541067</v>
      </c>
      <c r="V642" s="340"/>
      <c r="W642" s="594"/>
      <c r="X642" s="340" t="str">
        <f t="shared" ca="1" si="193"/>
        <v>3 WEEK</v>
      </c>
      <c r="Y642" s="794">
        <f t="shared" si="202"/>
        <v>45458</v>
      </c>
      <c r="Z642" s="541" cm="1">
        <f t="array" aca="1" ref="Z642" ca="1">_xlfn.IFS(AD642&lt;100,Y642,Y642&lt;TODAY(),TODAY(),Y642&gt;TODAY(),Y642,Y642=TODAY(),Y642)</f>
        <v>45458</v>
      </c>
      <c r="AD642" s="298">
        <f t="shared" si="179"/>
        <v>0</v>
      </c>
      <c r="AE642" s="299" t="str">
        <f t="shared" si="180"/>
        <v>Complete</v>
      </c>
      <c r="AI642" s="301">
        <f t="shared" ref="AI642:AI705" ca="1" si="203">Z642-Y642</f>
        <v>0</v>
      </c>
      <c r="AJ642" s="302">
        <f t="shared" ref="AJ642:AJ705" ca="1" si="204">IF(AI642&gt;1,"Delayed",0)</f>
        <v>0</v>
      </c>
      <c r="AL642" s="303">
        <f t="shared" si="181"/>
        <v>0</v>
      </c>
      <c r="AM642" s="303">
        <f t="shared" si="182"/>
        <v>541067</v>
      </c>
      <c r="AN642" s="303">
        <f t="shared" si="183"/>
        <v>-541067</v>
      </c>
      <c r="AO642" s="304">
        <f t="shared" si="184"/>
        <v>0</v>
      </c>
      <c r="AP642" s="273">
        <f t="shared" si="188"/>
        <v>6</v>
      </c>
      <c r="AQ642" s="273" t="str">
        <f t="shared" si="185"/>
        <v>6</v>
      </c>
    </row>
    <row r="643" spans="1:43" ht="15.75">
      <c r="B643" t="s">
        <v>2262</v>
      </c>
      <c r="P643" s="794">
        <v>45458</v>
      </c>
      <c r="Q643" s="913" t="s">
        <v>3790</v>
      </c>
      <c r="R643" s="916">
        <v>-1185762</v>
      </c>
      <c r="V643" s="340"/>
      <c r="W643" s="594"/>
      <c r="X643" s="340" t="str">
        <f t="shared" ca="1" si="193"/>
        <v>3 WEEK</v>
      </c>
      <c r="Y643" s="794">
        <f t="shared" si="202"/>
        <v>45458</v>
      </c>
      <c r="Z643" s="541" cm="1">
        <f t="array" aca="1" ref="Z643" ca="1">_xlfn.IFS(AD643&lt;100,Y643,Y643&lt;TODAY(),TODAY(),Y643&gt;TODAY(),Y643,Y643=TODAY(),Y643)</f>
        <v>45458</v>
      </c>
      <c r="AD643" s="298">
        <f t="shared" ref="AD643:AD706" si="205">ROUND(AA643-AB643-AC643,0)</f>
        <v>0</v>
      </c>
      <c r="AE643" s="299" t="str">
        <f t="shared" ref="AE643:AE706" si="206">IF(AD643&lt;100,"Complete","Incomplete")</f>
        <v>Complete</v>
      </c>
      <c r="AI643" s="301">
        <f t="shared" ca="1" si="203"/>
        <v>0</v>
      </c>
      <c r="AJ643" s="302">
        <f t="shared" ca="1" si="204"/>
        <v>0</v>
      </c>
      <c r="AL643" s="303">
        <f t="shared" ref="AL643:AL706" si="207">I643-J643</f>
        <v>0</v>
      </c>
      <c r="AM643" s="303">
        <f t="shared" ref="AM643:AM706" si="208">IFERROR(I643-R643,0)</f>
        <v>1185762</v>
      </c>
      <c r="AN643" s="303">
        <f t="shared" ref="AN643:AN706" si="209">IFERROR(R643-J643,0)</f>
        <v>-1185762</v>
      </c>
      <c r="AO643" s="304">
        <f t="shared" ref="AO643:AO706" si="210">IFERROR(P643/J643,0)</f>
        <v>0</v>
      </c>
      <c r="AP643" s="273">
        <f t="shared" si="188"/>
        <v>6</v>
      </c>
      <c r="AQ643" s="273" t="str">
        <f t="shared" ref="AQ643:AQ706" si="211">AP643&amp;W643</f>
        <v>6</v>
      </c>
    </row>
    <row r="644" spans="1:43" ht="15.75">
      <c r="B644" t="s">
        <v>2262</v>
      </c>
      <c r="P644" s="794">
        <v>45461</v>
      </c>
      <c r="Q644" s="913" t="s">
        <v>3791</v>
      </c>
      <c r="R644" s="916">
        <v>4601327</v>
      </c>
      <c r="V644" s="340"/>
      <c r="W644" s="594"/>
      <c r="X644" s="340" t="str">
        <f t="shared" ca="1" si="193"/>
        <v>3 WEEK</v>
      </c>
      <c r="Y644" s="794">
        <f t="shared" si="202"/>
        <v>45461</v>
      </c>
      <c r="Z644" s="541" cm="1">
        <f t="array" aca="1" ref="Z644" ca="1">_xlfn.IFS(AD644&lt;100,Y644,Y644&lt;TODAY(),TODAY(),Y644&gt;TODAY(),Y644,Y644=TODAY(),Y644)</f>
        <v>45461</v>
      </c>
      <c r="AD644" s="298">
        <f t="shared" si="205"/>
        <v>0</v>
      </c>
      <c r="AE644" s="299" t="str">
        <f t="shared" si="206"/>
        <v>Complete</v>
      </c>
      <c r="AI644" s="301">
        <f t="shared" ca="1" si="203"/>
        <v>0</v>
      </c>
      <c r="AJ644" s="302">
        <f t="shared" ca="1" si="204"/>
        <v>0</v>
      </c>
      <c r="AL644" s="303">
        <f t="shared" si="207"/>
        <v>0</v>
      </c>
      <c r="AM644" s="303">
        <f t="shared" si="208"/>
        <v>-4601327</v>
      </c>
      <c r="AN644" s="303">
        <f t="shared" si="209"/>
        <v>4601327</v>
      </c>
      <c r="AO644" s="304">
        <f t="shared" si="210"/>
        <v>0</v>
      </c>
      <c r="AP644" s="273">
        <f t="shared" si="188"/>
        <v>6</v>
      </c>
      <c r="AQ644" s="273" t="str">
        <f t="shared" si="211"/>
        <v>6</v>
      </c>
    </row>
    <row r="645" spans="1:43" ht="15.75">
      <c r="B645" t="s">
        <v>2262</v>
      </c>
      <c r="P645" s="794">
        <v>45500</v>
      </c>
      <c r="Q645" s="913" t="s">
        <v>3792</v>
      </c>
      <c r="R645" s="916">
        <v>2866279</v>
      </c>
      <c r="V645" s="340"/>
      <c r="W645" s="594"/>
      <c r="X645" s="340" t="str">
        <f t="shared" ca="1" si="193"/>
        <v>4 WEEK</v>
      </c>
      <c r="Y645" s="794">
        <f t="shared" si="202"/>
        <v>45500</v>
      </c>
      <c r="Z645" s="541" cm="1">
        <f t="array" aca="1" ref="Z645" ca="1">_xlfn.IFS(AD645&lt;100,Y645,Y645&lt;TODAY(),TODAY(),Y645&gt;TODAY(),Y645,Y645=TODAY(),Y645)</f>
        <v>45500</v>
      </c>
      <c r="AD645" s="298">
        <f t="shared" si="205"/>
        <v>0</v>
      </c>
      <c r="AE645" s="299" t="str">
        <f t="shared" si="206"/>
        <v>Complete</v>
      </c>
      <c r="AI645" s="301">
        <f t="shared" ca="1" si="203"/>
        <v>0</v>
      </c>
      <c r="AJ645" s="302">
        <f t="shared" ca="1" si="204"/>
        <v>0</v>
      </c>
      <c r="AL645" s="303">
        <f t="shared" si="207"/>
        <v>0</v>
      </c>
      <c r="AM645" s="303">
        <f t="shared" si="208"/>
        <v>-2866279</v>
      </c>
      <c r="AN645" s="303">
        <f t="shared" si="209"/>
        <v>2866279</v>
      </c>
      <c r="AO645" s="304">
        <f t="shared" si="210"/>
        <v>0</v>
      </c>
      <c r="AP645" s="273">
        <f t="shared" ref="AP645:AP708" si="212">MONTH(P645)</f>
        <v>7</v>
      </c>
      <c r="AQ645" s="273" t="str">
        <f t="shared" si="211"/>
        <v>7</v>
      </c>
    </row>
    <row r="646" spans="1:43" ht="15.75">
      <c r="B646" t="s">
        <v>2262</v>
      </c>
      <c r="P646" s="794">
        <v>45500</v>
      </c>
      <c r="Q646" s="913" t="s">
        <v>3793</v>
      </c>
      <c r="R646" s="916">
        <v>14731251</v>
      </c>
      <c r="V646" s="340"/>
      <c r="W646" s="594"/>
      <c r="X646" s="340" t="str">
        <f t="shared" ca="1" si="193"/>
        <v>4 WEEK</v>
      </c>
      <c r="Y646" s="794">
        <f t="shared" si="202"/>
        <v>45500</v>
      </c>
      <c r="Z646" s="541" cm="1">
        <f t="array" aca="1" ref="Z646" ca="1">_xlfn.IFS(AD646&lt;100,Y646,Y646&lt;TODAY(),TODAY(),Y646&gt;TODAY(),Y646,Y646=TODAY(),Y646)</f>
        <v>45500</v>
      </c>
      <c r="AD646" s="298">
        <f t="shared" si="205"/>
        <v>0</v>
      </c>
      <c r="AE646" s="299" t="str">
        <f t="shared" si="206"/>
        <v>Complete</v>
      </c>
      <c r="AI646" s="301">
        <f t="shared" ca="1" si="203"/>
        <v>0</v>
      </c>
      <c r="AJ646" s="302">
        <f t="shared" ca="1" si="204"/>
        <v>0</v>
      </c>
      <c r="AL646" s="303">
        <f t="shared" si="207"/>
        <v>0</v>
      </c>
      <c r="AM646" s="303">
        <f t="shared" si="208"/>
        <v>-14731251</v>
      </c>
      <c r="AN646" s="303">
        <f t="shared" si="209"/>
        <v>14731251</v>
      </c>
      <c r="AO646" s="304">
        <f t="shared" si="210"/>
        <v>0</v>
      </c>
      <c r="AP646" s="273">
        <f t="shared" si="212"/>
        <v>7</v>
      </c>
      <c r="AQ646" s="273" t="str">
        <f t="shared" si="211"/>
        <v>7</v>
      </c>
    </row>
    <row r="647" spans="1:43" ht="15.75">
      <c r="B647" t="s">
        <v>2262</v>
      </c>
      <c r="P647" s="794">
        <v>45540</v>
      </c>
      <c r="Q647" s="913" t="s">
        <v>3794</v>
      </c>
      <c r="R647" s="916">
        <v>-105769</v>
      </c>
      <c r="V647" s="340"/>
      <c r="W647" s="594"/>
      <c r="X647" s="340" t="str">
        <f t="shared" ca="1" si="193"/>
        <v>1 WEEK</v>
      </c>
      <c r="Y647" s="794">
        <f t="shared" si="202"/>
        <v>45540</v>
      </c>
      <c r="Z647" s="541" cm="1">
        <f t="array" aca="1" ref="Z647" ca="1">_xlfn.IFS(AD647&lt;100,Y647,Y647&lt;TODAY(),TODAY(),Y647&gt;TODAY(),Y647,Y647=TODAY(),Y647)</f>
        <v>45540</v>
      </c>
      <c r="AD647" s="298">
        <f t="shared" si="205"/>
        <v>0</v>
      </c>
      <c r="AE647" s="299" t="str">
        <f t="shared" si="206"/>
        <v>Complete</v>
      </c>
      <c r="AI647" s="301">
        <f t="shared" ca="1" si="203"/>
        <v>0</v>
      </c>
      <c r="AJ647" s="302">
        <f t="shared" ca="1" si="204"/>
        <v>0</v>
      </c>
      <c r="AL647" s="303">
        <f t="shared" si="207"/>
        <v>0</v>
      </c>
      <c r="AM647" s="303">
        <f t="shared" si="208"/>
        <v>105769</v>
      </c>
      <c r="AN647" s="303">
        <f t="shared" si="209"/>
        <v>-105769</v>
      </c>
      <c r="AO647" s="304">
        <f t="shared" si="210"/>
        <v>0</v>
      </c>
      <c r="AP647" s="273">
        <f t="shared" si="212"/>
        <v>9</v>
      </c>
      <c r="AQ647" s="273" t="str">
        <f t="shared" si="211"/>
        <v>9</v>
      </c>
    </row>
    <row r="648" spans="1:43" ht="15.75">
      <c r="B648" t="s">
        <v>2262</v>
      </c>
      <c r="P648" s="794">
        <v>45540</v>
      </c>
      <c r="Q648" s="913" t="s">
        <v>3795</v>
      </c>
      <c r="R648" s="916">
        <v>553225</v>
      </c>
      <c r="V648" s="340"/>
      <c r="W648" s="594"/>
      <c r="X648" s="340" t="str">
        <f t="shared" ca="1" si="193"/>
        <v>1 WEEK</v>
      </c>
      <c r="Y648" s="794">
        <f t="shared" si="202"/>
        <v>45540</v>
      </c>
      <c r="Z648" s="541" cm="1">
        <f t="array" aca="1" ref="Z648" ca="1">_xlfn.IFS(AD648&lt;100,Y648,Y648&lt;TODAY(),TODAY(),Y648&gt;TODAY(),Y648,Y648=TODAY(),Y648)</f>
        <v>45540</v>
      </c>
      <c r="AD648" s="298">
        <f t="shared" si="205"/>
        <v>0</v>
      </c>
      <c r="AE648" s="299" t="str">
        <f t="shared" si="206"/>
        <v>Complete</v>
      </c>
      <c r="AI648" s="301">
        <f t="shared" ca="1" si="203"/>
        <v>0</v>
      </c>
      <c r="AJ648" s="302">
        <f t="shared" ca="1" si="204"/>
        <v>0</v>
      </c>
      <c r="AL648" s="303">
        <f t="shared" si="207"/>
        <v>0</v>
      </c>
      <c r="AM648" s="303">
        <f t="shared" si="208"/>
        <v>-553225</v>
      </c>
      <c r="AN648" s="303">
        <f t="shared" si="209"/>
        <v>553225</v>
      </c>
      <c r="AO648" s="304">
        <f t="shared" si="210"/>
        <v>0</v>
      </c>
      <c r="AP648" s="273">
        <f t="shared" si="212"/>
        <v>9</v>
      </c>
      <c r="AQ648" s="273" t="str">
        <f t="shared" si="211"/>
        <v>9</v>
      </c>
    </row>
    <row r="649" spans="1:43" ht="15.75">
      <c r="B649" t="s">
        <v>2262</v>
      </c>
      <c r="P649" s="794">
        <v>45789</v>
      </c>
      <c r="Q649" s="913" t="s">
        <v>3796</v>
      </c>
      <c r="R649" s="916">
        <v>152834</v>
      </c>
      <c r="V649" s="340"/>
      <c r="W649" s="594"/>
      <c r="X649" s="340" t="str">
        <f t="shared" ca="1" si="193"/>
        <v>2 WEEK</v>
      </c>
      <c r="Y649" s="794">
        <f t="shared" si="202"/>
        <v>45789</v>
      </c>
      <c r="Z649" s="541" cm="1">
        <f t="array" aca="1" ref="Z649" ca="1">_xlfn.IFS(AD649&lt;100,Y649,Y649&lt;TODAY(),TODAY(),Y649&gt;TODAY(),Y649,Y649=TODAY(),Y649)</f>
        <v>45789</v>
      </c>
      <c r="AD649" s="298">
        <f t="shared" si="205"/>
        <v>0</v>
      </c>
      <c r="AE649" s="299" t="str">
        <f t="shared" si="206"/>
        <v>Complete</v>
      </c>
      <c r="AI649" s="301">
        <f t="shared" ca="1" si="203"/>
        <v>0</v>
      </c>
      <c r="AJ649" s="302">
        <f t="shared" ca="1" si="204"/>
        <v>0</v>
      </c>
      <c r="AL649" s="303">
        <f t="shared" si="207"/>
        <v>0</v>
      </c>
      <c r="AM649" s="303">
        <f t="shared" si="208"/>
        <v>-152834</v>
      </c>
      <c r="AN649" s="303">
        <f t="shared" si="209"/>
        <v>152834</v>
      </c>
      <c r="AO649" s="304">
        <f t="shared" si="210"/>
        <v>0</v>
      </c>
      <c r="AP649" s="273">
        <f t="shared" si="212"/>
        <v>5</v>
      </c>
      <c r="AQ649" s="273" t="str">
        <f t="shared" si="211"/>
        <v>5</v>
      </c>
    </row>
    <row r="650" spans="1:43" ht="15.75">
      <c r="B650" t="s">
        <v>2262</v>
      </c>
      <c r="P650" s="794"/>
      <c r="Q650" s="913"/>
      <c r="R650" s="916"/>
      <c r="V650" s="340"/>
      <c r="W650" s="594"/>
      <c r="X650" s="340" t="str">
        <f t="shared" ca="1" si="193"/>
        <v>0 WEEK</v>
      </c>
      <c r="Y650" s="794">
        <f t="shared" si="202"/>
        <v>0</v>
      </c>
      <c r="Z650" s="541" cm="1">
        <f t="array" aca="1" ref="Z650" ca="1">_xlfn.IFS(AD650&lt;100,Y650,Y650&lt;TODAY(),TODAY(),Y650&gt;TODAY(),Y650,Y650=TODAY(),Y650)</f>
        <v>0</v>
      </c>
      <c r="AD650" s="298">
        <f t="shared" si="205"/>
        <v>0</v>
      </c>
      <c r="AE650" s="299" t="str">
        <f t="shared" si="206"/>
        <v>Complete</v>
      </c>
      <c r="AI650" s="301">
        <f t="shared" ca="1" si="203"/>
        <v>0</v>
      </c>
      <c r="AJ650" s="302">
        <f t="shared" ca="1" si="204"/>
        <v>0</v>
      </c>
      <c r="AL650" s="303">
        <f t="shared" si="207"/>
        <v>0</v>
      </c>
      <c r="AM650" s="303">
        <f t="shared" si="208"/>
        <v>0</v>
      </c>
      <c r="AN650" s="303">
        <f t="shared" si="209"/>
        <v>0</v>
      </c>
      <c r="AO650" s="304">
        <f t="shared" si="210"/>
        <v>0</v>
      </c>
      <c r="AP650" s="273">
        <f t="shared" si="212"/>
        <v>1</v>
      </c>
      <c r="AQ650" s="273" t="str">
        <f t="shared" si="211"/>
        <v>1</v>
      </c>
    </row>
    <row r="651" spans="1:43">
      <c r="P651" s="794"/>
      <c r="Q651" s="913"/>
      <c r="R651" s="916"/>
      <c r="V651" s="340"/>
      <c r="W651" s="594"/>
      <c r="X651" s="340" t="str">
        <f t="shared" ca="1" si="193"/>
        <v>0 WEEK</v>
      </c>
      <c r="Y651" s="794">
        <f t="shared" si="202"/>
        <v>0</v>
      </c>
      <c r="Z651" s="541" cm="1">
        <f t="array" aca="1" ref="Z651" ca="1">_xlfn.IFS(AD651&lt;100,Y651,Y651&lt;TODAY(),TODAY(),Y651&gt;TODAY(),Y651,Y651=TODAY(),Y651)</f>
        <v>0</v>
      </c>
      <c r="AD651" s="298">
        <f t="shared" si="205"/>
        <v>0</v>
      </c>
      <c r="AE651" s="299" t="str">
        <f t="shared" si="206"/>
        <v>Complete</v>
      </c>
      <c r="AI651" s="301">
        <f t="shared" ca="1" si="203"/>
        <v>0</v>
      </c>
      <c r="AJ651" s="302">
        <f t="shared" ca="1" si="204"/>
        <v>0</v>
      </c>
      <c r="AL651" s="303">
        <f t="shared" si="207"/>
        <v>0</v>
      </c>
      <c r="AM651" s="303">
        <f t="shared" si="208"/>
        <v>0</v>
      </c>
      <c r="AN651" s="303">
        <f t="shared" si="209"/>
        <v>0</v>
      </c>
      <c r="AO651" s="304">
        <f t="shared" si="210"/>
        <v>0</v>
      </c>
      <c r="AP651" s="273">
        <f t="shared" si="212"/>
        <v>1</v>
      </c>
      <c r="AQ651" s="273" t="str">
        <f t="shared" si="211"/>
        <v>1</v>
      </c>
    </row>
    <row r="652" spans="1:43">
      <c r="A652" s="312">
        <f>A630+1</f>
        <v>1</v>
      </c>
      <c r="B652" s="273" t="s">
        <v>2263</v>
      </c>
      <c r="P652" s="794"/>
      <c r="Q652" s="913"/>
      <c r="R652" s="916"/>
      <c r="V652" s="340"/>
      <c r="W652" s="594"/>
      <c r="X652" s="340" t="str">
        <f t="shared" ca="1" si="193"/>
        <v>0 WEEK</v>
      </c>
      <c r="Y652" s="794">
        <f t="shared" si="202"/>
        <v>0</v>
      </c>
      <c r="Z652" s="541" cm="1">
        <f t="array" aca="1" ref="Z652" ca="1">_xlfn.IFS(AD652&lt;100,Y652,Y652&lt;TODAY(),TODAY(),Y652&gt;TODAY(),Y652,Y652=TODAY(),Y652)</f>
        <v>0</v>
      </c>
      <c r="AD652" s="298">
        <f t="shared" si="205"/>
        <v>0</v>
      </c>
      <c r="AE652" s="299" t="str">
        <f t="shared" si="206"/>
        <v>Complete</v>
      </c>
      <c r="AI652" s="301">
        <f t="shared" ca="1" si="203"/>
        <v>0</v>
      </c>
      <c r="AJ652" s="302">
        <f t="shared" ca="1" si="204"/>
        <v>0</v>
      </c>
      <c r="AL652" s="303">
        <f t="shared" si="207"/>
        <v>0</v>
      </c>
      <c r="AM652" s="303">
        <f t="shared" si="208"/>
        <v>0</v>
      </c>
      <c r="AN652" s="303">
        <f t="shared" si="209"/>
        <v>0</v>
      </c>
      <c r="AO652" s="304">
        <f t="shared" si="210"/>
        <v>0</v>
      </c>
      <c r="AP652" s="273">
        <f t="shared" si="212"/>
        <v>1</v>
      </c>
      <c r="AQ652" s="273" t="str">
        <f t="shared" si="211"/>
        <v>1</v>
      </c>
    </row>
    <row r="653" spans="1:43">
      <c r="B653" s="273" t="s">
        <v>2263</v>
      </c>
      <c r="P653" s="794">
        <v>45639</v>
      </c>
      <c r="Q653" s="913" t="s">
        <v>3765</v>
      </c>
      <c r="R653" s="916">
        <v>865665</v>
      </c>
      <c r="V653" s="340">
        <f t="shared" ref="V653" ca="1" si="213">MONTH(Z653)</f>
        <v>12</v>
      </c>
      <c r="W653" s="594">
        <f t="shared" ref="W653" ca="1" si="214">YEAR(Z653)</f>
        <v>2024</v>
      </c>
      <c r="X653" s="340" t="str">
        <f t="shared" ca="1" si="193"/>
        <v>2 WEEK</v>
      </c>
      <c r="Y653" s="794">
        <f t="shared" si="202"/>
        <v>45639</v>
      </c>
      <c r="Z653" s="541" cm="1">
        <f t="array" aca="1" ref="Z653" ca="1">_xlfn.IFS(AD653&lt;100,Y653,Y653&lt;TODAY(),TODAY(),Y653&gt;TODAY(),Y653,Y653=TODAY(),Y653)</f>
        <v>45639</v>
      </c>
      <c r="AB653" s="307">
        <v>0</v>
      </c>
      <c r="AD653" s="298">
        <f t="shared" si="205"/>
        <v>0</v>
      </c>
      <c r="AE653" s="299" t="str">
        <f t="shared" si="206"/>
        <v>Complete</v>
      </c>
      <c r="AI653" s="301">
        <f t="shared" ca="1" si="203"/>
        <v>0</v>
      </c>
      <c r="AJ653" s="302">
        <f t="shared" ca="1" si="204"/>
        <v>0</v>
      </c>
      <c r="AL653" s="303">
        <f t="shared" si="207"/>
        <v>0</v>
      </c>
      <c r="AM653" s="303">
        <f t="shared" si="208"/>
        <v>-865665</v>
      </c>
      <c r="AN653" s="303">
        <f t="shared" si="209"/>
        <v>865665</v>
      </c>
      <c r="AO653" s="304">
        <f t="shared" si="210"/>
        <v>0</v>
      </c>
      <c r="AP653" s="273">
        <f t="shared" si="212"/>
        <v>12</v>
      </c>
      <c r="AQ653" s="273" t="str">
        <f t="shared" ca="1" si="211"/>
        <v>122024</v>
      </c>
    </row>
    <row r="654" spans="1:43">
      <c r="B654" s="273" t="s">
        <v>2263</v>
      </c>
      <c r="P654" s="794">
        <v>45640</v>
      </c>
      <c r="Q654" s="913" t="s">
        <v>3766</v>
      </c>
      <c r="R654" s="916">
        <v>-192370</v>
      </c>
      <c r="V654" s="340"/>
      <c r="W654" s="594"/>
      <c r="X654" s="340" t="str">
        <f t="shared" ca="1" si="193"/>
        <v>2 WEEK</v>
      </c>
      <c r="Y654" s="794">
        <f t="shared" si="202"/>
        <v>45640</v>
      </c>
      <c r="Z654" s="541" cm="1">
        <f t="array" aca="1" ref="Z654" ca="1">_xlfn.IFS(AD654&lt;100,Y654,Y654&lt;TODAY(),TODAY(),Y654&gt;TODAY(),Y654,Y654=TODAY(),Y654)</f>
        <v>45640</v>
      </c>
      <c r="AD654" s="298">
        <f t="shared" si="205"/>
        <v>0</v>
      </c>
      <c r="AE654" s="299" t="str">
        <f t="shared" si="206"/>
        <v>Complete</v>
      </c>
      <c r="AI654" s="301">
        <f t="shared" ca="1" si="203"/>
        <v>0</v>
      </c>
      <c r="AJ654" s="302">
        <f t="shared" ca="1" si="204"/>
        <v>0</v>
      </c>
      <c r="AL654" s="303">
        <f t="shared" si="207"/>
        <v>0</v>
      </c>
      <c r="AM654" s="303">
        <f t="shared" si="208"/>
        <v>192370</v>
      </c>
      <c r="AN654" s="303">
        <f t="shared" si="209"/>
        <v>-192370</v>
      </c>
      <c r="AO654" s="304">
        <f t="shared" si="210"/>
        <v>0</v>
      </c>
      <c r="AP654" s="273">
        <f t="shared" si="212"/>
        <v>12</v>
      </c>
      <c r="AQ654" s="273" t="str">
        <f t="shared" si="211"/>
        <v>12</v>
      </c>
    </row>
    <row r="655" spans="1:43">
      <c r="B655" s="273" t="s">
        <v>2263</v>
      </c>
      <c r="P655" s="794">
        <v>45649</v>
      </c>
      <c r="Q655" s="913" t="s">
        <v>3767</v>
      </c>
      <c r="R655" s="916">
        <v>669804</v>
      </c>
      <c r="V655" s="340"/>
      <c r="W655" s="594"/>
      <c r="X655" s="340" t="str">
        <f t="shared" ca="1" si="193"/>
        <v>4 WEEK</v>
      </c>
      <c r="Y655" s="794">
        <f t="shared" si="202"/>
        <v>45649</v>
      </c>
      <c r="Z655" s="541" cm="1">
        <f t="array" aca="1" ref="Z655" ca="1">_xlfn.IFS(AD655&lt;100,Y655,Y655&lt;TODAY(),TODAY(),Y655&gt;TODAY(),Y655,Y655=TODAY(),Y655)</f>
        <v>45649</v>
      </c>
      <c r="AD655" s="298">
        <f t="shared" si="205"/>
        <v>0</v>
      </c>
      <c r="AE655" s="299" t="str">
        <f t="shared" si="206"/>
        <v>Complete</v>
      </c>
      <c r="AI655" s="301">
        <f t="shared" ca="1" si="203"/>
        <v>0</v>
      </c>
      <c r="AJ655" s="302">
        <f t="shared" ca="1" si="204"/>
        <v>0</v>
      </c>
      <c r="AL655" s="303">
        <f t="shared" si="207"/>
        <v>0</v>
      </c>
      <c r="AM655" s="303">
        <f t="shared" si="208"/>
        <v>-669804</v>
      </c>
      <c r="AN655" s="303">
        <f t="shared" si="209"/>
        <v>669804</v>
      </c>
      <c r="AO655" s="304">
        <f t="shared" si="210"/>
        <v>0</v>
      </c>
      <c r="AP655" s="273">
        <f t="shared" si="212"/>
        <v>12</v>
      </c>
      <c r="AQ655" s="273" t="str">
        <f t="shared" si="211"/>
        <v>12</v>
      </c>
    </row>
    <row r="656" spans="1:43">
      <c r="B656" s="273" t="s">
        <v>2263</v>
      </c>
      <c r="P656" s="794">
        <v>45666</v>
      </c>
      <c r="Q656" s="913" t="s">
        <v>3768</v>
      </c>
      <c r="R656" s="916">
        <v>1331375</v>
      </c>
      <c r="V656" s="340"/>
      <c r="W656" s="594"/>
      <c r="X656" s="340" t="str">
        <f t="shared" ca="1" si="193"/>
        <v>2 WEEK</v>
      </c>
      <c r="Y656" s="794">
        <f t="shared" si="202"/>
        <v>45666</v>
      </c>
      <c r="Z656" s="541" cm="1">
        <f t="array" aca="1" ref="Z656" ca="1">_xlfn.IFS(AD656&lt;100,Y656,Y656&lt;TODAY(),TODAY(),Y656&gt;TODAY(),Y656,Y656=TODAY(),Y656)</f>
        <v>45666</v>
      </c>
      <c r="AD656" s="298">
        <f t="shared" si="205"/>
        <v>0</v>
      </c>
      <c r="AE656" s="299" t="str">
        <f t="shared" si="206"/>
        <v>Complete</v>
      </c>
      <c r="AI656" s="301">
        <f t="shared" ca="1" si="203"/>
        <v>0</v>
      </c>
      <c r="AJ656" s="302">
        <f t="shared" ca="1" si="204"/>
        <v>0</v>
      </c>
      <c r="AL656" s="303">
        <f t="shared" si="207"/>
        <v>0</v>
      </c>
      <c r="AM656" s="303">
        <f t="shared" si="208"/>
        <v>-1331375</v>
      </c>
      <c r="AN656" s="303">
        <f t="shared" si="209"/>
        <v>1331375</v>
      </c>
      <c r="AO656" s="304">
        <f t="shared" si="210"/>
        <v>0</v>
      </c>
      <c r="AP656" s="273">
        <f t="shared" si="212"/>
        <v>1</v>
      </c>
      <c r="AQ656" s="273" t="str">
        <f t="shared" si="211"/>
        <v>1</v>
      </c>
    </row>
    <row r="657" spans="1:43">
      <c r="B657" s="273" t="s">
        <v>2263</v>
      </c>
      <c r="P657" s="794">
        <v>45666</v>
      </c>
      <c r="Q657" s="913" t="s">
        <v>3769</v>
      </c>
      <c r="R657" s="916">
        <v>1545216</v>
      </c>
      <c r="V657" s="340"/>
      <c r="W657" s="594"/>
      <c r="X657" s="340" t="str">
        <f t="shared" ca="1" si="193"/>
        <v>2 WEEK</v>
      </c>
      <c r="Y657" s="794">
        <f t="shared" si="202"/>
        <v>45666</v>
      </c>
      <c r="Z657" s="541" cm="1">
        <f t="array" aca="1" ref="Z657" ca="1">_xlfn.IFS(AD657&lt;100,Y657,Y657&lt;TODAY(),TODAY(),Y657&gt;TODAY(),Y657,Y657=TODAY(),Y657)</f>
        <v>45666</v>
      </c>
      <c r="AD657" s="298">
        <f t="shared" si="205"/>
        <v>0</v>
      </c>
      <c r="AE657" s="299" t="str">
        <f t="shared" si="206"/>
        <v>Complete</v>
      </c>
      <c r="AI657" s="301">
        <f t="shared" ca="1" si="203"/>
        <v>0</v>
      </c>
      <c r="AJ657" s="302">
        <f t="shared" ca="1" si="204"/>
        <v>0</v>
      </c>
      <c r="AL657" s="303">
        <f t="shared" si="207"/>
        <v>0</v>
      </c>
      <c r="AM657" s="303">
        <f t="shared" si="208"/>
        <v>-1545216</v>
      </c>
      <c r="AN657" s="303">
        <f t="shared" si="209"/>
        <v>1545216</v>
      </c>
      <c r="AO657" s="304">
        <f t="shared" si="210"/>
        <v>0</v>
      </c>
      <c r="AP657" s="273">
        <f t="shared" si="212"/>
        <v>1</v>
      </c>
      <c r="AQ657" s="273" t="str">
        <f t="shared" si="211"/>
        <v>1</v>
      </c>
    </row>
    <row r="658" spans="1:43">
      <c r="B658" s="273" t="s">
        <v>2263</v>
      </c>
      <c r="P658" s="794">
        <v>45675</v>
      </c>
      <c r="Q658" s="913" t="s">
        <v>3770</v>
      </c>
      <c r="R658" s="916">
        <v>14348436</v>
      </c>
      <c r="V658" s="340"/>
      <c r="W658" s="594"/>
      <c r="X658" s="340" t="str">
        <f t="shared" ca="1" si="193"/>
        <v>3 WEEK</v>
      </c>
      <c r="Y658" s="794">
        <f t="shared" si="202"/>
        <v>45675</v>
      </c>
      <c r="Z658" s="541" cm="1">
        <f t="array" aca="1" ref="Z658" ca="1">_xlfn.IFS(AD658&lt;100,Y658,Y658&lt;TODAY(),TODAY(),Y658&gt;TODAY(),Y658,Y658=TODAY(),Y658)</f>
        <v>45675</v>
      </c>
      <c r="AD658" s="298">
        <f t="shared" si="205"/>
        <v>0</v>
      </c>
      <c r="AE658" s="299" t="str">
        <f t="shared" si="206"/>
        <v>Complete</v>
      </c>
      <c r="AI658" s="301">
        <f t="shared" ca="1" si="203"/>
        <v>0</v>
      </c>
      <c r="AJ658" s="302">
        <f t="shared" ca="1" si="204"/>
        <v>0</v>
      </c>
      <c r="AL658" s="303">
        <f t="shared" si="207"/>
        <v>0</v>
      </c>
      <c r="AM658" s="303">
        <f t="shared" si="208"/>
        <v>-14348436</v>
      </c>
      <c r="AN658" s="303">
        <f t="shared" si="209"/>
        <v>14348436</v>
      </c>
      <c r="AO658" s="304">
        <f t="shared" si="210"/>
        <v>0</v>
      </c>
      <c r="AP658" s="273">
        <f t="shared" si="212"/>
        <v>1</v>
      </c>
      <c r="AQ658" s="273" t="str">
        <f t="shared" si="211"/>
        <v>1</v>
      </c>
    </row>
    <row r="659" spans="1:43">
      <c r="B659" s="273" t="s">
        <v>2263</v>
      </c>
      <c r="P659" s="794">
        <v>45675</v>
      </c>
      <c r="Q659" s="913" t="s">
        <v>3771</v>
      </c>
      <c r="R659" s="916">
        <v>12362765</v>
      </c>
      <c r="V659" s="340"/>
      <c r="W659" s="594"/>
      <c r="X659" s="340" t="str">
        <f t="shared" ca="1" si="193"/>
        <v>3 WEEK</v>
      </c>
      <c r="Y659" s="794">
        <f t="shared" si="202"/>
        <v>45675</v>
      </c>
      <c r="Z659" s="541" cm="1">
        <f t="array" aca="1" ref="Z659" ca="1">_xlfn.IFS(AD659&lt;100,Y659,Y659&lt;TODAY(),TODAY(),Y659&gt;TODAY(),Y659,Y659=TODAY(),Y659)</f>
        <v>45675</v>
      </c>
      <c r="AD659" s="298">
        <f t="shared" si="205"/>
        <v>0</v>
      </c>
      <c r="AE659" s="299" t="str">
        <f t="shared" si="206"/>
        <v>Complete</v>
      </c>
      <c r="AI659" s="301">
        <f t="shared" ca="1" si="203"/>
        <v>0</v>
      </c>
      <c r="AJ659" s="302">
        <f t="shared" ca="1" si="204"/>
        <v>0</v>
      </c>
      <c r="AL659" s="303">
        <f t="shared" si="207"/>
        <v>0</v>
      </c>
      <c r="AM659" s="303">
        <f t="shared" si="208"/>
        <v>-12362765</v>
      </c>
      <c r="AN659" s="303">
        <f t="shared" si="209"/>
        <v>12362765</v>
      </c>
      <c r="AO659" s="304">
        <f t="shared" si="210"/>
        <v>0</v>
      </c>
      <c r="AP659" s="273">
        <f t="shared" si="212"/>
        <v>1</v>
      </c>
      <c r="AQ659" s="273" t="str">
        <f t="shared" si="211"/>
        <v>1</v>
      </c>
    </row>
    <row r="660" spans="1:43">
      <c r="B660" s="273" t="s">
        <v>2263</v>
      </c>
      <c r="P660" s="794">
        <v>45678</v>
      </c>
      <c r="Q660" s="913" t="s">
        <v>3772</v>
      </c>
      <c r="R660" s="916">
        <v>55817</v>
      </c>
      <c r="V660" s="340"/>
      <c r="W660" s="594"/>
      <c r="X660" s="340" t="str">
        <f t="shared" ca="1" si="193"/>
        <v>3 WEEK</v>
      </c>
      <c r="Y660" s="794">
        <f t="shared" si="202"/>
        <v>45678</v>
      </c>
      <c r="Z660" s="541" cm="1">
        <f t="array" aca="1" ref="Z660" ca="1">_xlfn.IFS(AD660&lt;100,Y660,Y660&lt;TODAY(),TODAY(),Y660&gt;TODAY(),Y660,Y660=TODAY(),Y660)</f>
        <v>45678</v>
      </c>
      <c r="AD660" s="298">
        <f t="shared" si="205"/>
        <v>0</v>
      </c>
      <c r="AE660" s="299" t="str">
        <f t="shared" si="206"/>
        <v>Complete</v>
      </c>
      <c r="AI660" s="301">
        <f t="shared" ca="1" si="203"/>
        <v>0</v>
      </c>
      <c r="AJ660" s="302">
        <f t="shared" ca="1" si="204"/>
        <v>0</v>
      </c>
      <c r="AL660" s="303">
        <f t="shared" si="207"/>
        <v>0</v>
      </c>
      <c r="AM660" s="303">
        <f t="shared" si="208"/>
        <v>-55817</v>
      </c>
      <c r="AN660" s="303">
        <f t="shared" si="209"/>
        <v>55817</v>
      </c>
      <c r="AO660" s="304">
        <f t="shared" si="210"/>
        <v>0</v>
      </c>
      <c r="AP660" s="273">
        <f t="shared" si="212"/>
        <v>1</v>
      </c>
      <c r="AQ660" s="273" t="str">
        <f t="shared" si="211"/>
        <v>1</v>
      </c>
    </row>
    <row r="661" spans="1:43">
      <c r="B661" s="273" t="s">
        <v>2263</v>
      </c>
      <c r="P661" s="794">
        <v>45678</v>
      </c>
      <c r="Q661" s="913" t="s">
        <v>3773</v>
      </c>
      <c r="R661" s="916">
        <v>48093</v>
      </c>
      <c r="V661" s="340"/>
      <c r="W661" s="594"/>
      <c r="X661" s="340" t="str">
        <f t="shared" ca="1" si="193"/>
        <v>3 WEEK</v>
      </c>
      <c r="Y661" s="794">
        <f t="shared" si="202"/>
        <v>45678</v>
      </c>
      <c r="Z661" s="541" cm="1">
        <f t="array" aca="1" ref="Z661" ca="1">_xlfn.IFS(AD661&lt;100,Y661,Y661&lt;TODAY(),TODAY(),Y661&gt;TODAY(),Y661,Y661=TODAY(),Y661)</f>
        <v>45678</v>
      </c>
      <c r="AD661" s="298">
        <f t="shared" si="205"/>
        <v>0</v>
      </c>
      <c r="AE661" s="299" t="str">
        <f t="shared" si="206"/>
        <v>Complete</v>
      </c>
      <c r="AI661" s="301">
        <f t="shared" ca="1" si="203"/>
        <v>0</v>
      </c>
      <c r="AJ661" s="302">
        <f t="shared" ca="1" si="204"/>
        <v>0</v>
      </c>
      <c r="AL661" s="303">
        <f t="shared" si="207"/>
        <v>0</v>
      </c>
      <c r="AM661" s="303">
        <f t="shared" si="208"/>
        <v>-48093</v>
      </c>
      <c r="AN661" s="303">
        <f t="shared" si="209"/>
        <v>48093</v>
      </c>
      <c r="AO661" s="304">
        <f t="shared" si="210"/>
        <v>0</v>
      </c>
      <c r="AP661" s="273">
        <f t="shared" si="212"/>
        <v>1</v>
      </c>
      <c r="AQ661" s="273" t="str">
        <f t="shared" si="211"/>
        <v>1</v>
      </c>
    </row>
    <row r="662" spans="1:43">
      <c r="B662" s="273" t="s">
        <v>2263</v>
      </c>
      <c r="P662" s="794">
        <v>45685</v>
      </c>
      <c r="Q662" s="913" t="s">
        <v>3774</v>
      </c>
      <c r="R662" s="916">
        <v>55817</v>
      </c>
      <c r="V662" s="340"/>
      <c r="W662" s="594"/>
      <c r="X662" s="340" t="str">
        <f t="shared" ca="1" si="193"/>
        <v>4 WEEK</v>
      </c>
      <c r="Y662" s="794">
        <f t="shared" si="202"/>
        <v>45685</v>
      </c>
      <c r="Z662" s="541" cm="1">
        <f t="array" aca="1" ref="Z662" ca="1">_xlfn.IFS(AD662&lt;100,Y662,Y662&lt;TODAY(),TODAY(),Y662&gt;TODAY(),Y662,Y662=TODAY(),Y662)</f>
        <v>45685</v>
      </c>
      <c r="AD662" s="298">
        <f t="shared" si="205"/>
        <v>0</v>
      </c>
      <c r="AE662" s="299" t="str">
        <f t="shared" si="206"/>
        <v>Complete</v>
      </c>
      <c r="AI662" s="301">
        <f t="shared" ca="1" si="203"/>
        <v>0</v>
      </c>
      <c r="AJ662" s="302">
        <f t="shared" ca="1" si="204"/>
        <v>0</v>
      </c>
      <c r="AL662" s="303">
        <f t="shared" si="207"/>
        <v>0</v>
      </c>
      <c r="AM662" s="303">
        <f t="shared" si="208"/>
        <v>-55817</v>
      </c>
      <c r="AN662" s="303">
        <f t="shared" si="209"/>
        <v>55817</v>
      </c>
      <c r="AO662" s="304">
        <f t="shared" si="210"/>
        <v>0</v>
      </c>
      <c r="AP662" s="273">
        <f t="shared" si="212"/>
        <v>1</v>
      </c>
      <c r="AQ662" s="273" t="str">
        <f t="shared" si="211"/>
        <v>1</v>
      </c>
    </row>
    <row r="663" spans="1:43">
      <c r="B663" s="273" t="s">
        <v>2263</v>
      </c>
      <c r="P663" s="794">
        <v>45693</v>
      </c>
      <c r="Q663" s="913" t="s">
        <v>3775</v>
      </c>
      <c r="R663" s="916">
        <v>-573937</v>
      </c>
      <c r="V663" s="340"/>
      <c r="W663" s="594"/>
      <c r="X663" s="340" t="str">
        <f t="shared" ca="1" si="193"/>
        <v>1 WEEK</v>
      </c>
      <c r="Y663" s="794">
        <f t="shared" si="202"/>
        <v>45693</v>
      </c>
      <c r="Z663" s="541" cm="1">
        <f t="array" aca="1" ref="Z663" ca="1">_xlfn.IFS(AD663&lt;100,Y663,Y663&lt;TODAY(),TODAY(),Y663&gt;TODAY(),Y663,Y663=TODAY(),Y663)</f>
        <v>45693</v>
      </c>
      <c r="AD663" s="298">
        <f t="shared" si="205"/>
        <v>0</v>
      </c>
      <c r="AE663" s="299" t="str">
        <f t="shared" si="206"/>
        <v>Complete</v>
      </c>
      <c r="AI663" s="301">
        <f t="shared" ca="1" si="203"/>
        <v>0</v>
      </c>
      <c r="AJ663" s="302">
        <f t="shared" ca="1" si="204"/>
        <v>0</v>
      </c>
      <c r="AL663" s="303">
        <f t="shared" si="207"/>
        <v>0</v>
      </c>
      <c r="AM663" s="303">
        <f t="shared" si="208"/>
        <v>573937</v>
      </c>
      <c r="AN663" s="303">
        <f t="shared" si="209"/>
        <v>-573937</v>
      </c>
      <c r="AO663" s="304">
        <f t="shared" si="210"/>
        <v>0</v>
      </c>
      <c r="AP663" s="273">
        <f t="shared" si="212"/>
        <v>2</v>
      </c>
      <c r="AQ663" s="273" t="str">
        <f t="shared" si="211"/>
        <v>2</v>
      </c>
    </row>
    <row r="664" spans="1:43">
      <c r="B664" s="273" t="s">
        <v>2263</v>
      </c>
      <c r="P664" s="794">
        <v>45693</v>
      </c>
      <c r="Q664" s="913" t="s">
        <v>3776</v>
      </c>
      <c r="R664" s="916">
        <v>573937</v>
      </c>
      <c r="V664" s="340"/>
      <c r="W664" s="594"/>
      <c r="X664" s="340" t="str">
        <f t="shared" ca="1" si="193"/>
        <v>1 WEEK</v>
      </c>
      <c r="Y664" s="794">
        <f t="shared" si="202"/>
        <v>45693</v>
      </c>
      <c r="Z664" s="541" cm="1">
        <f t="array" aca="1" ref="Z664" ca="1">_xlfn.IFS(AD664&lt;100,Y664,Y664&lt;TODAY(),TODAY(),Y664&gt;TODAY(),Y664,Y664=TODAY(),Y664)</f>
        <v>45693</v>
      </c>
      <c r="AD664" s="298">
        <f t="shared" si="205"/>
        <v>0</v>
      </c>
      <c r="AE664" s="299" t="str">
        <f t="shared" si="206"/>
        <v>Complete</v>
      </c>
      <c r="AI664" s="301">
        <f t="shared" ca="1" si="203"/>
        <v>0</v>
      </c>
      <c r="AJ664" s="302">
        <f t="shared" ca="1" si="204"/>
        <v>0</v>
      </c>
      <c r="AL664" s="303">
        <f t="shared" si="207"/>
        <v>0</v>
      </c>
      <c r="AM664" s="303">
        <f t="shared" si="208"/>
        <v>-573937</v>
      </c>
      <c r="AN664" s="303">
        <f t="shared" si="209"/>
        <v>573937</v>
      </c>
      <c r="AO664" s="304">
        <f t="shared" si="210"/>
        <v>0</v>
      </c>
      <c r="AP664" s="273">
        <f t="shared" si="212"/>
        <v>2</v>
      </c>
      <c r="AQ664" s="273" t="str">
        <f t="shared" si="211"/>
        <v>2</v>
      </c>
    </row>
    <row r="665" spans="1:43">
      <c r="B665" s="273" t="s">
        <v>2263</v>
      </c>
      <c r="P665" s="794">
        <v>45707</v>
      </c>
      <c r="Q665" s="913" t="s">
        <v>3777</v>
      </c>
      <c r="R665" s="916">
        <v>4889406</v>
      </c>
      <c r="V665" s="340"/>
      <c r="W665" s="594"/>
      <c r="X665" s="340" t="str">
        <f t="shared" ca="1" si="193"/>
        <v>3 WEEK</v>
      </c>
      <c r="Y665" s="794">
        <f t="shared" si="202"/>
        <v>45707</v>
      </c>
      <c r="Z665" s="541" cm="1">
        <f t="array" aca="1" ref="Z665" ca="1">_xlfn.IFS(AD665&lt;100,Y665,Y665&lt;TODAY(),TODAY(),Y665&gt;TODAY(),Y665,Y665=TODAY(),Y665)</f>
        <v>45707</v>
      </c>
      <c r="AD665" s="298">
        <f t="shared" si="205"/>
        <v>0</v>
      </c>
      <c r="AE665" s="299" t="str">
        <f t="shared" si="206"/>
        <v>Complete</v>
      </c>
      <c r="AI665" s="301">
        <f t="shared" ca="1" si="203"/>
        <v>0</v>
      </c>
      <c r="AJ665" s="302">
        <f t="shared" ca="1" si="204"/>
        <v>0</v>
      </c>
      <c r="AL665" s="303">
        <f t="shared" si="207"/>
        <v>0</v>
      </c>
      <c r="AM665" s="303">
        <f t="shared" si="208"/>
        <v>-4889406</v>
      </c>
      <c r="AN665" s="303">
        <f t="shared" si="209"/>
        <v>4889406</v>
      </c>
      <c r="AO665" s="304">
        <f t="shared" si="210"/>
        <v>0</v>
      </c>
      <c r="AP665" s="273">
        <f t="shared" si="212"/>
        <v>2</v>
      </c>
      <c r="AQ665" s="273" t="str">
        <f t="shared" si="211"/>
        <v>2</v>
      </c>
    </row>
    <row r="666" spans="1:43">
      <c r="B666" s="273" t="s">
        <v>2263</v>
      </c>
      <c r="P666" s="794">
        <v>45745</v>
      </c>
      <c r="Q666" s="913" t="s">
        <v>3778</v>
      </c>
      <c r="R666" s="916">
        <v>5730545</v>
      </c>
      <c r="V666" s="340"/>
      <c r="W666" s="594"/>
      <c r="X666" s="340" t="str">
        <f t="shared" ca="1" si="193"/>
        <v>5 WEEK</v>
      </c>
      <c r="Y666" s="794">
        <f t="shared" si="202"/>
        <v>45745</v>
      </c>
      <c r="Z666" s="541" cm="1">
        <f t="array" aca="1" ref="Z666" ca="1">_xlfn.IFS(AD666&lt;100,Y666,Y666&lt;TODAY(),TODAY(),Y666&gt;TODAY(),Y666,Y666=TODAY(),Y666)</f>
        <v>45745</v>
      </c>
      <c r="AD666" s="298">
        <f t="shared" si="205"/>
        <v>0</v>
      </c>
      <c r="AE666" s="299" t="str">
        <f t="shared" si="206"/>
        <v>Complete</v>
      </c>
      <c r="AI666" s="301">
        <f t="shared" ca="1" si="203"/>
        <v>0</v>
      </c>
      <c r="AJ666" s="302">
        <f t="shared" ca="1" si="204"/>
        <v>0</v>
      </c>
      <c r="AL666" s="303">
        <f t="shared" si="207"/>
        <v>0</v>
      </c>
      <c r="AM666" s="303">
        <f t="shared" si="208"/>
        <v>-5730545</v>
      </c>
      <c r="AN666" s="303">
        <f t="shared" si="209"/>
        <v>5730545</v>
      </c>
      <c r="AO666" s="304">
        <f t="shared" si="210"/>
        <v>0</v>
      </c>
      <c r="AP666" s="273">
        <f t="shared" si="212"/>
        <v>3</v>
      </c>
      <c r="AQ666" s="273" t="str">
        <f t="shared" si="211"/>
        <v>3</v>
      </c>
    </row>
    <row r="667" spans="1:43">
      <c r="B667" s="273" t="s">
        <v>2263</v>
      </c>
      <c r="P667" s="794"/>
      <c r="Q667" s="913"/>
      <c r="R667" s="916"/>
      <c r="V667" s="340"/>
      <c r="W667" s="594"/>
      <c r="X667" s="340" t="str">
        <f t="shared" ca="1" si="193"/>
        <v>0 WEEK</v>
      </c>
      <c r="Y667" s="794">
        <f t="shared" si="202"/>
        <v>0</v>
      </c>
      <c r="Z667" s="541" cm="1">
        <f t="array" aca="1" ref="Z667" ca="1">_xlfn.IFS(AD667&lt;100,Y667,Y667&lt;TODAY(),TODAY(),Y667&gt;TODAY(),Y667,Y667=TODAY(),Y667)</f>
        <v>0</v>
      </c>
      <c r="AD667" s="298">
        <f t="shared" si="205"/>
        <v>0</v>
      </c>
      <c r="AE667" s="299" t="str">
        <f t="shared" si="206"/>
        <v>Complete</v>
      </c>
      <c r="AI667" s="301">
        <f t="shared" ca="1" si="203"/>
        <v>0</v>
      </c>
      <c r="AJ667" s="302">
        <f t="shared" ca="1" si="204"/>
        <v>0</v>
      </c>
      <c r="AL667" s="303">
        <f t="shared" si="207"/>
        <v>0</v>
      </c>
      <c r="AM667" s="303">
        <f t="shared" si="208"/>
        <v>0</v>
      </c>
      <c r="AN667" s="303">
        <f t="shared" si="209"/>
        <v>0</v>
      </c>
      <c r="AO667" s="304">
        <f t="shared" si="210"/>
        <v>0</v>
      </c>
      <c r="AP667" s="273">
        <f t="shared" si="212"/>
        <v>1</v>
      </c>
      <c r="AQ667" s="273" t="str">
        <f t="shared" si="211"/>
        <v>1</v>
      </c>
    </row>
    <row r="668" spans="1:43">
      <c r="P668" s="794"/>
      <c r="Q668" s="913"/>
      <c r="R668" s="916"/>
      <c r="V668" s="340"/>
      <c r="W668" s="594"/>
      <c r="X668" s="340" t="str">
        <f t="shared" ca="1" si="193"/>
        <v>0 WEEK</v>
      </c>
      <c r="Y668" s="794">
        <f t="shared" si="202"/>
        <v>0</v>
      </c>
      <c r="Z668" s="541" cm="1">
        <f t="array" aca="1" ref="Z668" ca="1">_xlfn.IFS(AD668&lt;100,Y668,Y668&lt;TODAY(),TODAY(),Y668&gt;TODAY(),Y668,Y668=TODAY(),Y668)</f>
        <v>0</v>
      </c>
      <c r="AD668" s="298">
        <f t="shared" si="205"/>
        <v>0</v>
      </c>
      <c r="AE668" s="299" t="str">
        <f t="shared" si="206"/>
        <v>Complete</v>
      </c>
      <c r="AI668" s="301">
        <f t="shared" ca="1" si="203"/>
        <v>0</v>
      </c>
      <c r="AJ668" s="302">
        <f t="shared" ca="1" si="204"/>
        <v>0</v>
      </c>
      <c r="AL668" s="303">
        <f t="shared" si="207"/>
        <v>0</v>
      </c>
      <c r="AM668" s="303">
        <f t="shared" si="208"/>
        <v>0</v>
      </c>
      <c r="AN668" s="303">
        <f t="shared" si="209"/>
        <v>0</v>
      </c>
      <c r="AO668" s="304">
        <f t="shared" si="210"/>
        <v>0</v>
      </c>
      <c r="AP668" s="273">
        <f t="shared" si="212"/>
        <v>1</v>
      </c>
      <c r="AQ668" s="273" t="str">
        <f t="shared" si="211"/>
        <v>1</v>
      </c>
    </row>
    <row r="669" spans="1:43" ht="18">
      <c r="A669" s="312">
        <f>A653+1</f>
        <v>1</v>
      </c>
      <c r="B669" s="702" t="s">
        <v>2264</v>
      </c>
      <c r="P669" s="447"/>
      <c r="R669" s="741" t="e">
        <v>#VALUE!</v>
      </c>
      <c r="V669" s="340"/>
      <c r="W669" s="594"/>
      <c r="X669" s="340" t="str">
        <f t="shared" ca="1" si="193"/>
        <v>0 WEEK</v>
      </c>
      <c r="Y669" s="794">
        <f t="shared" si="202"/>
        <v>0</v>
      </c>
      <c r="Z669" s="541" cm="1">
        <f t="array" aca="1" ref="Z669" ca="1">_xlfn.IFS(AD669&lt;100,Y669,Y669&lt;TODAY(),TODAY(),Y669&gt;TODAY(),Y669,Y669=TODAY(),Y669)</f>
        <v>0</v>
      </c>
      <c r="AD669" s="298">
        <f t="shared" si="205"/>
        <v>0</v>
      </c>
      <c r="AE669" s="299" t="str">
        <f t="shared" si="206"/>
        <v>Complete</v>
      </c>
      <c r="AI669" s="301">
        <f t="shared" ca="1" si="203"/>
        <v>0</v>
      </c>
      <c r="AJ669" s="302">
        <f t="shared" ca="1" si="204"/>
        <v>0</v>
      </c>
      <c r="AL669" s="303">
        <f t="shared" si="207"/>
        <v>0</v>
      </c>
      <c r="AM669" s="303">
        <f t="shared" si="208"/>
        <v>0</v>
      </c>
      <c r="AN669" s="303">
        <f t="shared" si="209"/>
        <v>0</v>
      </c>
      <c r="AO669" s="304">
        <f t="shared" si="210"/>
        <v>0</v>
      </c>
      <c r="AP669" s="273">
        <f t="shared" si="212"/>
        <v>1</v>
      </c>
      <c r="AQ669" s="273" t="str">
        <f t="shared" si="211"/>
        <v>1</v>
      </c>
    </row>
    <row r="670" spans="1:43" ht="15.75">
      <c r="B670" s="702" t="s">
        <v>2264</v>
      </c>
      <c r="C670" s="273" t="s">
        <v>2265</v>
      </c>
      <c r="D670" t="s">
        <v>2266</v>
      </c>
      <c r="E670" s="440">
        <v>44983</v>
      </c>
      <c r="M670" t="s">
        <v>2267</v>
      </c>
      <c r="P670" s="794">
        <v>45136</v>
      </c>
      <c r="Q670" s="913" t="s">
        <v>3797</v>
      </c>
      <c r="R670" s="916">
        <v>16684734</v>
      </c>
      <c r="V670" s="340">
        <f t="shared" ref="V670" ca="1" si="215">MONTH(Z670)</f>
        <v>7</v>
      </c>
      <c r="W670" s="594">
        <f t="shared" ref="W670" ca="1" si="216">YEAR(Z670)</f>
        <v>2023</v>
      </c>
      <c r="X670" s="340" t="str">
        <f t="shared" ca="1" si="193"/>
        <v>5 WEEK</v>
      </c>
      <c r="Y670" s="794">
        <f t="shared" si="202"/>
        <v>45136</v>
      </c>
      <c r="Z670" s="541" cm="1">
        <f t="array" aca="1" ref="Z670" ca="1">_xlfn.IFS(AD670&lt;100,Y670,Y670&lt;TODAY(),TODAY(),Y670&gt;TODAY(),Y670,Y670=TODAY(),Y670)</f>
        <v>45136</v>
      </c>
      <c r="AB670" s="307">
        <v>0</v>
      </c>
      <c r="AD670" s="298">
        <f t="shared" si="205"/>
        <v>0</v>
      </c>
      <c r="AE670" s="299" t="str">
        <f t="shared" si="206"/>
        <v>Complete</v>
      </c>
      <c r="AI670" s="301">
        <f t="shared" ca="1" si="203"/>
        <v>0</v>
      </c>
      <c r="AJ670" s="302">
        <f t="shared" ca="1" si="204"/>
        <v>0</v>
      </c>
      <c r="AL670" s="303">
        <f t="shared" si="207"/>
        <v>0</v>
      </c>
      <c r="AM670" s="303">
        <f t="shared" si="208"/>
        <v>-16684734</v>
      </c>
      <c r="AN670" s="303">
        <f t="shared" si="209"/>
        <v>16684734</v>
      </c>
      <c r="AO670" s="304">
        <f t="shared" si="210"/>
        <v>0</v>
      </c>
      <c r="AP670" s="273">
        <f t="shared" si="212"/>
        <v>7</v>
      </c>
      <c r="AQ670" s="273" t="str">
        <f t="shared" ca="1" si="211"/>
        <v>72023</v>
      </c>
    </row>
    <row r="671" spans="1:43" ht="15.75">
      <c r="B671" s="702" t="s">
        <v>2264</v>
      </c>
      <c r="C671" s="273" t="s">
        <v>2265</v>
      </c>
      <c r="D671" t="s">
        <v>2266</v>
      </c>
      <c r="E671" s="440">
        <v>44983</v>
      </c>
      <c r="M671" t="s">
        <v>2268</v>
      </c>
      <c r="P671" s="794">
        <v>45136</v>
      </c>
      <c r="Q671" s="273" t="s">
        <v>3798</v>
      </c>
      <c r="R671" s="853">
        <v>3915520</v>
      </c>
      <c r="V671" s="340"/>
      <c r="W671" s="594"/>
      <c r="X671" s="340" t="str">
        <f t="shared" ca="1" si="193"/>
        <v>5 WEEK</v>
      </c>
      <c r="Y671" s="794">
        <f t="shared" si="202"/>
        <v>45136</v>
      </c>
      <c r="Z671" s="541" cm="1">
        <f t="array" aca="1" ref="Z671" ca="1">_xlfn.IFS(AD671&lt;100,Y671,Y671&lt;TODAY(),TODAY(),Y671&gt;TODAY(),Y671,Y671=TODAY(),Y671)</f>
        <v>45136</v>
      </c>
      <c r="AD671" s="298">
        <f t="shared" si="205"/>
        <v>0</v>
      </c>
      <c r="AE671" s="299" t="str">
        <f t="shared" si="206"/>
        <v>Complete</v>
      </c>
      <c r="AI671" s="301">
        <f t="shared" ca="1" si="203"/>
        <v>0</v>
      </c>
      <c r="AJ671" s="302">
        <f t="shared" ca="1" si="204"/>
        <v>0</v>
      </c>
      <c r="AL671" s="303">
        <f t="shared" si="207"/>
        <v>0</v>
      </c>
      <c r="AM671" s="303">
        <f t="shared" si="208"/>
        <v>-3915520</v>
      </c>
      <c r="AN671" s="303">
        <f t="shared" si="209"/>
        <v>3915520</v>
      </c>
      <c r="AO671" s="304">
        <f t="shared" si="210"/>
        <v>0</v>
      </c>
      <c r="AP671" s="273">
        <f t="shared" si="212"/>
        <v>7</v>
      </c>
      <c r="AQ671" s="273" t="str">
        <f t="shared" si="211"/>
        <v>7</v>
      </c>
    </row>
    <row r="672" spans="1:43" ht="15.75">
      <c r="B672" s="702" t="s">
        <v>2264</v>
      </c>
      <c r="C672" s="273" t="s">
        <v>2265</v>
      </c>
      <c r="D672" t="s">
        <v>2266</v>
      </c>
      <c r="E672" s="440">
        <v>44983</v>
      </c>
      <c r="M672" t="s">
        <v>2269</v>
      </c>
      <c r="P672" s="794">
        <v>45164</v>
      </c>
      <c r="Q672" s="273" t="s">
        <v>3799</v>
      </c>
      <c r="R672" s="853">
        <v>12891500</v>
      </c>
      <c r="V672" s="340"/>
      <c r="W672" s="594"/>
      <c r="X672" s="340" t="str">
        <f t="shared" ca="1" si="193"/>
        <v>4 WEEK</v>
      </c>
      <c r="Y672" s="794">
        <f t="shared" si="202"/>
        <v>45164</v>
      </c>
      <c r="Z672" s="541" cm="1">
        <f t="array" aca="1" ref="Z672" ca="1">_xlfn.IFS(AD672&lt;100,Y672,Y672&lt;TODAY(),TODAY(),Y672&gt;TODAY(),Y672,Y672=TODAY(),Y672)</f>
        <v>45164</v>
      </c>
      <c r="AD672" s="298">
        <f t="shared" si="205"/>
        <v>0</v>
      </c>
      <c r="AE672" s="299" t="str">
        <f t="shared" si="206"/>
        <v>Complete</v>
      </c>
      <c r="AI672" s="301">
        <f t="shared" ca="1" si="203"/>
        <v>0</v>
      </c>
      <c r="AJ672" s="302">
        <f t="shared" ca="1" si="204"/>
        <v>0</v>
      </c>
      <c r="AL672" s="303">
        <f t="shared" si="207"/>
        <v>0</v>
      </c>
      <c r="AM672" s="303">
        <f t="shared" si="208"/>
        <v>-12891500</v>
      </c>
      <c r="AN672" s="303">
        <f t="shared" si="209"/>
        <v>12891500</v>
      </c>
      <c r="AO672" s="304">
        <f t="shared" si="210"/>
        <v>0</v>
      </c>
      <c r="AP672" s="273">
        <f t="shared" si="212"/>
        <v>8</v>
      </c>
      <c r="AQ672" s="273" t="str">
        <f t="shared" si="211"/>
        <v>8</v>
      </c>
    </row>
    <row r="673" spans="1:43" ht="15.75">
      <c r="B673" s="702" t="s">
        <v>2264</v>
      </c>
      <c r="C673" s="273" t="s">
        <v>2265</v>
      </c>
      <c r="D673" t="s">
        <v>2266</v>
      </c>
      <c r="E673" s="440">
        <v>44983</v>
      </c>
      <c r="M673" t="s">
        <v>2270</v>
      </c>
      <c r="P673" s="794">
        <v>45164</v>
      </c>
      <c r="Q673" s="273" t="s">
        <v>3800</v>
      </c>
      <c r="R673" s="853">
        <v>7286500</v>
      </c>
      <c r="V673" s="340"/>
      <c r="W673" s="594"/>
      <c r="X673" s="340" t="str">
        <f t="shared" ca="1" si="193"/>
        <v>4 WEEK</v>
      </c>
      <c r="Y673" s="794">
        <f t="shared" si="202"/>
        <v>45164</v>
      </c>
      <c r="Z673" s="541" cm="1">
        <f t="array" aca="1" ref="Z673" ca="1">_xlfn.IFS(AD673&lt;100,Y673,Y673&lt;TODAY(),TODAY(),Y673&gt;TODAY(),Y673,Y673=TODAY(),Y673)</f>
        <v>45164</v>
      </c>
      <c r="AD673" s="298">
        <f t="shared" si="205"/>
        <v>0</v>
      </c>
      <c r="AE673" s="299" t="str">
        <f t="shared" si="206"/>
        <v>Complete</v>
      </c>
      <c r="AI673" s="301">
        <f t="shared" ca="1" si="203"/>
        <v>0</v>
      </c>
      <c r="AJ673" s="302">
        <f t="shared" ca="1" si="204"/>
        <v>0</v>
      </c>
      <c r="AL673" s="303">
        <f t="shared" si="207"/>
        <v>0</v>
      </c>
      <c r="AM673" s="303">
        <f t="shared" si="208"/>
        <v>-7286500</v>
      </c>
      <c r="AN673" s="303">
        <f t="shared" si="209"/>
        <v>7286500</v>
      </c>
      <c r="AO673" s="304">
        <f t="shared" si="210"/>
        <v>0</v>
      </c>
      <c r="AP673" s="273">
        <f t="shared" si="212"/>
        <v>8</v>
      </c>
      <c r="AQ673" s="273" t="str">
        <f t="shared" si="211"/>
        <v>8</v>
      </c>
    </row>
    <row r="674" spans="1:43" ht="15.75">
      <c r="B674" s="702" t="s">
        <v>2264</v>
      </c>
      <c r="C674" s="273" t="s">
        <v>2265</v>
      </c>
      <c r="D674" t="s">
        <v>2266</v>
      </c>
      <c r="E674" s="440">
        <v>44983</v>
      </c>
      <c r="M674" t="s">
        <v>2271</v>
      </c>
      <c r="P674" s="794">
        <v>45675</v>
      </c>
      <c r="Q674" s="273" t="s">
        <v>3801</v>
      </c>
      <c r="R674" s="853">
        <v>410460</v>
      </c>
      <c r="V674" s="340"/>
      <c r="W674" s="594"/>
      <c r="X674" s="340" t="str">
        <f t="shared" ca="1" si="193"/>
        <v>3 WEEK</v>
      </c>
      <c r="Y674" s="794">
        <f t="shared" si="202"/>
        <v>45675</v>
      </c>
      <c r="Z674" s="541" cm="1">
        <f t="array" aca="1" ref="Z674" ca="1">_xlfn.IFS(AD674&lt;100,Y674,Y674&lt;TODAY(),TODAY(),Y674&gt;TODAY(),Y674,Y674=TODAY(),Y674)</f>
        <v>45675</v>
      </c>
      <c r="AD674" s="298">
        <f t="shared" si="205"/>
        <v>0</v>
      </c>
      <c r="AE674" s="299" t="str">
        <f t="shared" si="206"/>
        <v>Complete</v>
      </c>
      <c r="AI674" s="301">
        <f t="shared" ca="1" si="203"/>
        <v>0</v>
      </c>
      <c r="AJ674" s="302">
        <f t="shared" ca="1" si="204"/>
        <v>0</v>
      </c>
      <c r="AL674" s="303">
        <f t="shared" si="207"/>
        <v>0</v>
      </c>
      <c r="AM674" s="303">
        <f t="shared" si="208"/>
        <v>-410460</v>
      </c>
      <c r="AN674" s="303">
        <f t="shared" si="209"/>
        <v>410460</v>
      </c>
      <c r="AO674" s="304">
        <f t="shared" si="210"/>
        <v>0</v>
      </c>
      <c r="AP674" s="273">
        <f t="shared" si="212"/>
        <v>1</v>
      </c>
      <c r="AQ674" s="273" t="str">
        <f t="shared" si="211"/>
        <v>1</v>
      </c>
    </row>
    <row r="675" spans="1:43" ht="15.75">
      <c r="B675" s="702" t="s">
        <v>2264</v>
      </c>
      <c r="C675" s="273" t="s">
        <v>2265</v>
      </c>
      <c r="D675" t="s">
        <v>2266</v>
      </c>
      <c r="E675" s="440">
        <v>44983</v>
      </c>
      <c r="M675" t="s">
        <v>2272</v>
      </c>
      <c r="P675" s="794">
        <v>45716</v>
      </c>
      <c r="Q675" s="273" t="s">
        <v>3802</v>
      </c>
      <c r="R675" s="853">
        <v>-410460</v>
      </c>
      <c r="V675" s="340"/>
      <c r="W675" s="594"/>
      <c r="X675" s="340" t="str">
        <f t="shared" ca="1" si="193"/>
        <v>4 WEEK</v>
      </c>
      <c r="Y675" s="794">
        <f t="shared" si="202"/>
        <v>45716</v>
      </c>
      <c r="Z675" s="541" cm="1">
        <f t="array" aca="1" ref="Z675" ca="1">_xlfn.IFS(AD675&lt;100,Y675,Y675&lt;TODAY(),TODAY(),Y675&gt;TODAY(),Y675,Y675=TODAY(),Y675)</f>
        <v>45716</v>
      </c>
      <c r="AD675" s="298">
        <f t="shared" si="205"/>
        <v>0</v>
      </c>
      <c r="AE675" s="299" t="str">
        <f t="shared" si="206"/>
        <v>Complete</v>
      </c>
      <c r="AI675" s="301">
        <f t="shared" ca="1" si="203"/>
        <v>0</v>
      </c>
      <c r="AJ675" s="302">
        <f t="shared" ca="1" si="204"/>
        <v>0</v>
      </c>
      <c r="AL675" s="303">
        <f t="shared" si="207"/>
        <v>0</v>
      </c>
      <c r="AM675" s="303">
        <f t="shared" si="208"/>
        <v>410460</v>
      </c>
      <c r="AN675" s="303">
        <f t="shared" si="209"/>
        <v>-410460</v>
      </c>
      <c r="AO675" s="304">
        <f t="shared" si="210"/>
        <v>0</v>
      </c>
      <c r="AP675" s="273">
        <f t="shared" si="212"/>
        <v>2</v>
      </c>
      <c r="AQ675" s="273" t="str">
        <f t="shared" si="211"/>
        <v>2</v>
      </c>
    </row>
    <row r="676" spans="1:43" ht="15.75">
      <c r="B676" s="702" t="s">
        <v>2264</v>
      </c>
      <c r="C676" s="273" t="s">
        <v>2265</v>
      </c>
      <c r="D676" t="s">
        <v>2266</v>
      </c>
      <c r="E676" s="440">
        <v>44983</v>
      </c>
      <c r="M676" t="s">
        <v>2273</v>
      </c>
      <c r="P676" s="794"/>
      <c r="R676" s="853"/>
      <c r="V676" s="340"/>
      <c r="W676" s="594"/>
      <c r="X676" s="340" t="str">
        <f t="shared" ca="1" si="193"/>
        <v>0 WEEK</v>
      </c>
      <c r="Y676" s="794">
        <f t="shared" si="202"/>
        <v>0</v>
      </c>
      <c r="Z676" s="541" cm="1">
        <f t="array" aca="1" ref="Z676" ca="1">_xlfn.IFS(AD676&lt;100,Y676,Y676&lt;TODAY(),TODAY(),Y676&gt;TODAY(),Y676,Y676=TODAY(),Y676)</f>
        <v>0</v>
      </c>
      <c r="AD676" s="298">
        <f t="shared" si="205"/>
        <v>0</v>
      </c>
      <c r="AE676" s="299" t="str">
        <f t="shared" si="206"/>
        <v>Complete</v>
      </c>
      <c r="AI676" s="301">
        <f t="shared" ca="1" si="203"/>
        <v>0</v>
      </c>
      <c r="AJ676" s="302">
        <f t="shared" ca="1" si="204"/>
        <v>0</v>
      </c>
      <c r="AL676" s="303">
        <f t="shared" si="207"/>
        <v>0</v>
      </c>
      <c r="AM676" s="303">
        <f t="shared" si="208"/>
        <v>0</v>
      </c>
      <c r="AN676" s="303">
        <f t="shared" si="209"/>
        <v>0</v>
      </c>
      <c r="AO676" s="304">
        <f t="shared" si="210"/>
        <v>0</v>
      </c>
      <c r="AP676" s="273">
        <f t="shared" si="212"/>
        <v>1</v>
      </c>
      <c r="AQ676" s="273" t="str">
        <f t="shared" si="211"/>
        <v>1</v>
      </c>
    </row>
    <row r="677" spans="1:43" ht="15.75">
      <c r="B677" s="702" t="s">
        <v>2264</v>
      </c>
      <c r="C677" s="273" t="s">
        <v>2265</v>
      </c>
      <c r="D677" t="s">
        <v>2266</v>
      </c>
      <c r="E677" s="440">
        <v>44983</v>
      </c>
      <c r="M677" t="s">
        <v>2274</v>
      </c>
      <c r="P677" s="794"/>
      <c r="R677" s="853"/>
      <c r="V677" s="340"/>
      <c r="W677" s="594"/>
      <c r="X677" s="340" t="str">
        <f t="shared" ca="1" si="193"/>
        <v>0 WEEK</v>
      </c>
      <c r="Y677" s="794">
        <f t="shared" si="202"/>
        <v>0</v>
      </c>
      <c r="Z677" s="541" cm="1">
        <f t="array" aca="1" ref="Z677" ca="1">_xlfn.IFS(AD677&lt;100,Y677,Y677&lt;TODAY(),TODAY(),Y677&gt;TODAY(),Y677,Y677=TODAY(),Y677)</f>
        <v>0</v>
      </c>
      <c r="AD677" s="298">
        <f t="shared" si="205"/>
        <v>0</v>
      </c>
      <c r="AE677" s="299" t="str">
        <f t="shared" si="206"/>
        <v>Complete</v>
      </c>
      <c r="AI677" s="301">
        <f t="shared" ca="1" si="203"/>
        <v>0</v>
      </c>
      <c r="AJ677" s="302">
        <f t="shared" ca="1" si="204"/>
        <v>0</v>
      </c>
      <c r="AL677" s="303">
        <f t="shared" si="207"/>
        <v>0</v>
      </c>
      <c r="AM677" s="303">
        <f t="shared" si="208"/>
        <v>0</v>
      </c>
      <c r="AN677" s="303">
        <f t="shared" si="209"/>
        <v>0</v>
      </c>
      <c r="AO677" s="304">
        <f t="shared" si="210"/>
        <v>0</v>
      </c>
      <c r="AP677" s="273">
        <f t="shared" si="212"/>
        <v>1</v>
      </c>
      <c r="AQ677" s="273" t="str">
        <f t="shared" si="211"/>
        <v>1</v>
      </c>
    </row>
    <row r="678" spans="1:43" ht="15.75">
      <c r="B678" s="702" t="s">
        <v>2264</v>
      </c>
      <c r="C678" s="273" t="s">
        <v>2265</v>
      </c>
      <c r="D678" t="s">
        <v>2266</v>
      </c>
      <c r="E678" s="440">
        <v>44983</v>
      </c>
      <c r="P678" s="794"/>
      <c r="R678" s="853"/>
      <c r="V678" s="340"/>
      <c r="W678" s="594"/>
      <c r="X678" s="340" t="str">
        <f t="shared" ca="1" si="193"/>
        <v>0 WEEK</v>
      </c>
      <c r="Y678" s="794">
        <f t="shared" si="202"/>
        <v>0</v>
      </c>
      <c r="Z678" s="541" cm="1">
        <f t="array" aca="1" ref="Z678" ca="1">_xlfn.IFS(AD678&lt;100,Y678,Y678&lt;TODAY(),TODAY(),Y678&gt;TODAY(),Y678,Y678=TODAY(),Y678)</f>
        <v>0</v>
      </c>
      <c r="AD678" s="298">
        <f t="shared" si="205"/>
        <v>0</v>
      </c>
      <c r="AE678" s="299" t="str">
        <f t="shared" si="206"/>
        <v>Complete</v>
      </c>
      <c r="AI678" s="301">
        <f t="shared" ca="1" si="203"/>
        <v>0</v>
      </c>
      <c r="AJ678" s="302">
        <f t="shared" ca="1" si="204"/>
        <v>0</v>
      </c>
      <c r="AL678" s="303">
        <f t="shared" si="207"/>
        <v>0</v>
      </c>
      <c r="AM678" s="303">
        <f t="shared" si="208"/>
        <v>0</v>
      </c>
      <c r="AN678" s="303">
        <f t="shared" si="209"/>
        <v>0</v>
      </c>
      <c r="AO678" s="304">
        <f t="shared" si="210"/>
        <v>0</v>
      </c>
      <c r="AP678" s="273">
        <f t="shared" si="212"/>
        <v>1</v>
      </c>
      <c r="AQ678" s="273" t="str">
        <f t="shared" si="211"/>
        <v>1</v>
      </c>
    </row>
    <row r="679" spans="1:43" ht="15.75">
      <c r="B679" s="702" t="s">
        <v>2264</v>
      </c>
      <c r="C679" s="273" t="s">
        <v>2265</v>
      </c>
      <c r="D679" t="s">
        <v>2266</v>
      </c>
      <c r="E679" s="440">
        <v>44983</v>
      </c>
      <c r="P679" s="794"/>
      <c r="R679" s="853"/>
      <c r="V679" s="340"/>
      <c r="W679" s="594"/>
      <c r="X679" s="340" t="str">
        <f t="shared" ca="1" si="193"/>
        <v>0 WEEK</v>
      </c>
      <c r="Y679" s="794">
        <f t="shared" si="202"/>
        <v>0</v>
      </c>
      <c r="Z679" s="541" cm="1">
        <f t="array" aca="1" ref="Z679" ca="1">_xlfn.IFS(AD679&lt;100,Y679,Y679&lt;TODAY(),TODAY(),Y679&gt;TODAY(),Y679,Y679=TODAY(),Y679)</f>
        <v>0</v>
      </c>
      <c r="AD679" s="298">
        <f t="shared" si="205"/>
        <v>0</v>
      </c>
      <c r="AE679" s="299" t="str">
        <f t="shared" si="206"/>
        <v>Complete</v>
      </c>
      <c r="AI679" s="301">
        <f t="shared" ca="1" si="203"/>
        <v>0</v>
      </c>
      <c r="AJ679" s="302">
        <f t="shared" ca="1" si="204"/>
        <v>0</v>
      </c>
      <c r="AL679" s="303">
        <f t="shared" si="207"/>
        <v>0</v>
      </c>
      <c r="AM679" s="303">
        <f t="shared" si="208"/>
        <v>0</v>
      </c>
      <c r="AN679" s="303">
        <f t="shared" si="209"/>
        <v>0</v>
      </c>
      <c r="AO679" s="304">
        <f t="shared" si="210"/>
        <v>0</v>
      </c>
      <c r="AP679" s="273">
        <f t="shared" si="212"/>
        <v>1</v>
      </c>
      <c r="AQ679" s="273" t="str">
        <f t="shared" si="211"/>
        <v>1</v>
      </c>
    </row>
    <row r="680" spans="1:43" ht="15.75">
      <c r="D680"/>
      <c r="E680" s="440"/>
      <c r="P680" s="447"/>
      <c r="R680" s="853"/>
      <c r="V680" s="340"/>
      <c r="W680" s="594"/>
      <c r="X680" s="340" t="str">
        <f t="shared" ca="1" si="193"/>
        <v>0 WEEK</v>
      </c>
      <c r="Y680" s="794">
        <f t="shared" si="202"/>
        <v>0</v>
      </c>
      <c r="Z680" s="541" cm="1">
        <f t="array" aca="1" ref="Z680" ca="1">_xlfn.IFS(AD680&lt;100,Y680,Y680&lt;TODAY(),TODAY(),Y680&gt;TODAY(),Y680,Y680=TODAY(),Y680)</f>
        <v>0</v>
      </c>
      <c r="AD680" s="298">
        <f t="shared" si="205"/>
        <v>0</v>
      </c>
      <c r="AE680" s="299" t="str">
        <f t="shared" si="206"/>
        <v>Complete</v>
      </c>
      <c r="AI680" s="301">
        <f t="shared" ca="1" si="203"/>
        <v>0</v>
      </c>
      <c r="AJ680" s="302">
        <f t="shared" ca="1" si="204"/>
        <v>0</v>
      </c>
      <c r="AL680" s="303">
        <f t="shared" si="207"/>
        <v>0</v>
      </c>
      <c r="AM680" s="303">
        <f t="shared" si="208"/>
        <v>0</v>
      </c>
      <c r="AN680" s="303">
        <f t="shared" si="209"/>
        <v>0</v>
      </c>
      <c r="AO680" s="304">
        <f t="shared" si="210"/>
        <v>0</v>
      </c>
      <c r="AP680" s="273">
        <f t="shared" si="212"/>
        <v>1</v>
      </c>
      <c r="AQ680" s="273" t="str">
        <f t="shared" si="211"/>
        <v>1</v>
      </c>
    </row>
    <row r="681" spans="1:43" ht="18.75" thickBot="1">
      <c r="A681" s="312">
        <v>33</v>
      </c>
      <c r="B681" s="273" t="s">
        <v>2275</v>
      </c>
      <c r="D681" s="917" t="s">
        <v>2276</v>
      </c>
      <c r="F681" s="918">
        <f>156/1000</f>
        <v>0.156</v>
      </c>
      <c r="P681" s="447">
        <v>0</v>
      </c>
      <c r="R681" s="741" t="e">
        <v>#VALUE!</v>
      </c>
      <c r="V681" s="340">
        <f t="shared" ref="V681:V797" ca="1" si="217">MONTH(Z681)</f>
        <v>1</v>
      </c>
      <c r="W681" s="594">
        <f t="shared" ref="W681:W797" ca="1" si="218">YEAR(Z681)</f>
        <v>1900</v>
      </c>
      <c r="X681" s="340" t="str">
        <f t="shared" ca="1" si="193"/>
        <v>0 WEEK</v>
      </c>
      <c r="Y681" s="794">
        <f t="shared" si="202"/>
        <v>0</v>
      </c>
      <c r="Z681" s="541" cm="1">
        <f t="array" aca="1" ref="Z681" ca="1">_xlfn.IFS(AD681&lt;100,Y681,Y681&lt;TODAY(),TODAY(),Y681&gt;TODAY(),Y681,Y681=TODAY(),Y681)</f>
        <v>0</v>
      </c>
      <c r="AD681" s="298">
        <f t="shared" si="205"/>
        <v>0</v>
      </c>
      <c r="AE681" s="299" t="str">
        <f t="shared" si="206"/>
        <v>Complete</v>
      </c>
      <c r="AI681" s="301">
        <f t="shared" ca="1" si="203"/>
        <v>0</v>
      </c>
      <c r="AJ681" s="302">
        <f t="shared" ca="1" si="204"/>
        <v>0</v>
      </c>
      <c r="AL681" s="303">
        <f t="shared" si="207"/>
        <v>0</v>
      </c>
      <c r="AM681" s="303">
        <f t="shared" si="208"/>
        <v>0</v>
      </c>
      <c r="AN681" s="303">
        <f t="shared" si="209"/>
        <v>0</v>
      </c>
      <c r="AO681" s="304">
        <f t="shared" si="210"/>
        <v>0</v>
      </c>
      <c r="AP681" s="273">
        <f t="shared" si="212"/>
        <v>1</v>
      </c>
      <c r="AQ681" s="273" t="str">
        <f t="shared" ca="1" si="211"/>
        <v>11900</v>
      </c>
    </row>
    <row r="682" spans="1:43" ht="18">
      <c r="A682" s="312">
        <v>33</v>
      </c>
      <c r="B682" s="273" t="s">
        <v>2275</v>
      </c>
      <c r="D682" s="917" t="s">
        <v>2276</v>
      </c>
      <c r="F682" s="918">
        <f>156/1000</f>
        <v>0.156</v>
      </c>
      <c r="G682" s="306">
        <v>2524080</v>
      </c>
      <c r="H682" s="307">
        <v>302889.59999999998</v>
      </c>
      <c r="I682" s="308">
        <v>2826970</v>
      </c>
      <c r="N682" s="273" t="s">
        <v>1593</v>
      </c>
      <c r="O682" s="919" t="s">
        <v>1629</v>
      </c>
      <c r="P682" s="734">
        <v>45770</v>
      </c>
      <c r="Q682" s="735" t="s">
        <v>2277</v>
      </c>
      <c r="R682" s="314">
        <v>2826970</v>
      </c>
      <c r="V682" s="340">
        <f t="shared" ca="1" si="217"/>
        <v>4</v>
      </c>
      <c r="W682" s="594">
        <f t="shared" ca="1" si="218"/>
        <v>2025</v>
      </c>
      <c r="X682" s="340" t="str">
        <f t="shared" ca="1" si="193"/>
        <v>4 WEEK</v>
      </c>
      <c r="Y682" s="794">
        <f t="shared" si="202"/>
        <v>45770</v>
      </c>
      <c r="Z682" s="541" cm="1">
        <f t="array" aca="1" ref="Z682" ca="1">_xlfn.IFS(AD682&lt;100,Y682,Y682&lt;TODAY(),TODAY(),Y682&gt;TODAY(),Y682,Y682=TODAY(),Y682)</f>
        <v>45770</v>
      </c>
      <c r="AB682" s="307">
        <v>0</v>
      </c>
      <c r="AD682" s="298">
        <f t="shared" si="205"/>
        <v>0</v>
      </c>
      <c r="AE682" s="299" t="str">
        <f t="shared" si="206"/>
        <v>Complete</v>
      </c>
      <c r="AI682" s="301">
        <f t="shared" ca="1" si="203"/>
        <v>0</v>
      </c>
      <c r="AJ682" s="302">
        <f t="shared" ca="1" si="204"/>
        <v>0</v>
      </c>
      <c r="AL682" s="303">
        <f t="shared" si="207"/>
        <v>2826970</v>
      </c>
      <c r="AM682" s="303">
        <f t="shared" si="208"/>
        <v>0</v>
      </c>
      <c r="AN682" s="303">
        <f t="shared" si="209"/>
        <v>2826970</v>
      </c>
      <c r="AO682" s="304">
        <f t="shared" si="210"/>
        <v>0</v>
      </c>
      <c r="AP682" s="273">
        <f t="shared" si="212"/>
        <v>4</v>
      </c>
      <c r="AQ682" s="273" t="str">
        <f t="shared" ca="1" si="211"/>
        <v>42025</v>
      </c>
    </row>
    <row r="683" spans="1:43" ht="18">
      <c r="A683" s="312">
        <v>33</v>
      </c>
      <c r="B683" s="273" t="s">
        <v>2275</v>
      </c>
      <c r="D683" s="917" t="s">
        <v>2276</v>
      </c>
      <c r="F683" s="918">
        <f t="shared" ref="F683:F688" si="219">156/1000</f>
        <v>0.156</v>
      </c>
      <c r="G683" s="306">
        <v>421200</v>
      </c>
      <c r="H683" s="307">
        <v>50544</v>
      </c>
      <c r="I683" s="308">
        <v>471744</v>
      </c>
      <c r="N683" s="273" t="s">
        <v>1593</v>
      </c>
      <c r="O683" s="920" t="s">
        <v>1598</v>
      </c>
      <c r="P683" s="734">
        <v>45779</v>
      </c>
      <c r="Q683" s="735" t="s">
        <v>2278</v>
      </c>
      <c r="R683" s="314">
        <v>471744</v>
      </c>
      <c r="V683" s="340">
        <f t="shared" ca="1" si="217"/>
        <v>5</v>
      </c>
      <c r="W683" s="594">
        <f t="shared" ca="1" si="218"/>
        <v>2025</v>
      </c>
      <c r="X683" s="340" t="str">
        <f t="shared" ca="1" si="193"/>
        <v>1 WEEK</v>
      </c>
      <c r="Y683" s="794">
        <f t="shared" si="202"/>
        <v>45779</v>
      </c>
      <c r="Z683" s="541" cm="1">
        <f t="array" aca="1" ref="Z683" ca="1">_xlfn.IFS(AD683&lt;100,Y683,Y683&lt;TODAY(),TODAY(),Y683&gt;TODAY(),Y683,Y683=TODAY(),Y683)</f>
        <v>45779</v>
      </c>
      <c r="AD683" s="298">
        <f t="shared" si="205"/>
        <v>0</v>
      </c>
      <c r="AE683" s="299" t="str">
        <f t="shared" si="206"/>
        <v>Complete</v>
      </c>
      <c r="AI683" s="301">
        <f t="shared" ca="1" si="203"/>
        <v>0</v>
      </c>
      <c r="AJ683" s="302">
        <f t="shared" ca="1" si="204"/>
        <v>0</v>
      </c>
      <c r="AL683" s="303">
        <f t="shared" si="207"/>
        <v>471744</v>
      </c>
      <c r="AM683" s="303">
        <f t="shared" si="208"/>
        <v>0</v>
      </c>
      <c r="AN683" s="303">
        <f t="shared" si="209"/>
        <v>471744</v>
      </c>
      <c r="AO683" s="304">
        <f t="shared" si="210"/>
        <v>0</v>
      </c>
      <c r="AP683" s="273">
        <f t="shared" si="212"/>
        <v>5</v>
      </c>
      <c r="AQ683" s="273" t="str">
        <f t="shared" ca="1" si="211"/>
        <v>52025</v>
      </c>
    </row>
    <row r="684" spans="1:43" ht="18">
      <c r="A684" s="312">
        <v>33</v>
      </c>
      <c r="B684" s="273" t="s">
        <v>2275</v>
      </c>
      <c r="D684" s="917" t="s">
        <v>2276</v>
      </c>
      <c r="F684" s="918">
        <f t="shared" si="219"/>
        <v>0.156</v>
      </c>
      <c r="G684" s="306">
        <v>1093560</v>
      </c>
      <c r="H684" s="307">
        <v>196840.8</v>
      </c>
      <c r="I684" s="308">
        <v>1290401</v>
      </c>
      <c r="N684" s="273" t="s">
        <v>1593</v>
      </c>
      <c r="O684" s="920" t="s">
        <v>1600</v>
      </c>
      <c r="P684" s="734">
        <v>45745</v>
      </c>
      <c r="Q684" s="735" t="s">
        <v>2279</v>
      </c>
      <c r="R684" s="314">
        <v>296792.18400000001</v>
      </c>
      <c r="V684" s="340">
        <f t="shared" ca="1" si="217"/>
        <v>3</v>
      </c>
      <c r="W684" s="594">
        <f t="shared" ca="1" si="218"/>
        <v>2025</v>
      </c>
      <c r="X684" s="340" t="str">
        <f t="shared" ca="1" si="193"/>
        <v>5 WEEK</v>
      </c>
      <c r="Y684" s="794">
        <f t="shared" si="202"/>
        <v>45745</v>
      </c>
      <c r="Z684" s="541" cm="1">
        <f t="array" aca="1" ref="Z684" ca="1">_xlfn.IFS(AD684&lt;100,Y684,Y684&lt;TODAY(),TODAY(),Y684&gt;TODAY(),Y684,Y684=TODAY(),Y684)</f>
        <v>45745</v>
      </c>
      <c r="AD684" s="298">
        <f t="shared" si="205"/>
        <v>0</v>
      </c>
      <c r="AE684" s="299" t="str">
        <f t="shared" si="206"/>
        <v>Complete</v>
      </c>
      <c r="AI684" s="301">
        <f t="shared" ca="1" si="203"/>
        <v>0</v>
      </c>
      <c r="AJ684" s="302">
        <f t="shared" ca="1" si="204"/>
        <v>0</v>
      </c>
      <c r="AL684" s="303">
        <f t="shared" si="207"/>
        <v>1290401</v>
      </c>
      <c r="AM684" s="303">
        <f t="shared" si="208"/>
        <v>993608.81599999999</v>
      </c>
      <c r="AN684" s="303">
        <f t="shared" si="209"/>
        <v>296792.18400000001</v>
      </c>
      <c r="AO684" s="304">
        <f t="shared" si="210"/>
        <v>0</v>
      </c>
      <c r="AP684" s="273">
        <f t="shared" si="212"/>
        <v>3</v>
      </c>
      <c r="AQ684" s="273" t="str">
        <f t="shared" ca="1" si="211"/>
        <v>32025</v>
      </c>
    </row>
    <row r="685" spans="1:43" ht="18">
      <c r="A685" s="312">
        <v>33</v>
      </c>
      <c r="B685" s="273" t="s">
        <v>2275</v>
      </c>
      <c r="D685" s="917" t="s">
        <v>2276</v>
      </c>
      <c r="F685" s="918">
        <f t="shared" si="219"/>
        <v>0.156</v>
      </c>
      <c r="N685" s="273" t="s">
        <v>1593</v>
      </c>
      <c r="O685" s="920"/>
      <c r="P685" s="734">
        <v>45794</v>
      </c>
      <c r="Q685" s="735" t="s">
        <v>2280</v>
      </c>
      <c r="R685" s="314">
        <v>59616.502800000002</v>
      </c>
      <c r="V685" s="340">
        <f t="shared" ca="1" si="217"/>
        <v>5</v>
      </c>
      <c r="W685" s="594">
        <f t="shared" ca="1" si="218"/>
        <v>2025</v>
      </c>
      <c r="X685" s="340" t="str">
        <f t="shared" ca="1" si="193"/>
        <v>3 WEEK</v>
      </c>
      <c r="Y685" s="794">
        <f t="shared" si="202"/>
        <v>45794</v>
      </c>
      <c r="Z685" s="541" cm="1">
        <f t="array" aca="1" ref="Z685" ca="1">_xlfn.IFS(AD685&lt;100,Y685,Y685&lt;TODAY(),TODAY(),Y685&gt;TODAY(),Y685,Y685=TODAY(),Y685)</f>
        <v>45794</v>
      </c>
      <c r="AD685" s="298">
        <f t="shared" si="205"/>
        <v>0</v>
      </c>
      <c r="AE685" s="299" t="str">
        <f t="shared" si="206"/>
        <v>Complete</v>
      </c>
      <c r="AI685" s="301">
        <f t="shared" ca="1" si="203"/>
        <v>0</v>
      </c>
      <c r="AJ685" s="302">
        <f t="shared" ca="1" si="204"/>
        <v>0</v>
      </c>
      <c r="AL685" s="303">
        <f t="shared" si="207"/>
        <v>0</v>
      </c>
      <c r="AM685" s="303">
        <f t="shared" si="208"/>
        <v>-59616.502800000002</v>
      </c>
      <c r="AN685" s="303">
        <f t="shared" si="209"/>
        <v>59616.502800000002</v>
      </c>
      <c r="AO685" s="304">
        <f t="shared" si="210"/>
        <v>0</v>
      </c>
      <c r="AP685" s="273">
        <f t="shared" si="212"/>
        <v>5</v>
      </c>
      <c r="AQ685" s="273" t="str">
        <f t="shared" ca="1" si="211"/>
        <v>52025</v>
      </c>
    </row>
    <row r="686" spans="1:43" ht="18">
      <c r="A686" s="312">
        <v>33</v>
      </c>
      <c r="B686" s="273" t="s">
        <v>2275</v>
      </c>
      <c r="D686" s="917" t="s">
        <v>2276</v>
      </c>
      <c r="F686" s="918">
        <f t="shared" si="219"/>
        <v>0.156</v>
      </c>
      <c r="N686" s="273" t="s">
        <v>1593</v>
      </c>
      <c r="O686" s="920"/>
      <c r="P686" s="734">
        <v>45833</v>
      </c>
      <c r="Q686" s="735" t="s">
        <v>2281</v>
      </c>
      <c r="R686" s="314">
        <v>933992.11320000002</v>
      </c>
      <c r="V686" s="340">
        <f t="shared" ca="1" si="217"/>
        <v>6</v>
      </c>
      <c r="W686" s="594">
        <f t="shared" ca="1" si="218"/>
        <v>2025</v>
      </c>
      <c r="X686" s="340" t="str">
        <f t="shared" ca="1" si="193"/>
        <v>4 WEEK</v>
      </c>
      <c r="Y686" s="794">
        <f t="shared" si="202"/>
        <v>45833</v>
      </c>
      <c r="Z686" s="541" cm="1">
        <f t="array" aca="1" ref="Z686" ca="1">_xlfn.IFS(AD686&lt;100,Y686,Y686&lt;TODAY(),TODAY(),Y686&gt;TODAY(),Y686,Y686=TODAY(),Y686)</f>
        <v>45833</v>
      </c>
      <c r="AD686" s="298">
        <f t="shared" si="205"/>
        <v>0</v>
      </c>
      <c r="AE686" s="299" t="str">
        <f t="shared" si="206"/>
        <v>Complete</v>
      </c>
      <c r="AI686" s="301">
        <f t="shared" ca="1" si="203"/>
        <v>0</v>
      </c>
      <c r="AJ686" s="302">
        <f t="shared" ca="1" si="204"/>
        <v>0</v>
      </c>
      <c r="AL686" s="303">
        <f t="shared" si="207"/>
        <v>0</v>
      </c>
      <c r="AM686" s="303">
        <f t="shared" si="208"/>
        <v>-933992.11320000002</v>
      </c>
      <c r="AN686" s="303">
        <f t="shared" si="209"/>
        <v>933992.11320000002</v>
      </c>
      <c r="AO686" s="304">
        <f t="shared" si="210"/>
        <v>0</v>
      </c>
      <c r="AP686" s="273">
        <f t="shared" si="212"/>
        <v>6</v>
      </c>
      <c r="AQ686" s="273" t="str">
        <f t="shared" ca="1" si="211"/>
        <v>62025</v>
      </c>
    </row>
    <row r="687" spans="1:43" ht="18">
      <c r="A687" s="312">
        <v>33</v>
      </c>
      <c r="B687" s="273" t="s">
        <v>2275</v>
      </c>
      <c r="D687" s="917" t="s">
        <v>2276</v>
      </c>
      <c r="F687" s="918">
        <f t="shared" si="219"/>
        <v>0.156</v>
      </c>
      <c r="G687" s="306">
        <v>150000</v>
      </c>
      <c r="H687" s="307">
        <v>27000</v>
      </c>
      <c r="I687" s="308">
        <v>177000</v>
      </c>
      <c r="N687" s="273" t="s">
        <v>1593</v>
      </c>
      <c r="O687" s="920" t="s">
        <v>2282</v>
      </c>
      <c r="P687" s="734">
        <v>45833</v>
      </c>
      <c r="Q687" s="735" t="s">
        <v>2281</v>
      </c>
      <c r="R687" s="314">
        <v>177000</v>
      </c>
      <c r="V687" s="340">
        <f t="shared" ca="1" si="217"/>
        <v>6</v>
      </c>
      <c r="W687" s="594">
        <f t="shared" ca="1" si="218"/>
        <v>2025</v>
      </c>
      <c r="X687" s="340" t="str">
        <f t="shared" ca="1" si="193"/>
        <v>4 WEEK</v>
      </c>
      <c r="Y687" s="794">
        <f t="shared" si="202"/>
        <v>45833</v>
      </c>
      <c r="Z687" s="541" cm="1">
        <f t="array" aca="1" ref="Z687" ca="1">_xlfn.IFS(AD687&lt;100,Y687,Y687&lt;TODAY(),TODAY(),Y687&gt;TODAY(),Y687,Y687=TODAY(),Y687)</f>
        <v>45833</v>
      </c>
      <c r="AD687" s="298">
        <f t="shared" si="205"/>
        <v>0</v>
      </c>
      <c r="AE687" s="299" t="str">
        <f t="shared" si="206"/>
        <v>Complete</v>
      </c>
      <c r="AI687" s="301">
        <f t="shared" ca="1" si="203"/>
        <v>0</v>
      </c>
      <c r="AJ687" s="302">
        <f t="shared" ca="1" si="204"/>
        <v>0</v>
      </c>
      <c r="AL687" s="303">
        <f t="shared" si="207"/>
        <v>177000</v>
      </c>
      <c r="AM687" s="303">
        <f t="shared" si="208"/>
        <v>0</v>
      </c>
      <c r="AN687" s="303">
        <f t="shared" si="209"/>
        <v>177000</v>
      </c>
      <c r="AO687" s="304">
        <f t="shared" si="210"/>
        <v>0</v>
      </c>
      <c r="AP687" s="273">
        <f t="shared" si="212"/>
        <v>6</v>
      </c>
      <c r="AQ687" s="273" t="str">
        <f t="shared" ca="1" si="211"/>
        <v>62025</v>
      </c>
    </row>
    <row r="688" spans="1:43" ht="18">
      <c r="A688" s="312">
        <v>33</v>
      </c>
      <c r="B688" s="273" t="s">
        <v>2275</v>
      </c>
      <c r="D688" s="917" t="s">
        <v>2276</v>
      </c>
      <c r="F688" s="918">
        <f t="shared" si="219"/>
        <v>0.156</v>
      </c>
      <c r="G688" s="306">
        <v>168480</v>
      </c>
      <c r="H688" s="307">
        <v>30326.399999999998</v>
      </c>
      <c r="I688" s="308">
        <v>198806</v>
      </c>
      <c r="N688" s="273" t="s">
        <v>1593</v>
      </c>
      <c r="O688" s="921" t="s">
        <v>2283</v>
      </c>
      <c r="P688" s="734">
        <v>45857</v>
      </c>
      <c r="Q688" s="735" t="s">
        <v>2284</v>
      </c>
      <c r="R688" s="314">
        <v>198806.39999999999</v>
      </c>
      <c r="V688" s="340">
        <f t="shared" ca="1" si="217"/>
        <v>7</v>
      </c>
      <c r="W688" s="594">
        <f t="shared" ca="1" si="218"/>
        <v>2025</v>
      </c>
      <c r="X688" s="340" t="str">
        <f t="shared" ca="1" si="193"/>
        <v>3 WEEK</v>
      </c>
      <c r="Y688" s="794">
        <f t="shared" si="202"/>
        <v>45857</v>
      </c>
      <c r="Z688" s="541" cm="1">
        <f t="array" aca="1" ref="Z688" ca="1">_xlfn.IFS(AD688&lt;100,Y688,Y688&lt;TODAY(),TODAY(),Y688&gt;TODAY(),Y688,Y688=TODAY(),Y688)</f>
        <v>45857</v>
      </c>
      <c r="AD688" s="298">
        <f t="shared" si="205"/>
        <v>0</v>
      </c>
      <c r="AE688" s="299" t="str">
        <f t="shared" si="206"/>
        <v>Complete</v>
      </c>
      <c r="AI688" s="301">
        <f t="shared" ca="1" si="203"/>
        <v>0</v>
      </c>
      <c r="AJ688" s="302">
        <f t="shared" ca="1" si="204"/>
        <v>0</v>
      </c>
      <c r="AL688" s="303">
        <f t="shared" si="207"/>
        <v>198806</v>
      </c>
      <c r="AM688" s="303">
        <f t="shared" si="208"/>
        <v>-0.39999999999417923</v>
      </c>
      <c r="AN688" s="303">
        <f t="shared" si="209"/>
        <v>198806.39999999999</v>
      </c>
      <c r="AO688" s="304">
        <f t="shared" si="210"/>
        <v>0</v>
      </c>
      <c r="AP688" s="273">
        <f t="shared" si="212"/>
        <v>7</v>
      </c>
      <c r="AQ688" s="273" t="str">
        <f t="shared" ca="1" si="211"/>
        <v>72025</v>
      </c>
    </row>
    <row r="689" spans="1:43" ht="15.75" thickBot="1">
      <c r="P689" s="447">
        <v>0</v>
      </c>
      <c r="V689" s="340">
        <f t="shared" ca="1" si="217"/>
        <v>1</v>
      </c>
      <c r="W689" s="594">
        <f t="shared" ca="1" si="218"/>
        <v>1900</v>
      </c>
      <c r="X689" s="340" t="str">
        <f t="shared" ca="1" si="193"/>
        <v>0 WEEK</v>
      </c>
      <c r="Y689" s="794">
        <f t="shared" si="202"/>
        <v>0</v>
      </c>
      <c r="Z689" s="541" cm="1">
        <f t="array" aca="1" ref="Z689" ca="1">_xlfn.IFS(AD689&lt;100,Y689,Y689&lt;TODAY(),TODAY(),Y689&gt;TODAY(),Y689,Y689=TODAY(),Y689)</f>
        <v>0</v>
      </c>
      <c r="AD689" s="298">
        <f t="shared" si="205"/>
        <v>0</v>
      </c>
      <c r="AE689" s="299" t="str">
        <f t="shared" si="206"/>
        <v>Complete</v>
      </c>
      <c r="AI689" s="301">
        <f t="shared" ca="1" si="203"/>
        <v>0</v>
      </c>
      <c r="AJ689" s="302">
        <f t="shared" ca="1" si="204"/>
        <v>0</v>
      </c>
      <c r="AL689" s="303">
        <f t="shared" si="207"/>
        <v>0</v>
      </c>
      <c r="AM689" s="303">
        <f t="shared" si="208"/>
        <v>0</v>
      </c>
      <c r="AN689" s="303">
        <f t="shared" si="209"/>
        <v>0</v>
      </c>
      <c r="AO689" s="304">
        <f t="shared" si="210"/>
        <v>0</v>
      </c>
      <c r="AP689" s="273">
        <f t="shared" si="212"/>
        <v>1</v>
      </c>
      <c r="AQ689" s="273" t="str">
        <f t="shared" ca="1" si="211"/>
        <v>11900</v>
      </c>
    </row>
    <row r="690" spans="1:43" ht="18">
      <c r="A690" s="312">
        <v>34</v>
      </c>
      <c r="B690" s="273" t="s">
        <v>2275</v>
      </c>
      <c r="D690" s="917" t="s">
        <v>2285</v>
      </c>
      <c r="F690" s="273">
        <f>78/1000</f>
        <v>7.8E-2</v>
      </c>
      <c r="G690" s="306">
        <v>1309620</v>
      </c>
      <c r="H690" s="307">
        <v>157154.4</v>
      </c>
      <c r="I690" s="308">
        <v>1466774</v>
      </c>
      <c r="N690" s="273" t="s">
        <v>1593</v>
      </c>
      <c r="O690" s="919" t="s">
        <v>1629</v>
      </c>
      <c r="P690" s="922">
        <v>45741</v>
      </c>
      <c r="Q690" s="923" t="s">
        <v>2286</v>
      </c>
      <c r="R690" s="314">
        <v>1466774</v>
      </c>
      <c r="V690" s="340">
        <f t="shared" ca="1" si="217"/>
        <v>3</v>
      </c>
      <c r="W690" s="594">
        <f t="shared" ca="1" si="218"/>
        <v>2025</v>
      </c>
      <c r="X690" s="340" t="str">
        <f t="shared" ca="1" si="193"/>
        <v>4 WEEK</v>
      </c>
      <c r="Y690" s="794">
        <f t="shared" si="202"/>
        <v>45741</v>
      </c>
      <c r="Z690" s="541" cm="1">
        <f t="array" aca="1" ref="Z690" ca="1">_xlfn.IFS(AD690&lt;100,Y690,Y690&lt;TODAY(),TODAY(),Y690&gt;TODAY(),Y690,Y690=TODAY(),Y690)</f>
        <v>45741</v>
      </c>
      <c r="AD690" s="298">
        <f t="shared" si="205"/>
        <v>0</v>
      </c>
      <c r="AE690" s="299" t="str">
        <f t="shared" si="206"/>
        <v>Complete</v>
      </c>
      <c r="AI690" s="301">
        <f t="shared" ca="1" si="203"/>
        <v>0</v>
      </c>
      <c r="AJ690" s="302">
        <f t="shared" ca="1" si="204"/>
        <v>0</v>
      </c>
      <c r="AL690" s="303">
        <f t="shared" si="207"/>
        <v>1466774</v>
      </c>
      <c r="AM690" s="303">
        <f t="shared" si="208"/>
        <v>0</v>
      </c>
      <c r="AN690" s="303">
        <f t="shared" si="209"/>
        <v>1466774</v>
      </c>
      <c r="AO690" s="304">
        <f t="shared" si="210"/>
        <v>0</v>
      </c>
      <c r="AP690" s="273">
        <f t="shared" si="212"/>
        <v>3</v>
      </c>
      <c r="AQ690" s="273" t="str">
        <f t="shared" ca="1" si="211"/>
        <v>32025</v>
      </c>
    </row>
    <row r="691" spans="1:43" ht="18">
      <c r="A691" s="312">
        <v>34</v>
      </c>
      <c r="B691" s="273" t="s">
        <v>2275</v>
      </c>
      <c r="D691" s="917" t="s">
        <v>2285</v>
      </c>
      <c r="F691" s="273">
        <f t="shared" ref="F691:F696" si="220">78/1000</f>
        <v>7.8E-2</v>
      </c>
      <c r="G691" s="306">
        <v>218400</v>
      </c>
      <c r="H691" s="307">
        <v>26208</v>
      </c>
      <c r="I691" s="308">
        <v>244608</v>
      </c>
      <c r="N691" s="273" t="s">
        <v>1593</v>
      </c>
      <c r="O691" s="920" t="s">
        <v>1598</v>
      </c>
      <c r="P691" s="734">
        <v>45779</v>
      </c>
      <c r="Q691" s="735" t="s">
        <v>2287</v>
      </c>
      <c r="R691" s="314">
        <v>244608</v>
      </c>
      <c r="V691" s="340">
        <f t="shared" ca="1" si="217"/>
        <v>5</v>
      </c>
      <c r="W691" s="594">
        <f t="shared" ca="1" si="218"/>
        <v>2025</v>
      </c>
      <c r="X691" s="340" t="str">
        <f t="shared" ca="1" si="193"/>
        <v>1 WEEK</v>
      </c>
      <c r="Y691" s="794">
        <f t="shared" si="202"/>
        <v>45779</v>
      </c>
      <c r="Z691" s="541" cm="1">
        <f t="array" aca="1" ref="Z691" ca="1">_xlfn.IFS(AD691&lt;100,Y691,Y691&lt;TODAY(),TODAY(),Y691&gt;TODAY(),Y691,Y691=TODAY(),Y691)</f>
        <v>45779</v>
      </c>
      <c r="AD691" s="298">
        <f t="shared" si="205"/>
        <v>0</v>
      </c>
      <c r="AE691" s="299" t="str">
        <f t="shared" si="206"/>
        <v>Complete</v>
      </c>
      <c r="AI691" s="301">
        <f t="shared" ca="1" si="203"/>
        <v>0</v>
      </c>
      <c r="AJ691" s="302">
        <f t="shared" ca="1" si="204"/>
        <v>0</v>
      </c>
      <c r="AL691" s="303">
        <f t="shared" si="207"/>
        <v>244608</v>
      </c>
      <c r="AM691" s="303">
        <f t="shared" si="208"/>
        <v>0</v>
      </c>
      <c r="AN691" s="303">
        <f t="shared" si="209"/>
        <v>244608</v>
      </c>
      <c r="AO691" s="304">
        <f t="shared" si="210"/>
        <v>0</v>
      </c>
      <c r="AP691" s="273">
        <f t="shared" si="212"/>
        <v>5</v>
      </c>
      <c r="AQ691" s="273" t="str">
        <f t="shared" ca="1" si="211"/>
        <v>52025</v>
      </c>
    </row>
    <row r="692" spans="1:43" ht="18">
      <c r="A692" s="312">
        <v>34</v>
      </c>
      <c r="B692" s="273" t="s">
        <v>2275</v>
      </c>
      <c r="D692" s="917" t="s">
        <v>2285</v>
      </c>
      <c r="F692" s="273">
        <f t="shared" si="220"/>
        <v>7.8E-2</v>
      </c>
      <c r="G692" s="306">
        <v>567060</v>
      </c>
      <c r="H692" s="307">
        <v>102070.8</v>
      </c>
      <c r="I692" s="308">
        <v>669131</v>
      </c>
      <c r="N692" s="273" t="s">
        <v>1593</v>
      </c>
      <c r="O692" s="920" t="s">
        <v>1600</v>
      </c>
      <c r="P692" s="734">
        <v>45745</v>
      </c>
      <c r="Q692" s="735" t="s">
        <v>2288</v>
      </c>
      <c r="R692" s="314">
        <v>200739.24</v>
      </c>
      <c r="V692" s="340">
        <f t="shared" ca="1" si="217"/>
        <v>3</v>
      </c>
      <c r="W692" s="594">
        <f t="shared" ca="1" si="218"/>
        <v>2025</v>
      </c>
      <c r="X692" s="340" t="str">
        <f t="shared" ca="1" si="193"/>
        <v>5 WEEK</v>
      </c>
      <c r="Y692" s="794">
        <f t="shared" si="202"/>
        <v>45745</v>
      </c>
      <c r="Z692" s="541" cm="1">
        <f t="array" aca="1" ref="Z692" ca="1">_xlfn.IFS(AD692&lt;100,Y692,Y692&lt;TODAY(),TODAY(),Y692&gt;TODAY(),Y692,Y692=TODAY(),Y692)</f>
        <v>45745</v>
      </c>
      <c r="AD692" s="298">
        <f t="shared" si="205"/>
        <v>0</v>
      </c>
      <c r="AE692" s="299" t="str">
        <f t="shared" si="206"/>
        <v>Complete</v>
      </c>
      <c r="AI692" s="301">
        <f t="shared" ca="1" si="203"/>
        <v>0</v>
      </c>
      <c r="AJ692" s="302">
        <f t="shared" ca="1" si="204"/>
        <v>0</v>
      </c>
      <c r="AL692" s="303">
        <f t="shared" si="207"/>
        <v>669131</v>
      </c>
      <c r="AM692" s="303">
        <f t="shared" si="208"/>
        <v>468391.76</v>
      </c>
      <c r="AN692" s="303">
        <f t="shared" si="209"/>
        <v>200739.24</v>
      </c>
      <c r="AO692" s="304">
        <f t="shared" si="210"/>
        <v>0</v>
      </c>
      <c r="AP692" s="273">
        <f t="shared" si="212"/>
        <v>3</v>
      </c>
      <c r="AQ692" s="273" t="str">
        <f t="shared" ca="1" si="211"/>
        <v>32025</v>
      </c>
    </row>
    <row r="693" spans="1:43" ht="18">
      <c r="A693" s="312">
        <v>34</v>
      </c>
      <c r="B693" s="273" t="s">
        <v>2275</v>
      </c>
      <c r="D693" s="917" t="s">
        <v>2285</v>
      </c>
      <c r="F693" s="273">
        <f t="shared" si="220"/>
        <v>7.8E-2</v>
      </c>
      <c r="N693" s="273" t="s">
        <v>1593</v>
      </c>
      <c r="O693" s="920"/>
      <c r="P693" s="734">
        <v>45770</v>
      </c>
      <c r="Q693" s="735" t="s">
        <v>2289</v>
      </c>
      <c r="R693" s="314">
        <v>9367.8312000000005</v>
      </c>
      <c r="V693" s="340">
        <f t="shared" ca="1" si="217"/>
        <v>4</v>
      </c>
      <c r="W693" s="594">
        <f t="shared" ca="1" si="218"/>
        <v>2025</v>
      </c>
      <c r="X693" s="340" t="str">
        <f t="shared" ca="1" si="193"/>
        <v>4 WEEK</v>
      </c>
      <c r="Y693" s="794">
        <f t="shared" si="202"/>
        <v>45770</v>
      </c>
      <c r="Z693" s="541" cm="1">
        <f t="array" aca="1" ref="Z693" ca="1">_xlfn.IFS(AD693&lt;100,Y693,Y693&lt;TODAY(),TODAY(),Y693&gt;TODAY(),Y693,Y693=TODAY(),Y693)</f>
        <v>45770</v>
      </c>
      <c r="AD693" s="298">
        <f t="shared" si="205"/>
        <v>0</v>
      </c>
      <c r="AE693" s="299" t="str">
        <f t="shared" si="206"/>
        <v>Complete</v>
      </c>
      <c r="AI693" s="301">
        <f t="shared" ca="1" si="203"/>
        <v>0</v>
      </c>
      <c r="AJ693" s="302">
        <f t="shared" ca="1" si="204"/>
        <v>0</v>
      </c>
      <c r="AL693" s="303">
        <f t="shared" si="207"/>
        <v>0</v>
      </c>
      <c r="AM693" s="303">
        <f t="shared" si="208"/>
        <v>-9367.8312000000005</v>
      </c>
      <c r="AN693" s="303">
        <f t="shared" si="209"/>
        <v>9367.8312000000005</v>
      </c>
      <c r="AO693" s="304">
        <f t="shared" si="210"/>
        <v>0</v>
      </c>
      <c r="AP693" s="273">
        <f t="shared" si="212"/>
        <v>4</v>
      </c>
      <c r="AQ693" s="273" t="str">
        <f t="shared" ca="1" si="211"/>
        <v>42025</v>
      </c>
    </row>
    <row r="694" spans="1:43" ht="18">
      <c r="A694" s="312">
        <v>34</v>
      </c>
      <c r="B694" s="273" t="s">
        <v>2275</v>
      </c>
      <c r="D694" s="917" t="s">
        <v>2285</v>
      </c>
      <c r="F694" s="273">
        <f t="shared" si="220"/>
        <v>7.8E-2</v>
      </c>
      <c r="N694" s="273" t="s">
        <v>1593</v>
      </c>
      <c r="O694" s="920"/>
      <c r="P694" s="734">
        <v>45833</v>
      </c>
      <c r="Q694" s="735" t="s">
        <v>2290</v>
      </c>
      <c r="R694" s="314">
        <v>459023.72879999998</v>
      </c>
      <c r="V694" s="340">
        <f t="shared" ca="1" si="217"/>
        <v>6</v>
      </c>
      <c r="W694" s="594">
        <f t="shared" ca="1" si="218"/>
        <v>2025</v>
      </c>
      <c r="X694" s="340" t="str">
        <f t="shared" ca="1" si="193"/>
        <v>4 WEEK</v>
      </c>
      <c r="Y694" s="794">
        <f t="shared" si="202"/>
        <v>45833</v>
      </c>
      <c r="Z694" s="541" cm="1">
        <f t="array" aca="1" ref="Z694" ca="1">_xlfn.IFS(AD694&lt;100,Y694,Y694&lt;TODAY(),TODAY(),Y694&gt;TODAY(),Y694,Y694=TODAY(),Y694)</f>
        <v>45833</v>
      </c>
      <c r="AD694" s="298">
        <f t="shared" si="205"/>
        <v>0</v>
      </c>
      <c r="AE694" s="299" t="str">
        <f t="shared" si="206"/>
        <v>Complete</v>
      </c>
      <c r="AI694" s="301">
        <f t="shared" ca="1" si="203"/>
        <v>0</v>
      </c>
      <c r="AJ694" s="302">
        <f t="shared" ca="1" si="204"/>
        <v>0</v>
      </c>
      <c r="AL694" s="303">
        <f t="shared" si="207"/>
        <v>0</v>
      </c>
      <c r="AM694" s="303">
        <f t="shared" si="208"/>
        <v>-459023.72879999998</v>
      </c>
      <c r="AN694" s="303">
        <f t="shared" si="209"/>
        <v>459023.72879999998</v>
      </c>
      <c r="AO694" s="304">
        <f t="shared" si="210"/>
        <v>0</v>
      </c>
      <c r="AP694" s="273">
        <f t="shared" si="212"/>
        <v>6</v>
      </c>
      <c r="AQ694" s="273" t="str">
        <f t="shared" ca="1" si="211"/>
        <v>62025</v>
      </c>
    </row>
    <row r="695" spans="1:43" ht="18">
      <c r="A695" s="312">
        <v>34</v>
      </c>
      <c r="B695" s="273" t="s">
        <v>2275</v>
      </c>
      <c r="D695" s="917" t="s">
        <v>2285</v>
      </c>
      <c r="F695" s="273">
        <f t="shared" si="220"/>
        <v>7.8E-2</v>
      </c>
      <c r="G695" s="306">
        <v>150000</v>
      </c>
      <c r="H695" s="307">
        <v>27000</v>
      </c>
      <c r="I695" s="308">
        <v>177000</v>
      </c>
      <c r="N695" s="273" t="s">
        <v>1593</v>
      </c>
      <c r="O695" s="920" t="s">
        <v>2282</v>
      </c>
      <c r="P695" s="734">
        <v>45833</v>
      </c>
      <c r="Q695" s="735" t="s">
        <v>2290</v>
      </c>
      <c r="R695" s="314">
        <v>177000</v>
      </c>
      <c r="V695" s="340">
        <f t="shared" ca="1" si="217"/>
        <v>6</v>
      </c>
      <c r="W695" s="594">
        <f t="shared" ca="1" si="218"/>
        <v>2025</v>
      </c>
      <c r="X695" s="340" t="str">
        <f t="shared" ca="1" si="193"/>
        <v>4 WEEK</v>
      </c>
      <c r="Y695" s="794">
        <f t="shared" si="202"/>
        <v>45833</v>
      </c>
      <c r="Z695" s="541" cm="1">
        <f t="array" aca="1" ref="Z695" ca="1">_xlfn.IFS(AD695&lt;100,Y695,Y695&lt;TODAY(),TODAY(),Y695&gt;TODAY(),Y695,Y695=TODAY(),Y695)</f>
        <v>45833</v>
      </c>
      <c r="AD695" s="298">
        <f t="shared" si="205"/>
        <v>0</v>
      </c>
      <c r="AE695" s="299" t="str">
        <f t="shared" si="206"/>
        <v>Complete</v>
      </c>
      <c r="AI695" s="301">
        <f t="shared" ca="1" si="203"/>
        <v>0</v>
      </c>
      <c r="AJ695" s="302">
        <f t="shared" ca="1" si="204"/>
        <v>0</v>
      </c>
      <c r="AL695" s="303">
        <f t="shared" si="207"/>
        <v>177000</v>
      </c>
      <c r="AM695" s="303">
        <f t="shared" si="208"/>
        <v>0</v>
      </c>
      <c r="AN695" s="303">
        <f t="shared" si="209"/>
        <v>177000</v>
      </c>
      <c r="AO695" s="304">
        <f t="shared" si="210"/>
        <v>0</v>
      </c>
      <c r="AP695" s="273">
        <f t="shared" si="212"/>
        <v>6</v>
      </c>
      <c r="AQ695" s="273" t="str">
        <f t="shared" ca="1" si="211"/>
        <v>62025</v>
      </c>
    </row>
    <row r="696" spans="1:43" ht="18">
      <c r="A696" s="312">
        <v>34</v>
      </c>
      <c r="B696" s="273" t="s">
        <v>2275</v>
      </c>
      <c r="D696" s="917" t="s">
        <v>2285</v>
      </c>
      <c r="F696" s="273">
        <f t="shared" si="220"/>
        <v>7.8E-2</v>
      </c>
      <c r="G696" s="306">
        <v>87360</v>
      </c>
      <c r="H696" s="307">
        <v>15724.8</v>
      </c>
      <c r="I696" s="308">
        <v>103085</v>
      </c>
      <c r="N696" s="273" t="s">
        <v>1593</v>
      </c>
      <c r="O696" s="921" t="s">
        <v>2283</v>
      </c>
      <c r="P696" s="734">
        <v>45857</v>
      </c>
      <c r="Q696" s="735" t="s">
        <v>2291</v>
      </c>
      <c r="R696" s="314">
        <v>103084.8</v>
      </c>
      <c r="V696" s="340">
        <f t="shared" ca="1" si="217"/>
        <v>7</v>
      </c>
      <c r="W696" s="594">
        <f t="shared" ca="1" si="218"/>
        <v>2025</v>
      </c>
      <c r="X696" s="340" t="str">
        <f t="shared" ca="1" si="193"/>
        <v>3 WEEK</v>
      </c>
      <c r="Y696" s="794">
        <f t="shared" si="202"/>
        <v>45857</v>
      </c>
      <c r="Z696" s="541" cm="1">
        <f t="array" aca="1" ref="Z696" ca="1">_xlfn.IFS(AD696&lt;100,Y696,Y696&lt;TODAY(),TODAY(),Y696&gt;TODAY(),Y696,Y696=TODAY(),Y696)</f>
        <v>45857</v>
      </c>
      <c r="AD696" s="298">
        <f t="shared" si="205"/>
        <v>0</v>
      </c>
      <c r="AE696" s="299" t="str">
        <f t="shared" si="206"/>
        <v>Complete</v>
      </c>
      <c r="AI696" s="301">
        <f t="shared" ca="1" si="203"/>
        <v>0</v>
      </c>
      <c r="AJ696" s="302">
        <f t="shared" ca="1" si="204"/>
        <v>0</v>
      </c>
      <c r="AL696" s="303">
        <f t="shared" si="207"/>
        <v>103085</v>
      </c>
      <c r="AM696" s="303">
        <f t="shared" si="208"/>
        <v>0.19999999999708962</v>
      </c>
      <c r="AN696" s="303">
        <f t="shared" si="209"/>
        <v>103084.8</v>
      </c>
      <c r="AO696" s="304">
        <f t="shared" si="210"/>
        <v>0</v>
      </c>
      <c r="AP696" s="273">
        <f t="shared" si="212"/>
        <v>7</v>
      </c>
      <c r="AQ696" s="273" t="str">
        <f t="shared" ca="1" si="211"/>
        <v>72025</v>
      </c>
    </row>
    <row r="697" spans="1:43" ht="18">
      <c r="D697" s="917"/>
      <c r="F697" s="273"/>
      <c r="O697" s="671"/>
      <c r="P697" s="924">
        <v>0</v>
      </c>
      <c r="Q697" s="668"/>
      <c r="V697" s="340">
        <f t="shared" ca="1" si="217"/>
        <v>1</v>
      </c>
      <c r="W697" s="594">
        <f t="shared" ca="1" si="218"/>
        <v>1900</v>
      </c>
      <c r="X697" s="340" t="str">
        <f t="shared" ca="1" si="193"/>
        <v>0 WEEK</v>
      </c>
      <c r="Y697" s="794">
        <f t="shared" si="202"/>
        <v>0</v>
      </c>
      <c r="Z697" s="541" cm="1">
        <f t="array" aca="1" ref="Z697" ca="1">_xlfn.IFS(AD697&lt;100,Y697,Y697&lt;TODAY(),TODAY(),Y697&gt;TODAY(),Y697,Y697=TODAY(),Y697)</f>
        <v>0</v>
      </c>
      <c r="AD697" s="298">
        <f t="shared" si="205"/>
        <v>0</v>
      </c>
      <c r="AE697" s="299" t="str">
        <f t="shared" si="206"/>
        <v>Complete</v>
      </c>
      <c r="AI697" s="301">
        <f t="shared" ca="1" si="203"/>
        <v>0</v>
      </c>
      <c r="AJ697" s="302">
        <f t="shared" ca="1" si="204"/>
        <v>0</v>
      </c>
      <c r="AL697" s="303">
        <f t="shared" si="207"/>
        <v>0</v>
      </c>
      <c r="AM697" s="303">
        <f t="shared" si="208"/>
        <v>0</v>
      </c>
      <c r="AN697" s="303">
        <f t="shared" si="209"/>
        <v>0</v>
      </c>
      <c r="AO697" s="304">
        <f t="shared" si="210"/>
        <v>0</v>
      </c>
      <c r="AP697" s="273">
        <f t="shared" si="212"/>
        <v>1</v>
      </c>
      <c r="AQ697" s="273" t="str">
        <f t="shared" ca="1" si="211"/>
        <v>11900</v>
      </c>
    </row>
    <row r="698" spans="1:43" ht="18">
      <c r="A698" s="312">
        <v>35</v>
      </c>
      <c r="B698" s="273" t="s">
        <v>2275</v>
      </c>
      <c r="D698" s="917"/>
      <c r="F698" s="273"/>
      <c r="G698" s="925">
        <v>8150000</v>
      </c>
      <c r="H698" s="925">
        <f>560732.4*2</f>
        <v>1121464.8</v>
      </c>
      <c r="I698" s="925">
        <v>9271464.8000000007</v>
      </c>
      <c r="J698" s="925"/>
      <c r="O698" s="671"/>
      <c r="P698" s="924">
        <v>0</v>
      </c>
      <c r="Q698" s="668"/>
      <c r="V698" s="340">
        <f t="shared" ca="1" si="217"/>
        <v>1</v>
      </c>
      <c r="W698" s="594">
        <f t="shared" ca="1" si="218"/>
        <v>1900</v>
      </c>
      <c r="X698" s="340" t="str">
        <f t="shared" ca="1" si="193"/>
        <v>0 WEEK</v>
      </c>
      <c r="Y698" s="794">
        <f t="shared" si="202"/>
        <v>0</v>
      </c>
      <c r="Z698" s="541" cm="1">
        <f t="array" aca="1" ref="Z698" ca="1">_xlfn.IFS(AD698&lt;100,Y698,Y698&lt;TODAY(),TODAY(),Y698&gt;TODAY(),Y698,Y698=TODAY(),Y698)</f>
        <v>0</v>
      </c>
      <c r="AD698" s="298">
        <f t="shared" si="205"/>
        <v>0</v>
      </c>
      <c r="AE698" s="299" t="str">
        <f t="shared" si="206"/>
        <v>Complete</v>
      </c>
      <c r="AI698" s="301">
        <f t="shared" ca="1" si="203"/>
        <v>0</v>
      </c>
      <c r="AJ698" s="302">
        <f t="shared" ca="1" si="204"/>
        <v>0</v>
      </c>
      <c r="AL698" s="303">
        <f t="shared" si="207"/>
        <v>9271464.8000000007</v>
      </c>
      <c r="AM698" s="303">
        <f t="shared" si="208"/>
        <v>9271464.8000000007</v>
      </c>
      <c r="AN698" s="303">
        <f t="shared" si="209"/>
        <v>0</v>
      </c>
      <c r="AO698" s="304">
        <f t="shared" si="210"/>
        <v>0</v>
      </c>
      <c r="AP698" s="273">
        <f t="shared" si="212"/>
        <v>1</v>
      </c>
      <c r="AQ698" s="273" t="str">
        <f t="shared" ca="1" si="211"/>
        <v>11900</v>
      </c>
    </row>
    <row r="699" spans="1:43" ht="18">
      <c r="D699" s="917"/>
      <c r="F699" s="273"/>
      <c r="O699" s="671"/>
      <c r="P699" s="924">
        <v>0</v>
      </c>
      <c r="Q699" s="668"/>
      <c r="V699" s="340">
        <f t="shared" ca="1" si="217"/>
        <v>1</v>
      </c>
      <c r="W699" s="594">
        <f t="shared" ca="1" si="218"/>
        <v>1900</v>
      </c>
      <c r="X699" s="340" t="str">
        <f t="shared" ca="1" si="193"/>
        <v>0 WEEK</v>
      </c>
      <c r="Y699" s="794">
        <f t="shared" si="202"/>
        <v>0</v>
      </c>
      <c r="Z699" s="541" cm="1">
        <f t="array" aca="1" ref="Z699" ca="1">_xlfn.IFS(AD699&lt;100,Y699,Y699&lt;TODAY(),TODAY(),Y699&gt;TODAY(),Y699,Y699=TODAY(),Y699)</f>
        <v>0</v>
      </c>
      <c r="AD699" s="298">
        <f t="shared" si="205"/>
        <v>0</v>
      </c>
      <c r="AE699" s="299" t="str">
        <f t="shared" si="206"/>
        <v>Complete</v>
      </c>
      <c r="AI699" s="301">
        <f t="shared" ca="1" si="203"/>
        <v>0</v>
      </c>
      <c r="AJ699" s="302">
        <f t="shared" ca="1" si="204"/>
        <v>0</v>
      </c>
      <c r="AL699" s="303">
        <f t="shared" si="207"/>
        <v>0</v>
      </c>
      <c r="AM699" s="303">
        <f t="shared" si="208"/>
        <v>0</v>
      </c>
      <c r="AN699" s="303">
        <f t="shared" si="209"/>
        <v>0</v>
      </c>
      <c r="AO699" s="304">
        <f t="shared" si="210"/>
        <v>0</v>
      </c>
      <c r="AP699" s="273">
        <f t="shared" si="212"/>
        <v>1</v>
      </c>
      <c r="AQ699" s="273" t="str">
        <f t="shared" ca="1" si="211"/>
        <v>11900</v>
      </c>
    </row>
    <row r="700" spans="1:43" ht="18">
      <c r="D700" s="917"/>
      <c r="F700" s="273"/>
      <c r="O700" s="671"/>
      <c r="P700" s="924">
        <v>0</v>
      </c>
      <c r="Q700" s="668"/>
      <c r="V700" s="340">
        <f t="shared" ca="1" si="217"/>
        <v>1</v>
      </c>
      <c r="W700" s="594">
        <f t="shared" ca="1" si="218"/>
        <v>1900</v>
      </c>
      <c r="X700" s="340" t="str">
        <f t="shared" ca="1" si="193"/>
        <v>0 WEEK</v>
      </c>
      <c r="Y700" s="794">
        <f t="shared" si="202"/>
        <v>0</v>
      </c>
      <c r="Z700" s="541" cm="1">
        <f t="array" aca="1" ref="Z700" ca="1">_xlfn.IFS(AD700&lt;100,Y700,Y700&lt;TODAY(),TODAY(),Y700&gt;TODAY(),Y700,Y700=TODAY(),Y700)</f>
        <v>0</v>
      </c>
      <c r="AD700" s="298">
        <f t="shared" si="205"/>
        <v>0</v>
      </c>
      <c r="AE700" s="299" t="str">
        <f t="shared" si="206"/>
        <v>Complete</v>
      </c>
      <c r="AI700" s="301">
        <f t="shared" ca="1" si="203"/>
        <v>0</v>
      </c>
      <c r="AJ700" s="302">
        <f t="shared" ca="1" si="204"/>
        <v>0</v>
      </c>
      <c r="AL700" s="303">
        <f t="shared" si="207"/>
        <v>0</v>
      </c>
      <c r="AM700" s="303">
        <f t="shared" si="208"/>
        <v>0</v>
      </c>
      <c r="AN700" s="303">
        <f t="shared" si="209"/>
        <v>0</v>
      </c>
      <c r="AO700" s="304">
        <f t="shared" si="210"/>
        <v>0</v>
      </c>
      <c r="AP700" s="273">
        <f t="shared" si="212"/>
        <v>1</v>
      </c>
      <c r="AQ700" s="273" t="str">
        <f t="shared" ca="1" si="211"/>
        <v>11900</v>
      </c>
    </row>
    <row r="701" spans="1:43" ht="18">
      <c r="D701" s="917"/>
      <c r="F701" s="273"/>
      <c r="O701" s="671"/>
      <c r="P701" s="924">
        <v>0</v>
      </c>
      <c r="Q701" s="668"/>
      <c r="V701" s="340">
        <f t="shared" ca="1" si="217"/>
        <v>1</v>
      </c>
      <c r="W701" s="594">
        <f t="shared" ca="1" si="218"/>
        <v>1900</v>
      </c>
      <c r="X701" s="340" t="str">
        <f t="shared" ca="1" si="193"/>
        <v>0 WEEK</v>
      </c>
      <c r="Y701" s="794">
        <f t="shared" si="202"/>
        <v>0</v>
      </c>
      <c r="Z701" s="541" cm="1">
        <f t="array" aca="1" ref="Z701" ca="1">_xlfn.IFS(AD701&lt;100,Y701,Y701&lt;TODAY(),TODAY(),Y701&gt;TODAY(),Y701,Y701=TODAY(),Y701)</f>
        <v>0</v>
      </c>
      <c r="AD701" s="298">
        <f t="shared" si="205"/>
        <v>0</v>
      </c>
      <c r="AE701" s="299" t="str">
        <f t="shared" si="206"/>
        <v>Complete</v>
      </c>
      <c r="AI701" s="301">
        <f t="shared" ca="1" si="203"/>
        <v>0</v>
      </c>
      <c r="AJ701" s="302">
        <f t="shared" ca="1" si="204"/>
        <v>0</v>
      </c>
      <c r="AL701" s="303">
        <f t="shared" si="207"/>
        <v>0</v>
      </c>
      <c r="AM701" s="303">
        <f t="shared" si="208"/>
        <v>0</v>
      </c>
      <c r="AN701" s="303">
        <f t="shared" si="209"/>
        <v>0</v>
      </c>
      <c r="AO701" s="304">
        <f t="shared" si="210"/>
        <v>0</v>
      </c>
      <c r="AP701" s="273">
        <f t="shared" si="212"/>
        <v>1</v>
      </c>
      <c r="AQ701" s="273" t="str">
        <f t="shared" ca="1" si="211"/>
        <v>11900</v>
      </c>
    </row>
    <row r="702" spans="1:43" ht="18">
      <c r="D702" s="917"/>
      <c r="F702" s="273"/>
      <c r="O702" s="671"/>
      <c r="P702" s="924">
        <v>0</v>
      </c>
      <c r="Q702" s="668"/>
      <c r="V702" s="340">
        <f t="shared" ca="1" si="217"/>
        <v>1</v>
      </c>
      <c r="W702" s="594">
        <f t="shared" ca="1" si="218"/>
        <v>1900</v>
      </c>
      <c r="X702" s="340" t="str">
        <f t="shared" ca="1" si="193"/>
        <v>0 WEEK</v>
      </c>
      <c r="Y702" s="794">
        <f t="shared" si="202"/>
        <v>0</v>
      </c>
      <c r="Z702" s="541" cm="1">
        <f t="array" aca="1" ref="Z702" ca="1">_xlfn.IFS(AD702&lt;100,Y702,Y702&lt;TODAY(),TODAY(),Y702&gt;TODAY(),Y702,Y702=TODAY(),Y702)</f>
        <v>0</v>
      </c>
      <c r="AD702" s="298">
        <f t="shared" si="205"/>
        <v>0</v>
      </c>
      <c r="AE702" s="299" t="str">
        <f t="shared" si="206"/>
        <v>Complete</v>
      </c>
      <c r="AI702" s="301">
        <f t="shared" ca="1" si="203"/>
        <v>0</v>
      </c>
      <c r="AJ702" s="302">
        <f t="shared" ca="1" si="204"/>
        <v>0</v>
      </c>
      <c r="AL702" s="303">
        <f t="shared" si="207"/>
        <v>0</v>
      </c>
      <c r="AM702" s="303">
        <f t="shared" si="208"/>
        <v>0</v>
      </c>
      <c r="AN702" s="303">
        <f t="shared" si="209"/>
        <v>0</v>
      </c>
      <c r="AO702" s="304">
        <f t="shared" si="210"/>
        <v>0</v>
      </c>
      <c r="AP702" s="273">
        <f t="shared" si="212"/>
        <v>1</v>
      </c>
      <c r="AQ702" s="273" t="str">
        <f t="shared" ca="1" si="211"/>
        <v>11900</v>
      </c>
    </row>
    <row r="703" spans="1:43" ht="18">
      <c r="D703" s="917"/>
      <c r="F703" s="273"/>
      <c r="O703" s="671"/>
      <c r="P703" s="924">
        <v>0</v>
      </c>
      <c r="Q703" s="668"/>
      <c r="V703" s="340">
        <f t="shared" ca="1" si="217"/>
        <v>1</v>
      </c>
      <c r="W703" s="594">
        <f t="shared" ca="1" si="218"/>
        <v>1900</v>
      </c>
      <c r="X703" s="340" t="str">
        <f t="shared" ca="1" si="193"/>
        <v>0 WEEK</v>
      </c>
      <c r="Y703" s="794">
        <f t="shared" si="202"/>
        <v>0</v>
      </c>
      <c r="Z703" s="541" cm="1">
        <f t="array" aca="1" ref="Z703" ca="1">_xlfn.IFS(AD703&lt;100,Y703,Y703&lt;TODAY(),TODAY(),Y703&gt;TODAY(),Y703,Y703=TODAY(),Y703)</f>
        <v>0</v>
      </c>
      <c r="AD703" s="298">
        <f t="shared" si="205"/>
        <v>0</v>
      </c>
      <c r="AE703" s="299" t="str">
        <f t="shared" si="206"/>
        <v>Complete</v>
      </c>
      <c r="AI703" s="301">
        <f t="shared" ca="1" si="203"/>
        <v>0</v>
      </c>
      <c r="AJ703" s="302">
        <f t="shared" ca="1" si="204"/>
        <v>0</v>
      </c>
      <c r="AL703" s="303">
        <f t="shared" si="207"/>
        <v>0</v>
      </c>
      <c r="AM703" s="303">
        <f t="shared" si="208"/>
        <v>0</v>
      </c>
      <c r="AN703" s="303">
        <f t="shared" si="209"/>
        <v>0</v>
      </c>
      <c r="AO703" s="304">
        <f t="shared" si="210"/>
        <v>0</v>
      </c>
      <c r="AP703" s="273">
        <f t="shared" si="212"/>
        <v>1</v>
      </c>
      <c r="AQ703" s="273" t="str">
        <f t="shared" ca="1" si="211"/>
        <v>11900</v>
      </c>
    </row>
    <row r="704" spans="1:43" ht="18">
      <c r="D704" s="917"/>
      <c r="F704" s="273"/>
      <c r="O704" s="671"/>
      <c r="P704" s="924">
        <v>0</v>
      </c>
      <c r="Q704" s="668"/>
      <c r="V704" s="340">
        <f t="shared" ca="1" si="217"/>
        <v>1</v>
      </c>
      <c r="W704" s="594">
        <f t="shared" ca="1" si="218"/>
        <v>1900</v>
      </c>
      <c r="X704" s="340" t="str">
        <f t="shared" ca="1" si="193"/>
        <v>0 WEEK</v>
      </c>
      <c r="Y704" s="794">
        <f t="shared" si="202"/>
        <v>0</v>
      </c>
      <c r="Z704" s="541" cm="1">
        <f t="array" aca="1" ref="Z704" ca="1">_xlfn.IFS(AD704&lt;100,Y704,Y704&lt;TODAY(),TODAY(),Y704&gt;TODAY(),Y704,Y704=TODAY(),Y704)</f>
        <v>0</v>
      </c>
      <c r="AD704" s="298">
        <f t="shared" si="205"/>
        <v>0</v>
      </c>
      <c r="AE704" s="299" t="str">
        <f t="shared" si="206"/>
        <v>Complete</v>
      </c>
      <c r="AI704" s="301">
        <f t="shared" ca="1" si="203"/>
        <v>0</v>
      </c>
      <c r="AJ704" s="302">
        <f t="shared" ca="1" si="204"/>
        <v>0</v>
      </c>
      <c r="AL704" s="303">
        <f t="shared" si="207"/>
        <v>0</v>
      </c>
      <c r="AM704" s="303">
        <f t="shared" si="208"/>
        <v>0</v>
      </c>
      <c r="AN704" s="303">
        <f t="shared" si="209"/>
        <v>0</v>
      </c>
      <c r="AO704" s="304">
        <f t="shared" si="210"/>
        <v>0</v>
      </c>
      <c r="AP704" s="273">
        <f t="shared" si="212"/>
        <v>1</v>
      </c>
      <c r="AQ704" s="273" t="str">
        <f t="shared" ca="1" si="211"/>
        <v>11900</v>
      </c>
    </row>
    <row r="705" spans="1:43" ht="18">
      <c r="D705" s="917"/>
      <c r="F705" s="273"/>
      <c r="O705" s="671"/>
      <c r="P705" s="924">
        <v>0</v>
      </c>
      <c r="Q705" s="668"/>
      <c r="V705" s="340">
        <f t="shared" ca="1" si="217"/>
        <v>1</v>
      </c>
      <c r="W705" s="594">
        <f t="shared" ca="1" si="218"/>
        <v>1900</v>
      </c>
      <c r="X705" s="340" t="str">
        <f t="shared" ca="1" si="193"/>
        <v>0 WEEK</v>
      </c>
      <c r="Y705" s="794">
        <f t="shared" si="202"/>
        <v>0</v>
      </c>
      <c r="Z705" s="541" cm="1">
        <f t="array" aca="1" ref="Z705" ca="1">_xlfn.IFS(AD705&lt;100,Y705,Y705&lt;TODAY(),TODAY(),Y705&gt;TODAY(),Y705,Y705=TODAY(),Y705)</f>
        <v>0</v>
      </c>
      <c r="AD705" s="298">
        <f t="shared" si="205"/>
        <v>0</v>
      </c>
      <c r="AE705" s="299" t="str">
        <f t="shared" si="206"/>
        <v>Complete</v>
      </c>
      <c r="AI705" s="301">
        <f t="shared" ca="1" si="203"/>
        <v>0</v>
      </c>
      <c r="AJ705" s="302">
        <f t="shared" ca="1" si="204"/>
        <v>0</v>
      </c>
      <c r="AL705" s="303">
        <f t="shared" si="207"/>
        <v>0</v>
      </c>
      <c r="AM705" s="303">
        <f t="shared" si="208"/>
        <v>0</v>
      </c>
      <c r="AN705" s="303">
        <f t="shared" si="209"/>
        <v>0</v>
      </c>
      <c r="AO705" s="304">
        <f t="shared" si="210"/>
        <v>0</v>
      </c>
      <c r="AP705" s="273">
        <f t="shared" si="212"/>
        <v>1</v>
      </c>
      <c r="AQ705" s="273" t="str">
        <f t="shared" ca="1" si="211"/>
        <v>11900</v>
      </c>
    </row>
    <row r="706" spans="1:43" ht="18">
      <c r="D706" s="917"/>
      <c r="F706" s="273"/>
      <c r="O706" s="671"/>
      <c r="P706" s="924">
        <v>0</v>
      </c>
      <c r="Q706" s="668"/>
      <c r="V706" s="340">
        <f t="shared" ca="1" si="217"/>
        <v>1</v>
      </c>
      <c r="W706" s="594">
        <f t="shared" ca="1" si="218"/>
        <v>1900</v>
      </c>
      <c r="X706" s="340" t="str">
        <f t="shared" ca="1" si="193"/>
        <v>0 WEEK</v>
      </c>
      <c r="Y706" s="794">
        <f t="shared" si="202"/>
        <v>0</v>
      </c>
      <c r="Z706" s="541" cm="1">
        <f t="array" aca="1" ref="Z706" ca="1">_xlfn.IFS(AD706&lt;100,Y706,Y706&lt;TODAY(),TODAY(),Y706&gt;TODAY(),Y706,Y706=TODAY(),Y706)</f>
        <v>0</v>
      </c>
      <c r="AD706" s="298">
        <f t="shared" si="205"/>
        <v>0</v>
      </c>
      <c r="AE706" s="299" t="str">
        <f t="shared" si="206"/>
        <v>Complete</v>
      </c>
      <c r="AI706" s="301">
        <f t="shared" ref="AI706:AI769" ca="1" si="221">Z706-Y706</f>
        <v>0</v>
      </c>
      <c r="AJ706" s="302">
        <f t="shared" ref="AJ706:AJ769" ca="1" si="222">IF(AI706&gt;1,"Delayed",0)</f>
        <v>0</v>
      </c>
      <c r="AL706" s="303">
        <f t="shared" si="207"/>
        <v>0</v>
      </c>
      <c r="AM706" s="303">
        <f t="shared" si="208"/>
        <v>0</v>
      </c>
      <c r="AN706" s="303">
        <f t="shared" si="209"/>
        <v>0</v>
      </c>
      <c r="AO706" s="304">
        <f t="shared" si="210"/>
        <v>0</v>
      </c>
      <c r="AP706" s="273">
        <f t="shared" si="212"/>
        <v>1</v>
      </c>
      <c r="AQ706" s="273" t="str">
        <f t="shared" ca="1" si="211"/>
        <v>11900</v>
      </c>
    </row>
    <row r="707" spans="1:43" ht="18">
      <c r="D707" s="917"/>
      <c r="F707" s="273"/>
      <c r="O707" s="671"/>
      <c r="P707" s="924">
        <v>0</v>
      </c>
      <c r="Q707" s="668"/>
      <c r="V707" s="340">
        <f t="shared" ca="1" si="217"/>
        <v>1</v>
      </c>
      <c r="W707" s="594">
        <f t="shared" ca="1" si="218"/>
        <v>1900</v>
      </c>
      <c r="X707" s="340" t="str">
        <f t="shared" ca="1" si="193"/>
        <v>0 WEEK</v>
      </c>
      <c r="Y707" s="794">
        <f t="shared" si="202"/>
        <v>0</v>
      </c>
      <c r="Z707" s="541" cm="1">
        <f t="array" aca="1" ref="Z707" ca="1">_xlfn.IFS(AD707&lt;100,Y707,Y707&lt;TODAY(),TODAY(),Y707&gt;TODAY(),Y707,Y707=TODAY(),Y707)</f>
        <v>0</v>
      </c>
      <c r="AD707" s="298">
        <f t="shared" ref="AD707:AD770" si="223">ROUND(AA707-AB707-AC707,0)</f>
        <v>0</v>
      </c>
      <c r="AE707" s="299" t="str">
        <f t="shared" ref="AE707:AE770" si="224">IF(AD707&lt;100,"Complete","Incomplete")</f>
        <v>Complete</v>
      </c>
      <c r="AI707" s="301">
        <f t="shared" ca="1" si="221"/>
        <v>0</v>
      </c>
      <c r="AJ707" s="302">
        <f t="shared" ca="1" si="222"/>
        <v>0</v>
      </c>
      <c r="AL707" s="303">
        <f t="shared" ref="AL707:AL770" si="225">I707-J707</f>
        <v>0</v>
      </c>
      <c r="AM707" s="303">
        <f t="shared" ref="AM707:AM770" si="226">IFERROR(I707-R707,0)</f>
        <v>0</v>
      </c>
      <c r="AN707" s="303">
        <f t="shared" ref="AN707:AN770" si="227">IFERROR(R707-J707,0)</f>
        <v>0</v>
      </c>
      <c r="AO707" s="304">
        <f t="shared" ref="AO707:AO770" si="228">IFERROR(P707/J707,0)</f>
        <v>0</v>
      </c>
      <c r="AP707" s="273">
        <f t="shared" si="212"/>
        <v>1</v>
      </c>
      <c r="AQ707" s="273" t="str">
        <f t="shared" ref="AQ707:AQ770" ca="1" si="229">AP707&amp;W707</f>
        <v>11900</v>
      </c>
    </row>
    <row r="708" spans="1:43" ht="18">
      <c r="A708" s="312">
        <v>36</v>
      </c>
      <c r="B708" s="340" t="s">
        <v>2292</v>
      </c>
      <c r="C708" s="273" t="s">
        <v>2293</v>
      </c>
      <c r="D708" s="273" t="s">
        <v>2294</v>
      </c>
      <c r="E708" s="304">
        <v>0</v>
      </c>
      <c r="F708" s="739">
        <v>0.5</v>
      </c>
      <c r="P708" s="447">
        <v>0</v>
      </c>
      <c r="R708" s="741" t="e">
        <v>#VALUE!</v>
      </c>
      <c r="V708" s="340">
        <f t="shared" ca="1" si="217"/>
        <v>1</v>
      </c>
      <c r="W708" s="594">
        <f t="shared" ca="1" si="218"/>
        <v>1900</v>
      </c>
      <c r="X708" s="340" t="str">
        <f t="shared" ca="1" si="193"/>
        <v>0 WEEK</v>
      </c>
      <c r="Y708" s="794">
        <f t="shared" si="202"/>
        <v>0</v>
      </c>
      <c r="Z708" s="541" cm="1">
        <f t="array" aca="1" ref="Z708" ca="1">_xlfn.IFS(AD708&lt;100,Y708,Y708&lt;TODAY(),TODAY(),Y708&gt;TODAY(),Y708,Y708=TODAY(),Y708)</f>
        <v>0</v>
      </c>
      <c r="AD708" s="298">
        <f t="shared" si="223"/>
        <v>0</v>
      </c>
      <c r="AE708" s="299" t="str">
        <f t="shared" si="224"/>
        <v>Complete</v>
      </c>
      <c r="AI708" s="301">
        <f t="shared" ca="1" si="221"/>
        <v>0</v>
      </c>
      <c r="AJ708" s="302">
        <f t="shared" ca="1" si="222"/>
        <v>0</v>
      </c>
      <c r="AL708" s="303">
        <f t="shared" si="225"/>
        <v>0</v>
      </c>
      <c r="AM708" s="303">
        <f t="shared" si="226"/>
        <v>0</v>
      </c>
      <c r="AN708" s="303">
        <f t="shared" si="227"/>
        <v>0</v>
      </c>
      <c r="AO708" s="304">
        <f t="shared" si="228"/>
        <v>0</v>
      </c>
      <c r="AP708" s="273">
        <f t="shared" si="212"/>
        <v>1</v>
      </c>
      <c r="AQ708" s="273" t="str">
        <f t="shared" ca="1" si="229"/>
        <v>11900</v>
      </c>
    </row>
    <row r="709" spans="1:43" ht="16.5">
      <c r="A709" s="312">
        <v>36</v>
      </c>
      <c r="B709" s="340" t="s">
        <v>2292</v>
      </c>
      <c r="C709" s="273" t="s">
        <v>2293</v>
      </c>
      <c r="D709" s="273" t="s">
        <v>2294</v>
      </c>
      <c r="E709" s="304">
        <v>0</v>
      </c>
      <c r="F709" s="739">
        <v>0.5</v>
      </c>
      <c r="G709" s="926">
        <v>607419</v>
      </c>
      <c r="H709" s="926">
        <f t="shared" ref="H709:H717" si="230">G709*18%</f>
        <v>109335.42</v>
      </c>
      <c r="I709" s="927">
        <f t="shared" ref="I709:I717" si="231">MROUND(G709+H709,1)</f>
        <v>716754</v>
      </c>
      <c r="J709" s="928"/>
      <c r="N709" s="273" t="s">
        <v>1593</v>
      </c>
      <c r="O709" s="862" t="s">
        <v>2295</v>
      </c>
      <c r="P709" s="447">
        <v>0</v>
      </c>
      <c r="Q709" s="273" t="s">
        <v>2296</v>
      </c>
      <c r="R709" s="314">
        <v>716754</v>
      </c>
      <c r="V709" s="340">
        <f t="shared" ca="1" si="217"/>
        <v>1</v>
      </c>
      <c r="W709" s="594">
        <f t="shared" ca="1" si="218"/>
        <v>1900</v>
      </c>
      <c r="X709" s="340" t="str">
        <f t="shared" ca="1" si="193"/>
        <v>0 WEEK</v>
      </c>
      <c r="Y709" s="794">
        <f t="shared" si="202"/>
        <v>0</v>
      </c>
      <c r="Z709" s="541" cm="1">
        <f t="array" aca="1" ref="Z709" ca="1">_xlfn.IFS(AD709&lt;100,Y709,Y709&lt;TODAY(),TODAY(),Y709&gt;TODAY(),Y709,Y709=TODAY(),Y709)</f>
        <v>0</v>
      </c>
      <c r="AB709" s="307">
        <v>0</v>
      </c>
      <c r="AD709" s="298">
        <f t="shared" si="223"/>
        <v>0</v>
      </c>
      <c r="AE709" s="299" t="str">
        <f t="shared" si="224"/>
        <v>Complete</v>
      </c>
      <c r="AI709" s="301">
        <f t="shared" ca="1" si="221"/>
        <v>0</v>
      </c>
      <c r="AJ709" s="302">
        <f t="shared" ca="1" si="222"/>
        <v>0</v>
      </c>
      <c r="AL709" s="303">
        <f t="shared" si="225"/>
        <v>716754</v>
      </c>
      <c r="AM709" s="303">
        <f t="shared" si="226"/>
        <v>0</v>
      </c>
      <c r="AN709" s="303">
        <f t="shared" si="227"/>
        <v>716754</v>
      </c>
      <c r="AO709" s="304">
        <f t="shared" si="228"/>
        <v>0</v>
      </c>
      <c r="AP709" s="273">
        <f t="shared" ref="AP709:AP772" si="232">MONTH(P709)</f>
        <v>1</v>
      </c>
      <c r="AQ709" s="273" t="str">
        <f t="shared" ca="1" si="229"/>
        <v>11900</v>
      </c>
    </row>
    <row r="710" spans="1:43" ht="16.5">
      <c r="A710" s="312">
        <v>36</v>
      </c>
      <c r="B710" s="340" t="s">
        <v>2292</v>
      </c>
      <c r="C710" s="273" t="s">
        <v>2293</v>
      </c>
      <c r="D710" s="273" t="s">
        <v>2294</v>
      </c>
      <c r="E710" s="304">
        <v>0</v>
      </c>
      <c r="F710" s="739">
        <v>0.5</v>
      </c>
      <c r="G710" s="926">
        <v>728903</v>
      </c>
      <c r="H710" s="926">
        <f t="shared" si="230"/>
        <v>131202.54</v>
      </c>
      <c r="I710" s="927">
        <f t="shared" si="231"/>
        <v>860106</v>
      </c>
      <c r="J710" s="928"/>
      <c r="N710" s="273" t="s">
        <v>1593</v>
      </c>
      <c r="O710" s="862" t="s">
        <v>1975</v>
      </c>
      <c r="P710" s="447">
        <v>0</v>
      </c>
      <c r="Q710" s="273" t="s">
        <v>2296</v>
      </c>
      <c r="R710" s="314">
        <v>860106</v>
      </c>
      <c r="V710" s="340">
        <f t="shared" ca="1" si="217"/>
        <v>1</v>
      </c>
      <c r="W710" s="594">
        <f t="shared" ca="1" si="218"/>
        <v>1900</v>
      </c>
      <c r="X710" s="340" t="str">
        <f t="shared" ca="1" si="193"/>
        <v>0 WEEK</v>
      </c>
      <c r="Y710" s="794">
        <f t="shared" si="202"/>
        <v>0</v>
      </c>
      <c r="Z710" s="541" cm="1">
        <f t="array" aca="1" ref="Z710" ca="1">_xlfn.IFS(AD710&lt;100,Y710,Y710&lt;TODAY(),TODAY(),Y710&gt;TODAY(),Y710,Y710=TODAY(),Y710)</f>
        <v>0</v>
      </c>
      <c r="AD710" s="298">
        <f t="shared" si="223"/>
        <v>0</v>
      </c>
      <c r="AE710" s="299" t="str">
        <f t="shared" si="224"/>
        <v>Complete</v>
      </c>
      <c r="AI710" s="301">
        <f t="shared" ca="1" si="221"/>
        <v>0</v>
      </c>
      <c r="AJ710" s="302">
        <f t="shared" ca="1" si="222"/>
        <v>0</v>
      </c>
      <c r="AL710" s="303">
        <f t="shared" si="225"/>
        <v>860106</v>
      </c>
      <c r="AM710" s="303">
        <f t="shared" si="226"/>
        <v>0</v>
      </c>
      <c r="AN710" s="303">
        <f t="shared" si="227"/>
        <v>860106</v>
      </c>
      <c r="AO710" s="304">
        <f t="shared" si="228"/>
        <v>0</v>
      </c>
      <c r="AP710" s="273">
        <f t="shared" si="232"/>
        <v>1</v>
      </c>
      <c r="AQ710" s="273" t="str">
        <f t="shared" ca="1" si="229"/>
        <v>11900</v>
      </c>
    </row>
    <row r="711" spans="1:43" ht="16.5">
      <c r="A711" s="312">
        <v>36</v>
      </c>
      <c r="B711" s="340" t="s">
        <v>2292</v>
      </c>
      <c r="C711" s="273" t="s">
        <v>2293</v>
      </c>
      <c r="D711" s="273" t="s">
        <v>2294</v>
      </c>
      <c r="E711" s="304">
        <v>0</v>
      </c>
      <c r="F711" s="739">
        <v>0.5</v>
      </c>
      <c r="G711" s="926">
        <v>242968</v>
      </c>
      <c r="H711" s="926">
        <f t="shared" si="230"/>
        <v>43734.239999999998</v>
      </c>
      <c r="I711" s="927">
        <f t="shared" si="231"/>
        <v>286702</v>
      </c>
      <c r="J711" s="928"/>
      <c r="N711" s="273" t="s">
        <v>1593</v>
      </c>
      <c r="O711" s="862" t="s">
        <v>1986</v>
      </c>
      <c r="P711" s="447">
        <v>0</v>
      </c>
      <c r="Q711" s="273" t="s">
        <v>2296</v>
      </c>
      <c r="R711" s="314">
        <v>286702</v>
      </c>
      <c r="V711" s="340">
        <f t="shared" ca="1" si="217"/>
        <v>1</v>
      </c>
      <c r="W711" s="594">
        <f t="shared" ca="1" si="218"/>
        <v>1900</v>
      </c>
      <c r="X711" s="340" t="str">
        <f t="shared" ref="X711:X774" ca="1" si="233">INT((DAY(Z711)-1)/7)+1&amp;" WEEK"</f>
        <v>0 WEEK</v>
      </c>
      <c r="Y711" s="794">
        <f t="shared" si="202"/>
        <v>0</v>
      </c>
      <c r="Z711" s="541" cm="1">
        <f t="array" aca="1" ref="Z711" ca="1">_xlfn.IFS(AD711&lt;100,Y711,Y711&lt;TODAY(),TODAY(),Y711&gt;TODAY(),Y711,Y711=TODAY(),Y711)</f>
        <v>0</v>
      </c>
      <c r="AD711" s="298">
        <f t="shared" si="223"/>
        <v>0</v>
      </c>
      <c r="AE711" s="299" t="str">
        <f t="shared" si="224"/>
        <v>Complete</v>
      </c>
      <c r="AI711" s="301">
        <f t="shared" ca="1" si="221"/>
        <v>0</v>
      </c>
      <c r="AJ711" s="302">
        <f t="shared" ca="1" si="222"/>
        <v>0</v>
      </c>
      <c r="AL711" s="303">
        <f t="shared" si="225"/>
        <v>286702</v>
      </c>
      <c r="AM711" s="303">
        <f t="shared" si="226"/>
        <v>0</v>
      </c>
      <c r="AN711" s="303">
        <f t="shared" si="227"/>
        <v>286702</v>
      </c>
      <c r="AO711" s="304">
        <f t="shared" si="228"/>
        <v>0</v>
      </c>
      <c r="AP711" s="273">
        <f t="shared" si="232"/>
        <v>1</v>
      </c>
      <c r="AQ711" s="273" t="str">
        <f t="shared" ca="1" si="229"/>
        <v>11900</v>
      </c>
    </row>
    <row r="712" spans="1:43" ht="16.5">
      <c r="A712" s="312">
        <v>36</v>
      </c>
      <c r="B712" s="340" t="s">
        <v>2292</v>
      </c>
      <c r="C712" s="273" t="s">
        <v>2293</v>
      </c>
      <c r="D712" s="273" t="s">
        <v>2294</v>
      </c>
      <c r="E712" s="304">
        <v>0</v>
      </c>
      <c r="F712" s="739">
        <v>0.5</v>
      </c>
      <c r="G712" s="926">
        <v>242968</v>
      </c>
      <c r="H712" s="926">
        <f t="shared" si="230"/>
        <v>43734.239999999998</v>
      </c>
      <c r="I712" s="927">
        <f t="shared" si="231"/>
        <v>286702</v>
      </c>
      <c r="J712" s="928"/>
      <c r="N712" s="273" t="s">
        <v>1593</v>
      </c>
      <c r="O712" s="862" t="s">
        <v>1989</v>
      </c>
      <c r="P712" s="447">
        <v>0</v>
      </c>
      <c r="Q712" s="273" t="s">
        <v>2296</v>
      </c>
      <c r="R712" s="314">
        <v>286702</v>
      </c>
      <c r="V712" s="340">
        <f t="shared" ca="1" si="217"/>
        <v>1</v>
      </c>
      <c r="W712" s="594">
        <f t="shared" ca="1" si="218"/>
        <v>1900</v>
      </c>
      <c r="X712" s="340" t="str">
        <f t="shared" ca="1" si="233"/>
        <v>0 WEEK</v>
      </c>
      <c r="Y712" s="794">
        <f t="shared" si="202"/>
        <v>0</v>
      </c>
      <c r="Z712" s="541" cm="1">
        <f t="array" aca="1" ref="Z712" ca="1">_xlfn.IFS(AD712&lt;100,Y712,Y712&lt;TODAY(),TODAY(),Y712&gt;TODAY(),Y712,Y712=TODAY(),Y712)</f>
        <v>0</v>
      </c>
      <c r="AD712" s="298">
        <f t="shared" si="223"/>
        <v>0</v>
      </c>
      <c r="AE712" s="299" t="str">
        <f t="shared" si="224"/>
        <v>Complete</v>
      </c>
      <c r="AI712" s="301">
        <f t="shared" ca="1" si="221"/>
        <v>0</v>
      </c>
      <c r="AJ712" s="302">
        <f t="shared" ca="1" si="222"/>
        <v>0</v>
      </c>
      <c r="AL712" s="303">
        <f t="shared" si="225"/>
        <v>286702</v>
      </c>
      <c r="AM712" s="303">
        <f t="shared" si="226"/>
        <v>0</v>
      </c>
      <c r="AN712" s="303">
        <f t="shared" si="227"/>
        <v>286702</v>
      </c>
      <c r="AO712" s="304">
        <f t="shared" si="228"/>
        <v>0</v>
      </c>
      <c r="AP712" s="273">
        <f t="shared" si="232"/>
        <v>1</v>
      </c>
      <c r="AQ712" s="273" t="str">
        <f t="shared" ca="1" si="229"/>
        <v>11900</v>
      </c>
    </row>
    <row r="713" spans="1:43" ht="16.5">
      <c r="A713" s="312">
        <v>36</v>
      </c>
      <c r="B713" s="340" t="s">
        <v>2292</v>
      </c>
      <c r="C713" s="273" t="s">
        <v>2293</v>
      </c>
      <c r="D713" s="273" t="s">
        <v>2294</v>
      </c>
      <c r="E713" s="304">
        <v>0</v>
      </c>
      <c r="F713" s="739">
        <v>0.5</v>
      </c>
      <c r="G713" s="926">
        <v>364452</v>
      </c>
      <c r="H713" s="926">
        <f t="shared" si="230"/>
        <v>65601.36</v>
      </c>
      <c r="I713" s="927">
        <f t="shared" si="231"/>
        <v>430053</v>
      </c>
      <c r="J713" s="928"/>
      <c r="N713" s="273" t="s">
        <v>1593</v>
      </c>
      <c r="O713" s="862" t="s">
        <v>2297</v>
      </c>
      <c r="P713" s="447">
        <v>0</v>
      </c>
      <c r="Q713" s="273" t="s">
        <v>2296</v>
      </c>
      <c r="R713" s="314">
        <v>430053</v>
      </c>
      <c r="V713" s="340">
        <f t="shared" ca="1" si="217"/>
        <v>1</v>
      </c>
      <c r="W713" s="594">
        <f t="shared" ca="1" si="218"/>
        <v>1900</v>
      </c>
      <c r="X713" s="340" t="str">
        <f t="shared" ca="1" si="233"/>
        <v>0 WEEK</v>
      </c>
      <c r="Y713" s="794">
        <f t="shared" si="202"/>
        <v>0</v>
      </c>
      <c r="Z713" s="541" cm="1">
        <f t="array" aca="1" ref="Z713" ca="1">_xlfn.IFS(AD713&lt;100,Y713,Y713&lt;TODAY(),TODAY(),Y713&gt;TODAY(),Y713,Y713=TODAY(),Y713)</f>
        <v>0</v>
      </c>
      <c r="AD713" s="298">
        <f t="shared" si="223"/>
        <v>0</v>
      </c>
      <c r="AE713" s="299" t="str">
        <f t="shared" si="224"/>
        <v>Complete</v>
      </c>
      <c r="AI713" s="301">
        <f t="shared" ca="1" si="221"/>
        <v>0</v>
      </c>
      <c r="AJ713" s="302">
        <f t="shared" ca="1" si="222"/>
        <v>0</v>
      </c>
      <c r="AL713" s="303">
        <f t="shared" si="225"/>
        <v>430053</v>
      </c>
      <c r="AM713" s="303">
        <f t="shared" si="226"/>
        <v>0</v>
      </c>
      <c r="AN713" s="303">
        <f t="shared" si="227"/>
        <v>430053</v>
      </c>
      <c r="AO713" s="304">
        <f t="shared" si="228"/>
        <v>0</v>
      </c>
      <c r="AP713" s="273">
        <f t="shared" si="232"/>
        <v>1</v>
      </c>
      <c r="AQ713" s="273" t="str">
        <f t="shared" ca="1" si="229"/>
        <v>11900</v>
      </c>
    </row>
    <row r="714" spans="1:43" ht="16.5">
      <c r="A714" s="312">
        <v>36</v>
      </c>
      <c r="B714" s="340" t="s">
        <v>2292</v>
      </c>
      <c r="C714" s="273" t="s">
        <v>2293</v>
      </c>
      <c r="D714" s="273" t="s">
        <v>2294</v>
      </c>
      <c r="E714" s="304">
        <v>0</v>
      </c>
      <c r="F714" s="739">
        <v>0.5</v>
      </c>
      <c r="G714" s="926">
        <v>242968</v>
      </c>
      <c r="H714" s="926">
        <f t="shared" si="230"/>
        <v>43734.239999999998</v>
      </c>
      <c r="I714" s="927">
        <f t="shared" si="231"/>
        <v>286702</v>
      </c>
      <c r="J714" s="928"/>
      <c r="N714" s="273" t="s">
        <v>1593</v>
      </c>
      <c r="O714" s="862" t="s">
        <v>2298</v>
      </c>
      <c r="P714" s="447">
        <v>0</v>
      </c>
      <c r="Q714" s="273" t="s">
        <v>2296</v>
      </c>
      <c r="R714" s="314">
        <v>286702</v>
      </c>
      <c r="V714" s="340">
        <f t="shared" ca="1" si="217"/>
        <v>1</v>
      </c>
      <c r="W714" s="594">
        <f t="shared" ca="1" si="218"/>
        <v>1900</v>
      </c>
      <c r="X714" s="340" t="str">
        <f t="shared" ca="1" si="233"/>
        <v>0 WEEK</v>
      </c>
      <c r="Y714" s="794">
        <f t="shared" si="202"/>
        <v>0</v>
      </c>
      <c r="Z714" s="541" cm="1">
        <f t="array" aca="1" ref="Z714" ca="1">_xlfn.IFS(AD714&lt;100,Y714,Y714&lt;TODAY(),TODAY(),Y714&gt;TODAY(),Y714,Y714=TODAY(),Y714)</f>
        <v>0</v>
      </c>
      <c r="AD714" s="298">
        <f t="shared" si="223"/>
        <v>0</v>
      </c>
      <c r="AE714" s="299" t="str">
        <f t="shared" si="224"/>
        <v>Complete</v>
      </c>
      <c r="AI714" s="301">
        <f t="shared" ca="1" si="221"/>
        <v>0</v>
      </c>
      <c r="AJ714" s="302">
        <f t="shared" ca="1" si="222"/>
        <v>0</v>
      </c>
      <c r="AL714" s="303">
        <f t="shared" si="225"/>
        <v>286702</v>
      </c>
      <c r="AM714" s="303">
        <f t="shared" si="226"/>
        <v>0</v>
      </c>
      <c r="AN714" s="303">
        <f t="shared" si="227"/>
        <v>286702</v>
      </c>
      <c r="AO714" s="304">
        <f t="shared" si="228"/>
        <v>0</v>
      </c>
      <c r="AP714" s="273">
        <f t="shared" si="232"/>
        <v>1</v>
      </c>
      <c r="AQ714" s="273" t="str">
        <f t="shared" ca="1" si="229"/>
        <v>11900</v>
      </c>
    </row>
    <row r="715" spans="1:43" ht="16.5">
      <c r="A715" s="312">
        <v>36</v>
      </c>
      <c r="B715" s="340" t="s">
        <v>2292</v>
      </c>
      <c r="C715" s="273" t="s">
        <v>2293</v>
      </c>
      <c r="D715" s="273" t="s">
        <v>2294</v>
      </c>
      <c r="E715" s="304">
        <v>0</v>
      </c>
      <c r="F715" s="739">
        <v>0.5</v>
      </c>
      <c r="G715" s="926">
        <v>161979</v>
      </c>
      <c r="H715" s="926">
        <f t="shared" si="230"/>
        <v>29156.219999999998</v>
      </c>
      <c r="I715" s="927">
        <f t="shared" si="231"/>
        <v>191135</v>
      </c>
      <c r="J715" s="928"/>
      <c r="N715" s="273" t="s">
        <v>1593</v>
      </c>
      <c r="O715" s="862" t="s">
        <v>2299</v>
      </c>
      <c r="P715" s="447">
        <v>0</v>
      </c>
      <c r="Q715" s="273" t="s">
        <v>2296</v>
      </c>
      <c r="R715" s="314">
        <v>191135</v>
      </c>
      <c r="V715" s="340">
        <f t="shared" ca="1" si="217"/>
        <v>1</v>
      </c>
      <c r="W715" s="594">
        <f t="shared" ca="1" si="218"/>
        <v>1900</v>
      </c>
      <c r="X715" s="340" t="str">
        <f t="shared" ca="1" si="233"/>
        <v>0 WEEK</v>
      </c>
      <c r="Y715" s="794">
        <f t="shared" si="202"/>
        <v>0</v>
      </c>
      <c r="Z715" s="541" cm="1">
        <f t="array" aca="1" ref="Z715" ca="1">_xlfn.IFS(AD715&lt;100,Y715,Y715&lt;TODAY(),TODAY(),Y715&gt;TODAY(),Y715,Y715=TODAY(),Y715)</f>
        <v>0</v>
      </c>
      <c r="AD715" s="298">
        <f t="shared" si="223"/>
        <v>0</v>
      </c>
      <c r="AE715" s="299" t="str">
        <f t="shared" si="224"/>
        <v>Complete</v>
      </c>
      <c r="AI715" s="301">
        <f t="shared" ca="1" si="221"/>
        <v>0</v>
      </c>
      <c r="AJ715" s="302">
        <f t="shared" ca="1" si="222"/>
        <v>0</v>
      </c>
      <c r="AL715" s="303">
        <f t="shared" si="225"/>
        <v>191135</v>
      </c>
      <c r="AM715" s="303">
        <f t="shared" si="226"/>
        <v>0</v>
      </c>
      <c r="AN715" s="303">
        <f t="shared" si="227"/>
        <v>191135</v>
      </c>
      <c r="AO715" s="304">
        <f t="shared" si="228"/>
        <v>0</v>
      </c>
      <c r="AP715" s="273">
        <f t="shared" si="232"/>
        <v>1</v>
      </c>
      <c r="AQ715" s="273" t="str">
        <f t="shared" ca="1" si="229"/>
        <v>11900</v>
      </c>
    </row>
    <row r="716" spans="1:43" ht="16.5">
      <c r="A716" s="312">
        <v>36</v>
      </c>
      <c r="B716" s="340" t="s">
        <v>2292</v>
      </c>
      <c r="C716" s="273" t="s">
        <v>2293</v>
      </c>
      <c r="D716" s="273" t="s">
        <v>2294</v>
      </c>
      <c r="E716" s="304">
        <v>0</v>
      </c>
      <c r="F716" s="739">
        <v>0.5</v>
      </c>
      <c r="G716" s="926">
        <v>161979</v>
      </c>
      <c r="H716" s="926">
        <f t="shared" si="230"/>
        <v>29156.219999999998</v>
      </c>
      <c r="I716" s="927">
        <f t="shared" si="231"/>
        <v>191135</v>
      </c>
      <c r="J716" s="928"/>
      <c r="N716" s="273" t="s">
        <v>1593</v>
      </c>
      <c r="O716" s="862" t="s">
        <v>2300</v>
      </c>
      <c r="P716" s="447">
        <v>0</v>
      </c>
      <c r="Q716" s="273" t="s">
        <v>2301</v>
      </c>
      <c r="R716" s="314">
        <v>191135</v>
      </c>
      <c r="V716" s="340">
        <f t="shared" ca="1" si="217"/>
        <v>1</v>
      </c>
      <c r="W716" s="594">
        <f t="shared" ca="1" si="218"/>
        <v>1900</v>
      </c>
      <c r="X716" s="340" t="str">
        <f t="shared" ca="1" si="233"/>
        <v>0 WEEK</v>
      </c>
      <c r="Y716" s="794">
        <f t="shared" si="202"/>
        <v>0</v>
      </c>
      <c r="Z716" s="541" cm="1">
        <f t="array" aca="1" ref="Z716" ca="1">_xlfn.IFS(AD716&lt;100,Y716,Y716&lt;TODAY(),TODAY(),Y716&gt;TODAY(),Y716,Y716=TODAY(),Y716)</f>
        <v>0</v>
      </c>
      <c r="AD716" s="298">
        <f t="shared" si="223"/>
        <v>0</v>
      </c>
      <c r="AE716" s="299" t="str">
        <f t="shared" si="224"/>
        <v>Complete</v>
      </c>
      <c r="AI716" s="301">
        <f t="shared" ca="1" si="221"/>
        <v>0</v>
      </c>
      <c r="AJ716" s="302">
        <f t="shared" ca="1" si="222"/>
        <v>0</v>
      </c>
      <c r="AL716" s="303">
        <f t="shared" si="225"/>
        <v>191135</v>
      </c>
      <c r="AM716" s="303">
        <f t="shared" si="226"/>
        <v>0</v>
      </c>
      <c r="AN716" s="303">
        <f t="shared" si="227"/>
        <v>191135</v>
      </c>
      <c r="AO716" s="304">
        <f t="shared" si="228"/>
        <v>0</v>
      </c>
      <c r="AP716" s="273">
        <f t="shared" si="232"/>
        <v>1</v>
      </c>
      <c r="AQ716" s="273" t="str">
        <f t="shared" ca="1" si="229"/>
        <v>11900</v>
      </c>
    </row>
    <row r="717" spans="1:43" ht="16.5">
      <c r="A717" s="312">
        <v>36</v>
      </c>
      <c r="B717" s="340" t="s">
        <v>2292</v>
      </c>
      <c r="C717" s="273" t="s">
        <v>2293</v>
      </c>
      <c r="D717" s="273" t="s">
        <v>2294</v>
      </c>
      <c r="E717" s="304">
        <v>0</v>
      </c>
      <c r="F717" s="739">
        <v>0.5</v>
      </c>
      <c r="G717" s="926">
        <v>242968</v>
      </c>
      <c r="H717" s="926">
        <f t="shared" si="230"/>
        <v>43734.239999999998</v>
      </c>
      <c r="I717" s="927">
        <f t="shared" si="231"/>
        <v>286702</v>
      </c>
      <c r="J717" s="928"/>
      <c r="N717" s="273" t="s">
        <v>1593</v>
      </c>
      <c r="O717" s="862" t="s">
        <v>1999</v>
      </c>
      <c r="P717" s="447">
        <v>0</v>
      </c>
      <c r="Q717" s="273" t="s">
        <v>2302</v>
      </c>
      <c r="R717" s="314">
        <v>191135</v>
      </c>
      <c r="V717" s="340">
        <f t="shared" ca="1" si="217"/>
        <v>1</v>
      </c>
      <c r="W717" s="594">
        <f t="shared" ca="1" si="218"/>
        <v>1900</v>
      </c>
      <c r="X717" s="340" t="str">
        <f t="shared" ca="1" si="233"/>
        <v>0 WEEK</v>
      </c>
      <c r="Y717" s="794">
        <f t="shared" si="202"/>
        <v>0</v>
      </c>
      <c r="Z717" s="541" cm="1">
        <f t="array" aca="1" ref="Z717" ca="1">_xlfn.IFS(AD717&lt;100,Y717,Y717&lt;TODAY(),TODAY(),Y717&gt;TODAY(),Y717,Y717=TODAY(),Y717)</f>
        <v>0</v>
      </c>
      <c r="AD717" s="298">
        <f t="shared" si="223"/>
        <v>0</v>
      </c>
      <c r="AE717" s="299" t="str">
        <f t="shared" si="224"/>
        <v>Complete</v>
      </c>
      <c r="AI717" s="301">
        <f t="shared" ca="1" si="221"/>
        <v>0</v>
      </c>
      <c r="AJ717" s="302">
        <f t="shared" ca="1" si="222"/>
        <v>0</v>
      </c>
      <c r="AL717" s="303">
        <f t="shared" si="225"/>
        <v>286702</v>
      </c>
      <c r="AM717" s="303">
        <f t="shared" si="226"/>
        <v>95567</v>
      </c>
      <c r="AN717" s="303">
        <f t="shared" si="227"/>
        <v>191135</v>
      </c>
      <c r="AO717" s="304">
        <f t="shared" si="228"/>
        <v>0</v>
      </c>
      <c r="AP717" s="273">
        <f t="shared" si="232"/>
        <v>1</v>
      </c>
      <c r="AQ717" s="273" t="str">
        <f t="shared" ca="1" si="229"/>
        <v>11900</v>
      </c>
    </row>
    <row r="718" spans="1:43" ht="16.5">
      <c r="A718" s="312">
        <v>36</v>
      </c>
      <c r="B718" s="340" t="s">
        <v>2292</v>
      </c>
      <c r="C718" s="273" t="s">
        <v>2293</v>
      </c>
      <c r="D718" s="273" t="s">
        <v>2294</v>
      </c>
      <c r="E718" s="304">
        <v>0</v>
      </c>
      <c r="F718" s="739">
        <v>0.5</v>
      </c>
      <c r="G718" s="926"/>
      <c r="H718" s="926"/>
      <c r="I718" s="927"/>
      <c r="J718" s="928"/>
      <c r="N718" s="273" t="s">
        <v>1593</v>
      </c>
      <c r="P718" s="447">
        <v>0</v>
      </c>
      <c r="Q718" s="273" t="s">
        <v>2296</v>
      </c>
      <c r="R718" s="314">
        <v>95568</v>
      </c>
      <c r="V718" s="340">
        <f t="shared" ca="1" si="217"/>
        <v>1</v>
      </c>
      <c r="W718" s="594">
        <f t="shared" ca="1" si="218"/>
        <v>1900</v>
      </c>
      <c r="X718" s="340" t="str">
        <f t="shared" ca="1" si="233"/>
        <v>0 WEEK</v>
      </c>
      <c r="Y718" s="794">
        <f t="shared" si="202"/>
        <v>0</v>
      </c>
      <c r="Z718" s="541" cm="1">
        <f t="array" aca="1" ref="Z718" ca="1">_xlfn.IFS(AD718&lt;100,Y718,Y718&lt;TODAY(),TODAY(),Y718&gt;TODAY(),Y718,Y718=TODAY(),Y718)</f>
        <v>0</v>
      </c>
      <c r="AD718" s="298">
        <f t="shared" si="223"/>
        <v>0</v>
      </c>
      <c r="AE718" s="299" t="str">
        <f t="shared" si="224"/>
        <v>Complete</v>
      </c>
      <c r="AI718" s="301">
        <f t="shared" ca="1" si="221"/>
        <v>0</v>
      </c>
      <c r="AJ718" s="302">
        <f t="shared" ca="1" si="222"/>
        <v>0</v>
      </c>
      <c r="AL718" s="303">
        <f t="shared" si="225"/>
        <v>0</v>
      </c>
      <c r="AM718" s="303">
        <f t="shared" si="226"/>
        <v>-95568</v>
      </c>
      <c r="AN718" s="303">
        <f t="shared" si="227"/>
        <v>95568</v>
      </c>
      <c r="AO718" s="304">
        <f t="shared" si="228"/>
        <v>0</v>
      </c>
      <c r="AP718" s="273">
        <f t="shared" si="232"/>
        <v>1</v>
      </c>
      <c r="AQ718" s="273" t="str">
        <f t="shared" ca="1" si="229"/>
        <v>11900</v>
      </c>
    </row>
    <row r="719" spans="1:43" ht="16.5">
      <c r="A719" s="312">
        <v>36</v>
      </c>
      <c r="B719" s="340" t="s">
        <v>2292</v>
      </c>
      <c r="C719" s="273" t="s">
        <v>2293</v>
      </c>
      <c r="D719" s="273" t="s">
        <v>2294</v>
      </c>
      <c r="E719" s="304">
        <v>0</v>
      </c>
      <c r="F719" s="739">
        <v>0.5</v>
      </c>
      <c r="G719" s="926">
        <v>161979</v>
      </c>
      <c r="H719" s="926">
        <f t="shared" ref="H719:H723" si="234">G719*18%</f>
        <v>29156.219999999998</v>
      </c>
      <c r="I719" s="927">
        <f t="shared" ref="I719:I723" si="235">MROUND(G719+H719,1)</f>
        <v>191135</v>
      </c>
      <c r="J719" s="928"/>
      <c r="N719" s="273" t="s">
        <v>1593</v>
      </c>
      <c r="O719" s="862" t="s">
        <v>2003</v>
      </c>
      <c r="P719" s="447">
        <v>0</v>
      </c>
      <c r="Q719" s="273" t="s">
        <v>2296</v>
      </c>
      <c r="R719" s="314">
        <v>191135</v>
      </c>
      <c r="V719" s="340">
        <f t="shared" ca="1" si="217"/>
        <v>1</v>
      </c>
      <c r="W719" s="594">
        <f t="shared" ca="1" si="218"/>
        <v>1900</v>
      </c>
      <c r="X719" s="340" t="str">
        <f t="shared" ca="1" si="233"/>
        <v>0 WEEK</v>
      </c>
      <c r="Y719" s="794">
        <f t="shared" si="202"/>
        <v>0</v>
      </c>
      <c r="Z719" s="541" cm="1">
        <f t="array" aca="1" ref="Z719" ca="1">_xlfn.IFS(AD719&lt;100,Y719,Y719&lt;TODAY(),TODAY(),Y719&gt;TODAY(),Y719,Y719=TODAY(),Y719)</f>
        <v>0</v>
      </c>
      <c r="AD719" s="298">
        <f t="shared" si="223"/>
        <v>0</v>
      </c>
      <c r="AE719" s="299" t="str">
        <f t="shared" si="224"/>
        <v>Complete</v>
      </c>
      <c r="AI719" s="301">
        <f t="shared" ca="1" si="221"/>
        <v>0</v>
      </c>
      <c r="AJ719" s="302">
        <f t="shared" ca="1" si="222"/>
        <v>0</v>
      </c>
      <c r="AL719" s="303">
        <f t="shared" si="225"/>
        <v>191135</v>
      </c>
      <c r="AM719" s="303">
        <f t="shared" si="226"/>
        <v>0</v>
      </c>
      <c r="AN719" s="303">
        <f t="shared" si="227"/>
        <v>191135</v>
      </c>
      <c r="AO719" s="304">
        <f t="shared" si="228"/>
        <v>0</v>
      </c>
      <c r="AP719" s="273">
        <f t="shared" si="232"/>
        <v>1</v>
      </c>
      <c r="AQ719" s="273" t="str">
        <f t="shared" ca="1" si="229"/>
        <v>11900</v>
      </c>
    </row>
    <row r="720" spans="1:43" ht="16.5">
      <c r="A720" s="312">
        <v>36</v>
      </c>
      <c r="B720" s="340" t="s">
        <v>2292</v>
      </c>
      <c r="C720" s="273" t="s">
        <v>2293</v>
      </c>
      <c r="D720" s="273" t="s">
        <v>2294</v>
      </c>
      <c r="E720" s="304">
        <v>0</v>
      </c>
      <c r="F720" s="739">
        <v>0.5</v>
      </c>
      <c r="G720" s="926">
        <v>242968</v>
      </c>
      <c r="H720" s="926">
        <f t="shared" si="234"/>
        <v>43734.239999999998</v>
      </c>
      <c r="I720" s="927">
        <f t="shared" si="235"/>
        <v>286702</v>
      </c>
      <c r="J720" s="928"/>
      <c r="N720" s="273" t="s">
        <v>1593</v>
      </c>
      <c r="O720" s="862" t="s">
        <v>2303</v>
      </c>
      <c r="P720" s="447">
        <v>0</v>
      </c>
      <c r="Q720" s="273" t="s">
        <v>2296</v>
      </c>
      <c r="R720" s="314">
        <v>286702</v>
      </c>
      <c r="V720" s="340">
        <f t="shared" ca="1" si="217"/>
        <v>1</v>
      </c>
      <c r="W720" s="594">
        <f t="shared" ca="1" si="218"/>
        <v>1900</v>
      </c>
      <c r="X720" s="340" t="str">
        <f t="shared" ca="1" si="233"/>
        <v>0 WEEK</v>
      </c>
      <c r="Y720" s="794">
        <f t="shared" si="202"/>
        <v>0</v>
      </c>
      <c r="Z720" s="541" cm="1">
        <f t="array" aca="1" ref="Z720" ca="1">_xlfn.IFS(AD720&lt;100,Y720,Y720&lt;TODAY(),TODAY(),Y720&gt;TODAY(),Y720,Y720=TODAY(),Y720)</f>
        <v>0</v>
      </c>
      <c r="AD720" s="298">
        <f t="shared" si="223"/>
        <v>0</v>
      </c>
      <c r="AE720" s="299" t="str">
        <f t="shared" si="224"/>
        <v>Complete</v>
      </c>
      <c r="AI720" s="301">
        <f t="shared" ca="1" si="221"/>
        <v>0</v>
      </c>
      <c r="AJ720" s="302">
        <f t="shared" ca="1" si="222"/>
        <v>0</v>
      </c>
      <c r="AL720" s="303">
        <f t="shared" si="225"/>
        <v>286702</v>
      </c>
      <c r="AM720" s="303">
        <f t="shared" si="226"/>
        <v>0</v>
      </c>
      <c r="AN720" s="303">
        <f t="shared" si="227"/>
        <v>286702</v>
      </c>
      <c r="AO720" s="304">
        <f t="shared" si="228"/>
        <v>0</v>
      </c>
      <c r="AP720" s="273">
        <f t="shared" si="232"/>
        <v>1</v>
      </c>
      <c r="AQ720" s="273" t="str">
        <f t="shared" ca="1" si="229"/>
        <v>11900</v>
      </c>
    </row>
    <row r="721" spans="1:43" ht="16.5">
      <c r="A721" s="312">
        <v>36</v>
      </c>
      <c r="B721" s="340" t="s">
        <v>2292</v>
      </c>
      <c r="C721" s="273" t="s">
        <v>2293</v>
      </c>
      <c r="D721" s="273" t="s">
        <v>2294</v>
      </c>
      <c r="E721" s="304">
        <v>0</v>
      </c>
      <c r="F721" s="739">
        <v>0.5</v>
      </c>
      <c r="G721" s="926">
        <v>242968</v>
      </c>
      <c r="H721" s="926">
        <f t="shared" si="234"/>
        <v>43734.239999999998</v>
      </c>
      <c r="I721" s="927">
        <f t="shared" si="235"/>
        <v>286702</v>
      </c>
      <c r="J721" s="928"/>
      <c r="N721" s="273" t="s">
        <v>1593</v>
      </c>
      <c r="O721" s="862" t="s">
        <v>2304</v>
      </c>
      <c r="P721" s="447">
        <v>0</v>
      </c>
      <c r="Q721" s="273" t="s">
        <v>2296</v>
      </c>
      <c r="R721" s="314">
        <v>286702.24</v>
      </c>
      <c r="V721" s="340">
        <f t="shared" ca="1" si="217"/>
        <v>1</v>
      </c>
      <c r="W721" s="594">
        <f t="shared" ca="1" si="218"/>
        <v>1900</v>
      </c>
      <c r="X721" s="340" t="str">
        <f t="shared" ca="1" si="233"/>
        <v>0 WEEK</v>
      </c>
      <c r="Y721" s="794">
        <f t="shared" si="202"/>
        <v>0</v>
      </c>
      <c r="Z721" s="541" cm="1">
        <f t="array" aca="1" ref="Z721" ca="1">_xlfn.IFS(AD721&lt;100,Y721,Y721&lt;TODAY(),TODAY(),Y721&gt;TODAY(),Y721,Y721=TODAY(),Y721)</f>
        <v>0</v>
      </c>
      <c r="AD721" s="298">
        <f t="shared" si="223"/>
        <v>0</v>
      </c>
      <c r="AE721" s="299" t="str">
        <f t="shared" si="224"/>
        <v>Complete</v>
      </c>
      <c r="AI721" s="301">
        <f t="shared" ca="1" si="221"/>
        <v>0</v>
      </c>
      <c r="AJ721" s="302">
        <f t="shared" ca="1" si="222"/>
        <v>0</v>
      </c>
      <c r="AL721" s="303">
        <f t="shared" si="225"/>
        <v>286702</v>
      </c>
      <c r="AM721" s="303">
        <f t="shared" si="226"/>
        <v>-0.23999999999068677</v>
      </c>
      <c r="AN721" s="303">
        <f t="shared" si="227"/>
        <v>286702.24</v>
      </c>
      <c r="AO721" s="304">
        <f t="shared" si="228"/>
        <v>0</v>
      </c>
      <c r="AP721" s="273">
        <f t="shared" si="232"/>
        <v>1</v>
      </c>
      <c r="AQ721" s="273" t="str">
        <f t="shared" ca="1" si="229"/>
        <v>11900</v>
      </c>
    </row>
    <row r="722" spans="1:43" ht="16.5">
      <c r="A722" s="312">
        <v>36</v>
      </c>
      <c r="B722" s="340" t="s">
        <v>2292</v>
      </c>
      <c r="C722" s="273" t="s">
        <v>2293</v>
      </c>
      <c r="D722" s="273" t="s">
        <v>2294</v>
      </c>
      <c r="E722" s="304">
        <v>0</v>
      </c>
      <c r="F722" s="739">
        <v>0.5</v>
      </c>
      <c r="G722" s="926">
        <v>161979</v>
      </c>
      <c r="H722" s="926">
        <f t="shared" si="234"/>
        <v>29156.219999999998</v>
      </c>
      <c r="I722" s="927">
        <f t="shared" si="235"/>
        <v>191135</v>
      </c>
      <c r="J722" s="928"/>
      <c r="N722" s="273" t="s">
        <v>1593</v>
      </c>
      <c r="O722" s="862" t="s">
        <v>2305</v>
      </c>
      <c r="P722" s="447">
        <v>0</v>
      </c>
      <c r="Q722" s="273" t="s">
        <v>2296</v>
      </c>
      <c r="R722" s="314">
        <v>191135</v>
      </c>
      <c r="V722" s="340">
        <f t="shared" ca="1" si="217"/>
        <v>1</v>
      </c>
      <c r="W722" s="594">
        <f t="shared" ca="1" si="218"/>
        <v>1900</v>
      </c>
      <c r="X722" s="340" t="str">
        <f t="shared" ca="1" si="233"/>
        <v>0 WEEK</v>
      </c>
      <c r="Y722" s="794">
        <f t="shared" si="202"/>
        <v>0</v>
      </c>
      <c r="Z722" s="541" cm="1">
        <f t="array" aca="1" ref="Z722" ca="1">_xlfn.IFS(AD722&lt;100,Y722,Y722&lt;TODAY(),TODAY(),Y722&gt;TODAY(),Y722,Y722=TODAY(),Y722)</f>
        <v>0</v>
      </c>
      <c r="AD722" s="298">
        <f t="shared" si="223"/>
        <v>0</v>
      </c>
      <c r="AE722" s="299" t="str">
        <f t="shared" si="224"/>
        <v>Complete</v>
      </c>
      <c r="AI722" s="301">
        <f t="shared" ca="1" si="221"/>
        <v>0</v>
      </c>
      <c r="AJ722" s="302">
        <f t="shared" ca="1" si="222"/>
        <v>0</v>
      </c>
      <c r="AL722" s="303">
        <f t="shared" si="225"/>
        <v>191135</v>
      </c>
      <c r="AM722" s="303">
        <f t="shared" si="226"/>
        <v>0</v>
      </c>
      <c r="AN722" s="303">
        <f t="shared" si="227"/>
        <v>191135</v>
      </c>
      <c r="AO722" s="304">
        <f t="shared" si="228"/>
        <v>0</v>
      </c>
      <c r="AP722" s="273">
        <f t="shared" si="232"/>
        <v>1</v>
      </c>
      <c r="AQ722" s="273" t="str">
        <f t="shared" ca="1" si="229"/>
        <v>11900</v>
      </c>
    </row>
    <row r="723" spans="1:43" ht="16.5">
      <c r="A723" s="312">
        <v>36</v>
      </c>
      <c r="B723" s="340" t="s">
        <v>2292</v>
      </c>
      <c r="C723" s="273" t="s">
        <v>2293</v>
      </c>
      <c r="D723" s="273" t="s">
        <v>2294</v>
      </c>
      <c r="E723" s="304">
        <v>0</v>
      </c>
      <c r="F723" s="739">
        <v>0.5</v>
      </c>
      <c r="G723" s="926">
        <v>242968</v>
      </c>
      <c r="H723" s="926">
        <f t="shared" si="234"/>
        <v>43734.239999999998</v>
      </c>
      <c r="I723" s="927">
        <f t="shared" si="235"/>
        <v>286702</v>
      </c>
      <c r="J723" s="928"/>
      <c r="N723" s="273" t="s">
        <v>1593</v>
      </c>
      <c r="O723" s="862" t="s">
        <v>2306</v>
      </c>
      <c r="P723" s="447">
        <v>0</v>
      </c>
      <c r="Q723" s="273" t="s">
        <v>2307</v>
      </c>
      <c r="R723" s="314">
        <v>143351</v>
      </c>
      <c r="V723" s="340">
        <f t="shared" ca="1" si="217"/>
        <v>1</v>
      </c>
      <c r="W723" s="594">
        <f t="shared" ca="1" si="218"/>
        <v>1900</v>
      </c>
      <c r="X723" s="340" t="str">
        <f t="shared" ca="1" si="233"/>
        <v>0 WEEK</v>
      </c>
      <c r="Y723" s="794">
        <f t="shared" si="202"/>
        <v>0</v>
      </c>
      <c r="Z723" s="541" cm="1">
        <f t="array" aca="1" ref="Z723" ca="1">_xlfn.IFS(AD723&lt;100,Y723,Y723&lt;TODAY(),TODAY(),Y723&gt;TODAY(),Y723,Y723=TODAY(),Y723)</f>
        <v>0</v>
      </c>
      <c r="AD723" s="298">
        <f t="shared" si="223"/>
        <v>0</v>
      </c>
      <c r="AE723" s="299" t="str">
        <f t="shared" si="224"/>
        <v>Complete</v>
      </c>
      <c r="AI723" s="301">
        <f t="shared" ca="1" si="221"/>
        <v>0</v>
      </c>
      <c r="AJ723" s="302">
        <f t="shared" ca="1" si="222"/>
        <v>0</v>
      </c>
      <c r="AL723" s="303">
        <f t="shared" si="225"/>
        <v>286702</v>
      </c>
      <c r="AM723" s="303">
        <f t="shared" si="226"/>
        <v>143351</v>
      </c>
      <c r="AN723" s="303">
        <f t="shared" si="227"/>
        <v>143351</v>
      </c>
      <c r="AO723" s="304">
        <f t="shared" si="228"/>
        <v>0</v>
      </c>
      <c r="AP723" s="273">
        <f t="shared" si="232"/>
        <v>1</v>
      </c>
      <c r="AQ723" s="273" t="str">
        <f t="shared" ca="1" si="229"/>
        <v>11900</v>
      </c>
    </row>
    <row r="724" spans="1:43">
      <c r="A724" s="312">
        <v>36</v>
      </c>
      <c r="B724" s="340" t="s">
        <v>2292</v>
      </c>
      <c r="C724" s="273" t="s">
        <v>2293</v>
      </c>
      <c r="D724" s="273" t="s">
        <v>2294</v>
      </c>
      <c r="E724" s="304">
        <v>0</v>
      </c>
      <c r="F724" s="739">
        <v>0.5</v>
      </c>
      <c r="N724" s="273" t="s">
        <v>1593</v>
      </c>
      <c r="O724" s="862" t="s">
        <v>2306</v>
      </c>
      <c r="P724" s="447">
        <v>0</v>
      </c>
      <c r="Q724" s="273" t="s">
        <v>2308</v>
      </c>
      <c r="R724" s="314">
        <v>143351</v>
      </c>
      <c r="V724" s="340">
        <f t="shared" ca="1" si="217"/>
        <v>1</v>
      </c>
      <c r="W724" s="594">
        <f t="shared" ca="1" si="218"/>
        <v>1900</v>
      </c>
      <c r="X724" s="340" t="str">
        <f t="shared" ca="1" si="233"/>
        <v>0 WEEK</v>
      </c>
      <c r="Y724" s="794">
        <f t="shared" si="202"/>
        <v>0</v>
      </c>
      <c r="Z724" s="541" cm="1">
        <f t="array" aca="1" ref="Z724" ca="1">_xlfn.IFS(AD724&lt;100,Y724,Y724&lt;TODAY(),TODAY(),Y724&gt;TODAY(),Y724,Y724=TODAY(),Y724)</f>
        <v>0</v>
      </c>
      <c r="AD724" s="298">
        <f t="shared" si="223"/>
        <v>0</v>
      </c>
      <c r="AE724" s="299" t="str">
        <f t="shared" si="224"/>
        <v>Complete</v>
      </c>
      <c r="AI724" s="301">
        <f t="shared" ca="1" si="221"/>
        <v>0</v>
      </c>
      <c r="AJ724" s="302">
        <f t="shared" ca="1" si="222"/>
        <v>0</v>
      </c>
      <c r="AL724" s="303">
        <f t="shared" si="225"/>
        <v>0</v>
      </c>
      <c r="AM724" s="303">
        <f t="shared" si="226"/>
        <v>-143351</v>
      </c>
      <c r="AN724" s="303">
        <f t="shared" si="227"/>
        <v>143351</v>
      </c>
      <c r="AO724" s="304">
        <f t="shared" si="228"/>
        <v>0</v>
      </c>
      <c r="AP724" s="273">
        <f t="shared" si="232"/>
        <v>1</v>
      </c>
      <c r="AQ724" s="273" t="str">
        <f t="shared" ca="1" si="229"/>
        <v>11900</v>
      </c>
    </row>
    <row r="725" spans="1:43" ht="18">
      <c r="D725" s="929"/>
      <c r="P725" s="447">
        <v>0</v>
      </c>
      <c r="V725" s="340">
        <f t="shared" ca="1" si="217"/>
        <v>1</v>
      </c>
      <c r="W725" s="594">
        <f t="shared" ca="1" si="218"/>
        <v>1900</v>
      </c>
      <c r="X725" s="340" t="str">
        <f t="shared" ca="1" si="233"/>
        <v>0 WEEK</v>
      </c>
      <c r="Y725" s="794">
        <f t="shared" si="202"/>
        <v>0</v>
      </c>
      <c r="Z725" s="541" cm="1">
        <f t="array" aca="1" ref="Z725" ca="1">_xlfn.IFS(AD725&lt;100,Y725,Y725&lt;TODAY(),TODAY(),Y725&gt;TODAY(),Y725,Y725=TODAY(),Y725)</f>
        <v>0</v>
      </c>
      <c r="AD725" s="298">
        <f t="shared" si="223"/>
        <v>0</v>
      </c>
      <c r="AE725" s="299" t="str">
        <f t="shared" si="224"/>
        <v>Complete</v>
      </c>
      <c r="AI725" s="301">
        <f t="shared" ca="1" si="221"/>
        <v>0</v>
      </c>
      <c r="AJ725" s="302">
        <f t="shared" ca="1" si="222"/>
        <v>0</v>
      </c>
      <c r="AL725" s="303">
        <f t="shared" si="225"/>
        <v>0</v>
      </c>
      <c r="AM725" s="303">
        <f t="shared" si="226"/>
        <v>0</v>
      </c>
      <c r="AN725" s="303">
        <f t="shared" si="227"/>
        <v>0</v>
      </c>
      <c r="AO725" s="304">
        <f t="shared" si="228"/>
        <v>0</v>
      </c>
      <c r="AP725" s="273">
        <f t="shared" si="232"/>
        <v>1</v>
      </c>
      <c r="AQ725" s="273" t="str">
        <f t="shared" ca="1" si="229"/>
        <v>11900</v>
      </c>
    </row>
    <row r="726" spans="1:43" ht="18">
      <c r="A726" s="312">
        <v>37</v>
      </c>
      <c r="B726" s="340" t="s">
        <v>2292</v>
      </c>
      <c r="C726" s="273" t="s">
        <v>2293</v>
      </c>
      <c r="D726" s="930" t="s">
        <v>2309</v>
      </c>
      <c r="F726" s="739">
        <v>0.5</v>
      </c>
      <c r="G726" s="306">
        <v>150000</v>
      </c>
      <c r="H726" s="307">
        <v>27000</v>
      </c>
      <c r="I726" s="308">
        <v>177000</v>
      </c>
      <c r="N726" s="273" t="s">
        <v>1618</v>
      </c>
      <c r="O726" s="931" t="s">
        <v>2009</v>
      </c>
      <c r="P726" s="688">
        <v>45632</v>
      </c>
      <c r="Q726" s="273" t="s">
        <v>2310</v>
      </c>
      <c r="R726" s="314">
        <v>177000</v>
      </c>
      <c r="V726" s="340">
        <f t="shared" ca="1" si="217"/>
        <v>12</v>
      </c>
      <c r="W726" s="594">
        <f t="shared" ca="1" si="218"/>
        <v>2024</v>
      </c>
      <c r="X726" s="340" t="str">
        <f t="shared" ca="1" si="233"/>
        <v>1 WEEK</v>
      </c>
      <c r="Y726" s="794">
        <f t="shared" si="202"/>
        <v>45632</v>
      </c>
      <c r="Z726" s="541" cm="1">
        <f t="array" aca="1" ref="Z726" ca="1">_xlfn.IFS(AD726&lt;100,Y726,Y726&lt;TODAY(),TODAY(),Y726&gt;TODAY(),Y726,Y726=TODAY(),Y726)</f>
        <v>45632</v>
      </c>
      <c r="AD726" s="298">
        <f t="shared" si="223"/>
        <v>0</v>
      </c>
      <c r="AE726" s="299" t="str">
        <f t="shared" si="224"/>
        <v>Complete</v>
      </c>
      <c r="AI726" s="301">
        <f t="shared" ca="1" si="221"/>
        <v>0</v>
      </c>
      <c r="AJ726" s="302">
        <f t="shared" ca="1" si="222"/>
        <v>0</v>
      </c>
      <c r="AL726" s="303">
        <f t="shared" si="225"/>
        <v>177000</v>
      </c>
      <c r="AM726" s="303">
        <f t="shared" si="226"/>
        <v>0</v>
      </c>
      <c r="AN726" s="303">
        <f t="shared" si="227"/>
        <v>177000</v>
      </c>
      <c r="AO726" s="304">
        <f t="shared" si="228"/>
        <v>0</v>
      </c>
      <c r="AP726" s="273">
        <f t="shared" si="232"/>
        <v>12</v>
      </c>
      <c r="AQ726" s="273" t="str">
        <f t="shared" ca="1" si="229"/>
        <v>122024</v>
      </c>
    </row>
    <row r="727" spans="1:43" ht="18">
      <c r="A727" s="312">
        <v>37</v>
      </c>
      <c r="B727" s="340" t="s">
        <v>2292</v>
      </c>
      <c r="C727" s="273" t="s">
        <v>2293</v>
      </c>
      <c r="D727" s="930" t="s">
        <v>2309</v>
      </c>
      <c r="F727" s="739">
        <v>0.5</v>
      </c>
      <c r="N727" s="273" t="s">
        <v>1618</v>
      </c>
      <c r="O727" s="931"/>
      <c r="P727" s="447">
        <v>0</v>
      </c>
      <c r="R727" s="314">
        <v>0</v>
      </c>
      <c r="V727" s="340">
        <f t="shared" ca="1" si="217"/>
        <v>1</v>
      </c>
      <c r="W727" s="594">
        <f t="shared" ca="1" si="218"/>
        <v>1900</v>
      </c>
      <c r="X727" s="340" t="str">
        <f t="shared" ca="1" si="233"/>
        <v>0 WEEK</v>
      </c>
      <c r="Y727" s="794">
        <f t="shared" si="202"/>
        <v>0</v>
      </c>
      <c r="Z727" s="541" cm="1">
        <f t="array" aca="1" ref="Z727" ca="1">_xlfn.IFS(AD727&lt;100,Y727,Y727&lt;TODAY(),TODAY(),Y727&gt;TODAY(),Y727,Y727=TODAY(),Y727)</f>
        <v>0</v>
      </c>
      <c r="AD727" s="298">
        <f t="shared" si="223"/>
        <v>0</v>
      </c>
      <c r="AE727" s="299" t="str">
        <f t="shared" si="224"/>
        <v>Complete</v>
      </c>
      <c r="AI727" s="301">
        <f t="shared" ca="1" si="221"/>
        <v>0</v>
      </c>
      <c r="AJ727" s="302">
        <f t="shared" ca="1" si="222"/>
        <v>0</v>
      </c>
      <c r="AL727" s="303">
        <f t="shared" si="225"/>
        <v>0</v>
      </c>
      <c r="AM727" s="303">
        <f t="shared" si="226"/>
        <v>0</v>
      </c>
      <c r="AN727" s="303">
        <f t="shared" si="227"/>
        <v>0</v>
      </c>
      <c r="AO727" s="304">
        <f t="shared" si="228"/>
        <v>0</v>
      </c>
      <c r="AP727" s="273">
        <f t="shared" si="232"/>
        <v>1</v>
      </c>
      <c r="AQ727" s="273" t="str">
        <f t="shared" ca="1" si="229"/>
        <v>11900</v>
      </c>
    </row>
    <row r="728" spans="1:43" ht="18">
      <c r="A728" s="312">
        <v>37</v>
      </c>
      <c r="B728" s="340" t="s">
        <v>2292</v>
      </c>
      <c r="C728" s="273" t="s">
        <v>2293</v>
      </c>
      <c r="D728" s="930" t="s">
        <v>2309</v>
      </c>
      <c r="F728" s="739">
        <v>0.5</v>
      </c>
      <c r="G728" s="306">
        <v>45000</v>
      </c>
      <c r="H728" s="307">
        <v>8100</v>
      </c>
      <c r="I728" s="308">
        <v>53100</v>
      </c>
      <c r="N728" s="273" t="s">
        <v>1618</v>
      </c>
      <c r="O728" s="931" t="s">
        <v>2012</v>
      </c>
      <c r="P728" s="688">
        <v>45632</v>
      </c>
      <c r="Q728" s="273" t="s">
        <v>2310</v>
      </c>
      <c r="R728" s="314">
        <v>53100</v>
      </c>
      <c r="V728" s="340">
        <f t="shared" ca="1" si="217"/>
        <v>12</v>
      </c>
      <c r="W728" s="594">
        <f t="shared" ca="1" si="218"/>
        <v>2024</v>
      </c>
      <c r="X728" s="340" t="str">
        <f t="shared" ca="1" si="233"/>
        <v>1 WEEK</v>
      </c>
      <c r="Y728" s="794">
        <f t="shared" si="202"/>
        <v>45632</v>
      </c>
      <c r="Z728" s="541" cm="1">
        <f t="array" aca="1" ref="Z728" ca="1">_xlfn.IFS(AD728&lt;100,Y728,Y728&lt;TODAY(),TODAY(),Y728&gt;TODAY(),Y728,Y728=TODAY(),Y728)</f>
        <v>45632</v>
      </c>
      <c r="AD728" s="298">
        <f t="shared" si="223"/>
        <v>0</v>
      </c>
      <c r="AE728" s="299" t="str">
        <f t="shared" si="224"/>
        <v>Complete</v>
      </c>
      <c r="AI728" s="301">
        <f t="shared" ca="1" si="221"/>
        <v>0</v>
      </c>
      <c r="AJ728" s="302">
        <f t="shared" ca="1" si="222"/>
        <v>0</v>
      </c>
      <c r="AL728" s="303">
        <f t="shared" si="225"/>
        <v>53100</v>
      </c>
      <c r="AM728" s="303">
        <f t="shared" si="226"/>
        <v>0</v>
      </c>
      <c r="AN728" s="303">
        <f t="shared" si="227"/>
        <v>53100</v>
      </c>
      <c r="AO728" s="304">
        <f t="shared" si="228"/>
        <v>0</v>
      </c>
      <c r="AP728" s="273">
        <f t="shared" si="232"/>
        <v>12</v>
      </c>
      <c r="AQ728" s="273" t="str">
        <f t="shared" ca="1" si="229"/>
        <v>122024</v>
      </c>
    </row>
    <row r="729" spans="1:43" ht="18">
      <c r="A729" s="312">
        <v>37</v>
      </c>
      <c r="B729" s="340" t="s">
        <v>2292</v>
      </c>
      <c r="C729" s="273" t="s">
        <v>2293</v>
      </c>
      <c r="D729" s="930" t="s">
        <v>2309</v>
      </c>
      <c r="F729" s="739">
        <v>0.5</v>
      </c>
      <c r="G729" s="306">
        <v>75000</v>
      </c>
      <c r="H729" s="307">
        <v>13500</v>
      </c>
      <c r="I729" s="308">
        <v>88500</v>
      </c>
      <c r="N729" s="273" t="s">
        <v>1618</v>
      </c>
      <c r="O729" s="931" t="s">
        <v>2013</v>
      </c>
      <c r="P729" s="688">
        <v>45632</v>
      </c>
      <c r="Q729" s="273" t="s">
        <v>2310</v>
      </c>
      <c r="R729" s="314">
        <v>88500</v>
      </c>
      <c r="V729" s="340">
        <f t="shared" ca="1" si="217"/>
        <v>12</v>
      </c>
      <c r="W729" s="594">
        <f t="shared" ca="1" si="218"/>
        <v>2024</v>
      </c>
      <c r="X729" s="340" t="str">
        <f t="shared" ca="1" si="233"/>
        <v>1 WEEK</v>
      </c>
      <c r="Y729" s="794">
        <f t="shared" si="202"/>
        <v>45632</v>
      </c>
      <c r="Z729" s="541" cm="1">
        <f t="array" aca="1" ref="Z729" ca="1">_xlfn.IFS(AD729&lt;100,Y729,Y729&lt;TODAY(),TODAY(),Y729&gt;TODAY(),Y729,Y729=TODAY(),Y729)</f>
        <v>45632</v>
      </c>
      <c r="AD729" s="298">
        <f t="shared" si="223"/>
        <v>0</v>
      </c>
      <c r="AE729" s="299" t="str">
        <f t="shared" si="224"/>
        <v>Complete</v>
      </c>
      <c r="AI729" s="301">
        <f t="shared" ca="1" si="221"/>
        <v>0</v>
      </c>
      <c r="AJ729" s="302">
        <f t="shared" ca="1" si="222"/>
        <v>0</v>
      </c>
      <c r="AL729" s="303">
        <f t="shared" si="225"/>
        <v>88500</v>
      </c>
      <c r="AM729" s="303">
        <f t="shared" si="226"/>
        <v>0</v>
      </c>
      <c r="AN729" s="303">
        <f t="shared" si="227"/>
        <v>88500</v>
      </c>
      <c r="AO729" s="304">
        <f t="shared" si="228"/>
        <v>0</v>
      </c>
      <c r="AP729" s="273">
        <f t="shared" si="232"/>
        <v>12</v>
      </c>
      <c r="AQ729" s="273" t="str">
        <f t="shared" ca="1" si="229"/>
        <v>122024</v>
      </c>
    </row>
    <row r="730" spans="1:43" ht="18">
      <c r="A730" s="312">
        <v>37</v>
      </c>
      <c r="B730" s="340" t="s">
        <v>2292</v>
      </c>
      <c r="C730" s="273" t="s">
        <v>2293</v>
      </c>
      <c r="D730" s="930" t="s">
        <v>2309</v>
      </c>
      <c r="F730" s="739">
        <v>0.5</v>
      </c>
      <c r="N730" s="273" t="s">
        <v>1618</v>
      </c>
      <c r="O730" s="931"/>
      <c r="P730" s="447">
        <v>0</v>
      </c>
      <c r="V730" s="340">
        <f t="shared" ca="1" si="217"/>
        <v>1</v>
      </c>
      <c r="W730" s="594">
        <f t="shared" ca="1" si="218"/>
        <v>1900</v>
      </c>
      <c r="X730" s="340" t="str">
        <f t="shared" ca="1" si="233"/>
        <v>0 WEEK</v>
      </c>
      <c r="Y730" s="794">
        <f t="shared" si="202"/>
        <v>0</v>
      </c>
      <c r="Z730" s="541" cm="1">
        <f t="array" aca="1" ref="Z730" ca="1">_xlfn.IFS(AD730&lt;100,Y730,Y730&lt;TODAY(),TODAY(),Y730&gt;TODAY(),Y730,Y730=TODAY(),Y730)</f>
        <v>0</v>
      </c>
      <c r="AD730" s="298">
        <f t="shared" si="223"/>
        <v>0</v>
      </c>
      <c r="AE730" s="299" t="str">
        <f t="shared" si="224"/>
        <v>Complete</v>
      </c>
      <c r="AI730" s="301">
        <f t="shared" ca="1" si="221"/>
        <v>0</v>
      </c>
      <c r="AJ730" s="302">
        <f t="shared" ca="1" si="222"/>
        <v>0</v>
      </c>
      <c r="AL730" s="303">
        <f t="shared" si="225"/>
        <v>0</v>
      </c>
      <c r="AM730" s="303">
        <f t="shared" si="226"/>
        <v>0</v>
      </c>
      <c r="AN730" s="303">
        <f t="shared" si="227"/>
        <v>0</v>
      </c>
      <c r="AO730" s="304">
        <f t="shared" si="228"/>
        <v>0</v>
      </c>
      <c r="AP730" s="273">
        <f t="shared" si="232"/>
        <v>1</v>
      </c>
      <c r="AQ730" s="273" t="str">
        <f t="shared" ca="1" si="229"/>
        <v>11900</v>
      </c>
    </row>
    <row r="731" spans="1:43" ht="18">
      <c r="A731" s="312">
        <v>37</v>
      </c>
      <c r="B731" s="340" t="s">
        <v>2292</v>
      </c>
      <c r="C731" s="273" t="s">
        <v>2293</v>
      </c>
      <c r="D731" s="930" t="s">
        <v>2309</v>
      </c>
      <c r="F731" s="739">
        <v>0.5</v>
      </c>
      <c r="G731" s="306">
        <v>45000</v>
      </c>
      <c r="H731" s="307">
        <v>8100</v>
      </c>
      <c r="I731" s="308">
        <v>53100</v>
      </c>
      <c r="N731" s="273" t="s">
        <v>1618</v>
      </c>
      <c r="O731" s="931" t="s">
        <v>2311</v>
      </c>
      <c r="P731" s="688">
        <v>45632</v>
      </c>
      <c r="Q731" s="273" t="s">
        <v>2310</v>
      </c>
      <c r="R731" s="314">
        <v>53100</v>
      </c>
      <c r="V731" s="340">
        <f t="shared" ca="1" si="217"/>
        <v>12</v>
      </c>
      <c r="W731" s="594">
        <f t="shared" ca="1" si="218"/>
        <v>2024</v>
      </c>
      <c r="X731" s="340" t="str">
        <f t="shared" ca="1" si="233"/>
        <v>1 WEEK</v>
      </c>
      <c r="Y731" s="794">
        <f t="shared" si="202"/>
        <v>45632</v>
      </c>
      <c r="Z731" s="541" cm="1">
        <f t="array" aca="1" ref="Z731" ca="1">_xlfn.IFS(AD731&lt;100,Y731,Y731&lt;TODAY(),TODAY(),Y731&gt;TODAY(),Y731,Y731=TODAY(),Y731)</f>
        <v>45632</v>
      </c>
      <c r="AD731" s="298">
        <f t="shared" si="223"/>
        <v>0</v>
      </c>
      <c r="AE731" s="299" t="str">
        <f t="shared" si="224"/>
        <v>Complete</v>
      </c>
      <c r="AI731" s="301">
        <f t="shared" ca="1" si="221"/>
        <v>0</v>
      </c>
      <c r="AJ731" s="302">
        <f t="shared" ca="1" si="222"/>
        <v>0</v>
      </c>
      <c r="AL731" s="303">
        <f t="shared" si="225"/>
        <v>53100</v>
      </c>
      <c r="AM731" s="303">
        <f t="shared" si="226"/>
        <v>0</v>
      </c>
      <c r="AN731" s="303">
        <f t="shared" si="227"/>
        <v>53100</v>
      </c>
      <c r="AO731" s="304">
        <f t="shared" si="228"/>
        <v>0</v>
      </c>
      <c r="AP731" s="273">
        <f t="shared" si="232"/>
        <v>12</v>
      </c>
      <c r="AQ731" s="273" t="str">
        <f t="shared" ca="1" si="229"/>
        <v>122024</v>
      </c>
    </row>
    <row r="732" spans="1:43" ht="18">
      <c r="A732" s="312">
        <v>37</v>
      </c>
      <c r="B732" s="340" t="s">
        <v>2292</v>
      </c>
      <c r="C732" s="273" t="s">
        <v>2293</v>
      </c>
      <c r="D732" s="930" t="s">
        <v>2309</v>
      </c>
      <c r="F732" s="739">
        <v>0.5</v>
      </c>
      <c r="N732" s="273" t="s">
        <v>1618</v>
      </c>
      <c r="O732" s="931"/>
      <c r="P732" s="447">
        <v>0</v>
      </c>
      <c r="R732" s="314">
        <v>0</v>
      </c>
      <c r="V732" s="340">
        <f t="shared" ca="1" si="217"/>
        <v>1</v>
      </c>
      <c r="W732" s="594">
        <f t="shared" ca="1" si="218"/>
        <v>1900</v>
      </c>
      <c r="X732" s="340" t="str">
        <f t="shared" ca="1" si="233"/>
        <v>0 WEEK</v>
      </c>
      <c r="Y732" s="794">
        <f t="shared" si="202"/>
        <v>0</v>
      </c>
      <c r="Z732" s="541" cm="1">
        <f t="array" aca="1" ref="Z732" ca="1">_xlfn.IFS(AD732&lt;100,Y732,Y732&lt;TODAY(),TODAY(),Y732&gt;TODAY(),Y732,Y732=TODAY(),Y732)</f>
        <v>0</v>
      </c>
      <c r="AD732" s="298">
        <f t="shared" si="223"/>
        <v>0</v>
      </c>
      <c r="AE732" s="299" t="str">
        <f t="shared" si="224"/>
        <v>Complete</v>
      </c>
      <c r="AI732" s="301">
        <f t="shared" ca="1" si="221"/>
        <v>0</v>
      </c>
      <c r="AJ732" s="302">
        <f t="shared" ca="1" si="222"/>
        <v>0</v>
      </c>
      <c r="AL732" s="303">
        <f t="shared" si="225"/>
        <v>0</v>
      </c>
      <c r="AM732" s="303">
        <f t="shared" si="226"/>
        <v>0</v>
      </c>
      <c r="AN732" s="303">
        <f t="shared" si="227"/>
        <v>0</v>
      </c>
      <c r="AO732" s="304">
        <f t="shared" si="228"/>
        <v>0</v>
      </c>
      <c r="AP732" s="273">
        <f t="shared" si="232"/>
        <v>1</v>
      </c>
      <c r="AQ732" s="273" t="str">
        <f t="shared" ca="1" si="229"/>
        <v>11900</v>
      </c>
    </row>
    <row r="733" spans="1:43" ht="18">
      <c r="A733" s="312">
        <v>37</v>
      </c>
      <c r="B733" s="340" t="s">
        <v>2292</v>
      </c>
      <c r="C733" s="273" t="s">
        <v>2293</v>
      </c>
      <c r="D733" s="930" t="s">
        <v>2309</v>
      </c>
      <c r="F733" s="739">
        <v>0.5</v>
      </c>
      <c r="G733" s="306">
        <v>30000</v>
      </c>
      <c r="H733" s="307">
        <v>5400</v>
      </c>
      <c r="I733" s="308">
        <v>35400</v>
      </c>
      <c r="N733" s="273" t="s">
        <v>1618</v>
      </c>
      <c r="O733" s="931" t="s">
        <v>2312</v>
      </c>
      <c r="P733" s="688">
        <v>45632</v>
      </c>
      <c r="Q733" s="273" t="s">
        <v>2310</v>
      </c>
      <c r="R733" s="314">
        <v>35400</v>
      </c>
      <c r="V733" s="340">
        <f t="shared" ca="1" si="217"/>
        <v>12</v>
      </c>
      <c r="W733" s="594">
        <f t="shared" ca="1" si="218"/>
        <v>2024</v>
      </c>
      <c r="X733" s="340" t="str">
        <f t="shared" ca="1" si="233"/>
        <v>1 WEEK</v>
      </c>
      <c r="Y733" s="794">
        <f t="shared" si="202"/>
        <v>45632</v>
      </c>
      <c r="Z733" s="541" cm="1">
        <f t="array" aca="1" ref="Z733" ca="1">_xlfn.IFS(AD733&lt;100,Y733,Y733&lt;TODAY(),TODAY(),Y733&gt;TODAY(),Y733,Y733=TODAY(),Y733)</f>
        <v>45632</v>
      </c>
      <c r="AD733" s="298">
        <f t="shared" si="223"/>
        <v>0</v>
      </c>
      <c r="AE733" s="299" t="str">
        <f t="shared" si="224"/>
        <v>Complete</v>
      </c>
      <c r="AI733" s="301">
        <f t="shared" ca="1" si="221"/>
        <v>0</v>
      </c>
      <c r="AJ733" s="302">
        <f t="shared" ca="1" si="222"/>
        <v>0</v>
      </c>
      <c r="AL733" s="303">
        <f t="shared" si="225"/>
        <v>35400</v>
      </c>
      <c r="AM733" s="303">
        <f t="shared" si="226"/>
        <v>0</v>
      </c>
      <c r="AN733" s="303">
        <f t="shared" si="227"/>
        <v>35400</v>
      </c>
      <c r="AO733" s="304">
        <f t="shared" si="228"/>
        <v>0</v>
      </c>
      <c r="AP733" s="273">
        <f t="shared" si="232"/>
        <v>12</v>
      </c>
      <c r="AQ733" s="273" t="str">
        <f t="shared" ca="1" si="229"/>
        <v>122024</v>
      </c>
    </row>
    <row r="734" spans="1:43" ht="18">
      <c r="A734" s="312">
        <v>37</v>
      </c>
      <c r="B734" s="340" t="s">
        <v>2292</v>
      </c>
      <c r="C734" s="273" t="s">
        <v>2293</v>
      </c>
      <c r="D734" s="930" t="s">
        <v>2309</v>
      </c>
      <c r="F734" s="739">
        <v>0.5</v>
      </c>
      <c r="G734" s="306">
        <v>40000</v>
      </c>
      <c r="H734" s="307">
        <v>7200</v>
      </c>
      <c r="I734" s="308">
        <v>47200</v>
      </c>
      <c r="N734" s="273" t="s">
        <v>1618</v>
      </c>
      <c r="O734" s="931" t="s">
        <v>2313</v>
      </c>
      <c r="P734" s="688">
        <v>45644</v>
      </c>
      <c r="Q734" s="273" t="s">
        <v>2314</v>
      </c>
      <c r="R734" s="314">
        <v>47200</v>
      </c>
      <c r="V734" s="340">
        <f t="shared" ca="1" si="217"/>
        <v>12</v>
      </c>
      <c r="W734" s="594">
        <f t="shared" ca="1" si="218"/>
        <v>2024</v>
      </c>
      <c r="X734" s="340" t="str">
        <f t="shared" ca="1" si="233"/>
        <v>3 WEEK</v>
      </c>
      <c r="Y734" s="794">
        <f t="shared" si="202"/>
        <v>45644</v>
      </c>
      <c r="Z734" s="541" cm="1">
        <f t="array" aca="1" ref="Z734" ca="1">_xlfn.IFS(AD734&lt;100,Y734,Y734&lt;TODAY(),TODAY(),Y734&gt;TODAY(),Y734,Y734=TODAY(),Y734)</f>
        <v>45644</v>
      </c>
      <c r="AD734" s="298">
        <f t="shared" si="223"/>
        <v>0</v>
      </c>
      <c r="AE734" s="299" t="str">
        <f t="shared" si="224"/>
        <v>Complete</v>
      </c>
      <c r="AI734" s="301">
        <f t="shared" ca="1" si="221"/>
        <v>0</v>
      </c>
      <c r="AJ734" s="302">
        <f t="shared" ca="1" si="222"/>
        <v>0</v>
      </c>
      <c r="AL734" s="303">
        <f t="shared" si="225"/>
        <v>47200</v>
      </c>
      <c r="AM734" s="303">
        <f t="shared" si="226"/>
        <v>0</v>
      </c>
      <c r="AN734" s="303">
        <f t="shared" si="227"/>
        <v>47200</v>
      </c>
      <c r="AO734" s="304">
        <f t="shared" si="228"/>
        <v>0</v>
      </c>
      <c r="AP734" s="273">
        <f t="shared" si="232"/>
        <v>12</v>
      </c>
      <c r="AQ734" s="273" t="str">
        <f t="shared" ca="1" si="229"/>
        <v>122024</v>
      </c>
    </row>
    <row r="735" spans="1:43" ht="18">
      <c r="A735" s="312">
        <v>37</v>
      </c>
      <c r="B735" s="340" t="s">
        <v>2292</v>
      </c>
      <c r="C735" s="273" t="s">
        <v>2293</v>
      </c>
      <c r="D735" s="930" t="s">
        <v>2309</v>
      </c>
      <c r="F735" s="739">
        <v>0.5</v>
      </c>
      <c r="N735" s="273" t="s">
        <v>1618</v>
      </c>
      <c r="O735" s="931"/>
      <c r="P735" s="447">
        <v>0</v>
      </c>
      <c r="V735" s="340">
        <f t="shared" ca="1" si="217"/>
        <v>1</v>
      </c>
      <c r="W735" s="594">
        <f t="shared" ca="1" si="218"/>
        <v>1900</v>
      </c>
      <c r="X735" s="340" t="str">
        <f t="shared" ca="1" si="233"/>
        <v>0 WEEK</v>
      </c>
      <c r="Y735" s="794">
        <f t="shared" si="202"/>
        <v>0</v>
      </c>
      <c r="Z735" s="541" cm="1">
        <f t="array" aca="1" ref="Z735" ca="1">_xlfn.IFS(AD735&lt;100,Y735,Y735&lt;TODAY(),TODAY(),Y735&gt;TODAY(),Y735,Y735=TODAY(),Y735)</f>
        <v>0</v>
      </c>
      <c r="AD735" s="298">
        <f t="shared" si="223"/>
        <v>0</v>
      </c>
      <c r="AE735" s="299" t="str">
        <f t="shared" si="224"/>
        <v>Complete</v>
      </c>
      <c r="AI735" s="301">
        <f t="shared" ca="1" si="221"/>
        <v>0</v>
      </c>
      <c r="AJ735" s="302">
        <f t="shared" ca="1" si="222"/>
        <v>0</v>
      </c>
      <c r="AL735" s="303">
        <f t="shared" si="225"/>
        <v>0</v>
      </c>
      <c r="AM735" s="303">
        <f t="shared" si="226"/>
        <v>0</v>
      </c>
      <c r="AN735" s="303">
        <f t="shared" si="227"/>
        <v>0</v>
      </c>
      <c r="AO735" s="304">
        <f t="shared" si="228"/>
        <v>0</v>
      </c>
      <c r="AP735" s="273">
        <f t="shared" si="232"/>
        <v>1</v>
      </c>
      <c r="AQ735" s="273" t="str">
        <f t="shared" ca="1" si="229"/>
        <v>11900</v>
      </c>
    </row>
    <row r="736" spans="1:43" ht="18">
      <c r="A736" s="312">
        <v>37</v>
      </c>
      <c r="B736" s="340" t="s">
        <v>2292</v>
      </c>
      <c r="C736" s="273" t="s">
        <v>2293</v>
      </c>
      <c r="D736" s="930" t="s">
        <v>2309</v>
      </c>
      <c r="F736" s="739">
        <v>0.5</v>
      </c>
      <c r="G736" s="306">
        <v>30000</v>
      </c>
      <c r="H736" s="307">
        <v>5400</v>
      </c>
      <c r="I736" s="308">
        <v>35400</v>
      </c>
      <c r="N736" s="273" t="s">
        <v>1618</v>
      </c>
      <c r="O736" s="931" t="s">
        <v>2315</v>
      </c>
      <c r="P736" s="688">
        <v>45632</v>
      </c>
      <c r="Q736" s="273" t="s">
        <v>2310</v>
      </c>
      <c r="R736" s="314">
        <v>35400</v>
      </c>
      <c r="V736" s="340">
        <f t="shared" ca="1" si="217"/>
        <v>12</v>
      </c>
      <c r="W736" s="594">
        <f t="shared" ca="1" si="218"/>
        <v>2024</v>
      </c>
      <c r="X736" s="340" t="str">
        <f t="shared" ca="1" si="233"/>
        <v>1 WEEK</v>
      </c>
      <c r="Y736" s="794">
        <f t="shared" si="202"/>
        <v>45632</v>
      </c>
      <c r="Z736" s="541" cm="1">
        <f t="array" aca="1" ref="Z736" ca="1">_xlfn.IFS(AD736&lt;100,Y736,Y736&lt;TODAY(),TODAY(),Y736&gt;TODAY(),Y736,Y736=TODAY(),Y736)</f>
        <v>45632</v>
      </c>
      <c r="AD736" s="298">
        <f t="shared" si="223"/>
        <v>0</v>
      </c>
      <c r="AE736" s="299" t="str">
        <f t="shared" si="224"/>
        <v>Complete</v>
      </c>
      <c r="AI736" s="301">
        <f t="shared" ca="1" si="221"/>
        <v>0</v>
      </c>
      <c r="AJ736" s="302">
        <f t="shared" ca="1" si="222"/>
        <v>0</v>
      </c>
      <c r="AL736" s="303">
        <f t="shared" si="225"/>
        <v>35400</v>
      </c>
      <c r="AM736" s="303">
        <f t="shared" si="226"/>
        <v>0</v>
      </c>
      <c r="AN736" s="303">
        <f t="shared" si="227"/>
        <v>35400</v>
      </c>
      <c r="AO736" s="304">
        <f t="shared" si="228"/>
        <v>0</v>
      </c>
      <c r="AP736" s="273">
        <f t="shared" si="232"/>
        <v>12</v>
      </c>
      <c r="AQ736" s="273" t="str">
        <f t="shared" ca="1" si="229"/>
        <v>122024</v>
      </c>
    </row>
    <row r="737" spans="1:43" ht="18">
      <c r="A737" s="312">
        <v>37</v>
      </c>
      <c r="B737" s="340" t="s">
        <v>2292</v>
      </c>
      <c r="C737" s="273" t="s">
        <v>2293</v>
      </c>
      <c r="D737" s="930" t="s">
        <v>2309</v>
      </c>
      <c r="F737" s="739">
        <v>0.5</v>
      </c>
      <c r="N737" s="273" t="s">
        <v>1618</v>
      </c>
      <c r="O737" s="931"/>
      <c r="P737" s="447">
        <v>0</v>
      </c>
      <c r="R737" s="314">
        <v>0</v>
      </c>
      <c r="V737" s="340">
        <f t="shared" ca="1" si="217"/>
        <v>1</v>
      </c>
      <c r="W737" s="594">
        <f t="shared" ca="1" si="218"/>
        <v>1900</v>
      </c>
      <c r="X737" s="340" t="str">
        <f t="shared" ca="1" si="233"/>
        <v>0 WEEK</v>
      </c>
      <c r="Y737" s="794">
        <f t="shared" si="202"/>
        <v>0</v>
      </c>
      <c r="Z737" s="541" cm="1">
        <f t="array" aca="1" ref="Z737" ca="1">_xlfn.IFS(AD737&lt;100,Y737,Y737&lt;TODAY(),TODAY(),Y737&gt;TODAY(),Y737,Y737=TODAY(),Y737)</f>
        <v>0</v>
      </c>
      <c r="AD737" s="298">
        <f t="shared" si="223"/>
        <v>0</v>
      </c>
      <c r="AE737" s="299" t="str">
        <f t="shared" si="224"/>
        <v>Complete</v>
      </c>
      <c r="AI737" s="301">
        <f t="shared" ca="1" si="221"/>
        <v>0</v>
      </c>
      <c r="AJ737" s="302">
        <f t="shared" ca="1" si="222"/>
        <v>0</v>
      </c>
      <c r="AL737" s="303">
        <f t="shared" si="225"/>
        <v>0</v>
      </c>
      <c r="AM737" s="303">
        <f t="shared" si="226"/>
        <v>0</v>
      </c>
      <c r="AN737" s="303">
        <f t="shared" si="227"/>
        <v>0</v>
      </c>
      <c r="AO737" s="304">
        <f t="shared" si="228"/>
        <v>0</v>
      </c>
      <c r="AP737" s="273">
        <f t="shared" si="232"/>
        <v>1</v>
      </c>
      <c r="AQ737" s="273" t="str">
        <f t="shared" ca="1" si="229"/>
        <v>11900</v>
      </c>
    </row>
    <row r="738" spans="1:43" ht="18">
      <c r="A738" s="312">
        <v>37</v>
      </c>
      <c r="B738" s="340" t="s">
        <v>2292</v>
      </c>
      <c r="C738" s="273" t="s">
        <v>2293</v>
      </c>
      <c r="D738" s="930" t="s">
        <v>2309</v>
      </c>
      <c r="F738" s="739">
        <v>0.5</v>
      </c>
      <c r="G738" s="306">
        <v>40000</v>
      </c>
      <c r="H738" s="307">
        <v>7200</v>
      </c>
      <c r="I738" s="308">
        <v>47200</v>
      </c>
      <c r="N738" s="273" t="s">
        <v>1618</v>
      </c>
      <c r="O738" s="931" t="s">
        <v>2316</v>
      </c>
      <c r="P738" s="688">
        <v>45644</v>
      </c>
      <c r="Q738" s="273" t="s">
        <v>2314</v>
      </c>
      <c r="R738" s="314">
        <v>47200</v>
      </c>
      <c r="V738" s="340">
        <f t="shared" ca="1" si="217"/>
        <v>12</v>
      </c>
      <c r="W738" s="594">
        <f t="shared" ca="1" si="218"/>
        <v>2024</v>
      </c>
      <c r="X738" s="340" t="str">
        <f t="shared" ca="1" si="233"/>
        <v>3 WEEK</v>
      </c>
      <c r="Y738" s="794">
        <f t="shared" si="202"/>
        <v>45644</v>
      </c>
      <c r="Z738" s="541" cm="1">
        <f t="array" aca="1" ref="Z738" ca="1">_xlfn.IFS(AD738&lt;100,Y738,Y738&lt;TODAY(),TODAY(),Y738&gt;TODAY(),Y738,Y738=TODAY(),Y738)</f>
        <v>45644</v>
      </c>
      <c r="AD738" s="298">
        <f t="shared" si="223"/>
        <v>0</v>
      </c>
      <c r="AE738" s="299" t="str">
        <f t="shared" si="224"/>
        <v>Complete</v>
      </c>
      <c r="AI738" s="301">
        <f t="shared" ca="1" si="221"/>
        <v>0</v>
      </c>
      <c r="AJ738" s="302">
        <f t="shared" ca="1" si="222"/>
        <v>0</v>
      </c>
      <c r="AL738" s="303">
        <f t="shared" si="225"/>
        <v>47200</v>
      </c>
      <c r="AM738" s="303">
        <f t="shared" si="226"/>
        <v>0</v>
      </c>
      <c r="AN738" s="303">
        <f t="shared" si="227"/>
        <v>47200</v>
      </c>
      <c r="AO738" s="304">
        <f t="shared" si="228"/>
        <v>0</v>
      </c>
      <c r="AP738" s="273">
        <f t="shared" si="232"/>
        <v>12</v>
      </c>
      <c r="AQ738" s="273" t="str">
        <f t="shared" ca="1" si="229"/>
        <v>122024</v>
      </c>
    </row>
    <row r="739" spans="1:43" ht="18">
      <c r="A739" s="312">
        <v>37</v>
      </c>
      <c r="B739" s="340" t="s">
        <v>2292</v>
      </c>
      <c r="C739" s="273" t="s">
        <v>2293</v>
      </c>
      <c r="D739" s="930" t="s">
        <v>2309</v>
      </c>
      <c r="F739" s="739">
        <v>0.5</v>
      </c>
      <c r="N739" s="273" t="s">
        <v>1618</v>
      </c>
      <c r="O739" s="931"/>
      <c r="P739" s="447">
        <v>0</v>
      </c>
      <c r="V739" s="340">
        <f t="shared" ca="1" si="217"/>
        <v>1</v>
      </c>
      <c r="W739" s="594">
        <f t="shared" ca="1" si="218"/>
        <v>1900</v>
      </c>
      <c r="X739" s="340" t="str">
        <f t="shared" ca="1" si="233"/>
        <v>0 WEEK</v>
      </c>
      <c r="Y739" s="794">
        <f t="shared" si="202"/>
        <v>0</v>
      </c>
      <c r="Z739" s="541" cm="1">
        <f t="array" aca="1" ref="Z739" ca="1">_xlfn.IFS(AD739&lt;100,Y739,Y739&lt;TODAY(),TODAY(),Y739&gt;TODAY(),Y739,Y739=TODAY(),Y739)</f>
        <v>0</v>
      </c>
      <c r="AD739" s="298">
        <f t="shared" si="223"/>
        <v>0</v>
      </c>
      <c r="AE739" s="299" t="str">
        <f t="shared" si="224"/>
        <v>Complete</v>
      </c>
      <c r="AI739" s="301">
        <f t="shared" ca="1" si="221"/>
        <v>0</v>
      </c>
      <c r="AJ739" s="302">
        <f t="shared" ca="1" si="222"/>
        <v>0</v>
      </c>
      <c r="AL739" s="303">
        <f t="shared" si="225"/>
        <v>0</v>
      </c>
      <c r="AM739" s="303">
        <f t="shared" si="226"/>
        <v>0</v>
      </c>
      <c r="AN739" s="303">
        <f t="shared" si="227"/>
        <v>0</v>
      </c>
      <c r="AO739" s="304">
        <f t="shared" si="228"/>
        <v>0</v>
      </c>
      <c r="AP739" s="273">
        <f t="shared" si="232"/>
        <v>1</v>
      </c>
      <c r="AQ739" s="273" t="str">
        <f t="shared" ca="1" si="229"/>
        <v>11900</v>
      </c>
    </row>
    <row r="740" spans="1:43" ht="18">
      <c r="A740" s="312">
        <v>37</v>
      </c>
      <c r="B740" s="340" t="s">
        <v>2292</v>
      </c>
      <c r="C740" s="273" t="s">
        <v>2293</v>
      </c>
      <c r="D740" s="930" t="s">
        <v>2309</v>
      </c>
      <c r="F740" s="739">
        <v>0.5</v>
      </c>
      <c r="G740" s="306">
        <v>30000</v>
      </c>
      <c r="H740" s="307">
        <v>5400</v>
      </c>
      <c r="I740" s="308">
        <v>35400</v>
      </c>
      <c r="N740" s="273" t="s">
        <v>1618</v>
      </c>
      <c r="O740" s="931" t="s">
        <v>2317</v>
      </c>
      <c r="P740" s="688">
        <v>45644</v>
      </c>
      <c r="Q740" s="273" t="s">
        <v>2314</v>
      </c>
      <c r="R740" s="314">
        <v>35400</v>
      </c>
      <c r="V740" s="340">
        <f t="shared" ca="1" si="217"/>
        <v>12</v>
      </c>
      <c r="W740" s="594">
        <f t="shared" ca="1" si="218"/>
        <v>2024</v>
      </c>
      <c r="X740" s="340" t="str">
        <f t="shared" ca="1" si="233"/>
        <v>3 WEEK</v>
      </c>
      <c r="Y740" s="794">
        <f t="shared" si="202"/>
        <v>45644</v>
      </c>
      <c r="Z740" s="541" cm="1">
        <f t="array" aca="1" ref="Z740" ca="1">_xlfn.IFS(AD740&lt;100,Y740,Y740&lt;TODAY(),TODAY(),Y740&gt;TODAY(),Y740,Y740=TODAY(),Y740)</f>
        <v>45644</v>
      </c>
      <c r="AD740" s="298">
        <f t="shared" si="223"/>
        <v>0</v>
      </c>
      <c r="AE740" s="299" t="str">
        <f t="shared" si="224"/>
        <v>Complete</v>
      </c>
      <c r="AI740" s="301">
        <f t="shared" ca="1" si="221"/>
        <v>0</v>
      </c>
      <c r="AJ740" s="302">
        <f t="shared" ca="1" si="222"/>
        <v>0</v>
      </c>
      <c r="AL740" s="303">
        <f t="shared" si="225"/>
        <v>35400</v>
      </c>
      <c r="AM740" s="303">
        <f t="shared" si="226"/>
        <v>0</v>
      </c>
      <c r="AN740" s="303">
        <f t="shared" si="227"/>
        <v>35400</v>
      </c>
      <c r="AO740" s="304">
        <f t="shared" si="228"/>
        <v>0</v>
      </c>
      <c r="AP740" s="273">
        <f t="shared" si="232"/>
        <v>12</v>
      </c>
      <c r="AQ740" s="273" t="str">
        <f t="shared" ca="1" si="229"/>
        <v>122024</v>
      </c>
    </row>
    <row r="741" spans="1:43" ht="18">
      <c r="A741" s="312">
        <v>37</v>
      </c>
      <c r="B741" s="340" t="s">
        <v>2292</v>
      </c>
      <c r="C741" s="273" t="s">
        <v>2293</v>
      </c>
      <c r="D741" s="930" t="s">
        <v>2309</v>
      </c>
      <c r="F741" s="739">
        <v>0.5</v>
      </c>
      <c r="N741" s="273" t="s">
        <v>1618</v>
      </c>
      <c r="O741" s="931"/>
      <c r="P741" s="447">
        <v>0</v>
      </c>
      <c r="V741" s="340">
        <f t="shared" ca="1" si="217"/>
        <v>1</v>
      </c>
      <c r="W741" s="594">
        <f t="shared" ca="1" si="218"/>
        <v>1900</v>
      </c>
      <c r="X741" s="340" t="str">
        <f t="shared" ca="1" si="233"/>
        <v>0 WEEK</v>
      </c>
      <c r="Y741" s="794">
        <f t="shared" si="202"/>
        <v>0</v>
      </c>
      <c r="Z741" s="541" cm="1">
        <f t="array" aca="1" ref="Z741" ca="1">_xlfn.IFS(AD741&lt;100,Y741,Y741&lt;TODAY(),TODAY(),Y741&gt;TODAY(),Y741,Y741=TODAY(),Y741)</f>
        <v>0</v>
      </c>
      <c r="AD741" s="298">
        <f t="shared" si="223"/>
        <v>0</v>
      </c>
      <c r="AE741" s="299" t="str">
        <f t="shared" si="224"/>
        <v>Complete</v>
      </c>
      <c r="AI741" s="301">
        <f t="shared" ca="1" si="221"/>
        <v>0</v>
      </c>
      <c r="AJ741" s="302">
        <f t="shared" ca="1" si="222"/>
        <v>0</v>
      </c>
      <c r="AL741" s="303">
        <f t="shared" si="225"/>
        <v>0</v>
      </c>
      <c r="AM741" s="303">
        <f t="shared" si="226"/>
        <v>0</v>
      </c>
      <c r="AN741" s="303">
        <f t="shared" si="227"/>
        <v>0</v>
      </c>
      <c r="AO741" s="304">
        <f t="shared" si="228"/>
        <v>0</v>
      </c>
      <c r="AP741" s="273">
        <f t="shared" si="232"/>
        <v>1</v>
      </c>
      <c r="AQ741" s="273" t="str">
        <f t="shared" ca="1" si="229"/>
        <v>11900</v>
      </c>
    </row>
    <row r="742" spans="1:43" ht="18">
      <c r="A742" s="312">
        <v>37</v>
      </c>
      <c r="B742" s="340" t="s">
        <v>2292</v>
      </c>
      <c r="C742" s="273" t="s">
        <v>2293</v>
      </c>
      <c r="D742" s="930" t="s">
        <v>2309</v>
      </c>
      <c r="F742" s="739">
        <v>0.5</v>
      </c>
      <c r="G742" s="306">
        <v>15000</v>
      </c>
      <c r="H742" s="307">
        <v>2700</v>
      </c>
      <c r="I742" s="308">
        <v>17700</v>
      </c>
      <c r="N742" s="273" t="s">
        <v>1618</v>
      </c>
      <c r="O742" s="931" t="s">
        <v>2318</v>
      </c>
      <c r="P742" s="688">
        <v>45644</v>
      </c>
      <c r="Q742" s="273" t="s">
        <v>2314</v>
      </c>
      <c r="R742" s="314">
        <v>17700</v>
      </c>
      <c r="V742" s="340">
        <f t="shared" ca="1" si="217"/>
        <v>12</v>
      </c>
      <c r="W742" s="594">
        <f t="shared" ca="1" si="218"/>
        <v>2024</v>
      </c>
      <c r="X742" s="340" t="str">
        <f t="shared" ca="1" si="233"/>
        <v>3 WEEK</v>
      </c>
      <c r="Y742" s="794">
        <f t="shared" si="202"/>
        <v>45644</v>
      </c>
      <c r="Z742" s="541" cm="1">
        <f t="array" aca="1" ref="Z742" ca="1">_xlfn.IFS(AD742&lt;100,Y742,Y742&lt;TODAY(),TODAY(),Y742&gt;TODAY(),Y742,Y742=TODAY(),Y742)</f>
        <v>45644</v>
      </c>
      <c r="AD742" s="298">
        <f t="shared" si="223"/>
        <v>0</v>
      </c>
      <c r="AE742" s="299" t="str">
        <f t="shared" si="224"/>
        <v>Complete</v>
      </c>
      <c r="AI742" s="301">
        <f t="shared" ca="1" si="221"/>
        <v>0</v>
      </c>
      <c r="AJ742" s="302">
        <f t="shared" ca="1" si="222"/>
        <v>0</v>
      </c>
      <c r="AL742" s="303">
        <f t="shared" si="225"/>
        <v>17700</v>
      </c>
      <c r="AM742" s="303">
        <f t="shared" si="226"/>
        <v>0</v>
      </c>
      <c r="AN742" s="303">
        <f t="shared" si="227"/>
        <v>17700</v>
      </c>
      <c r="AO742" s="304">
        <f t="shared" si="228"/>
        <v>0</v>
      </c>
      <c r="AP742" s="273">
        <f t="shared" si="232"/>
        <v>12</v>
      </c>
      <c r="AQ742" s="273" t="str">
        <f t="shared" ca="1" si="229"/>
        <v>122024</v>
      </c>
    </row>
    <row r="743" spans="1:43" ht="15.75" thickBot="1">
      <c r="P743" s="447">
        <v>0</v>
      </c>
      <c r="V743" s="340">
        <f t="shared" ca="1" si="217"/>
        <v>1</v>
      </c>
      <c r="W743" s="594">
        <f t="shared" ca="1" si="218"/>
        <v>1900</v>
      </c>
      <c r="X743" s="340" t="str">
        <f t="shared" ca="1" si="233"/>
        <v>0 WEEK</v>
      </c>
      <c r="Y743" s="794">
        <f t="shared" ref="Y743:Y806" si="236">P743+T743</f>
        <v>0</v>
      </c>
      <c r="Z743" s="541" cm="1">
        <f t="array" aca="1" ref="Z743" ca="1">_xlfn.IFS(AD743&lt;100,Y743,Y743&lt;TODAY(),TODAY(),Y743&gt;TODAY(),Y743,Y743=TODAY(),Y743)</f>
        <v>0</v>
      </c>
      <c r="AD743" s="298">
        <f t="shared" si="223"/>
        <v>0</v>
      </c>
      <c r="AE743" s="299" t="str">
        <f t="shared" si="224"/>
        <v>Complete</v>
      </c>
      <c r="AI743" s="301">
        <f t="shared" ca="1" si="221"/>
        <v>0</v>
      </c>
      <c r="AJ743" s="302">
        <f t="shared" ca="1" si="222"/>
        <v>0</v>
      </c>
      <c r="AL743" s="303">
        <f t="shared" si="225"/>
        <v>0</v>
      </c>
      <c r="AM743" s="303">
        <f t="shared" si="226"/>
        <v>0</v>
      </c>
      <c r="AN743" s="303">
        <f t="shared" si="227"/>
        <v>0</v>
      </c>
      <c r="AO743" s="304">
        <f t="shared" si="228"/>
        <v>0</v>
      </c>
      <c r="AP743" s="273">
        <f t="shared" si="232"/>
        <v>1</v>
      </c>
      <c r="AQ743" s="273" t="str">
        <f t="shared" ca="1" si="229"/>
        <v>11900</v>
      </c>
    </row>
    <row r="744" spans="1:43" ht="18">
      <c r="A744" s="932">
        <v>38</v>
      </c>
      <c r="B744" s="340" t="s">
        <v>2292</v>
      </c>
      <c r="C744" s="273" t="s">
        <v>2293</v>
      </c>
      <c r="D744" s="933" t="s">
        <v>2319</v>
      </c>
      <c r="E744" s="934"/>
      <c r="F744" s="334">
        <v>0.5</v>
      </c>
      <c r="G744" s="935">
        <v>180215</v>
      </c>
      <c r="H744" s="936">
        <v>32438.699999999997</v>
      </c>
      <c r="I744" s="937">
        <v>212654</v>
      </c>
      <c r="J744" s="937"/>
      <c r="K744" s="934"/>
      <c r="L744" s="934"/>
      <c r="M744" s="938"/>
      <c r="N744" s="273" t="s">
        <v>1618</v>
      </c>
      <c r="O744" s="594" t="s">
        <v>2033</v>
      </c>
      <c r="P744" s="329">
        <v>45632</v>
      </c>
      <c r="Q744" s="340" t="s">
        <v>2310</v>
      </c>
      <c r="R744" s="621">
        <v>212654</v>
      </c>
      <c r="V744" s="340">
        <f t="shared" ca="1" si="217"/>
        <v>12</v>
      </c>
      <c r="W744" s="594">
        <f t="shared" ca="1" si="218"/>
        <v>2024</v>
      </c>
      <c r="X744" s="340" t="str">
        <f t="shared" ca="1" si="233"/>
        <v>1 WEEK</v>
      </c>
      <c r="Y744" s="794">
        <f t="shared" si="236"/>
        <v>45632</v>
      </c>
      <c r="Z744" s="541" cm="1">
        <f t="array" aca="1" ref="Z744" ca="1">_xlfn.IFS(AD744&lt;100,Y744,Y744&lt;TODAY(),TODAY(),Y744&gt;TODAY(),Y744,Y744=TODAY(),Y744)</f>
        <v>45632</v>
      </c>
      <c r="AD744" s="298">
        <f t="shared" si="223"/>
        <v>0</v>
      </c>
      <c r="AE744" s="299" t="str">
        <f t="shared" si="224"/>
        <v>Complete</v>
      </c>
      <c r="AI744" s="301">
        <f t="shared" ca="1" si="221"/>
        <v>0</v>
      </c>
      <c r="AJ744" s="302">
        <f t="shared" ca="1" si="222"/>
        <v>0</v>
      </c>
      <c r="AL744" s="303">
        <f t="shared" si="225"/>
        <v>212654</v>
      </c>
      <c r="AM744" s="303">
        <f t="shared" si="226"/>
        <v>0</v>
      </c>
      <c r="AN744" s="303">
        <f t="shared" si="227"/>
        <v>212654</v>
      </c>
      <c r="AO744" s="304">
        <f t="shared" si="228"/>
        <v>0</v>
      </c>
      <c r="AP744" s="273">
        <f t="shared" si="232"/>
        <v>12</v>
      </c>
      <c r="AQ744" s="273" t="str">
        <f t="shared" ca="1" si="229"/>
        <v>122024</v>
      </c>
    </row>
    <row r="745" spans="1:43" ht="18">
      <c r="A745" s="761">
        <v>38</v>
      </c>
      <c r="B745" s="340" t="s">
        <v>2292</v>
      </c>
      <c r="C745" s="273" t="s">
        <v>2293</v>
      </c>
      <c r="D745" s="930" t="s">
        <v>2319</v>
      </c>
      <c r="F745" s="334">
        <v>0.5</v>
      </c>
      <c r="G745" s="851"/>
      <c r="H745" s="852"/>
      <c r="I745" s="822"/>
      <c r="J745" s="822"/>
      <c r="N745" s="273" t="s">
        <v>1618</v>
      </c>
      <c r="O745" s="594"/>
      <c r="P745" s="578">
        <v>0</v>
      </c>
      <c r="Q745" s="340"/>
      <c r="R745" s="621">
        <v>0</v>
      </c>
      <c r="V745" s="340">
        <f t="shared" ca="1" si="217"/>
        <v>1</v>
      </c>
      <c r="W745" s="594">
        <f t="shared" ca="1" si="218"/>
        <v>1900</v>
      </c>
      <c r="X745" s="340" t="str">
        <f t="shared" ca="1" si="233"/>
        <v>0 WEEK</v>
      </c>
      <c r="Y745" s="794">
        <f t="shared" si="236"/>
        <v>0</v>
      </c>
      <c r="Z745" s="541" cm="1">
        <f t="array" aca="1" ref="Z745" ca="1">_xlfn.IFS(AD745&lt;100,Y745,Y745&lt;TODAY(),TODAY(),Y745&gt;TODAY(),Y745,Y745=TODAY(),Y745)</f>
        <v>0</v>
      </c>
      <c r="AD745" s="298">
        <f t="shared" si="223"/>
        <v>0</v>
      </c>
      <c r="AE745" s="299" t="str">
        <f t="shared" si="224"/>
        <v>Complete</v>
      </c>
      <c r="AI745" s="301">
        <f t="shared" ca="1" si="221"/>
        <v>0</v>
      </c>
      <c r="AJ745" s="302">
        <f t="shared" ca="1" si="222"/>
        <v>0</v>
      </c>
      <c r="AL745" s="303">
        <f t="shared" si="225"/>
        <v>0</v>
      </c>
      <c r="AM745" s="303">
        <f t="shared" si="226"/>
        <v>0</v>
      </c>
      <c r="AN745" s="303">
        <f t="shared" si="227"/>
        <v>0</v>
      </c>
      <c r="AO745" s="304">
        <f t="shared" si="228"/>
        <v>0</v>
      </c>
      <c r="AP745" s="273">
        <f t="shared" si="232"/>
        <v>1</v>
      </c>
      <c r="AQ745" s="273" t="str">
        <f t="shared" ca="1" si="229"/>
        <v>11900</v>
      </c>
    </row>
    <row r="746" spans="1:43" ht="18">
      <c r="A746" s="761">
        <v>38</v>
      </c>
      <c r="B746" s="340" t="s">
        <v>2292</v>
      </c>
      <c r="C746" s="273" t="s">
        <v>2293</v>
      </c>
      <c r="D746" s="930" t="s">
        <v>2319</v>
      </c>
      <c r="F746" s="334">
        <v>0.5</v>
      </c>
      <c r="G746" s="851">
        <v>90107</v>
      </c>
      <c r="H746" s="852">
        <v>16219.26</v>
      </c>
      <c r="I746" s="822">
        <v>106326</v>
      </c>
      <c r="J746" s="822"/>
      <c r="N746" s="273" t="s">
        <v>1618</v>
      </c>
      <c r="O746" s="594" t="s">
        <v>2320</v>
      </c>
      <c r="P746" s="329">
        <v>45632</v>
      </c>
      <c r="Q746" s="340" t="s">
        <v>2310</v>
      </c>
      <c r="R746" s="621">
        <v>106326</v>
      </c>
      <c r="V746" s="340">
        <f t="shared" ca="1" si="217"/>
        <v>12</v>
      </c>
      <c r="W746" s="594">
        <f t="shared" ca="1" si="218"/>
        <v>2024</v>
      </c>
      <c r="X746" s="340" t="str">
        <f t="shared" ca="1" si="233"/>
        <v>1 WEEK</v>
      </c>
      <c r="Y746" s="794">
        <f t="shared" si="236"/>
        <v>45632</v>
      </c>
      <c r="Z746" s="541" cm="1">
        <f t="array" aca="1" ref="Z746" ca="1">_xlfn.IFS(AD746&lt;100,Y746,Y746&lt;TODAY(),TODAY(),Y746&gt;TODAY(),Y746,Y746=TODAY(),Y746)</f>
        <v>45632</v>
      </c>
      <c r="AD746" s="298">
        <f t="shared" si="223"/>
        <v>0</v>
      </c>
      <c r="AE746" s="299" t="str">
        <f t="shared" si="224"/>
        <v>Complete</v>
      </c>
      <c r="AI746" s="301">
        <f t="shared" ca="1" si="221"/>
        <v>0</v>
      </c>
      <c r="AJ746" s="302">
        <f t="shared" ca="1" si="222"/>
        <v>0</v>
      </c>
      <c r="AL746" s="303">
        <f t="shared" si="225"/>
        <v>106326</v>
      </c>
      <c r="AM746" s="303">
        <f t="shared" si="226"/>
        <v>0</v>
      </c>
      <c r="AN746" s="303">
        <f t="shared" si="227"/>
        <v>106326</v>
      </c>
      <c r="AO746" s="304">
        <f t="shared" si="228"/>
        <v>0</v>
      </c>
      <c r="AP746" s="273">
        <f t="shared" si="232"/>
        <v>12</v>
      </c>
      <c r="AQ746" s="273" t="str">
        <f t="shared" ca="1" si="229"/>
        <v>122024</v>
      </c>
    </row>
    <row r="747" spans="1:43" ht="18">
      <c r="A747" s="761">
        <v>38</v>
      </c>
      <c r="B747" s="340" t="s">
        <v>2292</v>
      </c>
      <c r="C747" s="273" t="s">
        <v>2293</v>
      </c>
      <c r="D747" s="930" t="s">
        <v>2319</v>
      </c>
      <c r="F747" s="334">
        <v>0.5</v>
      </c>
      <c r="G747" s="851"/>
      <c r="H747" s="852"/>
      <c r="I747" s="822"/>
      <c r="J747" s="822"/>
      <c r="N747" s="273" t="s">
        <v>1618</v>
      </c>
      <c r="O747" s="594"/>
      <c r="P747" s="578">
        <v>0</v>
      </c>
      <c r="Q747" s="340"/>
      <c r="R747" s="621">
        <v>0</v>
      </c>
      <c r="V747" s="340">
        <f t="shared" ca="1" si="217"/>
        <v>1</v>
      </c>
      <c r="W747" s="594">
        <f t="shared" ca="1" si="218"/>
        <v>1900</v>
      </c>
      <c r="X747" s="340" t="str">
        <f t="shared" ca="1" si="233"/>
        <v>0 WEEK</v>
      </c>
      <c r="Y747" s="794">
        <f t="shared" si="236"/>
        <v>0</v>
      </c>
      <c r="Z747" s="541" cm="1">
        <f t="array" aca="1" ref="Z747" ca="1">_xlfn.IFS(AD747&lt;100,Y747,Y747&lt;TODAY(),TODAY(),Y747&gt;TODAY(),Y747,Y747=TODAY(),Y747)</f>
        <v>0</v>
      </c>
      <c r="AD747" s="298">
        <f t="shared" si="223"/>
        <v>0</v>
      </c>
      <c r="AE747" s="299" t="str">
        <f t="shared" si="224"/>
        <v>Complete</v>
      </c>
      <c r="AI747" s="301">
        <f t="shared" ca="1" si="221"/>
        <v>0</v>
      </c>
      <c r="AJ747" s="302">
        <f t="shared" ca="1" si="222"/>
        <v>0</v>
      </c>
      <c r="AL747" s="303">
        <f t="shared" si="225"/>
        <v>0</v>
      </c>
      <c r="AM747" s="303">
        <f t="shared" si="226"/>
        <v>0</v>
      </c>
      <c r="AN747" s="303">
        <f t="shared" si="227"/>
        <v>0</v>
      </c>
      <c r="AO747" s="304">
        <f t="shared" si="228"/>
        <v>0</v>
      </c>
      <c r="AP747" s="273">
        <f t="shared" si="232"/>
        <v>1</v>
      </c>
      <c r="AQ747" s="273" t="str">
        <f t="shared" ca="1" si="229"/>
        <v>11900</v>
      </c>
    </row>
    <row r="748" spans="1:43" ht="18">
      <c r="A748" s="761">
        <v>38</v>
      </c>
      <c r="B748" s="340" t="s">
        <v>2292</v>
      </c>
      <c r="C748" s="273" t="s">
        <v>2293</v>
      </c>
      <c r="D748" s="930" t="s">
        <v>2319</v>
      </c>
      <c r="F748" s="334">
        <v>0.5</v>
      </c>
      <c r="G748" s="851">
        <v>48057</v>
      </c>
      <c r="H748" s="852">
        <v>8650.26</v>
      </c>
      <c r="I748" s="822">
        <v>56707</v>
      </c>
      <c r="J748" s="822"/>
      <c r="N748" s="273" t="s">
        <v>1618</v>
      </c>
      <c r="O748" s="594" t="s">
        <v>2321</v>
      </c>
      <c r="P748" s="329">
        <v>45632</v>
      </c>
      <c r="Q748" s="340" t="s">
        <v>2310</v>
      </c>
      <c r="R748" s="621">
        <v>56707</v>
      </c>
      <c r="V748" s="340">
        <f t="shared" ca="1" si="217"/>
        <v>12</v>
      </c>
      <c r="W748" s="594">
        <f t="shared" ca="1" si="218"/>
        <v>2024</v>
      </c>
      <c r="X748" s="340" t="str">
        <f t="shared" ca="1" si="233"/>
        <v>1 WEEK</v>
      </c>
      <c r="Y748" s="794">
        <f t="shared" si="236"/>
        <v>45632</v>
      </c>
      <c r="Z748" s="541" cm="1">
        <f t="array" aca="1" ref="Z748" ca="1">_xlfn.IFS(AD748&lt;100,Y748,Y748&lt;TODAY(),TODAY(),Y748&gt;TODAY(),Y748,Y748=TODAY(),Y748)</f>
        <v>45632</v>
      </c>
      <c r="AD748" s="298">
        <f t="shared" si="223"/>
        <v>0</v>
      </c>
      <c r="AE748" s="299" t="str">
        <f t="shared" si="224"/>
        <v>Complete</v>
      </c>
      <c r="AI748" s="301">
        <f t="shared" ca="1" si="221"/>
        <v>0</v>
      </c>
      <c r="AJ748" s="302">
        <f t="shared" ca="1" si="222"/>
        <v>0</v>
      </c>
      <c r="AL748" s="303">
        <f t="shared" si="225"/>
        <v>56707</v>
      </c>
      <c r="AM748" s="303">
        <f t="shared" si="226"/>
        <v>0</v>
      </c>
      <c r="AN748" s="303">
        <f t="shared" si="227"/>
        <v>56707</v>
      </c>
      <c r="AO748" s="304">
        <f t="shared" si="228"/>
        <v>0</v>
      </c>
      <c r="AP748" s="273">
        <f t="shared" si="232"/>
        <v>12</v>
      </c>
      <c r="AQ748" s="273" t="str">
        <f t="shared" ca="1" si="229"/>
        <v>122024</v>
      </c>
    </row>
    <row r="749" spans="1:43" ht="18">
      <c r="A749" s="761">
        <v>38</v>
      </c>
      <c r="B749" s="340" t="s">
        <v>2292</v>
      </c>
      <c r="C749" s="273" t="s">
        <v>2293</v>
      </c>
      <c r="D749" s="930" t="s">
        <v>2319</v>
      </c>
      <c r="F749" s="334">
        <v>0.5</v>
      </c>
      <c r="G749" s="851"/>
      <c r="H749" s="852"/>
      <c r="I749" s="822"/>
      <c r="J749" s="822"/>
      <c r="N749" s="273" t="s">
        <v>1618</v>
      </c>
      <c r="O749" s="594"/>
      <c r="P749" s="578">
        <v>0</v>
      </c>
      <c r="Q749" s="340"/>
      <c r="R749" s="621">
        <v>0</v>
      </c>
      <c r="V749" s="340">
        <f t="shared" ca="1" si="217"/>
        <v>1</v>
      </c>
      <c r="W749" s="594">
        <f t="shared" ca="1" si="218"/>
        <v>1900</v>
      </c>
      <c r="X749" s="340" t="str">
        <f t="shared" ca="1" si="233"/>
        <v>0 WEEK</v>
      </c>
      <c r="Y749" s="794">
        <f t="shared" si="236"/>
        <v>0</v>
      </c>
      <c r="Z749" s="541" cm="1">
        <f t="array" aca="1" ref="Z749" ca="1">_xlfn.IFS(AD749&lt;100,Y749,Y749&lt;TODAY(),TODAY(),Y749&gt;TODAY(),Y749,Y749=TODAY(),Y749)</f>
        <v>0</v>
      </c>
      <c r="AD749" s="298">
        <f t="shared" si="223"/>
        <v>0</v>
      </c>
      <c r="AE749" s="299" t="str">
        <f t="shared" si="224"/>
        <v>Complete</v>
      </c>
      <c r="AI749" s="301">
        <f t="shared" ca="1" si="221"/>
        <v>0</v>
      </c>
      <c r="AJ749" s="302">
        <f t="shared" ca="1" si="222"/>
        <v>0</v>
      </c>
      <c r="AL749" s="303">
        <f t="shared" si="225"/>
        <v>0</v>
      </c>
      <c r="AM749" s="303">
        <f t="shared" si="226"/>
        <v>0</v>
      </c>
      <c r="AN749" s="303">
        <f t="shared" si="227"/>
        <v>0</v>
      </c>
      <c r="AO749" s="304">
        <f t="shared" si="228"/>
        <v>0</v>
      </c>
      <c r="AP749" s="273">
        <f t="shared" si="232"/>
        <v>1</v>
      </c>
      <c r="AQ749" s="273" t="str">
        <f t="shared" ca="1" si="229"/>
        <v>11900</v>
      </c>
    </row>
    <row r="750" spans="1:43" ht="18">
      <c r="A750" s="761">
        <v>38</v>
      </c>
      <c r="B750" s="340" t="s">
        <v>2292</v>
      </c>
      <c r="C750" s="273" t="s">
        <v>2293</v>
      </c>
      <c r="D750" s="930" t="s">
        <v>2319</v>
      </c>
      <c r="F750" s="334">
        <v>0.5</v>
      </c>
      <c r="G750" s="851">
        <v>72086</v>
      </c>
      <c r="H750" s="852">
        <v>12975.48</v>
      </c>
      <c r="I750" s="822">
        <v>85061</v>
      </c>
      <c r="J750" s="822"/>
      <c r="N750" s="273" t="s">
        <v>1618</v>
      </c>
      <c r="O750" s="594" t="s">
        <v>2322</v>
      </c>
      <c r="P750" s="329">
        <v>45632</v>
      </c>
      <c r="Q750" s="340" t="s">
        <v>2310</v>
      </c>
      <c r="R750" s="621">
        <v>85061</v>
      </c>
      <c r="V750" s="340">
        <f t="shared" ca="1" si="217"/>
        <v>12</v>
      </c>
      <c r="W750" s="594">
        <f t="shared" ca="1" si="218"/>
        <v>2024</v>
      </c>
      <c r="X750" s="340" t="str">
        <f t="shared" ca="1" si="233"/>
        <v>1 WEEK</v>
      </c>
      <c r="Y750" s="794">
        <f t="shared" si="236"/>
        <v>45632</v>
      </c>
      <c r="Z750" s="541" cm="1">
        <f t="array" aca="1" ref="Z750" ca="1">_xlfn.IFS(AD750&lt;100,Y750,Y750&lt;TODAY(),TODAY(),Y750&gt;TODAY(),Y750,Y750=TODAY(),Y750)</f>
        <v>45632</v>
      </c>
      <c r="AD750" s="298">
        <f t="shared" si="223"/>
        <v>0</v>
      </c>
      <c r="AE750" s="299" t="str">
        <f t="shared" si="224"/>
        <v>Complete</v>
      </c>
      <c r="AI750" s="301">
        <f t="shared" ca="1" si="221"/>
        <v>0</v>
      </c>
      <c r="AJ750" s="302">
        <f t="shared" ca="1" si="222"/>
        <v>0</v>
      </c>
      <c r="AL750" s="303">
        <f t="shared" si="225"/>
        <v>85061</v>
      </c>
      <c r="AM750" s="303">
        <f t="shared" si="226"/>
        <v>0</v>
      </c>
      <c r="AN750" s="303">
        <f t="shared" si="227"/>
        <v>85061</v>
      </c>
      <c r="AO750" s="304">
        <f t="shared" si="228"/>
        <v>0</v>
      </c>
      <c r="AP750" s="273">
        <f t="shared" si="232"/>
        <v>12</v>
      </c>
      <c r="AQ750" s="273" t="str">
        <f t="shared" ca="1" si="229"/>
        <v>122024</v>
      </c>
    </row>
    <row r="751" spans="1:43" ht="18">
      <c r="A751" s="761">
        <v>38</v>
      </c>
      <c r="B751" s="340" t="s">
        <v>2292</v>
      </c>
      <c r="C751" s="273" t="s">
        <v>2293</v>
      </c>
      <c r="D751" s="930" t="s">
        <v>2319</v>
      </c>
      <c r="F751" s="334">
        <v>0.5</v>
      </c>
      <c r="G751" s="851"/>
      <c r="H751" s="852"/>
      <c r="I751" s="822"/>
      <c r="J751" s="822"/>
      <c r="N751" s="273" t="s">
        <v>1618</v>
      </c>
      <c r="O751" s="594"/>
      <c r="P751" s="578">
        <v>0</v>
      </c>
      <c r="Q751" s="340"/>
      <c r="R751" s="621">
        <v>0</v>
      </c>
      <c r="V751" s="340">
        <f t="shared" ca="1" si="217"/>
        <v>1</v>
      </c>
      <c r="W751" s="594">
        <f t="shared" ca="1" si="218"/>
        <v>1900</v>
      </c>
      <c r="X751" s="340" t="str">
        <f t="shared" ca="1" si="233"/>
        <v>0 WEEK</v>
      </c>
      <c r="Y751" s="794">
        <f t="shared" si="236"/>
        <v>0</v>
      </c>
      <c r="Z751" s="541" cm="1">
        <f t="array" aca="1" ref="Z751" ca="1">_xlfn.IFS(AD751&lt;100,Y751,Y751&lt;TODAY(),TODAY(),Y751&gt;TODAY(),Y751,Y751=TODAY(),Y751)</f>
        <v>0</v>
      </c>
      <c r="AD751" s="298">
        <f t="shared" si="223"/>
        <v>0</v>
      </c>
      <c r="AE751" s="299" t="str">
        <f t="shared" si="224"/>
        <v>Complete</v>
      </c>
      <c r="AI751" s="301">
        <f t="shared" ca="1" si="221"/>
        <v>0</v>
      </c>
      <c r="AJ751" s="302">
        <f t="shared" ca="1" si="222"/>
        <v>0</v>
      </c>
      <c r="AL751" s="303">
        <f t="shared" si="225"/>
        <v>0</v>
      </c>
      <c r="AM751" s="303">
        <f t="shared" si="226"/>
        <v>0</v>
      </c>
      <c r="AN751" s="303">
        <f t="shared" si="227"/>
        <v>0</v>
      </c>
      <c r="AO751" s="304">
        <f t="shared" si="228"/>
        <v>0</v>
      </c>
      <c r="AP751" s="273">
        <f t="shared" si="232"/>
        <v>1</v>
      </c>
      <c r="AQ751" s="273" t="str">
        <f t="shared" ca="1" si="229"/>
        <v>11900</v>
      </c>
    </row>
    <row r="752" spans="1:43" ht="18">
      <c r="A752" s="761">
        <v>38</v>
      </c>
      <c r="B752" s="340" t="s">
        <v>2292</v>
      </c>
      <c r="C752" s="273" t="s">
        <v>2293</v>
      </c>
      <c r="D752" s="930" t="s">
        <v>2319</v>
      </c>
      <c r="F752" s="334">
        <v>0.5</v>
      </c>
      <c r="G752" s="851">
        <v>90107</v>
      </c>
      <c r="H752" s="852">
        <v>16219.26</v>
      </c>
      <c r="I752" s="822">
        <v>106326</v>
      </c>
      <c r="J752" s="822"/>
      <c r="N752" s="273" t="s">
        <v>1618</v>
      </c>
      <c r="O752" s="594" t="s">
        <v>2323</v>
      </c>
      <c r="P752" s="329">
        <v>45632</v>
      </c>
      <c r="Q752" s="340" t="s">
        <v>2310</v>
      </c>
      <c r="R752" s="621">
        <v>106326.26</v>
      </c>
      <c r="V752" s="340">
        <f t="shared" ca="1" si="217"/>
        <v>12</v>
      </c>
      <c r="W752" s="594">
        <f t="shared" ca="1" si="218"/>
        <v>2024</v>
      </c>
      <c r="X752" s="340" t="str">
        <f t="shared" ca="1" si="233"/>
        <v>1 WEEK</v>
      </c>
      <c r="Y752" s="794">
        <f t="shared" si="236"/>
        <v>45632</v>
      </c>
      <c r="Z752" s="541" cm="1">
        <f t="array" aca="1" ref="Z752" ca="1">_xlfn.IFS(AD752&lt;100,Y752,Y752&lt;TODAY(),TODAY(),Y752&gt;TODAY(),Y752,Y752=TODAY(),Y752)</f>
        <v>45632</v>
      </c>
      <c r="AD752" s="298">
        <f t="shared" si="223"/>
        <v>0</v>
      </c>
      <c r="AE752" s="299" t="str">
        <f t="shared" si="224"/>
        <v>Complete</v>
      </c>
      <c r="AI752" s="301">
        <f t="shared" ca="1" si="221"/>
        <v>0</v>
      </c>
      <c r="AJ752" s="302">
        <f t="shared" ca="1" si="222"/>
        <v>0</v>
      </c>
      <c r="AL752" s="303">
        <f t="shared" si="225"/>
        <v>106326</v>
      </c>
      <c r="AM752" s="303">
        <f t="shared" si="226"/>
        <v>-0.25999999999476131</v>
      </c>
      <c r="AN752" s="303">
        <f t="shared" si="227"/>
        <v>106326.26</v>
      </c>
      <c r="AO752" s="304">
        <f t="shared" si="228"/>
        <v>0</v>
      </c>
      <c r="AP752" s="273">
        <f t="shared" si="232"/>
        <v>12</v>
      </c>
      <c r="AQ752" s="273" t="str">
        <f t="shared" ca="1" si="229"/>
        <v>122024</v>
      </c>
    </row>
    <row r="753" spans="1:43" ht="18">
      <c r="A753" s="761">
        <v>38</v>
      </c>
      <c r="B753" s="340" t="s">
        <v>2292</v>
      </c>
      <c r="C753" s="273" t="s">
        <v>2293</v>
      </c>
      <c r="D753" s="930" t="s">
        <v>2319</v>
      </c>
      <c r="F753" s="334">
        <v>0.5</v>
      </c>
      <c r="G753" s="851"/>
      <c r="H753" s="852"/>
      <c r="I753" s="822"/>
      <c r="J753" s="822"/>
      <c r="N753" s="273" t="s">
        <v>1618</v>
      </c>
      <c r="O753" s="594"/>
      <c r="P753" s="578">
        <v>0</v>
      </c>
      <c r="Q753" s="340"/>
      <c r="R753" s="621"/>
      <c r="V753" s="340">
        <f t="shared" ca="1" si="217"/>
        <v>1</v>
      </c>
      <c r="W753" s="594">
        <f t="shared" ca="1" si="218"/>
        <v>1900</v>
      </c>
      <c r="X753" s="340" t="str">
        <f t="shared" ca="1" si="233"/>
        <v>0 WEEK</v>
      </c>
      <c r="Y753" s="794">
        <f t="shared" si="236"/>
        <v>0</v>
      </c>
      <c r="Z753" s="541" cm="1">
        <f t="array" aca="1" ref="Z753" ca="1">_xlfn.IFS(AD753&lt;100,Y753,Y753&lt;TODAY(),TODAY(),Y753&gt;TODAY(),Y753,Y753=TODAY(),Y753)</f>
        <v>0</v>
      </c>
      <c r="AD753" s="298">
        <f t="shared" si="223"/>
        <v>0</v>
      </c>
      <c r="AE753" s="299" t="str">
        <f t="shared" si="224"/>
        <v>Complete</v>
      </c>
      <c r="AI753" s="301">
        <f t="shared" ca="1" si="221"/>
        <v>0</v>
      </c>
      <c r="AJ753" s="302">
        <f t="shared" ca="1" si="222"/>
        <v>0</v>
      </c>
      <c r="AL753" s="303">
        <f t="shared" si="225"/>
        <v>0</v>
      </c>
      <c r="AM753" s="303">
        <f t="shared" si="226"/>
        <v>0</v>
      </c>
      <c r="AN753" s="303">
        <f t="shared" si="227"/>
        <v>0</v>
      </c>
      <c r="AO753" s="304">
        <f t="shared" si="228"/>
        <v>0</v>
      </c>
      <c r="AP753" s="273">
        <f t="shared" si="232"/>
        <v>1</v>
      </c>
      <c r="AQ753" s="273" t="str">
        <f t="shared" ca="1" si="229"/>
        <v>11900</v>
      </c>
    </row>
    <row r="754" spans="1:43" ht="18">
      <c r="A754" s="761">
        <v>38</v>
      </c>
      <c r="B754" s="378" t="s">
        <v>2292</v>
      </c>
      <c r="C754" s="273" t="s">
        <v>2293</v>
      </c>
      <c r="D754" s="930" t="s">
        <v>2319</v>
      </c>
      <c r="F754" s="370">
        <v>0.5</v>
      </c>
      <c r="G754" s="851">
        <v>120143</v>
      </c>
      <c r="H754" s="852">
        <v>21625.739999999998</v>
      </c>
      <c r="I754" s="822">
        <v>141769</v>
      </c>
      <c r="J754" s="822"/>
      <c r="N754" s="273" t="s">
        <v>1618</v>
      </c>
      <c r="O754" s="594" t="s">
        <v>2324</v>
      </c>
      <c r="P754" s="329">
        <v>45632</v>
      </c>
      <c r="Q754" s="340" t="s">
        <v>2310</v>
      </c>
      <c r="R754" s="621">
        <v>141769</v>
      </c>
      <c r="V754" s="378">
        <f t="shared" ca="1" si="217"/>
        <v>12</v>
      </c>
      <c r="W754" s="811">
        <f t="shared" ca="1" si="218"/>
        <v>2024</v>
      </c>
      <c r="X754" s="340" t="str">
        <f t="shared" ca="1" si="233"/>
        <v>1 WEEK</v>
      </c>
      <c r="Y754" s="794">
        <f t="shared" si="236"/>
        <v>45632</v>
      </c>
      <c r="Z754" s="541" cm="1">
        <f t="array" aca="1" ref="Z754" ca="1">_xlfn.IFS(AD754&lt;100,Y754,Y754&lt;TODAY(),TODAY(),Y754&gt;TODAY(),Y754,Y754=TODAY(),Y754)</f>
        <v>45632</v>
      </c>
      <c r="AD754" s="298">
        <f t="shared" si="223"/>
        <v>0</v>
      </c>
      <c r="AE754" s="299" t="str">
        <f t="shared" si="224"/>
        <v>Complete</v>
      </c>
      <c r="AI754" s="301">
        <f t="shared" ca="1" si="221"/>
        <v>0</v>
      </c>
      <c r="AJ754" s="302">
        <f t="shared" ca="1" si="222"/>
        <v>0</v>
      </c>
      <c r="AL754" s="303">
        <f t="shared" si="225"/>
        <v>141769</v>
      </c>
      <c r="AM754" s="303">
        <f t="shared" si="226"/>
        <v>0</v>
      </c>
      <c r="AN754" s="303">
        <f t="shared" si="227"/>
        <v>141769</v>
      </c>
      <c r="AO754" s="304">
        <f t="shared" si="228"/>
        <v>0</v>
      </c>
      <c r="AP754" s="273">
        <f t="shared" si="232"/>
        <v>12</v>
      </c>
      <c r="AQ754" s="273" t="str">
        <f t="shared" ca="1" si="229"/>
        <v>122024</v>
      </c>
    </row>
    <row r="755" spans="1:43">
      <c r="G755" s="851"/>
      <c r="H755" s="852"/>
      <c r="I755" s="822"/>
      <c r="J755" s="822"/>
      <c r="O755" s="594"/>
      <c r="P755" s="578">
        <v>0</v>
      </c>
      <c r="Q755" s="340"/>
      <c r="R755" s="621"/>
      <c r="S755" s="853"/>
      <c r="T755" s="854"/>
      <c r="V755" s="273">
        <f t="shared" ca="1" si="217"/>
        <v>1</v>
      </c>
      <c r="W755" s="862">
        <f t="shared" ca="1" si="218"/>
        <v>1900</v>
      </c>
      <c r="X755" s="340" t="str">
        <f t="shared" ca="1" si="233"/>
        <v>0 WEEK</v>
      </c>
      <c r="Y755" s="794">
        <f t="shared" si="236"/>
        <v>0</v>
      </c>
      <c r="Z755" s="541" cm="1">
        <f t="array" aca="1" ref="Z755" ca="1">_xlfn.IFS(AD755&lt;100,Y755,Y755&lt;TODAY(),TODAY(),Y755&gt;TODAY(),Y755,Y755=TODAY(),Y755)</f>
        <v>0</v>
      </c>
      <c r="AB755" s="852"/>
      <c r="AC755" s="852"/>
      <c r="AD755" s="298">
        <f t="shared" si="223"/>
        <v>0</v>
      </c>
      <c r="AE755" s="299" t="str">
        <f t="shared" si="224"/>
        <v>Complete</v>
      </c>
      <c r="AI755" s="301">
        <f t="shared" ca="1" si="221"/>
        <v>0</v>
      </c>
      <c r="AJ755" s="302">
        <f t="shared" ca="1" si="222"/>
        <v>0</v>
      </c>
      <c r="AL755" s="303">
        <f t="shared" si="225"/>
        <v>0</v>
      </c>
      <c r="AM755" s="303">
        <f t="shared" si="226"/>
        <v>0</v>
      </c>
      <c r="AN755" s="303">
        <f t="shared" si="227"/>
        <v>0</v>
      </c>
      <c r="AO755" s="304">
        <f t="shared" si="228"/>
        <v>0</v>
      </c>
      <c r="AP755" s="273">
        <f t="shared" si="232"/>
        <v>1</v>
      </c>
      <c r="AQ755" s="273" t="str">
        <f t="shared" ca="1" si="229"/>
        <v>11900</v>
      </c>
    </row>
    <row r="756" spans="1:43" ht="18">
      <c r="A756" s="312">
        <v>39</v>
      </c>
      <c r="B756" s="291" t="s">
        <v>2292</v>
      </c>
      <c r="C756" s="273" t="s">
        <v>1971</v>
      </c>
      <c r="D756" s="930" t="s">
        <v>2325</v>
      </c>
      <c r="F756" s="739">
        <v>1.8</v>
      </c>
      <c r="G756" s="939">
        <v>108000</v>
      </c>
      <c r="H756" s="939">
        <f t="shared" ref="H756:H758" si="237">G756*18%</f>
        <v>19440</v>
      </c>
      <c r="I756" s="939">
        <f t="shared" ref="I756:I758" si="238">MROUND(G756+H756,1)</f>
        <v>127440</v>
      </c>
      <c r="J756" s="928"/>
      <c r="N756" s="273" t="s">
        <v>1618</v>
      </c>
      <c r="O756" s="940" t="s">
        <v>2326</v>
      </c>
      <c r="P756" s="329">
        <v>45644</v>
      </c>
      <c r="Q756" s="778" t="s">
        <v>2314</v>
      </c>
      <c r="R756" s="621">
        <v>127440</v>
      </c>
      <c r="V756" s="291">
        <f t="shared" ca="1" si="217"/>
        <v>12</v>
      </c>
      <c r="W756" s="292">
        <f t="shared" ca="1" si="218"/>
        <v>2024</v>
      </c>
      <c r="X756" s="340" t="str">
        <f t="shared" ca="1" si="233"/>
        <v>3 WEEK</v>
      </c>
      <c r="Y756" s="794">
        <f t="shared" si="236"/>
        <v>45644</v>
      </c>
      <c r="Z756" s="541" cm="1">
        <f t="array" aca="1" ref="Z756" ca="1">_xlfn.IFS(AD756&lt;100,Y756,Y756&lt;TODAY(),TODAY(),Y756&gt;TODAY(),Y756,Y756=TODAY(),Y756)</f>
        <v>45644</v>
      </c>
      <c r="AD756" s="298">
        <f t="shared" si="223"/>
        <v>0</v>
      </c>
      <c r="AE756" s="299" t="str">
        <f t="shared" si="224"/>
        <v>Complete</v>
      </c>
      <c r="AI756" s="301">
        <f t="shared" ca="1" si="221"/>
        <v>0</v>
      </c>
      <c r="AJ756" s="302">
        <f t="shared" ca="1" si="222"/>
        <v>0</v>
      </c>
      <c r="AL756" s="303">
        <f t="shared" si="225"/>
        <v>127440</v>
      </c>
      <c r="AM756" s="303">
        <f t="shared" si="226"/>
        <v>0</v>
      </c>
      <c r="AN756" s="303">
        <f t="shared" si="227"/>
        <v>127440</v>
      </c>
      <c r="AO756" s="304">
        <f t="shared" si="228"/>
        <v>0</v>
      </c>
      <c r="AP756" s="273">
        <f t="shared" si="232"/>
        <v>12</v>
      </c>
      <c r="AQ756" s="273" t="str">
        <f t="shared" ca="1" si="229"/>
        <v>122024</v>
      </c>
    </row>
    <row r="757" spans="1:43" ht="18">
      <c r="A757" s="312">
        <v>39</v>
      </c>
      <c r="B757" s="340" t="s">
        <v>2292</v>
      </c>
      <c r="C757" s="273" t="s">
        <v>1971</v>
      </c>
      <c r="D757" s="930" t="s">
        <v>2325</v>
      </c>
      <c r="F757" s="739">
        <v>1.8</v>
      </c>
      <c r="G757" s="926">
        <v>120000</v>
      </c>
      <c r="H757" s="926">
        <f t="shared" si="237"/>
        <v>21600</v>
      </c>
      <c r="I757" s="926">
        <f t="shared" si="238"/>
        <v>141600</v>
      </c>
      <c r="J757" s="928"/>
      <c r="N757" s="273" t="s">
        <v>1618</v>
      </c>
      <c r="O757" s="941" t="s">
        <v>2046</v>
      </c>
      <c r="P757" s="688">
        <v>45632</v>
      </c>
      <c r="Q757" s="942" t="s">
        <v>2310</v>
      </c>
      <c r="R757" s="314">
        <v>141600</v>
      </c>
      <c r="V757" s="340">
        <f t="shared" ca="1" si="217"/>
        <v>12</v>
      </c>
      <c r="W757" s="594">
        <f t="shared" ca="1" si="218"/>
        <v>2024</v>
      </c>
      <c r="X757" s="340" t="str">
        <f t="shared" ca="1" si="233"/>
        <v>1 WEEK</v>
      </c>
      <c r="Y757" s="794">
        <f t="shared" si="236"/>
        <v>45632</v>
      </c>
      <c r="Z757" s="541" cm="1">
        <f t="array" aca="1" ref="Z757" ca="1">_xlfn.IFS(AD757&lt;100,Y757,Y757&lt;TODAY(),TODAY(),Y757&gt;TODAY(),Y757,Y757=TODAY(),Y757)</f>
        <v>45632</v>
      </c>
      <c r="AD757" s="298">
        <f t="shared" si="223"/>
        <v>0</v>
      </c>
      <c r="AE757" s="299" t="str">
        <f t="shared" si="224"/>
        <v>Complete</v>
      </c>
      <c r="AI757" s="301">
        <f t="shared" ca="1" si="221"/>
        <v>0</v>
      </c>
      <c r="AJ757" s="302">
        <f t="shared" ca="1" si="222"/>
        <v>0</v>
      </c>
      <c r="AL757" s="303">
        <f t="shared" si="225"/>
        <v>141600</v>
      </c>
      <c r="AM757" s="303">
        <f t="shared" si="226"/>
        <v>0</v>
      </c>
      <c r="AN757" s="303">
        <f t="shared" si="227"/>
        <v>141600</v>
      </c>
      <c r="AO757" s="304">
        <f t="shared" si="228"/>
        <v>0</v>
      </c>
      <c r="AP757" s="273">
        <f t="shared" si="232"/>
        <v>12</v>
      </c>
      <c r="AQ757" s="273" t="str">
        <f t="shared" ca="1" si="229"/>
        <v>122024</v>
      </c>
    </row>
    <row r="758" spans="1:43" ht="18">
      <c r="A758" s="312">
        <v>39</v>
      </c>
      <c r="B758" s="340" t="s">
        <v>2292</v>
      </c>
      <c r="C758" s="273" t="s">
        <v>1971</v>
      </c>
      <c r="D758" s="930" t="s">
        <v>2325</v>
      </c>
      <c r="F758" s="739">
        <v>1.8</v>
      </c>
      <c r="G758" s="926">
        <v>72000</v>
      </c>
      <c r="H758" s="926">
        <f t="shared" si="237"/>
        <v>12960</v>
      </c>
      <c r="I758" s="926">
        <f t="shared" si="238"/>
        <v>84960</v>
      </c>
      <c r="J758" s="928"/>
      <c r="N758" s="273" t="s">
        <v>1618</v>
      </c>
      <c r="O758" s="943" t="s">
        <v>2327</v>
      </c>
      <c r="P758" s="688">
        <v>45644</v>
      </c>
      <c r="Q758" s="944" t="s">
        <v>2314</v>
      </c>
      <c r="R758" s="314">
        <v>84960</v>
      </c>
      <c r="V758" s="340">
        <f t="shared" ca="1" si="217"/>
        <v>12</v>
      </c>
      <c r="W758" s="594">
        <f t="shared" ca="1" si="218"/>
        <v>2024</v>
      </c>
      <c r="X758" s="340" t="str">
        <f t="shared" ca="1" si="233"/>
        <v>3 WEEK</v>
      </c>
      <c r="Y758" s="794">
        <f t="shared" si="236"/>
        <v>45644</v>
      </c>
      <c r="Z758" s="541" cm="1">
        <f t="array" aca="1" ref="Z758" ca="1">_xlfn.IFS(AD758&lt;100,Y758,Y758&lt;TODAY(),TODAY(),Y758&gt;TODAY(),Y758,Y758=TODAY(),Y758)</f>
        <v>45644</v>
      </c>
      <c r="AD758" s="298">
        <f t="shared" si="223"/>
        <v>0</v>
      </c>
      <c r="AE758" s="299" t="str">
        <f t="shared" si="224"/>
        <v>Complete</v>
      </c>
      <c r="AI758" s="301">
        <f t="shared" ca="1" si="221"/>
        <v>0</v>
      </c>
      <c r="AJ758" s="302">
        <f t="shared" ca="1" si="222"/>
        <v>0</v>
      </c>
      <c r="AL758" s="303">
        <f t="shared" si="225"/>
        <v>84960</v>
      </c>
      <c r="AM758" s="303">
        <f t="shared" si="226"/>
        <v>0</v>
      </c>
      <c r="AN758" s="303">
        <f t="shared" si="227"/>
        <v>84960</v>
      </c>
      <c r="AO758" s="304">
        <f t="shared" si="228"/>
        <v>0</v>
      </c>
      <c r="AP758" s="273">
        <f t="shared" si="232"/>
        <v>12</v>
      </c>
      <c r="AQ758" s="273" t="str">
        <f t="shared" ca="1" si="229"/>
        <v>122024</v>
      </c>
    </row>
    <row r="759" spans="1:43">
      <c r="P759" s="447">
        <v>0</v>
      </c>
      <c r="V759" s="340">
        <f t="shared" ca="1" si="217"/>
        <v>1</v>
      </c>
      <c r="W759" s="594">
        <f t="shared" ca="1" si="218"/>
        <v>1900</v>
      </c>
      <c r="X759" s="340" t="str">
        <f t="shared" ca="1" si="233"/>
        <v>0 WEEK</v>
      </c>
      <c r="Y759" s="794">
        <f t="shared" si="236"/>
        <v>0</v>
      </c>
      <c r="Z759" s="541" cm="1">
        <f t="array" aca="1" ref="Z759" ca="1">_xlfn.IFS(AD759&lt;100,Y759,Y759&lt;TODAY(),TODAY(),Y759&gt;TODAY(),Y759,Y759=TODAY(),Y759)</f>
        <v>0</v>
      </c>
      <c r="AD759" s="298">
        <f t="shared" si="223"/>
        <v>0</v>
      </c>
      <c r="AE759" s="299" t="str">
        <f t="shared" si="224"/>
        <v>Complete</v>
      </c>
      <c r="AI759" s="301">
        <f t="shared" ca="1" si="221"/>
        <v>0</v>
      </c>
      <c r="AJ759" s="302">
        <f t="shared" ca="1" si="222"/>
        <v>0</v>
      </c>
      <c r="AL759" s="303">
        <f t="shared" si="225"/>
        <v>0</v>
      </c>
      <c r="AM759" s="303">
        <f t="shared" si="226"/>
        <v>0</v>
      </c>
      <c r="AN759" s="303">
        <f t="shared" si="227"/>
        <v>0</v>
      </c>
      <c r="AO759" s="304">
        <f t="shared" si="228"/>
        <v>0</v>
      </c>
      <c r="AP759" s="273">
        <f t="shared" si="232"/>
        <v>1</v>
      </c>
      <c r="AQ759" s="273" t="str">
        <f t="shared" ca="1" si="229"/>
        <v>11900</v>
      </c>
    </row>
    <row r="760" spans="1:43" ht="18">
      <c r="A760" s="312">
        <v>40</v>
      </c>
      <c r="B760" s="711" t="s">
        <v>2328</v>
      </c>
      <c r="C760" s="273" t="s">
        <v>2329</v>
      </c>
      <c r="D760" s="711" t="s">
        <v>2330</v>
      </c>
      <c r="E760" s="440">
        <v>45161</v>
      </c>
      <c r="F760" s="739">
        <f>29000/1000</f>
        <v>29</v>
      </c>
      <c r="P760" s="447">
        <v>0</v>
      </c>
      <c r="R760" s="741" t="e">
        <v>#VALUE!</v>
      </c>
      <c r="T760" s="876">
        <v>20</v>
      </c>
      <c r="U760" s="273">
        <f>6*30</f>
        <v>180</v>
      </c>
      <c r="V760" s="340">
        <f t="shared" ca="1" si="217"/>
        <v>10</v>
      </c>
      <c r="W760" s="594">
        <f t="shared" ca="1" si="218"/>
        <v>2025</v>
      </c>
      <c r="X760" s="340" t="str">
        <f t="shared" ca="1" si="233"/>
        <v>1 WEEK</v>
      </c>
      <c r="Y760" s="794">
        <f t="shared" si="236"/>
        <v>20</v>
      </c>
      <c r="Z760" s="541" cm="1">
        <f t="array" aca="1" ref="Z760" ca="1">_xlfn.IFS(AD760&lt;100,Y760,Y760&lt;TODAY(),TODAY(),Y760&gt;TODAY(),Y760,Y760=TODAY(),Y760)</f>
        <v>45935</v>
      </c>
      <c r="AB760" s="307">
        <v>-104463128.76300001</v>
      </c>
      <c r="AD760" s="298">
        <f t="shared" si="223"/>
        <v>104463129</v>
      </c>
      <c r="AE760" s="299" t="str">
        <f t="shared" si="224"/>
        <v>Incomplete</v>
      </c>
      <c r="AI760" s="301">
        <f t="shared" ca="1" si="221"/>
        <v>45915</v>
      </c>
      <c r="AJ760" s="302" t="str">
        <f t="shared" ca="1" si="222"/>
        <v>Delayed</v>
      </c>
      <c r="AL760" s="303">
        <f t="shared" si="225"/>
        <v>0</v>
      </c>
      <c r="AM760" s="303">
        <f t="shared" si="226"/>
        <v>0</v>
      </c>
      <c r="AN760" s="303">
        <f t="shared" si="227"/>
        <v>0</v>
      </c>
      <c r="AO760" s="304">
        <f t="shared" si="228"/>
        <v>0</v>
      </c>
      <c r="AP760" s="273">
        <f t="shared" si="232"/>
        <v>1</v>
      </c>
      <c r="AQ760" s="273" t="str">
        <f t="shared" ca="1" si="229"/>
        <v>12025</v>
      </c>
    </row>
    <row r="761" spans="1:43" ht="16.5">
      <c r="A761" s="312">
        <v>40</v>
      </c>
      <c r="B761" s="711" t="s">
        <v>2328</v>
      </c>
      <c r="C761" s="273" t="s">
        <v>2329</v>
      </c>
      <c r="D761" s="711" t="s">
        <v>2330</v>
      </c>
      <c r="E761" s="440">
        <v>45161</v>
      </c>
      <c r="F761" s="739">
        <f>29000/1000</f>
        <v>29</v>
      </c>
      <c r="G761" s="306">
        <v>623500000</v>
      </c>
      <c r="H761" s="307">
        <v>74820000</v>
      </c>
      <c r="I761" s="308">
        <v>698320000</v>
      </c>
      <c r="K761" s="823" t="s">
        <v>2331</v>
      </c>
      <c r="L761" s="273" t="s">
        <v>630</v>
      </c>
      <c r="M761" s="665">
        <v>0.1</v>
      </c>
      <c r="O761" s="862" t="s">
        <v>1629</v>
      </c>
      <c r="P761" s="829">
        <v>45199</v>
      </c>
      <c r="Q761" s="830" t="s">
        <v>2332</v>
      </c>
      <c r="R761" s="314">
        <v>237299731</v>
      </c>
      <c r="T761" s="876">
        <v>20</v>
      </c>
      <c r="V761" s="340">
        <f t="shared" ca="1" si="217"/>
        <v>10</v>
      </c>
      <c r="W761" s="594">
        <f t="shared" ca="1" si="218"/>
        <v>2023</v>
      </c>
      <c r="X761" s="340" t="str">
        <f t="shared" ca="1" si="233"/>
        <v>3 WEEK</v>
      </c>
      <c r="Y761" s="794">
        <f t="shared" si="236"/>
        <v>45219</v>
      </c>
      <c r="Z761" s="541" cm="1">
        <f t="array" aca="1" ref="Z761" ca="1">_xlfn.IFS(AD761&lt;100,Y761,Y761&lt;TODAY(),TODAY(),Y761&gt;TODAY(),Y761,Y761=TODAY(),Y761)</f>
        <v>45219</v>
      </c>
      <c r="AA761" s="891">
        <f>SUM(G760:G804)*M761</f>
        <v>88015000</v>
      </c>
      <c r="AB761" s="307">
        <f>AA761-AC761</f>
        <v>87926985</v>
      </c>
      <c r="AC761" s="307">
        <f>AA761*0.1%</f>
        <v>88015</v>
      </c>
      <c r="AD761" s="298">
        <f t="shared" si="223"/>
        <v>0</v>
      </c>
      <c r="AE761" s="299" t="str">
        <f t="shared" si="224"/>
        <v>Complete</v>
      </c>
      <c r="AI761" s="301">
        <f t="shared" ca="1" si="221"/>
        <v>0</v>
      </c>
      <c r="AJ761" s="302">
        <f t="shared" ca="1" si="222"/>
        <v>0</v>
      </c>
      <c r="AL761" s="303">
        <f t="shared" si="225"/>
        <v>698320000</v>
      </c>
      <c r="AM761" s="303">
        <f t="shared" si="226"/>
        <v>461020269</v>
      </c>
      <c r="AN761" s="303">
        <f t="shared" si="227"/>
        <v>237299731</v>
      </c>
      <c r="AO761" s="304">
        <f t="shared" si="228"/>
        <v>0</v>
      </c>
      <c r="AP761" s="273">
        <f t="shared" si="232"/>
        <v>9</v>
      </c>
      <c r="AQ761" s="273" t="str">
        <f t="shared" ca="1" si="229"/>
        <v>92023</v>
      </c>
    </row>
    <row r="762" spans="1:43" ht="16.5">
      <c r="A762" s="312">
        <v>40</v>
      </c>
      <c r="B762" s="711" t="s">
        <v>2328</v>
      </c>
      <c r="C762" s="273" t="s">
        <v>2329</v>
      </c>
      <c r="D762" s="711" t="s">
        <v>2330</v>
      </c>
      <c r="E762" s="440">
        <v>45161</v>
      </c>
      <c r="F762" s="739">
        <f t="shared" ref="F762:F804" si="239">29000/1000</f>
        <v>29</v>
      </c>
      <c r="K762" s="823" t="s">
        <v>2333</v>
      </c>
      <c r="M762" s="665">
        <v>0.9</v>
      </c>
      <c r="P762" s="829">
        <v>45289</v>
      </c>
      <c r="Q762" s="830" t="s">
        <v>2334</v>
      </c>
      <c r="R762" s="314">
        <v>461020269</v>
      </c>
      <c r="T762" s="876">
        <v>20</v>
      </c>
      <c r="V762" s="340">
        <f t="shared" ca="1" si="217"/>
        <v>1</v>
      </c>
      <c r="W762" s="594">
        <f t="shared" ca="1" si="218"/>
        <v>2024</v>
      </c>
      <c r="X762" s="340" t="str">
        <f t="shared" ca="1" si="233"/>
        <v>3 WEEK</v>
      </c>
      <c r="Y762" s="794">
        <f t="shared" si="236"/>
        <v>45309</v>
      </c>
      <c r="Z762" s="541" cm="1">
        <f t="array" aca="1" ref="Z762" ca="1">_xlfn.IFS(AD762&lt;100,Y762,Y762&lt;TODAY(),TODAY(),Y762&gt;TODAY(),Y762,Y762=TODAY(),Y762)</f>
        <v>45309</v>
      </c>
      <c r="AA762" s="910">
        <f>SUM(I760:I808)</f>
        <v>999203237</v>
      </c>
      <c r="AB762" s="307">
        <f>AA762-AC762</f>
        <v>998204033.76300001</v>
      </c>
      <c r="AC762" s="307">
        <f>AA762*0.1%</f>
        <v>999203.23699999996</v>
      </c>
      <c r="AD762" s="298">
        <f t="shared" si="223"/>
        <v>0</v>
      </c>
      <c r="AE762" s="299" t="str">
        <f t="shared" si="224"/>
        <v>Complete</v>
      </c>
      <c r="AI762" s="301">
        <f t="shared" ca="1" si="221"/>
        <v>0</v>
      </c>
      <c r="AJ762" s="302">
        <f t="shared" ca="1" si="222"/>
        <v>0</v>
      </c>
      <c r="AL762" s="303">
        <f t="shared" si="225"/>
        <v>0</v>
      </c>
      <c r="AM762" s="303">
        <f t="shared" si="226"/>
        <v>-461020269</v>
      </c>
      <c r="AN762" s="303">
        <f t="shared" si="227"/>
        <v>461020269</v>
      </c>
      <c r="AO762" s="304">
        <f t="shared" si="228"/>
        <v>0</v>
      </c>
      <c r="AP762" s="273">
        <f t="shared" si="232"/>
        <v>12</v>
      </c>
      <c r="AQ762" s="273" t="str">
        <f t="shared" ca="1" si="229"/>
        <v>122024</v>
      </c>
    </row>
    <row r="763" spans="1:43" ht="16.5">
      <c r="A763" s="312">
        <v>40</v>
      </c>
      <c r="B763" s="711" t="s">
        <v>2328</v>
      </c>
      <c r="C763" s="273" t="s">
        <v>2329</v>
      </c>
      <c r="D763" s="711" t="s">
        <v>2330</v>
      </c>
      <c r="E763" s="440">
        <v>45161</v>
      </c>
      <c r="F763" s="739">
        <f t="shared" si="239"/>
        <v>29</v>
      </c>
      <c r="P763" s="829">
        <v>45388</v>
      </c>
      <c r="Q763" s="830" t="s">
        <v>2335</v>
      </c>
      <c r="R763" s="314">
        <v>2008044</v>
      </c>
      <c r="T763" s="876">
        <v>20</v>
      </c>
      <c r="V763" s="340">
        <f t="shared" ca="1" si="217"/>
        <v>4</v>
      </c>
      <c r="W763" s="594">
        <f t="shared" ca="1" si="218"/>
        <v>2024</v>
      </c>
      <c r="X763" s="340" t="str">
        <f t="shared" ca="1" si="233"/>
        <v>4 WEEK</v>
      </c>
      <c r="Y763" s="794">
        <f t="shared" si="236"/>
        <v>45408</v>
      </c>
      <c r="Z763" s="541" cm="1">
        <f t="array" aca="1" ref="Z763" ca="1">_xlfn.IFS(AD763&lt;100,Y763,Y763&lt;TODAY(),TODAY(),Y763&gt;TODAY(),Y763,Y763=TODAY(),Y763)</f>
        <v>45408</v>
      </c>
      <c r="AD763" s="298">
        <f t="shared" si="223"/>
        <v>0</v>
      </c>
      <c r="AE763" s="299" t="str">
        <f t="shared" si="224"/>
        <v>Complete</v>
      </c>
      <c r="AI763" s="301">
        <f t="shared" ca="1" si="221"/>
        <v>0</v>
      </c>
      <c r="AJ763" s="302">
        <f t="shared" ca="1" si="222"/>
        <v>0</v>
      </c>
      <c r="AL763" s="303">
        <f t="shared" si="225"/>
        <v>0</v>
      </c>
      <c r="AM763" s="303">
        <f t="shared" si="226"/>
        <v>-2008044</v>
      </c>
      <c r="AN763" s="303">
        <f t="shared" si="227"/>
        <v>2008044</v>
      </c>
      <c r="AO763" s="304">
        <f t="shared" si="228"/>
        <v>0</v>
      </c>
      <c r="AP763" s="273">
        <f t="shared" si="232"/>
        <v>4</v>
      </c>
      <c r="AQ763" s="273" t="str">
        <f t="shared" ca="1" si="229"/>
        <v>42024</v>
      </c>
    </row>
    <row r="764" spans="1:43" ht="16.5">
      <c r="A764" s="312">
        <v>40</v>
      </c>
      <c r="B764" s="711" t="s">
        <v>2328</v>
      </c>
      <c r="C764" s="273" t="s">
        <v>2329</v>
      </c>
      <c r="D764" s="711" t="s">
        <v>2330</v>
      </c>
      <c r="E764" s="440">
        <v>45161</v>
      </c>
      <c r="F764" s="739">
        <f t="shared" si="239"/>
        <v>29</v>
      </c>
      <c r="K764" s="823" t="s">
        <v>2336</v>
      </c>
      <c r="L764" s="273" t="s">
        <v>1595</v>
      </c>
      <c r="M764" s="665">
        <v>0.05</v>
      </c>
      <c r="P764" s="829">
        <v>45443</v>
      </c>
      <c r="Q764" s="830" t="s">
        <v>2133</v>
      </c>
      <c r="R764" s="314">
        <v>-200</v>
      </c>
      <c r="T764" s="876">
        <v>20</v>
      </c>
      <c r="V764" s="340">
        <f t="shared" ca="1" si="217"/>
        <v>6</v>
      </c>
      <c r="W764" s="594">
        <f t="shared" ca="1" si="218"/>
        <v>2024</v>
      </c>
      <c r="X764" s="340" t="str">
        <f t="shared" ca="1" si="233"/>
        <v>3 WEEK</v>
      </c>
      <c r="Y764" s="794">
        <f t="shared" si="236"/>
        <v>45463</v>
      </c>
      <c r="Z764" s="541" cm="1">
        <f t="array" aca="1" ref="Z764" ca="1">_xlfn.IFS(AD764&lt;100,Y764,Y764&lt;TODAY(),TODAY(),Y764&gt;TODAY(),Y764,Y764=TODAY(),Y764)</f>
        <v>45463</v>
      </c>
      <c r="AD764" s="298">
        <f t="shared" si="223"/>
        <v>0</v>
      </c>
      <c r="AE764" s="299" t="str">
        <f t="shared" si="224"/>
        <v>Complete</v>
      </c>
      <c r="AI764" s="301">
        <f t="shared" ca="1" si="221"/>
        <v>0</v>
      </c>
      <c r="AJ764" s="302">
        <f t="shared" ca="1" si="222"/>
        <v>0</v>
      </c>
      <c r="AL764" s="303">
        <f t="shared" si="225"/>
        <v>0</v>
      </c>
      <c r="AM764" s="303">
        <f t="shared" si="226"/>
        <v>200</v>
      </c>
      <c r="AN764" s="303">
        <f t="shared" si="227"/>
        <v>-200</v>
      </c>
      <c r="AO764" s="304">
        <f t="shared" si="228"/>
        <v>0</v>
      </c>
      <c r="AP764" s="273">
        <f t="shared" si="232"/>
        <v>5</v>
      </c>
      <c r="AQ764" s="273" t="str">
        <f t="shared" ca="1" si="229"/>
        <v>52024</v>
      </c>
    </row>
    <row r="765" spans="1:43" ht="16.5">
      <c r="A765" s="312">
        <v>40</v>
      </c>
      <c r="B765" s="711" t="s">
        <v>2328</v>
      </c>
      <c r="C765" s="273" t="s">
        <v>2329</v>
      </c>
      <c r="D765" s="711" t="s">
        <v>2330</v>
      </c>
      <c r="E765" s="440">
        <v>45161</v>
      </c>
      <c r="F765" s="739">
        <f t="shared" si="239"/>
        <v>29</v>
      </c>
      <c r="G765" s="306">
        <v>32729400</v>
      </c>
      <c r="H765" s="307">
        <v>5891292</v>
      </c>
      <c r="I765" s="308">
        <v>38620692</v>
      </c>
      <c r="K765" s="823" t="s">
        <v>2337</v>
      </c>
      <c r="L765" s="273" t="s">
        <v>1595</v>
      </c>
      <c r="M765" s="665">
        <v>0.05</v>
      </c>
      <c r="O765" s="862" t="s">
        <v>2338</v>
      </c>
      <c r="P765" s="829">
        <v>45199</v>
      </c>
      <c r="Q765" s="830" t="s">
        <v>2339</v>
      </c>
      <c r="R765" s="314">
        <v>19310346</v>
      </c>
      <c r="T765" s="876">
        <v>20</v>
      </c>
      <c r="V765" s="340">
        <f t="shared" ca="1" si="217"/>
        <v>10</v>
      </c>
      <c r="W765" s="594">
        <f t="shared" ca="1" si="218"/>
        <v>2023</v>
      </c>
      <c r="X765" s="340" t="str">
        <f t="shared" ca="1" si="233"/>
        <v>3 WEEK</v>
      </c>
      <c r="Y765" s="794">
        <f t="shared" si="236"/>
        <v>45219</v>
      </c>
      <c r="Z765" s="541" cm="1">
        <f t="array" aca="1" ref="Z765" ca="1">_xlfn.IFS(AD765&lt;100,Y765,Y765&lt;TODAY(),TODAY(),Y765&gt;TODAY(),Y765,Y765=TODAY(),Y765)</f>
        <v>45219</v>
      </c>
      <c r="AD765" s="298">
        <f t="shared" si="223"/>
        <v>0</v>
      </c>
      <c r="AE765" s="299" t="str">
        <f t="shared" si="224"/>
        <v>Complete</v>
      </c>
      <c r="AI765" s="301">
        <f t="shared" ca="1" si="221"/>
        <v>0</v>
      </c>
      <c r="AJ765" s="302">
        <f t="shared" ca="1" si="222"/>
        <v>0</v>
      </c>
      <c r="AL765" s="303">
        <f t="shared" si="225"/>
        <v>38620692</v>
      </c>
      <c r="AM765" s="303">
        <f t="shared" si="226"/>
        <v>19310346</v>
      </c>
      <c r="AN765" s="303">
        <f t="shared" si="227"/>
        <v>19310346</v>
      </c>
      <c r="AO765" s="304">
        <f t="shared" si="228"/>
        <v>0</v>
      </c>
      <c r="AP765" s="273">
        <f t="shared" si="232"/>
        <v>9</v>
      </c>
      <c r="AQ765" s="273" t="str">
        <f t="shared" ca="1" si="229"/>
        <v>92023</v>
      </c>
    </row>
    <row r="766" spans="1:43" ht="16.5">
      <c r="A766" s="312">
        <v>40</v>
      </c>
      <c r="B766" s="711" t="s">
        <v>2328</v>
      </c>
      <c r="C766" s="273" t="s">
        <v>2329</v>
      </c>
      <c r="D766" s="711" t="s">
        <v>2330</v>
      </c>
      <c r="E766" s="440">
        <v>45161</v>
      </c>
      <c r="F766" s="739">
        <f t="shared" si="239"/>
        <v>29</v>
      </c>
      <c r="K766" s="823" t="s">
        <v>2340</v>
      </c>
      <c r="L766" s="273" t="s">
        <v>1595</v>
      </c>
      <c r="M766" s="665">
        <v>0.7</v>
      </c>
      <c r="P766" s="829">
        <v>45230</v>
      </c>
      <c r="Q766" s="830" t="s">
        <v>2341</v>
      </c>
      <c r="R766" s="314">
        <v>19310346</v>
      </c>
      <c r="T766" s="876">
        <v>20</v>
      </c>
      <c r="V766" s="340">
        <f t="shared" ca="1" si="217"/>
        <v>11</v>
      </c>
      <c r="W766" s="594">
        <f t="shared" ca="1" si="218"/>
        <v>2023</v>
      </c>
      <c r="X766" s="340" t="str">
        <f t="shared" ca="1" si="233"/>
        <v>3 WEEK</v>
      </c>
      <c r="Y766" s="794">
        <f t="shared" si="236"/>
        <v>45250</v>
      </c>
      <c r="Z766" s="541" cm="1">
        <f t="array" aca="1" ref="Z766" ca="1">_xlfn.IFS(AD766&lt;100,Y766,Y766&lt;TODAY(),TODAY(),Y766&gt;TODAY(),Y766,Y766=TODAY(),Y766)</f>
        <v>45250</v>
      </c>
      <c r="AD766" s="298">
        <f t="shared" si="223"/>
        <v>0</v>
      </c>
      <c r="AE766" s="299" t="str">
        <f t="shared" si="224"/>
        <v>Complete</v>
      </c>
      <c r="AI766" s="301">
        <f t="shared" ca="1" si="221"/>
        <v>0</v>
      </c>
      <c r="AJ766" s="302">
        <f t="shared" ca="1" si="222"/>
        <v>0</v>
      </c>
      <c r="AL766" s="303">
        <f t="shared" si="225"/>
        <v>0</v>
      </c>
      <c r="AM766" s="303">
        <f t="shared" si="226"/>
        <v>-19310346</v>
      </c>
      <c r="AN766" s="303">
        <f t="shared" si="227"/>
        <v>19310346</v>
      </c>
      <c r="AO766" s="304">
        <f t="shared" si="228"/>
        <v>0</v>
      </c>
      <c r="AP766" s="273">
        <f t="shared" si="232"/>
        <v>10</v>
      </c>
      <c r="AQ766" s="273" t="str">
        <f t="shared" ca="1" si="229"/>
        <v>102023</v>
      </c>
    </row>
    <row r="767" spans="1:43" ht="16.5">
      <c r="A767" s="312">
        <v>40</v>
      </c>
      <c r="B767" s="711" t="s">
        <v>2328</v>
      </c>
      <c r="C767" s="273" t="s">
        <v>2329</v>
      </c>
      <c r="D767" s="711" t="s">
        <v>2330</v>
      </c>
      <c r="E767" s="440">
        <v>45161</v>
      </c>
      <c r="F767" s="739">
        <f t="shared" si="239"/>
        <v>29</v>
      </c>
      <c r="G767" s="306">
        <v>26183520</v>
      </c>
      <c r="H767" s="307">
        <v>4713033.5999999996</v>
      </c>
      <c r="I767" s="308">
        <v>30896554</v>
      </c>
      <c r="K767" s="823" t="s">
        <v>2342</v>
      </c>
      <c r="L767" s="273" t="s">
        <v>1617</v>
      </c>
      <c r="M767" s="665">
        <v>0.1</v>
      </c>
      <c r="O767" s="862" t="s">
        <v>2343</v>
      </c>
      <c r="P767" s="829">
        <v>45280</v>
      </c>
      <c r="Q767" s="830" t="s">
        <v>2344</v>
      </c>
      <c r="R767" s="314">
        <v>15448277</v>
      </c>
      <c r="T767" s="876">
        <v>20</v>
      </c>
      <c r="V767" s="340">
        <f t="shared" ca="1" si="217"/>
        <v>1</v>
      </c>
      <c r="W767" s="594">
        <f t="shared" ca="1" si="218"/>
        <v>2024</v>
      </c>
      <c r="X767" s="340" t="str">
        <f t="shared" ca="1" si="233"/>
        <v>2 WEEK</v>
      </c>
      <c r="Y767" s="794">
        <f t="shared" si="236"/>
        <v>45300</v>
      </c>
      <c r="Z767" s="541" cm="1">
        <f t="array" aca="1" ref="Z767" ca="1">_xlfn.IFS(AD767&lt;100,Y767,Y767&lt;TODAY(),TODAY(),Y767&gt;TODAY(),Y767,Y767=TODAY(),Y767)</f>
        <v>45300</v>
      </c>
      <c r="AD767" s="298">
        <f t="shared" si="223"/>
        <v>0</v>
      </c>
      <c r="AE767" s="299" t="str">
        <f t="shared" si="224"/>
        <v>Complete</v>
      </c>
      <c r="AI767" s="301">
        <f t="shared" ca="1" si="221"/>
        <v>0</v>
      </c>
      <c r="AJ767" s="302">
        <f t="shared" ca="1" si="222"/>
        <v>0</v>
      </c>
      <c r="AL767" s="303">
        <f t="shared" si="225"/>
        <v>30896554</v>
      </c>
      <c r="AM767" s="303">
        <f t="shared" si="226"/>
        <v>15448277</v>
      </c>
      <c r="AN767" s="303">
        <f t="shared" si="227"/>
        <v>15448277</v>
      </c>
      <c r="AO767" s="304">
        <f t="shared" si="228"/>
        <v>0</v>
      </c>
      <c r="AP767" s="273">
        <f t="shared" si="232"/>
        <v>12</v>
      </c>
      <c r="AQ767" s="273" t="str">
        <f t="shared" ca="1" si="229"/>
        <v>122024</v>
      </c>
    </row>
    <row r="768" spans="1:43" ht="16.5">
      <c r="A768" s="312">
        <v>40</v>
      </c>
      <c r="B768" s="711" t="s">
        <v>2328</v>
      </c>
      <c r="C768" s="273" t="s">
        <v>2329</v>
      </c>
      <c r="D768" s="711" t="s">
        <v>2330</v>
      </c>
      <c r="E768" s="440">
        <v>45161</v>
      </c>
      <c r="F768" s="739">
        <f t="shared" si="239"/>
        <v>29</v>
      </c>
      <c r="K768" s="823" t="s">
        <v>2345</v>
      </c>
      <c r="L768" s="273" t="s">
        <v>1595</v>
      </c>
      <c r="M768" s="665">
        <v>0.05</v>
      </c>
      <c r="P768" s="829">
        <v>45287</v>
      </c>
      <c r="Q768" s="830" t="s">
        <v>2346</v>
      </c>
      <c r="R768" s="314">
        <v>15448277</v>
      </c>
      <c r="T768" s="876">
        <v>20</v>
      </c>
      <c r="V768" s="340">
        <f t="shared" ca="1" si="217"/>
        <v>1</v>
      </c>
      <c r="W768" s="594">
        <f t="shared" ca="1" si="218"/>
        <v>2024</v>
      </c>
      <c r="X768" s="340" t="str">
        <f t="shared" ca="1" si="233"/>
        <v>3 WEEK</v>
      </c>
      <c r="Y768" s="794">
        <f t="shared" si="236"/>
        <v>45307</v>
      </c>
      <c r="Z768" s="541" cm="1">
        <f t="array" aca="1" ref="Z768" ca="1">_xlfn.IFS(AD768&lt;100,Y768,Y768&lt;TODAY(),TODAY(),Y768&gt;TODAY(),Y768,Y768=TODAY(),Y768)</f>
        <v>45307</v>
      </c>
      <c r="AD768" s="298">
        <f t="shared" si="223"/>
        <v>0</v>
      </c>
      <c r="AE768" s="299" t="str">
        <f t="shared" si="224"/>
        <v>Complete</v>
      </c>
      <c r="AI768" s="301">
        <f t="shared" ca="1" si="221"/>
        <v>0</v>
      </c>
      <c r="AJ768" s="302">
        <f t="shared" ca="1" si="222"/>
        <v>0</v>
      </c>
      <c r="AL768" s="303">
        <f t="shared" si="225"/>
        <v>0</v>
      </c>
      <c r="AM768" s="303">
        <f t="shared" si="226"/>
        <v>-15448277</v>
      </c>
      <c r="AN768" s="303">
        <f t="shared" si="227"/>
        <v>15448277</v>
      </c>
      <c r="AO768" s="304">
        <f t="shared" si="228"/>
        <v>0</v>
      </c>
      <c r="AP768" s="273">
        <f t="shared" si="232"/>
        <v>12</v>
      </c>
      <c r="AQ768" s="273" t="str">
        <f t="shared" ca="1" si="229"/>
        <v>122024</v>
      </c>
    </row>
    <row r="769" spans="1:43" ht="16.5">
      <c r="A769" s="312">
        <v>40</v>
      </c>
      <c r="B769" s="711" t="s">
        <v>2328</v>
      </c>
      <c r="C769" s="273" t="s">
        <v>2329</v>
      </c>
      <c r="D769" s="711" t="s">
        <v>2330</v>
      </c>
      <c r="E769" s="440">
        <v>45161</v>
      </c>
      <c r="F769" s="739">
        <f t="shared" si="239"/>
        <v>29</v>
      </c>
      <c r="G769" s="306">
        <v>34911360</v>
      </c>
      <c r="H769" s="307">
        <v>6284044.7999999998</v>
      </c>
      <c r="I769" s="308">
        <v>41195405</v>
      </c>
      <c r="K769" s="823" t="s">
        <v>2347</v>
      </c>
      <c r="L769" s="273" t="s">
        <v>1595</v>
      </c>
      <c r="M769" s="665">
        <v>0.05</v>
      </c>
      <c r="O769" s="862" t="s">
        <v>2348</v>
      </c>
      <c r="P769" s="829">
        <v>45280</v>
      </c>
      <c r="Q769" s="830" t="s">
        <v>2349</v>
      </c>
      <c r="R769" s="314">
        <v>20597702</v>
      </c>
      <c r="T769" s="876">
        <v>20</v>
      </c>
      <c r="V769" s="340">
        <f t="shared" ca="1" si="217"/>
        <v>1</v>
      </c>
      <c r="W769" s="594">
        <f t="shared" ca="1" si="218"/>
        <v>2024</v>
      </c>
      <c r="X769" s="340" t="str">
        <f t="shared" ca="1" si="233"/>
        <v>2 WEEK</v>
      </c>
      <c r="Y769" s="794">
        <f t="shared" si="236"/>
        <v>45300</v>
      </c>
      <c r="Z769" s="541" cm="1">
        <f t="array" aca="1" ref="Z769" ca="1">_xlfn.IFS(AD769&lt;100,Y769,Y769&lt;TODAY(),TODAY(),Y769&gt;TODAY(),Y769,Y769=TODAY(),Y769)</f>
        <v>45300</v>
      </c>
      <c r="AD769" s="298">
        <f t="shared" si="223"/>
        <v>0</v>
      </c>
      <c r="AE769" s="299" t="str">
        <f t="shared" si="224"/>
        <v>Complete</v>
      </c>
      <c r="AI769" s="301">
        <f t="shared" ca="1" si="221"/>
        <v>0</v>
      </c>
      <c r="AJ769" s="302">
        <f t="shared" ca="1" si="222"/>
        <v>0</v>
      </c>
      <c r="AL769" s="303">
        <f t="shared" si="225"/>
        <v>41195405</v>
      </c>
      <c r="AM769" s="303">
        <f t="shared" si="226"/>
        <v>20597703</v>
      </c>
      <c r="AN769" s="303">
        <f t="shared" si="227"/>
        <v>20597702</v>
      </c>
      <c r="AO769" s="304">
        <f t="shared" si="228"/>
        <v>0</v>
      </c>
      <c r="AP769" s="273">
        <f t="shared" si="232"/>
        <v>12</v>
      </c>
      <c r="AQ769" s="273" t="str">
        <f t="shared" ca="1" si="229"/>
        <v>122024</v>
      </c>
    </row>
    <row r="770" spans="1:43" ht="16.5">
      <c r="A770" s="312">
        <v>40</v>
      </c>
      <c r="B770" s="711" t="s">
        <v>2328</v>
      </c>
      <c r="C770" s="273" t="s">
        <v>2329</v>
      </c>
      <c r="D770" s="711" t="s">
        <v>2330</v>
      </c>
      <c r="E770" s="440">
        <v>45161</v>
      </c>
      <c r="F770" s="739">
        <f t="shared" si="239"/>
        <v>29</v>
      </c>
      <c r="P770" s="829">
        <v>45287</v>
      </c>
      <c r="Q770" s="830" t="s">
        <v>2350</v>
      </c>
      <c r="R770" s="314">
        <v>20597702</v>
      </c>
      <c r="T770" s="876">
        <v>20</v>
      </c>
      <c r="V770" s="340">
        <f t="shared" ca="1" si="217"/>
        <v>1</v>
      </c>
      <c r="W770" s="594">
        <f t="shared" ca="1" si="218"/>
        <v>2024</v>
      </c>
      <c r="X770" s="340" t="str">
        <f t="shared" ca="1" si="233"/>
        <v>3 WEEK</v>
      </c>
      <c r="Y770" s="794">
        <f t="shared" si="236"/>
        <v>45307</v>
      </c>
      <c r="Z770" s="541" cm="1">
        <f t="array" aca="1" ref="Z770" ca="1">_xlfn.IFS(AD770&lt;100,Y770,Y770&lt;TODAY(),TODAY(),Y770&gt;TODAY(),Y770,Y770=TODAY(),Y770)</f>
        <v>45307</v>
      </c>
      <c r="AD770" s="298">
        <f t="shared" si="223"/>
        <v>0</v>
      </c>
      <c r="AE770" s="299" t="str">
        <f t="shared" si="224"/>
        <v>Complete</v>
      </c>
      <c r="AI770" s="301">
        <f t="shared" ref="AI770:AI833" ca="1" si="240">Z770-Y770</f>
        <v>0</v>
      </c>
      <c r="AJ770" s="302">
        <f t="shared" ref="AJ770:AJ833" ca="1" si="241">IF(AI770&gt;1,"Delayed",0)</f>
        <v>0</v>
      </c>
      <c r="AL770" s="303">
        <f t="shared" si="225"/>
        <v>0</v>
      </c>
      <c r="AM770" s="303">
        <f t="shared" si="226"/>
        <v>-20597702</v>
      </c>
      <c r="AN770" s="303">
        <f t="shared" si="227"/>
        <v>20597702</v>
      </c>
      <c r="AO770" s="304">
        <f t="shared" si="228"/>
        <v>0</v>
      </c>
      <c r="AP770" s="273">
        <f t="shared" si="232"/>
        <v>12</v>
      </c>
      <c r="AQ770" s="273" t="str">
        <f t="shared" ca="1" si="229"/>
        <v>122024</v>
      </c>
    </row>
    <row r="771" spans="1:43" ht="16.5">
      <c r="A771" s="312">
        <v>40</v>
      </c>
      <c r="B771" s="711" t="s">
        <v>2328</v>
      </c>
      <c r="C771" s="273" t="s">
        <v>2329</v>
      </c>
      <c r="D771" s="711" t="s">
        <v>2330</v>
      </c>
      <c r="E771" s="440">
        <v>45161</v>
      </c>
      <c r="F771" s="739">
        <f t="shared" si="239"/>
        <v>29</v>
      </c>
      <c r="G771" s="306">
        <v>32729400</v>
      </c>
      <c r="H771" s="307">
        <v>3927528</v>
      </c>
      <c r="I771" s="308">
        <v>36656928</v>
      </c>
      <c r="O771" s="862" t="s">
        <v>2164</v>
      </c>
      <c r="P771" s="555">
        <v>45280</v>
      </c>
      <c r="Q771" s="556" t="s">
        <v>2351</v>
      </c>
      <c r="R771" s="314">
        <v>36656928</v>
      </c>
      <c r="T771" s="876">
        <v>20</v>
      </c>
      <c r="V771" s="340">
        <f t="shared" ca="1" si="217"/>
        <v>1</v>
      </c>
      <c r="W771" s="594">
        <f t="shared" ca="1" si="218"/>
        <v>2024</v>
      </c>
      <c r="X771" s="340" t="str">
        <f t="shared" ca="1" si="233"/>
        <v>2 WEEK</v>
      </c>
      <c r="Y771" s="794">
        <f t="shared" si="236"/>
        <v>45300</v>
      </c>
      <c r="Z771" s="541" cm="1">
        <f t="array" aca="1" ref="Z771" ca="1">_xlfn.IFS(AD771&lt;100,Y771,Y771&lt;TODAY(),TODAY(),Y771&gt;TODAY(),Y771,Y771=TODAY(),Y771)</f>
        <v>45300</v>
      </c>
      <c r="AD771" s="298">
        <f t="shared" ref="AD771:AD834" si="242">ROUND(AA771-AB771-AC771,0)</f>
        <v>0</v>
      </c>
      <c r="AE771" s="299" t="str">
        <f t="shared" ref="AE771:AE834" si="243">IF(AD771&lt;100,"Complete","Incomplete")</f>
        <v>Complete</v>
      </c>
      <c r="AI771" s="301">
        <f t="shared" ca="1" si="240"/>
        <v>0</v>
      </c>
      <c r="AJ771" s="302">
        <f t="shared" ca="1" si="241"/>
        <v>0</v>
      </c>
      <c r="AL771" s="303">
        <f t="shared" ref="AL771:AL834" si="244">I771-J771</f>
        <v>36656928</v>
      </c>
      <c r="AM771" s="303">
        <f t="shared" ref="AM771:AM834" si="245">IFERROR(I771-R771,0)</f>
        <v>0</v>
      </c>
      <c r="AN771" s="303">
        <f t="shared" ref="AN771:AN834" si="246">IFERROR(R771-J771,0)</f>
        <v>36656928</v>
      </c>
      <c r="AO771" s="304">
        <f t="shared" ref="AO771:AO834" si="247">IFERROR(P771/J771,0)</f>
        <v>0</v>
      </c>
      <c r="AP771" s="273">
        <f t="shared" si="232"/>
        <v>12</v>
      </c>
      <c r="AQ771" s="273" t="str">
        <f t="shared" ref="AQ771:AQ834" ca="1" si="248">AP771&amp;W771</f>
        <v>122024</v>
      </c>
    </row>
    <row r="772" spans="1:43" ht="16.5">
      <c r="A772" s="312">
        <v>40</v>
      </c>
      <c r="B772" s="711" t="s">
        <v>2328</v>
      </c>
      <c r="C772" s="273" t="s">
        <v>2329</v>
      </c>
      <c r="D772" s="711" t="s">
        <v>2330</v>
      </c>
      <c r="E772" s="440">
        <v>45161</v>
      </c>
      <c r="F772" s="739">
        <f t="shared" si="239"/>
        <v>29</v>
      </c>
      <c r="G772" s="306">
        <v>15273720</v>
      </c>
      <c r="H772" s="307">
        <v>2749269.6</v>
      </c>
      <c r="I772" s="308">
        <v>18022990</v>
      </c>
      <c r="O772" s="862" t="s">
        <v>2165</v>
      </c>
      <c r="P772" s="555">
        <v>45351</v>
      </c>
      <c r="Q772" s="556" t="s">
        <v>2352</v>
      </c>
      <c r="R772" s="314">
        <v>18022990</v>
      </c>
      <c r="T772" s="876">
        <v>20</v>
      </c>
      <c r="V772" s="340">
        <f t="shared" ca="1" si="217"/>
        <v>3</v>
      </c>
      <c r="W772" s="594">
        <f t="shared" ca="1" si="218"/>
        <v>2024</v>
      </c>
      <c r="X772" s="340" t="str">
        <f t="shared" ca="1" si="233"/>
        <v>3 WEEK</v>
      </c>
      <c r="Y772" s="794">
        <f t="shared" si="236"/>
        <v>45371</v>
      </c>
      <c r="Z772" s="541" cm="1">
        <f t="array" aca="1" ref="Z772" ca="1">_xlfn.IFS(AD772&lt;100,Y772,Y772&lt;TODAY(),TODAY(),Y772&gt;TODAY(),Y772,Y772=TODAY(),Y772)</f>
        <v>45371</v>
      </c>
      <c r="AD772" s="298">
        <f t="shared" si="242"/>
        <v>0</v>
      </c>
      <c r="AE772" s="299" t="str">
        <f t="shared" si="243"/>
        <v>Complete</v>
      </c>
      <c r="AI772" s="301">
        <f t="shared" ca="1" si="240"/>
        <v>0</v>
      </c>
      <c r="AJ772" s="302">
        <f t="shared" ca="1" si="241"/>
        <v>0</v>
      </c>
      <c r="AL772" s="303">
        <f t="shared" si="244"/>
        <v>18022990</v>
      </c>
      <c r="AM772" s="303">
        <f t="shared" si="245"/>
        <v>0</v>
      </c>
      <c r="AN772" s="303">
        <f t="shared" si="246"/>
        <v>18022990</v>
      </c>
      <c r="AO772" s="304">
        <f t="shared" si="247"/>
        <v>0</v>
      </c>
      <c r="AP772" s="273">
        <f t="shared" si="232"/>
        <v>2</v>
      </c>
      <c r="AQ772" s="273" t="str">
        <f t="shared" ca="1" si="248"/>
        <v>22024</v>
      </c>
    </row>
    <row r="773" spans="1:43" ht="16.5">
      <c r="A773" s="312">
        <v>40</v>
      </c>
      <c r="B773" s="711" t="s">
        <v>2328</v>
      </c>
      <c r="C773" s="273" t="s">
        <v>2329</v>
      </c>
      <c r="D773" s="711" t="s">
        <v>2330</v>
      </c>
      <c r="E773" s="440">
        <v>45161</v>
      </c>
      <c r="F773" s="739">
        <f t="shared" si="239"/>
        <v>29</v>
      </c>
      <c r="G773" s="306">
        <v>4363920</v>
      </c>
      <c r="H773" s="307">
        <v>785505.6</v>
      </c>
      <c r="I773" s="308">
        <v>5149426</v>
      </c>
      <c r="O773" s="862" t="s">
        <v>2167</v>
      </c>
      <c r="P773" s="555">
        <v>45351</v>
      </c>
      <c r="Q773" s="556" t="s">
        <v>2352</v>
      </c>
      <c r="R773" s="314">
        <v>5149426</v>
      </c>
      <c r="T773" s="876">
        <v>20</v>
      </c>
      <c r="V773" s="340">
        <f t="shared" ca="1" si="217"/>
        <v>3</v>
      </c>
      <c r="W773" s="594">
        <f t="shared" ca="1" si="218"/>
        <v>2024</v>
      </c>
      <c r="X773" s="340" t="str">
        <f t="shared" ca="1" si="233"/>
        <v>3 WEEK</v>
      </c>
      <c r="Y773" s="794">
        <f t="shared" si="236"/>
        <v>45371</v>
      </c>
      <c r="Z773" s="541" cm="1">
        <f t="array" aca="1" ref="Z773" ca="1">_xlfn.IFS(AD773&lt;100,Y773,Y773&lt;TODAY(),TODAY(),Y773&gt;TODAY(),Y773,Y773=TODAY(),Y773)</f>
        <v>45371</v>
      </c>
      <c r="AD773" s="298">
        <f t="shared" si="242"/>
        <v>0</v>
      </c>
      <c r="AE773" s="299" t="str">
        <f t="shared" si="243"/>
        <v>Complete</v>
      </c>
      <c r="AI773" s="301">
        <f t="shared" ca="1" si="240"/>
        <v>0</v>
      </c>
      <c r="AJ773" s="302">
        <f t="shared" ca="1" si="241"/>
        <v>0</v>
      </c>
      <c r="AL773" s="303">
        <f t="shared" si="244"/>
        <v>5149426</v>
      </c>
      <c r="AM773" s="303">
        <f t="shared" si="245"/>
        <v>0</v>
      </c>
      <c r="AN773" s="303">
        <f t="shared" si="246"/>
        <v>5149426</v>
      </c>
      <c r="AO773" s="304">
        <f t="shared" si="247"/>
        <v>0</v>
      </c>
      <c r="AP773" s="273">
        <f t="shared" ref="AP773:AP836" si="249">MONTH(P773)</f>
        <v>2</v>
      </c>
      <c r="AQ773" s="273" t="str">
        <f t="shared" ca="1" si="248"/>
        <v>22024</v>
      </c>
    </row>
    <row r="774" spans="1:43" ht="16.5">
      <c r="A774" s="312">
        <v>40</v>
      </c>
      <c r="B774" s="711" t="s">
        <v>2328</v>
      </c>
      <c r="C774" s="273" t="s">
        <v>2329</v>
      </c>
      <c r="D774" s="711" t="s">
        <v>2330</v>
      </c>
      <c r="E774" s="440">
        <v>45161</v>
      </c>
      <c r="F774" s="739">
        <f t="shared" si="239"/>
        <v>29</v>
      </c>
      <c r="G774" s="306">
        <v>2181960</v>
      </c>
      <c r="H774" s="307">
        <v>392752.8</v>
      </c>
      <c r="I774" s="308">
        <v>2574713</v>
      </c>
      <c r="O774" s="862" t="s">
        <v>2169</v>
      </c>
      <c r="P774" s="555">
        <v>45351</v>
      </c>
      <c r="Q774" s="556" t="s">
        <v>2352</v>
      </c>
      <c r="R774" s="314">
        <v>2574713</v>
      </c>
      <c r="T774" s="876">
        <v>20</v>
      </c>
      <c r="V774" s="340">
        <f t="shared" ca="1" si="217"/>
        <v>3</v>
      </c>
      <c r="W774" s="594">
        <f t="shared" ca="1" si="218"/>
        <v>2024</v>
      </c>
      <c r="X774" s="340" t="str">
        <f t="shared" ca="1" si="233"/>
        <v>3 WEEK</v>
      </c>
      <c r="Y774" s="794">
        <f t="shared" si="236"/>
        <v>45371</v>
      </c>
      <c r="Z774" s="541" cm="1">
        <f t="array" aca="1" ref="Z774" ca="1">_xlfn.IFS(AD774&lt;100,Y774,Y774&lt;TODAY(),TODAY(),Y774&gt;TODAY(),Y774,Y774=TODAY(),Y774)</f>
        <v>45371</v>
      </c>
      <c r="AD774" s="298">
        <f t="shared" si="242"/>
        <v>0</v>
      </c>
      <c r="AE774" s="299" t="str">
        <f t="shared" si="243"/>
        <v>Complete</v>
      </c>
      <c r="AI774" s="301">
        <f t="shared" ca="1" si="240"/>
        <v>0</v>
      </c>
      <c r="AJ774" s="302">
        <f t="shared" ca="1" si="241"/>
        <v>0</v>
      </c>
      <c r="AL774" s="303">
        <f t="shared" si="244"/>
        <v>2574713</v>
      </c>
      <c r="AM774" s="303">
        <f t="shared" si="245"/>
        <v>0</v>
      </c>
      <c r="AN774" s="303">
        <f t="shared" si="246"/>
        <v>2574713</v>
      </c>
      <c r="AO774" s="304">
        <f t="shared" si="247"/>
        <v>0</v>
      </c>
      <c r="AP774" s="273">
        <f t="shared" si="249"/>
        <v>2</v>
      </c>
      <c r="AQ774" s="273" t="str">
        <f t="shared" ca="1" si="248"/>
        <v>22024</v>
      </c>
    </row>
    <row r="775" spans="1:43" ht="16.5">
      <c r="A775" s="312">
        <v>40</v>
      </c>
      <c r="B775" s="711" t="s">
        <v>2328</v>
      </c>
      <c r="C775" s="273" t="s">
        <v>2329</v>
      </c>
      <c r="D775" s="711" t="s">
        <v>2330</v>
      </c>
      <c r="E775" s="440">
        <v>45161</v>
      </c>
      <c r="F775" s="739">
        <f t="shared" si="239"/>
        <v>29</v>
      </c>
      <c r="G775" s="306">
        <v>10909800</v>
      </c>
      <c r="H775" s="307">
        <v>1963764</v>
      </c>
      <c r="I775" s="308">
        <v>12873564</v>
      </c>
      <c r="O775" s="862" t="s">
        <v>1835</v>
      </c>
      <c r="P775" s="555">
        <v>45322</v>
      </c>
      <c r="Q775" s="556" t="s">
        <v>2353</v>
      </c>
      <c r="R775" s="314">
        <v>12873564</v>
      </c>
      <c r="T775" s="876">
        <v>20</v>
      </c>
      <c r="V775" s="340">
        <f t="shared" ca="1" si="217"/>
        <v>2</v>
      </c>
      <c r="W775" s="594">
        <f t="shared" ca="1" si="218"/>
        <v>2024</v>
      </c>
      <c r="X775" s="340" t="str">
        <f t="shared" ref="X775:X838" ca="1" si="250">INT((DAY(Z775)-1)/7)+1&amp;" WEEK"</f>
        <v>3 WEEK</v>
      </c>
      <c r="Y775" s="794">
        <f t="shared" si="236"/>
        <v>45342</v>
      </c>
      <c r="Z775" s="541" cm="1">
        <f t="array" aca="1" ref="Z775" ca="1">_xlfn.IFS(AD775&lt;100,Y775,Y775&lt;TODAY(),TODAY(),Y775&gt;TODAY(),Y775,Y775=TODAY(),Y775)</f>
        <v>45342</v>
      </c>
      <c r="AD775" s="298">
        <f t="shared" si="242"/>
        <v>0</v>
      </c>
      <c r="AE775" s="299" t="str">
        <f t="shared" si="243"/>
        <v>Complete</v>
      </c>
      <c r="AI775" s="301">
        <f t="shared" ca="1" si="240"/>
        <v>0</v>
      </c>
      <c r="AJ775" s="302">
        <f t="shared" ca="1" si="241"/>
        <v>0</v>
      </c>
      <c r="AL775" s="303">
        <f t="shared" si="244"/>
        <v>12873564</v>
      </c>
      <c r="AM775" s="303">
        <f t="shared" si="245"/>
        <v>0</v>
      </c>
      <c r="AN775" s="303">
        <f t="shared" si="246"/>
        <v>12873564</v>
      </c>
      <c r="AO775" s="304">
        <f t="shared" si="247"/>
        <v>0</v>
      </c>
      <c r="AP775" s="273">
        <f t="shared" si="249"/>
        <v>1</v>
      </c>
      <c r="AQ775" s="273" t="str">
        <f t="shared" ca="1" si="248"/>
        <v>12024</v>
      </c>
    </row>
    <row r="776" spans="1:43" ht="16.5">
      <c r="A776" s="312">
        <v>40</v>
      </c>
      <c r="B776" s="711" t="s">
        <v>2328</v>
      </c>
      <c r="C776" s="273" t="s">
        <v>2329</v>
      </c>
      <c r="D776" s="711" t="s">
        <v>2330</v>
      </c>
      <c r="E776" s="440">
        <v>45161</v>
      </c>
      <c r="F776" s="739">
        <f t="shared" si="239"/>
        <v>29</v>
      </c>
      <c r="G776" s="306">
        <v>6545880</v>
      </c>
      <c r="H776" s="307">
        <v>1178258.3999999999</v>
      </c>
      <c r="I776" s="308">
        <v>7724138</v>
      </c>
      <c r="O776" s="862" t="s">
        <v>2354</v>
      </c>
      <c r="P776" s="555">
        <v>45280</v>
      </c>
      <c r="Q776" s="556" t="s">
        <v>2355</v>
      </c>
      <c r="R776" s="314">
        <v>7724138</v>
      </c>
      <c r="T776" s="876">
        <v>20</v>
      </c>
      <c r="V776" s="340">
        <f t="shared" ca="1" si="217"/>
        <v>1</v>
      </c>
      <c r="W776" s="594">
        <f t="shared" ca="1" si="218"/>
        <v>2024</v>
      </c>
      <c r="X776" s="340" t="str">
        <f t="shared" ca="1" si="250"/>
        <v>2 WEEK</v>
      </c>
      <c r="Y776" s="794">
        <f t="shared" si="236"/>
        <v>45300</v>
      </c>
      <c r="Z776" s="541" cm="1">
        <f t="array" aca="1" ref="Z776" ca="1">_xlfn.IFS(AD776&lt;100,Y776,Y776&lt;TODAY(),TODAY(),Y776&gt;TODAY(),Y776,Y776=TODAY(),Y776)</f>
        <v>45300</v>
      </c>
      <c r="AD776" s="298">
        <f t="shared" si="242"/>
        <v>0</v>
      </c>
      <c r="AE776" s="299" t="str">
        <f t="shared" si="243"/>
        <v>Complete</v>
      </c>
      <c r="AI776" s="301">
        <f t="shared" ca="1" si="240"/>
        <v>0</v>
      </c>
      <c r="AJ776" s="302">
        <f t="shared" ca="1" si="241"/>
        <v>0</v>
      </c>
      <c r="AL776" s="303">
        <f t="shared" si="244"/>
        <v>7724138</v>
      </c>
      <c r="AM776" s="303">
        <f t="shared" si="245"/>
        <v>0</v>
      </c>
      <c r="AN776" s="303">
        <f t="shared" si="246"/>
        <v>7724138</v>
      </c>
      <c r="AO776" s="304">
        <f t="shared" si="247"/>
        <v>0</v>
      </c>
      <c r="AP776" s="273">
        <f t="shared" si="249"/>
        <v>12</v>
      </c>
      <c r="AQ776" s="273" t="str">
        <f t="shared" ca="1" si="248"/>
        <v>122024</v>
      </c>
    </row>
    <row r="777" spans="1:43" ht="16.5">
      <c r="A777" s="312">
        <v>40</v>
      </c>
      <c r="B777" s="711" t="s">
        <v>2328</v>
      </c>
      <c r="C777" s="273" t="s">
        <v>2329</v>
      </c>
      <c r="D777" s="711" t="s">
        <v>2330</v>
      </c>
      <c r="E777" s="440">
        <v>45161</v>
      </c>
      <c r="F777" s="739">
        <f t="shared" si="239"/>
        <v>29</v>
      </c>
      <c r="G777" s="306">
        <v>8727840</v>
      </c>
      <c r="H777" s="307">
        <v>1571011.2</v>
      </c>
      <c r="I777" s="308">
        <v>10298851</v>
      </c>
      <c r="O777" s="862" t="s">
        <v>2356</v>
      </c>
      <c r="P777" s="555">
        <v>45351</v>
      </c>
      <c r="Q777" s="556" t="s">
        <v>2352</v>
      </c>
      <c r="R777" s="314">
        <v>10298851</v>
      </c>
      <c r="T777" s="876">
        <v>20</v>
      </c>
      <c r="V777" s="340">
        <f t="shared" ca="1" si="217"/>
        <v>3</v>
      </c>
      <c r="W777" s="594">
        <f t="shared" ca="1" si="218"/>
        <v>2024</v>
      </c>
      <c r="X777" s="340" t="str">
        <f t="shared" ca="1" si="250"/>
        <v>3 WEEK</v>
      </c>
      <c r="Y777" s="794">
        <f t="shared" si="236"/>
        <v>45371</v>
      </c>
      <c r="Z777" s="541" cm="1">
        <f t="array" aca="1" ref="Z777" ca="1">_xlfn.IFS(AD777&lt;100,Y777,Y777&lt;TODAY(),TODAY(),Y777&gt;TODAY(),Y777,Y777=TODAY(),Y777)</f>
        <v>45371</v>
      </c>
      <c r="AD777" s="298">
        <f t="shared" si="242"/>
        <v>0</v>
      </c>
      <c r="AE777" s="299" t="str">
        <f t="shared" si="243"/>
        <v>Complete</v>
      </c>
      <c r="AI777" s="301">
        <f t="shared" ca="1" si="240"/>
        <v>0</v>
      </c>
      <c r="AJ777" s="302">
        <f t="shared" ca="1" si="241"/>
        <v>0</v>
      </c>
      <c r="AL777" s="303">
        <f t="shared" si="244"/>
        <v>10298851</v>
      </c>
      <c r="AM777" s="303">
        <f t="shared" si="245"/>
        <v>0</v>
      </c>
      <c r="AN777" s="303">
        <f t="shared" si="246"/>
        <v>10298851</v>
      </c>
      <c r="AO777" s="304">
        <f t="shared" si="247"/>
        <v>0</v>
      </c>
      <c r="AP777" s="273">
        <f t="shared" si="249"/>
        <v>2</v>
      </c>
      <c r="AQ777" s="273" t="str">
        <f t="shared" ca="1" si="248"/>
        <v>22024</v>
      </c>
    </row>
    <row r="778" spans="1:43" ht="16.5">
      <c r="A778" s="312">
        <v>40</v>
      </c>
      <c r="B778" s="711" t="s">
        <v>2328</v>
      </c>
      <c r="C778" s="273" t="s">
        <v>2329</v>
      </c>
      <c r="D778" s="711" t="s">
        <v>2330</v>
      </c>
      <c r="E778" s="440">
        <v>45161</v>
      </c>
      <c r="F778" s="739">
        <f t="shared" si="239"/>
        <v>29</v>
      </c>
      <c r="G778" s="306">
        <v>2181960</v>
      </c>
      <c r="H778" s="307">
        <v>392752.8</v>
      </c>
      <c r="I778" s="308">
        <v>2574713</v>
      </c>
      <c r="O778" s="862" t="s">
        <v>2175</v>
      </c>
      <c r="P778" s="555">
        <v>45351</v>
      </c>
      <c r="Q778" s="556" t="s">
        <v>2352</v>
      </c>
      <c r="R778" s="314">
        <v>2574713</v>
      </c>
      <c r="T778" s="876">
        <v>20</v>
      </c>
      <c r="V778" s="340">
        <f t="shared" ca="1" si="217"/>
        <v>3</v>
      </c>
      <c r="W778" s="594">
        <f t="shared" ca="1" si="218"/>
        <v>2024</v>
      </c>
      <c r="X778" s="340" t="str">
        <f t="shared" ca="1" si="250"/>
        <v>3 WEEK</v>
      </c>
      <c r="Y778" s="794">
        <f t="shared" si="236"/>
        <v>45371</v>
      </c>
      <c r="Z778" s="541" cm="1">
        <f t="array" aca="1" ref="Z778" ca="1">_xlfn.IFS(AD778&lt;100,Y778,Y778&lt;TODAY(),TODAY(),Y778&gt;TODAY(),Y778,Y778=TODAY(),Y778)</f>
        <v>45371</v>
      </c>
      <c r="AD778" s="298">
        <f t="shared" si="242"/>
        <v>0</v>
      </c>
      <c r="AE778" s="299" t="str">
        <f t="shared" si="243"/>
        <v>Complete</v>
      </c>
      <c r="AI778" s="301">
        <f t="shared" ca="1" si="240"/>
        <v>0</v>
      </c>
      <c r="AJ778" s="302">
        <f t="shared" ca="1" si="241"/>
        <v>0</v>
      </c>
      <c r="AL778" s="303">
        <f t="shared" si="244"/>
        <v>2574713</v>
      </c>
      <c r="AM778" s="303">
        <f t="shared" si="245"/>
        <v>0</v>
      </c>
      <c r="AN778" s="303">
        <f t="shared" si="246"/>
        <v>2574713</v>
      </c>
      <c r="AO778" s="304">
        <f t="shared" si="247"/>
        <v>0</v>
      </c>
      <c r="AP778" s="273">
        <f t="shared" si="249"/>
        <v>2</v>
      </c>
      <c r="AQ778" s="273" t="str">
        <f t="shared" ca="1" si="248"/>
        <v>22024</v>
      </c>
    </row>
    <row r="779" spans="1:43" ht="16.5">
      <c r="A779" s="312">
        <v>40</v>
      </c>
      <c r="B779" s="711" t="s">
        <v>2328</v>
      </c>
      <c r="C779" s="273" t="s">
        <v>2329</v>
      </c>
      <c r="D779" s="711" t="s">
        <v>2330</v>
      </c>
      <c r="E779" s="440">
        <v>45161</v>
      </c>
      <c r="F779" s="739">
        <f t="shared" si="239"/>
        <v>29</v>
      </c>
      <c r="G779" s="306">
        <v>1090980</v>
      </c>
      <c r="H779" s="307">
        <v>196376.4</v>
      </c>
      <c r="I779" s="308">
        <v>1287356</v>
      </c>
      <c r="O779" s="862" t="s">
        <v>2176</v>
      </c>
      <c r="P779" s="555">
        <v>45322</v>
      </c>
      <c r="Q779" s="556" t="s">
        <v>2353</v>
      </c>
      <c r="R779" s="314">
        <v>1287356</v>
      </c>
      <c r="T779" s="876">
        <v>20</v>
      </c>
      <c r="V779" s="340">
        <f t="shared" ca="1" si="217"/>
        <v>2</v>
      </c>
      <c r="W779" s="594">
        <f t="shared" ca="1" si="218"/>
        <v>2024</v>
      </c>
      <c r="X779" s="340" t="str">
        <f t="shared" ca="1" si="250"/>
        <v>3 WEEK</v>
      </c>
      <c r="Y779" s="794">
        <f t="shared" si="236"/>
        <v>45342</v>
      </c>
      <c r="Z779" s="541" cm="1">
        <f t="array" aca="1" ref="Z779" ca="1">_xlfn.IFS(AD779&lt;100,Y779,Y779&lt;TODAY(),TODAY(),Y779&gt;TODAY(),Y779,Y779=TODAY(),Y779)</f>
        <v>45342</v>
      </c>
      <c r="AD779" s="298">
        <f t="shared" si="242"/>
        <v>0</v>
      </c>
      <c r="AE779" s="299" t="str">
        <f t="shared" si="243"/>
        <v>Complete</v>
      </c>
      <c r="AI779" s="301">
        <f t="shared" ca="1" si="240"/>
        <v>0</v>
      </c>
      <c r="AJ779" s="302">
        <f t="shared" ca="1" si="241"/>
        <v>0</v>
      </c>
      <c r="AL779" s="303">
        <f t="shared" si="244"/>
        <v>1287356</v>
      </c>
      <c r="AM779" s="303">
        <f t="shared" si="245"/>
        <v>0</v>
      </c>
      <c r="AN779" s="303">
        <f t="shared" si="246"/>
        <v>1287356</v>
      </c>
      <c r="AO779" s="304">
        <f t="shared" si="247"/>
        <v>0</v>
      </c>
      <c r="AP779" s="273">
        <f t="shared" si="249"/>
        <v>1</v>
      </c>
      <c r="AQ779" s="273" t="str">
        <f t="shared" ca="1" si="248"/>
        <v>12024</v>
      </c>
    </row>
    <row r="780" spans="1:43" ht="16.5">
      <c r="A780" s="312">
        <v>40</v>
      </c>
      <c r="B780" s="711" t="s">
        <v>2328</v>
      </c>
      <c r="C780" s="273" t="s">
        <v>2329</v>
      </c>
      <c r="D780" s="711" t="s">
        <v>2330</v>
      </c>
      <c r="E780" s="440">
        <v>45161</v>
      </c>
      <c r="F780" s="739">
        <f t="shared" si="239"/>
        <v>29</v>
      </c>
      <c r="G780" s="306">
        <v>1090980</v>
      </c>
      <c r="H780" s="307">
        <v>196376.4</v>
      </c>
      <c r="I780" s="308">
        <v>1287356</v>
      </c>
      <c r="O780" s="862" t="s">
        <v>2178</v>
      </c>
      <c r="P780" s="555">
        <v>45322</v>
      </c>
      <c r="Q780" s="556" t="s">
        <v>2353</v>
      </c>
      <c r="R780" s="314">
        <v>1287356</v>
      </c>
      <c r="T780" s="876">
        <v>20</v>
      </c>
      <c r="V780" s="340">
        <f t="shared" ca="1" si="217"/>
        <v>2</v>
      </c>
      <c r="W780" s="594">
        <f t="shared" ca="1" si="218"/>
        <v>2024</v>
      </c>
      <c r="X780" s="340" t="str">
        <f t="shared" ca="1" si="250"/>
        <v>3 WEEK</v>
      </c>
      <c r="Y780" s="794">
        <f t="shared" si="236"/>
        <v>45342</v>
      </c>
      <c r="Z780" s="541" cm="1">
        <f t="array" aca="1" ref="Z780" ca="1">_xlfn.IFS(AD780&lt;100,Y780,Y780&lt;TODAY(),TODAY(),Y780&gt;TODAY(),Y780,Y780=TODAY(),Y780)</f>
        <v>45342</v>
      </c>
      <c r="AD780" s="298">
        <f t="shared" si="242"/>
        <v>0</v>
      </c>
      <c r="AE780" s="299" t="str">
        <f t="shared" si="243"/>
        <v>Complete</v>
      </c>
      <c r="AI780" s="301">
        <f t="shared" ca="1" si="240"/>
        <v>0</v>
      </c>
      <c r="AJ780" s="302">
        <f t="shared" ca="1" si="241"/>
        <v>0</v>
      </c>
      <c r="AL780" s="303">
        <f t="shared" si="244"/>
        <v>1287356</v>
      </c>
      <c r="AM780" s="303">
        <f t="shared" si="245"/>
        <v>0</v>
      </c>
      <c r="AN780" s="303">
        <f t="shared" si="246"/>
        <v>1287356</v>
      </c>
      <c r="AO780" s="304">
        <f t="shared" si="247"/>
        <v>0</v>
      </c>
      <c r="AP780" s="273">
        <f t="shared" si="249"/>
        <v>1</v>
      </c>
      <c r="AQ780" s="273" t="str">
        <f t="shared" ca="1" si="248"/>
        <v>12024</v>
      </c>
    </row>
    <row r="781" spans="1:43" ht="16.5">
      <c r="A781" s="312">
        <v>40</v>
      </c>
      <c r="B781" s="711" t="s">
        <v>2328</v>
      </c>
      <c r="C781" s="273" t="s">
        <v>2329</v>
      </c>
      <c r="D781" s="711" t="s">
        <v>2330</v>
      </c>
      <c r="E781" s="440">
        <v>45161</v>
      </c>
      <c r="F781" s="739">
        <f t="shared" si="239"/>
        <v>29</v>
      </c>
      <c r="G781" s="306">
        <v>3272940</v>
      </c>
      <c r="H781" s="307">
        <v>589129.19999999995</v>
      </c>
      <c r="I781" s="308">
        <v>3862069</v>
      </c>
      <c r="O781" s="862" t="s">
        <v>2182</v>
      </c>
      <c r="P781" s="555">
        <v>45322</v>
      </c>
      <c r="Q781" s="556" t="s">
        <v>2353</v>
      </c>
      <c r="R781" s="314">
        <v>3862069</v>
      </c>
      <c r="T781" s="876">
        <v>20</v>
      </c>
      <c r="V781" s="340">
        <f t="shared" ca="1" si="217"/>
        <v>2</v>
      </c>
      <c r="W781" s="594">
        <f t="shared" ca="1" si="218"/>
        <v>2024</v>
      </c>
      <c r="X781" s="340" t="str">
        <f t="shared" ca="1" si="250"/>
        <v>3 WEEK</v>
      </c>
      <c r="Y781" s="794">
        <f t="shared" si="236"/>
        <v>45342</v>
      </c>
      <c r="Z781" s="541" cm="1">
        <f t="array" aca="1" ref="Z781" ca="1">_xlfn.IFS(AD781&lt;100,Y781,Y781&lt;TODAY(),TODAY(),Y781&gt;TODAY(),Y781,Y781=TODAY(),Y781)</f>
        <v>45342</v>
      </c>
      <c r="AD781" s="298">
        <f t="shared" si="242"/>
        <v>0</v>
      </c>
      <c r="AE781" s="299" t="str">
        <f t="shared" si="243"/>
        <v>Complete</v>
      </c>
      <c r="AI781" s="301">
        <f t="shared" ca="1" si="240"/>
        <v>0</v>
      </c>
      <c r="AJ781" s="302">
        <f t="shared" ca="1" si="241"/>
        <v>0</v>
      </c>
      <c r="AL781" s="303">
        <f t="shared" si="244"/>
        <v>3862069</v>
      </c>
      <c r="AM781" s="303">
        <f t="shared" si="245"/>
        <v>0</v>
      </c>
      <c r="AN781" s="303">
        <f t="shared" si="246"/>
        <v>3862069</v>
      </c>
      <c r="AO781" s="304">
        <f t="shared" si="247"/>
        <v>0</v>
      </c>
      <c r="AP781" s="273">
        <f t="shared" si="249"/>
        <v>1</v>
      </c>
      <c r="AQ781" s="273" t="str">
        <f t="shared" ca="1" si="248"/>
        <v>12024</v>
      </c>
    </row>
    <row r="782" spans="1:43" ht="16.5">
      <c r="A782" s="312">
        <v>40</v>
      </c>
      <c r="B782" s="711" t="s">
        <v>2328</v>
      </c>
      <c r="C782" s="273" t="s">
        <v>2329</v>
      </c>
      <c r="D782" s="711" t="s">
        <v>2330</v>
      </c>
      <c r="E782" s="440">
        <v>45161</v>
      </c>
      <c r="F782" s="739">
        <f t="shared" si="239"/>
        <v>29</v>
      </c>
      <c r="G782" s="306">
        <v>6545880</v>
      </c>
      <c r="H782" s="307">
        <v>1178258.3999999999</v>
      </c>
      <c r="I782" s="308">
        <v>7724138</v>
      </c>
      <c r="O782" s="862" t="s">
        <v>2357</v>
      </c>
      <c r="P782" s="555">
        <v>45322</v>
      </c>
      <c r="Q782" s="556" t="s">
        <v>2353</v>
      </c>
      <c r="R782" s="314">
        <v>7724138</v>
      </c>
      <c r="T782" s="876">
        <v>20</v>
      </c>
      <c r="V782" s="340">
        <f t="shared" ca="1" si="217"/>
        <v>2</v>
      </c>
      <c r="W782" s="594">
        <f t="shared" ca="1" si="218"/>
        <v>2024</v>
      </c>
      <c r="X782" s="340" t="str">
        <f t="shared" ca="1" si="250"/>
        <v>3 WEEK</v>
      </c>
      <c r="Y782" s="794">
        <f t="shared" si="236"/>
        <v>45342</v>
      </c>
      <c r="Z782" s="541" cm="1">
        <f t="array" aca="1" ref="Z782" ca="1">_xlfn.IFS(AD782&lt;100,Y782,Y782&lt;TODAY(),TODAY(),Y782&gt;TODAY(),Y782,Y782=TODAY(),Y782)</f>
        <v>45342</v>
      </c>
      <c r="AD782" s="298">
        <f t="shared" si="242"/>
        <v>0</v>
      </c>
      <c r="AE782" s="299" t="str">
        <f t="shared" si="243"/>
        <v>Complete</v>
      </c>
      <c r="AI782" s="301">
        <f t="shared" ca="1" si="240"/>
        <v>0</v>
      </c>
      <c r="AJ782" s="302">
        <f t="shared" ca="1" si="241"/>
        <v>0</v>
      </c>
      <c r="AL782" s="303">
        <f t="shared" si="244"/>
        <v>7724138</v>
      </c>
      <c r="AM782" s="303">
        <f t="shared" si="245"/>
        <v>0</v>
      </c>
      <c r="AN782" s="303">
        <f t="shared" si="246"/>
        <v>7724138</v>
      </c>
      <c r="AO782" s="304">
        <f t="shared" si="247"/>
        <v>0</v>
      </c>
      <c r="AP782" s="273">
        <f t="shared" si="249"/>
        <v>1</v>
      </c>
      <c r="AQ782" s="273" t="str">
        <f t="shared" ca="1" si="248"/>
        <v>12024</v>
      </c>
    </row>
    <row r="783" spans="1:43" ht="16.5">
      <c r="A783" s="312">
        <v>40</v>
      </c>
      <c r="B783" s="711" t="s">
        <v>2328</v>
      </c>
      <c r="C783" s="273" t="s">
        <v>2329</v>
      </c>
      <c r="D783" s="711" t="s">
        <v>2330</v>
      </c>
      <c r="E783" s="440">
        <v>45161</v>
      </c>
      <c r="F783" s="739">
        <f t="shared" si="239"/>
        <v>29</v>
      </c>
      <c r="G783" s="306">
        <v>1090980</v>
      </c>
      <c r="H783" s="307">
        <v>196376.4</v>
      </c>
      <c r="I783" s="308">
        <v>1287356</v>
      </c>
      <c r="O783" s="862" t="s">
        <v>2186</v>
      </c>
      <c r="P783" s="555">
        <v>45322</v>
      </c>
      <c r="Q783" s="556" t="s">
        <v>2353</v>
      </c>
      <c r="R783" s="314">
        <v>1287356</v>
      </c>
      <c r="T783" s="876">
        <v>20</v>
      </c>
      <c r="V783" s="340">
        <f t="shared" ca="1" si="217"/>
        <v>2</v>
      </c>
      <c r="W783" s="594">
        <f t="shared" ca="1" si="218"/>
        <v>2024</v>
      </c>
      <c r="X783" s="340" t="str">
        <f t="shared" ca="1" si="250"/>
        <v>3 WEEK</v>
      </c>
      <c r="Y783" s="794">
        <f t="shared" si="236"/>
        <v>45342</v>
      </c>
      <c r="Z783" s="541" cm="1">
        <f t="array" aca="1" ref="Z783" ca="1">_xlfn.IFS(AD783&lt;100,Y783,Y783&lt;TODAY(),TODAY(),Y783&gt;TODAY(),Y783,Y783=TODAY(),Y783)</f>
        <v>45342</v>
      </c>
      <c r="AD783" s="298">
        <f t="shared" si="242"/>
        <v>0</v>
      </c>
      <c r="AE783" s="299" t="str">
        <f t="shared" si="243"/>
        <v>Complete</v>
      </c>
      <c r="AI783" s="301">
        <f t="shared" ca="1" si="240"/>
        <v>0</v>
      </c>
      <c r="AJ783" s="302">
        <f t="shared" ca="1" si="241"/>
        <v>0</v>
      </c>
      <c r="AL783" s="303">
        <f t="shared" si="244"/>
        <v>1287356</v>
      </c>
      <c r="AM783" s="303">
        <f t="shared" si="245"/>
        <v>0</v>
      </c>
      <c r="AN783" s="303">
        <f t="shared" si="246"/>
        <v>1287356</v>
      </c>
      <c r="AO783" s="304">
        <f t="shared" si="247"/>
        <v>0</v>
      </c>
      <c r="AP783" s="273">
        <f t="shared" si="249"/>
        <v>1</v>
      </c>
      <c r="AQ783" s="273" t="str">
        <f t="shared" ca="1" si="248"/>
        <v>12024</v>
      </c>
    </row>
    <row r="784" spans="1:43" ht="16.5">
      <c r="A784" s="312">
        <v>40</v>
      </c>
      <c r="B784" s="711" t="s">
        <v>2328</v>
      </c>
      <c r="C784" s="273" t="s">
        <v>2329</v>
      </c>
      <c r="D784" s="711" t="s">
        <v>2330</v>
      </c>
      <c r="E784" s="440">
        <v>45161</v>
      </c>
      <c r="F784" s="739">
        <f t="shared" si="239"/>
        <v>29</v>
      </c>
      <c r="G784" s="306">
        <v>1090980</v>
      </c>
      <c r="H784" s="307">
        <v>196376.4</v>
      </c>
      <c r="I784" s="308">
        <v>1287356</v>
      </c>
      <c r="O784" s="862" t="s">
        <v>2187</v>
      </c>
      <c r="P784" s="555">
        <v>45367</v>
      </c>
      <c r="Q784" s="556" t="s">
        <v>2358</v>
      </c>
      <c r="R784" s="314">
        <v>1287356</v>
      </c>
      <c r="T784" s="876">
        <v>20</v>
      </c>
      <c r="V784" s="340">
        <f t="shared" ca="1" si="217"/>
        <v>4</v>
      </c>
      <c r="W784" s="594">
        <f t="shared" ca="1" si="218"/>
        <v>2024</v>
      </c>
      <c r="X784" s="340" t="str">
        <f t="shared" ca="1" si="250"/>
        <v>1 WEEK</v>
      </c>
      <c r="Y784" s="794">
        <f t="shared" si="236"/>
        <v>45387</v>
      </c>
      <c r="Z784" s="541" cm="1">
        <f t="array" aca="1" ref="Z784" ca="1">_xlfn.IFS(AD784&lt;100,Y784,Y784&lt;TODAY(),TODAY(),Y784&gt;TODAY(),Y784,Y784=TODAY(),Y784)</f>
        <v>45387</v>
      </c>
      <c r="AD784" s="298">
        <f t="shared" si="242"/>
        <v>0</v>
      </c>
      <c r="AE784" s="299" t="str">
        <f t="shared" si="243"/>
        <v>Complete</v>
      </c>
      <c r="AI784" s="301">
        <f t="shared" ca="1" si="240"/>
        <v>0</v>
      </c>
      <c r="AJ784" s="302">
        <f t="shared" ca="1" si="241"/>
        <v>0</v>
      </c>
      <c r="AL784" s="303">
        <f t="shared" si="244"/>
        <v>1287356</v>
      </c>
      <c r="AM784" s="303">
        <f t="shared" si="245"/>
        <v>0</v>
      </c>
      <c r="AN784" s="303">
        <f t="shared" si="246"/>
        <v>1287356</v>
      </c>
      <c r="AO784" s="304">
        <f t="shared" si="247"/>
        <v>0</v>
      </c>
      <c r="AP784" s="273">
        <f t="shared" si="249"/>
        <v>3</v>
      </c>
      <c r="AQ784" s="273" t="str">
        <f t="shared" ca="1" si="248"/>
        <v>32024</v>
      </c>
    </row>
    <row r="785" spans="1:43" ht="16.5">
      <c r="A785" s="312">
        <v>40</v>
      </c>
      <c r="B785" s="711" t="s">
        <v>2328</v>
      </c>
      <c r="C785" s="273" t="s">
        <v>2329</v>
      </c>
      <c r="D785" s="711" t="s">
        <v>2330</v>
      </c>
      <c r="E785" s="440">
        <v>45161</v>
      </c>
      <c r="F785" s="739">
        <f t="shared" si="239"/>
        <v>29</v>
      </c>
      <c r="G785" s="306">
        <v>1090980</v>
      </c>
      <c r="H785" s="307">
        <v>196376.4</v>
      </c>
      <c r="I785" s="308">
        <v>1287356</v>
      </c>
      <c r="O785" s="862" t="s">
        <v>2190</v>
      </c>
      <c r="P785" s="555">
        <v>45351</v>
      </c>
      <c r="Q785" s="556" t="s">
        <v>2352</v>
      </c>
      <c r="R785" s="314">
        <v>1287356</v>
      </c>
      <c r="T785" s="876">
        <v>20</v>
      </c>
      <c r="V785" s="340">
        <f t="shared" ca="1" si="217"/>
        <v>3</v>
      </c>
      <c r="W785" s="594">
        <f t="shared" ca="1" si="218"/>
        <v>2024</v>
      </c>
      <c r="X785" s="340" t="str">
        <f t="shared" ca="1" si="250"/>
        <v>3 WEEK</v>
      </c>
      <c r="Y785" s="794">
        <f t="shared" si="236"/>
        <v>45371</v>
      </c>
      <c r="Z785" s="541" cm="1">
        <f t="array" aca="1" ref="Z785" ca="1">_xlfn.IFS(AD785&lt;100,Y785,Y785&lt;TODAY(),TODAY(),Y785&gt;TODAY(),Y785,Y785=TODAY(),Y785)</f>
        <v>45371</v>
      </c>
      <c r="AD785" s="298">
        <f t="shared" si="242"/>
        <v>0</v>
      </c>
      <c r="AE785" s="299" t="str">
        <f t="shared" si="243"/>
        <v>Complete</v>
      </c>
      <c r="AI785" s="301">
        <f t="shared" ca="1" si="240"/>
        <v>0</v>
      </c>
      <c r="AJ785" s="302">
        <f t="shared" ca="1" si="241"/>
        <v>0</v>
      </c>
      <c r="AL785" s="303">
        <f t="shared" si="244"/>
        <v>1287356</v>
      </c>
      <c r="AM785" s="303">
        <f t="shared" si="245"/>
        <v>0</v>
      </c>
      <c r="AN785" s="303">
        <f t="shared" si="246"/>
        <v>1287356</v>
      </c>
      <c r="AO785" s="304">
        <f t="shared" si="247"/>
        <v>0</v>
      </c>
      <c r="AP785" s="273">
        <f t="shared" si="249"/>
        <v>2</v>
      </c>
      <c r="AQ785" s="273" t="str">
        <f t="shared" ca="1" si="248"/>
        <v>22024</v>
      </c>
    </row>
    <row r="786" spans="1:43" ht="16.5">
      <c r="A786" s="312">
        <v>40</v>
      </c>
      <c r="B786" s="711" t="s">
        <v>2328</v>
      </c>
      <c r="C786" s="273" t="s">
        <v>2329</v>
      </c>
      <c r="D786" s="711" t="s">
        <v>2330</v>
      </c>
      <c r="E786" s="440">
        <v>45161</v>
      </c>
      <c r="F786" s="739">
        <f t="shared" si="239"/>
        <v>29</v>
      </c>
      <c r="G786" s="306">
        <v>2181960</v>
      </c>
      <c r="H786" s="307">
        <v>392752.8</v>
      </c>
      <c r="I786" s="308">
        <v>2574713</v>
      </c>
      <c r="O786" s="862" t="s">
        <v>2194</v>
      </c>
      <c r="P786" s="555">
        <v>45382</v>
      </c>
      <c r="Q786" s="556" t="s">
        <v>2359</v>
      </c>
      <c r="R786" s="314">
        <v>2574713</v>
      </c>
      <c r="T786" s="876">
        <v>20</v>
      </c>
      <c r="V786" s="340">
        <f t="shared" ca="1" si="217"/>
        <v>4</v>
      </c>
      <c r="W786" s="594">
        <f t="shared" ca="1" si="218"/>
        <v>2024</v>
      </c>
      <c r="X786" s="340" t="str">
        <f t="shared" ca="1" si="250"/>
        <v>3 WEEK</v>
      </c>
      <c r="Y786" s="794">
        <f t="shared" si="236"/>
        <v>45402</v>
      </c>
      <c r="Z786" s="541" cm="1">
        <f t="array" aca="1" ref="Z786" ca="1">_xlfn.IFS(AD786&lt;100,Y786,Y786&lt;TODAY(),TODAY(),Y786&gt;TODAY(),Y786,Y786=TODAY(),Y786)</f>
        <v>45402</v>
      </c>
      <c r="AD786" s="298">
        <f t="shared" si="242"/>
        <v>0</v>
      </c>
      <c r="AE786" s="299" t="str">
        <f t="shared" si="243"/>
        <v>Complete</v>
      </c>
      <c r="AI786" s="301">
        <f t="shared" ca="1" si="240"/>
        <v>0</v>
      </c>
      <c r="AJ786" s="302">
        <f t="shared" ca="1" si="241"/>
        <v>0</v>
      </c>
      <c r="AL786" s="303">
        <f t="shared" si="244"/>
        <v>2574713</v>
      </c>
      <c r="AM786" s="303">
        <f t="shared" si="245"/>
        <v>0</v>
      </c>
      <c r="AN786" s="303">
        <f t="shared" si="246"/>
        <v>2574713</v>
      </c>
      <c r="AO786" s="304">
        <f t="shared" si="247"/>
        <v>0</v>
      </c>
      <c r="AP786" s="273">
        <f t="shared" si="249"/>
        <v>3</v>
      </c>
      <c r="AQ786" s="273" t="str">
        <f t="shared" ca="1" si="248"/>
        <v>32024</v>
      </c>
    </row>
    <row r="787" spans="1:43" ht="16.5">
      <c r="A787" s="312">
        <v>40</v>
      </c>
      <c r="B787" s="711" t="s">
        <v>2328</v>
      </c>
      <c r="C787" s="273" t="s">
        <v>2329</v>
      </c>
      <c r="D787" s="711" t="s">
        <v>2330</v>
      </c>
      <c r="E787" s="440">
        <v>45161</v>
      </c>
      <c r="F787" s="739">
        <f t="shared" si="239"/>
        <v>29</v>
      </c>
      <c r="G787" s="306">
        <v>13278375</v>
      </c>
      <c r="H787" s="307">
        <v>2390107.5</v>
      </c>
      <c r="I787" s="308">
        <v>15668483</v>
      </c>
      <c r="O787" s="862" t="s">
        <v>2360</v>
      </c>
      <c r="P787" s="555">
        <v>45351</v>
      </c>
      <c r="Q787" s="556" t="s">
        <v>2352</v>
      </c>
      <c r="R787" s="314">
        <v>15668483</v>
      </c>
      <c r="T787" s="876">
        <v>20</v>
      </c>
      <c r="V787" s="340">
        <f t="shared" ca="1" si="217"/>
        <v>3</v>
      </c>
      <c r="W787" s="594">
        <f t="shared" ca="1" si="218"/>
        <v>2024</v>
      </c>
      <c r="X787" s="340" t="str">
        <f t="shared" ca="1" si="250"/>
        <v>3 WEEK</v>
      </c>
      <c r="Y787" s="794">
        <f t="shared" si="236"/>
        <v>45371</v>
      </c>
      <c r="Z787" s="541" cm="1">
        <f t="array" aca="1" ref="Z787" ca="1">_xlfn.IFS(AD787&lt;100,Y787,Y787&lt;TODAY(),TODAY(),Y787&gt;TODAY(),Y787,Y787=TODAY(),Y787)</f>
        <v>45371</v>
      </c>
      <c r="AD787" s="298">
        <f t="shared" si="242"/>
        <v>0</v>
      </c>
      <c r="AE787" s="299" t="str">
        <f t="shared" si="243"/>
        <v>Complete</v>
      </c>
      <c r="AI787" s="301">
        <f t="shared" ca="1" si="240"/>
        <v>0</v>
      </c>
      <c r="AJ787" s="302">
        <f t="shared" ca="1" si="241"/>
        <v>0</v>
      </c>
      <c r="AL787" s="303">
        <f t="shared" si="244"/>
        <v>15668483</v>
      </c>
      <c r="AM787" s="303">
        <f t="shared" si="245"/>
        <v>0</v>
      </c>
      <c r="AN787" s="303">
        <f t="shared" si="246"/>
        <v>15668483</v>
      </c>
      <c r="AO787" s="304">
        <f t="shared" si="247"/>
        <v>0</v>
      </c>
      <c r="AP787" s="273">
        <f t="shared" si="249"/>
        <v>2</v>
      </c>
      <c r="AQ787" s="273" t="str">
        <f t="shared" ca="1" si="248"/>
        <v>22024</v>
      </c>
    </row>
    <row r="788" spans="1:43" ht="16.5">
      <c r="A788" s="312">
        <v>40</v>
      </c>
      <c r="B788" s="711" t="s">
        <v>2328</v>
      </c>
      <c r="C788" s="273" t="s">
        <v>2329</v>
      </c>
      <c r="D788" s="711" t="s">
        <v>2330</v>
      </c>
      <c r="E788" s="440">
        <v>45161</v>
      </c>
      <c r="F788" s="739">
        <f t="shared" si="239"/>
        <v>29</v>
      </c>
      <c r="G788" s="306">
        <v>1435500</v>
      </c>
      <c r="H788" s="307">
        <v>258390</v>
      </c>
      <c r="I788" s="308">
        <v>1693890</v>
      </c>
      <c r="O788" s="862" t="s">
        <v>2361</v>
      </c>
      <c r="P788" s="555">
        <v>45351</v>
      </c>
      <c r="Q788" s="556" t="s">
        <v>2352</v>
      </c>
      <c r="R788" s="314">
        <v>1693890</v>
      </c>
      <c r="T788" s="876">
        <v>20</v>
      </c>
      <c r="V788" s="340">
        <f t="shared" ca="1" si="217"/>
        <v>3</v>
      </c>
      <c r="W788" s="594">
        <f t="shared" ca="1" si="218"/>
        <v>2024</v>
      </c>
      <c r="X788" s="340" t="str">
        <f t="shared" ca="1" si="250"/>
        <v>3 WEEK</v>
      </c>
      <c r="Y788" s="794">
        <f t="shared" si="236"/>
        <v>45371</v>
      </c>
      <c r="Z788" s="541" cm="1">
        <f t="array" aca="1" ref="Z788" ca="1">_xlfn.IFS(AD788&lt;100,Y788,Y788&lt;TODAY(),TODAY(),Y788&gt;TODAY(),Y788,Y788=TODAY(),Y788)</f>
        <v>45371</v>
      </c>
      <c r="AD788" s="298">
        <f t="shared" si="242"/>
        <v>0</v>
      </c>
      <c r="AE788" s="299" t="str">
        <f t="shared" si="243"/>
        <v>Complete</v>
      </c>
      <c r="AI788" s="301">
        <f t="shared" ca="1" si="240"/>
        <v>0</v>
      </c>
      <c r="AJ788" s="302">
        <f t="shared" ca="1" si="241"/>
        <v>0</v>
      </c>
      <c r="AL788" s="303">
        <f t="shared" si="244"/>
        <v>1693890</v>
      </c>
      <c r="AM788" s="303">
        <f t="shared" si="245"/>
        <v>0</v>
      </c>
      <c r="AN788" s="303">
        <f t="shared" si="246"/>
        <v>1693890</v>
      </c>
      <c r="AO788" s="304">
        <f t="shared" si="247"/>
        <v>0</v>
      </c>
      <c r="AP788" s="273">
        <f t="shared" si="249"/>
        <v>2</v>
      </c>
      <c r="AQ788" s="273" t="str">
        <f t="shared" ca="1" si="248"/>
        <v>22024</v>
      </c>
    </row>
    <row r="789" spans="1:43" ht="16.5">
      <c r="A789" s="312">
        <v>40</v>
      </c>
      <c r="B789" s="711" t="s">
        <v>2328</v>
      </c>
      <c r="C789" s="273" t="s">
        <v>2329</v>
      </c>
      <c r="D789" s="711" t="s">
        <v>2330</v>
      </c>
      <c r="E789" s="440">
        <v>45161</v>
      </c>
      <c r="F789" s="739">
        <f t="shared" si="239"/>
        <v>29</v>
      </c>
      <c r="G789" s="306">
        <v>1435500</v>
      </c>
      <c r="H789" s="307">
        <v>258390</v>
      </c>
      <c r="I789" s="308">
        <v>1693890</v>
      </c>
      <c r="O789" s="862" t="s">
        <v>2362</v>
      </c>
      <c r="P789" s="555">
        <v>45351</v>
      </c>
      <c r="Q789" s="556" t="s">
        <v>2352</v>
      </c>
      <c r="R789" s="314">
        <v>1693890</v>
      </c>
      <c r="T789" s="876">
        <v>20</v>
      </c>
      <c r="V789" s="340">
        <f t="shared" ca="1" si="217"/>
        <v>3</v>
      </c>
      <c r="W789" s="594">
        <f t="shared" ca="1" si="218"/>
        <v>2024</v>
      </c>
      <c r="X789" s="340" t="str">
        <f t="shared" ca="1" si="250"/>
        <v>3 WEEK</v>
      </c>
      <c r="Y789" s="794">
        <f t="shared" si="236"/>
        <v>45371</v>
      </c>
      <c r="Z789" s="541" cm="1">
        <f t="array" aca="1" ref="Z789" ca="1">_xlfn.IFS(AD789&lt;100,Y789,Y789&lt;TODAY(),TODAY(),Y789&gt;TODAY(),Y789,Y789=TODAY(),Y789)</f>
        <v>45371</v>
      </c>
      <c r="AD789" s="298">
        <f t="shared" si="242"/>
        <v>0</v>
      </c>
      <c r="AE789" s="299" t="str">
        <f t="shared" si="243"/>
        <v>Complete</v>
      </c>
      <c r="AI789" s="301">
        <f t="shared" ca="1" si="240"/>
        <v>0</v>
      </c>
      <c r="AJ789" s="302">
        <f t="shared" ca="1" si="241"/>
        <v>0</v>
      </c>
      <c r="AL789" s="303">
        <f t="shared" si="244"/>
        <v>1693890</v>
      </c>
      <c r="AM789" s="303">
        <f t="shared" si="245"/>
        <v>0</v>
      </c>
      <c r="AN789" s="303">
        <f t="shared" si="246"/>
        <v>1693890</v>
      </c>
      <c r="AO789" s="304">
        <f t="shared" si="247"/>
        <v>0</v>
      </c>
      <c r="AP789" s="273">
        <f t="shared" si="249"/>
        <v>2</v>
      </c>
      <c r="AQ789" s="273" t="str">
        <f t="shared" ca="1" si="248"/>
        <v>22024</v>
      </c>
    </row>
    <row r="790" spans="1:43" ht="16.5">
      <c r="A790" s="312">
        <v>40</v>
      </c>
      <c r="B790" s="711" t="s">
        <v>2328</v>
      </c>
      <c r="C790" s="273" t="s">
        <v>2329</v>
      </c>
      <c r="D790" s="711" t="s">
        <v>2330</v>
      </c>
      <c r="E790" s="440">
        <v>45161</v>
      </c>
      <c r="F790" s="739">
        <f t="shared" si="239"/>
        <v>29</v>
      </c>
      <c r="G790" s="306">
        <v>1435500</v>
      </c>
      <c r="H790" s="307">
        <v>258390</v>
      </c>
      <c r="I790" s="308">
        <v>1693890</v>
      </c>
      <c r="O790" s="862" t="s">
        <v>2363</v>
      </c>
      <c r="P790" s="555">
        <v>45351</v>
      </c>
      <c r="Q790" s="556" t="s">
        <v>2352</v>
      </c>
      <c r="R790" s="314">
        <v>1693890</v>
      </c>
      <c r="T790" s="876">
        <v>20</v>
      </c>
      <c r="V790" s="340">
        <f t="shared" ca="1" si="217"/>
        <v>3</v>
      </c>
      <c r="W790" s="594">
        <f t="shared" ca="1" si="218"/>
        <v>2024</v>
      </c>
      <c r="X790" s="340" t="str">
        <f t="shared" ca="1" si="250"/>
        <v>3 WEEK</v>
      </c>
      <c r="Y790" s="794">
        <f t="shared" si="236"/>
        <v>45371</v>
      </c>
      <c r="Z790" s="541" cm="1">
        <f t="array" aca="1" ref="Z790" ca="1">_xlfn.IFS(AD790&lt;100,Y790,Y790&lt;TODAY(),TODAY(),Y790&gt;TODAY(),Y790,Y790=TODAY(),Y790)</f>
        <v>45371</v>
      </c>
      <c r="AD790" s="298">
        <f t="shared" si="242"/>
        <v>0</v>
      </c>
      <c r="AE790" s="299" t="str">
        <f t="shared" si="243"/>
        <v>Complete</v>
      </c>
      <c r="AI790" s="301">
        <f t="shared" ca="1" si="240"/>
        <v>0</v>
      </c>
      <c r="AJ790" s="302">
        <f t="shared" ca="1" si="241"/>
        <v>0</v>
      </c>
      <c r="AL790" s="303">
        <f t="shared" si="244"/>
        <v>1693890</v>
      </c>
      <c r="AM790" s="303">
        <f t="shared" si="245"/>
        <v>0</v>
      </c>
      <c r="AN790" s="303">
        <f t="shared" si="246"/>
        <v>1693890</v>
      </c>
      <c r="AO790" s="304">
        <f t="shared" si="247"/>
        <v>0</v>
      </c>
      <c r="AP790" s="273">
        <f t="shared" si="249"/>
        <v>2</v>
      </c>
      <c r="AQ790" s="273" t="str">
        <f t="shared" ca="1" si="248"/>
        <v>22024</v>
      </c>
    </row>
    <row r="791" spans="1:43" ht="16.5">
      <c r="A791" s="312">
        <v>40</v>
      </c>
      <c r="B791" s="711" t="s">
        <v>2328</v>
      </c>
      <c r="C791" s="273" t="s">
        <v>2329</v>
      </c>
      <c r="D791" s="711" t="s">
        <v>2330</v>
      </c>
      <c r="E791" s="440">
        <v>45161</v>
      </c>
      <c r="F791" s="739">
        <f t="shared" si="239"/>
        <v>29</v>
      </c>
      <c r="G791" s="306">
        <v>3588750</v>
      </c>
      <c r="H791" s="307">
        <v>645975</v>
      </c>
      <c r="I791" s="308">
        <v>4234725</v>
      </c>
      <c r="O791" s="862" t="s">
        <v>2364</v>
      </c>
      <c r="P791" s="555">
        <v>45351</v>
      </c>
      <c r="Q791" s="556" t="s">
        <v>2352</v>
      </c>
      <c r="R791" s="314">
        <v>4234725</v>
      </c>
      <c r="T791" s="876">
        <v>20</v>
      </c>
      <c r="V791" s="340">
        <f t="shared" ca="1" si="217"/>
        <v>3</v>
      </c>
      <c r="W791" s="594">
        <f t="shared" ca="1" si="218"/>
        <v>2024</v>
      </c>
      <c r="X791" s="340" t="str">
        <f t="shared" ca="1" si="250"/>
        <v>3 WEEK</v>
      </c>
      <c r="Y791" s="794">
        <f t="shared" si="236"/>
        <v>45371</v>
      </c>
      <c r="Z791" s="541" cm="1">
        <f t="array" aca="1" ref="Z791" ca="1">_xlfn.IFS(AD791&lt;100,Y791,Y791&lt;TODAY(),TODAY(),Y791&gt;TODAY(),Y791,Y791=TODAY(),Y791)</f>
        <v>45371</v>
      </c>
      <c r="AD791" s="298">
        <f t="shared" si="242"/>
        <v>0</v>
      </c>
      <c r="AE791" s="299" t="str">
        <f t="shared" si="243"/>
        <v>Complete</v>
      </c>
      <c r="AI791" s="301">
        <f t="shared" ca="1" si="240"/>
        <v>0</v>
      </c>
      <c r="AJ791" s="302">
        <f t="shared" ca="1" si="241"/>
        <v>0</v>
      </c>
      <c r="AL791" s="303">
        <f t="shared" si="244"/>
        <v>4234725</v>
      </c>
      <c r="AM791" s="303">
        <f t="shared" si="245"/>
        <v>0</v>
      </c>
      <c r="AN791" s="303">
        <f t="shared" si="246"/>
        <v>4234725</v>
      </c>
      <c r="AO791" s="304">
        <f t="shared" si="247"/>
        <v>0</v>
      </c>
      <c r="AP791" s="273">
        <f t="shared" si="249"/>
        <v>2</v>
      </c>
      <c r="AQ791" s="273" t="str">
        <f t="shared" ca="1" si="248"/>
        <v>22024</v>
      </c>
    </row>
    <row r="792" spans="1:43" ht="16.5">
      <c r="A792" s="312">
        <v>40</v>
      </c>
      <c r="B792" s="711" t="s">
        <v>2328</v>
      </c>
      <c r="C792" s="273" t="s">
        <v>2329</v>
      </c>
      <c r="D792" s="711" t="s">
        <v>2330</v>
      </c>
      <c r="E792" s="440">
        <v>45161</v>
      </c>
      <c r="F792" s="739">
        <f t="shared" si="239"/>
        <v>29</v>
      </c>
      <c r="G792" s="306">
        <v>2871000</v>
      </c>
      <c r="H792" s="307">
        <v>516780</v>
      </c>
      <c r="I792" s="308">
        <v>3387780</v>
      </c>
      <c r="O792" s="862" t="s">
        <v>2365</v>
      </c>
      <c r="P792" s="555">
        <v>45351</v>
      </c>
      <c r="Q792" s="556" t="s">
        <v>2352</v>
      </c>
      <c r="R792" s="314">
        <v>3387780</v>
      </c>
      <c r="T792" s="876">
        <v>20</v>
      </c>
      <c r="V792" s="340">
        <f t="shared" ca="1" si="217"/>
        <v>3</v>
      </c>
      <c r="W792" s="594">
        <f t="shared" ca="1" si="218"/>
        <v>2024</v>
      </c>
      <c r="X792" s="340" t="str">
        <f t="shared" ca="1" si="250"/>
        <v>3 WEEK</v>
      </c>
      <c r="Y792" s="794">
        <f t="shared" si="236"/>
        <v>45371</v>
      </c>
      <c r="Z792" s="541" cm="1">
        <f t="array" aca="1" ref="Z792" ca="1">_xlfn.IFS(AD792&lt;100,Y792,Y792&lt;TODAY(),TODAY(),Y792&gt;TODAY(),Y792,Y792=TODAY(),Y792)</f>
        <v>45371</v>
      </c>
      <c r="AD792" s="298">
        <f t="shared" si="242"/>
        <v>0</v>
      </c>
      <c r="AE792" s="299" t="str">
        <f t="shared" si="243"/>
        <v>Complete</v>
      </c>
      <c r="AI792" s="301">
        <f t="shared" ca="1" si="240"/>
        <v>0</v>
      </c>
      <c r="AJ792" s="302">
        <f t="shared" ca="1" si="241"/>
        <v>0</v>
      </c>
      <c r="AL792" s="303">
        <f t="shared" si="244"/>
        <v>3387780</v>
      </c>
      <c r="AM792" s="303">
        <f t="shared" si="245"/>
        <v>0</v>
      </c>
      <c r="AN792" s="303">
        <f t="shared" si="246"/>
        <v>3387780</v>
      </c>
      <c r="AO792" s="304">
        <f t="shared" si="247"/>
        <v>0</v>
      </c>
      <c r="AP792" s="273">
        <f t="shared" si="249"/>
        <v>2</v>
      </c>
      <c r="AQ792" s="273" t="str">
        <f t="shared" ca="1" si="248"/>
        <v>22024</v>
      </c>
    </row>
    <row r="793" spans="1:43" ht="16.5">
      <c r="A793" s="312">
        <v>40</v>
      </c>
      <c r="B793" s="711" t="s">
        <v>2328</v>
      </c>
      <c r="C793" s="273" t="s">
        <v>2329</v>
      </c>
      <c r="D793" s="711" t="s">
        <v>2330</v>
      </c>
      <c r="E793" s="440">
        <v>45161</v>
      </c>
      <c r="F793" s="739">
        <f t="shared" si="239"/>
        <v>29</v>
      </c>
      <c r="G793" s="306">
        <v>1794375</v>
      </c>
      <c r="H793" s="307">
        <v>322987.5</v>
      </c>
      <c r="I793" s="308">
        <v>2117363</v>
      </c>
      <c r="O793" s="862" t="s">
        <v>2366</v>
      </c>
      <c r="P793" s="555">
        <v>45351</v>
      </c>
      <c r="Q793" s="556" t="s">
        <v>2352</v>
      </c>
      <c r="R793" s="314">
        <v>2117363</v>
      </c>
      <c r="T793" s="876">
        <v>20</v>
      </c>
      <c r="V793" s="340">
        <f t="shared" ca="1" si="217"/>
        <v>3</v>
      </c>
      <c r="W793" s="594">
        <f t="shared" ca="1" si="218"/>
        <v>2024</v>
      </c>
      <c r="X793" s="340" t="str">
        <f t="shared" ca="1" si="250"/>
        <v>3 WEEK</v>
      </c>
      <c r="Y793" s="794">
        <f t="shared" si="236"/>
        <v>45371</v>
      </c>
      <c r="Z793" s="541" cm="1">
        <f t="array" aca="1" ref="Z793" ca="1">_xlfn.IFS(AD793&lt;100,Y793,Y793&lt;TODAY(),TODAY(),Y793&gt;TODAY(),Y793,Y793=TODAY(),Y793)</f>
        <v>45371</v>
      </c>
      <c r="AD793" s="298">
        <f t="shared" si="242"/>
        <v>0</v>
      </c>
      <c r="AE793" s="299" t="str">
        <f t="shared" si="243"/>
        <v>Complete</v>
      </c>
      <c r="AI793" s="301">
        <f t="shared" ca="1" si="240"/>
        <v>0</v>
      </c>
      <c r="AJ793" s="302">
        <f t="shared" ca="1" si="241"/>
        <v>0</v>
      </c>
      <c r="AL793" s="303">
        <f t="shared" si="244"/>
        <v>2117363</v>
      </c>
      <c r="AM793" s="303">
        <f t="shared" si="245"/>
        <v>0</v>
      </c>
      <c r="AN793" s="303">
        <f t="shared" si="246"/>
        <v>2117363</v>
      </c>
      <c r="AO793" s="304">
        <f t="shared" si="247"/>
        <v>0</v>
      </c>
      <c r="AP793" s="273">
        <f t="shared" si="249"/>
        <v>2</v>
      </c>
      <c r="AQ793" s="273" t="str">
        <f t="shared" ca="1" si="248"/>
        <v>22024</v>
      </c>
    </row>
    <row r="794" spans="1:43" ht="16.5">
      <c r="A794" s="312">
        <v>40</v>
      </c>
      <c r="B794" s="711" t="s">
        <v>2328</v>
      </c>
      <c r="C794" s="273" t="s">
        <v>2329</v>
      </c>
      <c r="D794" s="711" t="s">
        <v>2330</v>
      </c>
      <c r="E794" s="440">
        <v>45161</v>
      </c>
      <c r="F794" s="739">
        <f t="shared" si="239"/>
        <v>29</v>
      </c>
      <c r="G794" s="306">
        <v>1435500</v>
      </c>
      <c r="H794" s="307">
        <v>258390</v>
      </c>
      <c r="I794" s="308">
        <v>1693890</v>
      </c>
      <c r="O794" s="862" t="s">
        <v>2367</v>
      </c>
      <c r="P794" s="555">
        <v>45380</v>
      </c>
      <c r="Q794" s="556" t="s">
        <v>2368</v>
      </c>
      <c r="R794" s="314">
        <v>1693890</v>
      </c>
      <c r="T794" s="876">
        <v>20</v>
      </c>
      <c r="V794" s="340">
        <f t="shared" ca="1" si="217"/>
        <v>4</v>
      </c>
      <c r="W794" s="594">
        <f t="shared" ca="1" si="218"/>
        <v>2024</v>
      </c>
      <c r="X794" s="340" t="str">
        <f t="shared" ca="1" si="250"/>
        <v>3 WEEK</v>
      </c>
      <c r="Y794" s="794">
        <f t="shared" si="236"/>
        <v>45400</v>
      </c>
      <c r="Z794" s="541" cm="1">
        <f t="array" aca="1" ref="Z794" ca="1">_xlfn.IFS(AD794&lt;100,Y794,Y794&lt;TODAY(),TODAY(),Y794&gt;TODAY(),Y794,Y794=TODAY(),Y794)</f>
        <v>45400</v>
      </c>
      <c r="AD794" s="298">
        <f t="shared" si="242"/>
        <v>0</v>
      </c>
      <c r="AE794" s="299" t="str">
        <f t="shared" si="243"/>
        <v>Complete</v>
      </c>
      <c r="AI794" s="301">
        <f t="shared" ca="1" si="240"/>
        <v>0</v>
      </c>
      <c r="AJ794" s="302">
        <f t="shared" ca="1" si="241"/>
        <v>0</v>
      </c>
      <c r="AL794" s="303">
        <f t="shared" si="244"/>
        <v>1693890</v>
      </c>
      <c r="AM794" s="303">
        <f t="shared" si="245"/>
        <v>0</v>
      </c>
      <c r="AN794" s="303">
        <f t="shared" si="246"/>
        <v>1693890</v>
      </c>
      <c r="AO794" s="304">
        <f t="shared" si="247"/>
        <v>0</v>
      </c>
      <c r="AP794" s="273">
        <f t="shared" si="249"/>
        <v>3</v>
      </c>
      <c r="AQ794" s="273" t="str">
        <f t="shared" ca="1" si="248"/>
        <v>32024</v>
      </c>
    </row>
    <row r="795" spans="1:43" ht="16.5">
      <c r="A795" s="312">
        <v>40</v>
      </c>
      <c r="B795" s="711" t="s">
        <v>2328</v>
      </c>
      <c r="C795" s="273" t="s">
        <v>2329</v>
      </c>
      <c r="D795" s="711" t="s">
        <v>2330</v>
      </c>
      <c r="E795" s="440">
        <v>45161</v>
      </c>
      <c r="F795" s="739">
        <f t="shared" si="239"/>
        <v>29</v>
      </c>
      <c r="G795" s="306">
        <v>1435500</v>
      </c>
      <c r="H795" s="307">
        <v>258390</v>
      </c>
      <c r="I795" s="308">
        <v>1693890</v>
      </c>
      <c r="O795" s="862" t="s">
        <v>2369</v>
      </c>
      <c r="P795" s="555">
        <v>45351</v>
      </c>
      <c r="Q795" s="556" t="s">
        <v>2352</v>
      </c>
      <c r="R795" s="314">
        <v>1693890</v>
      </c>
      <c r="T795" s="876">
        <v>20</v>
      </c>
      <c r="V795" s="340">
        <f t="shared" ca="1" si="217"/>
        <v>3</v>
      </c>
      <c r="W795" s="594">
        <f t="shared" ca="1" si="218"/>
        <v>2024</v>
      </c>
      <c r="X795" s="340" t="str">
        <f t="shared" ca="1" si="250"/>
        <v>3 WEEK</v>
      </c>
      <c r="Y795" s="794">
        <f t="shared" si="236"/>
        <v>45371</v>
      </c>
      <c r="Z795" s="541" cm="1">
        <f t="array" aca="1" ref="Z795" ca="1">_xlfn.IFS(AD795&lt;100,Y795,Y795&lt;TODAY(),TODAY(),Y795&gt;TODAY(),Y795,Y795=TODAY(),Y795)</f>
        <v>45371</v>
      </c>
      <c r="AD795" s="298">
        <f t="shared" si="242"/>
        <v>0</v>
      </c>
      <c r="AE795" s="299" t="str">
        <f t="shared" si="243"/>
        <v>Complete</v>
      </c>
      <c r="AI795" s="301">
        <f t="shared" ca="1" si="240"/>
        <v>0</v>
      </c>
      <c r="AJ795" s="302">
        <f t="shared" ca="1" si="241"/>
        <v>0</v>
      </c>
      <c r="AL795" s="303">
        <f t="shared" si="244"/>
        <v>1693890</v>
      </c>
      <c r="AM795" s="303">
        <f t="shared" si="245"/>
        <v>0</v>
      </c>
      <c r="AN795" s="303">
        <f t="shared" si="246"/>
        <v>1693890</v>
      </c>
      <c r="AO795" s="304">
        <f t="shared" si="247"/>
        <v>0</v>
      </c>
      <c r="AP795" s="273">
        <f t="shared" si="249"/>
        <v>2</v>
      </c>
      <c r="AQ795" s="273" t="str">
        <f t="shared" ca="1" si="248"/>
        <v>22024</v>
      </c>
    </row>
    <row r="796" spans="1:43" ht="16.5">
      <c r="A796" s="312">
        <v>40</v>
      </c>
      <c r="B796" s="711" t="s">
        <v>2328</v>
      </c>
      <c r="C796" s="273" t="s">
        <v>2329</v>
      </c>
      <c r="D796" s="711" t="s">
        <v>2330</v>
      </c>
      <c r="E796" s="440">
        <v>45161</v>
      </c>
      <c r="F796" s="739">
        <f t="shared" si="239"/>
        <v>29</v>
      </c>
      <c r="G796" s="306">
        <v>5383125</v>
      </c>
      <c r="H796" s="307">
        <v>968962.5</v>
      </c>
      <c r="I796" s="308">
        <v>6352088</v>
      </c>
      <c r="O796" s="862" t="s">
        <v>2370</v>
      </c>
      <c r="P796" s="555">
        <v>45322</v>
      </c>
      <c r="Q796" s="556" t="s">
        <v>2353</v>
      </c>
      <c r="R796" s="314">
        <v>6352088</v>
      </c>
      <c r="T796" s="876">
        <v>20</v>
      </c>
      <c r="V796" s="340">
        <f t="shared" ca="1" si="217"/>
        <v>2</v>
      </c>
      <c r="W796" s="594">
        <f t="shared" ca="1" si="218"/>
        <v>2024</v>
      </c>
      <c r="X796" s="340" t="str">
        <f t="shared" ca="1" si="250"/>
        <v>3 WEEK</v>
      </c>
      <c r="Y796" s="794">
        <f t="shared" si="236"/>
        <v>45342</v>
      </c>
      <c r="Z796" s="541" cm="1">
        <f t="array" aca="1" ref="Z796" ca="1">_xlfn.IFS(AD796&lt;100,Y796,Y796&lt;TODAY(),TODAY(),Y796&gt;TODAY(),Y796,Y796=TODAY(),Y796)</f>
        <v>45342</v>
      </c>
      <c r="AD796" s="298">
        <f t="shared" si="242"/>
        <v>0</v>
      </c>
      <c r="AE796" s="299" t="str">
        <f t="shared" si="243"/>
        <v>Complete</v>
      </c>
      <c r="AI796" s="301">
        <f t="shared" ca="1" si="240"/>
        <v>0</v>
      </c>
      <c r="AJ796" s="302">
        <f t="shared" ca="1" si="241"/>
        <v>0</v>
      </c>
      <c r="AL796" s="303">
        <f t="shared" si="244"/>
        <v>6352088</v>
      </c>
      <c r="AM796" s="303">
        <f t="shared" si="245"/>
        <v>0</v>
      </c>
      <c r="AN796" s="303">
        <f t="shared" si="246"/>
        <v>6352088</v>
      </c>
      <c r="AO796" s="304">
        <f t="shared" si="247"/>
        <v>0</v>
      </c>
      <c r="AP796" s="273">
        <f t="shared" si="249"/>
        <v>1</v>
      </c>
      <c r="AQ796" s="273" t="str">
        <f t="shared" ca="1" si="248"/>
        <v>12024</v>
      </c>
    </row>
    <row r="797" spans="1:43" ht="16.5">
      <c r="A797" s="312">
        <v>40</v>
      </c>
      <c r="B797" s="711" t="s">
        <v>2328</v>
      </c>
      <c r="C797" s="273" t="s">
        <v>2329</v>
      </c>
      <c r="D797" s="711" t="s">
        <v>2330</v>
      </c>
      <c r="E797" s="440">
        <v>45161</v>
      </c>
      <c r="F797" s="739">
        <f t="shared" si="239"/>
        <v>29</v>
      </c>
      <c r="G797" s="306">
        <v>1961560</v>
      </c>
      <c r="H797" s="307">
        <v>353080.8</v>
      </c>
      <c r="I797" s="308">
        <v>2314641</v>
      </c>
      <c r="O797" s="862" t="s">
        <v>2371</v>
      </c>
      <c r="P797" s="829">
        <v>45351</v>
      </c>
      <c r="Q797" s="830" t="s">
        <v>2372</v>
      </c>
      <c r="R797" s="314">
        <v>2262626</v>
      </c>
      <c r="T797" s="876">
        <v>20</v>
      </c>
      <c r="V797" s="340">
        <f t="shared" ca="1" si="217"/>
        <v>3</v>
      </c>
      <c r="W797" s="594">
        <f t="shared" ca="1" si="218"/>
        <v>2024</v>
      </c>
      <c r="X797" s="340" t="str">
        <f t="shared" ca="1" si="250"/>
        <v>3 WEEK</v>
      </c>
      <c r="Y797" s="794">
        <f t="shared" si="236"/>
        <v>45371</v>
      </c>
      <c r="Z797" s="541" cm="1">
        <f t="array" aca="1" ref="Z797" ca="1">_xlfn.IFS(AD797&lt;100,Y797,Y797&lt;TODAY(),TODAY(),Y797&gt;TODAY(),Y797,Y797=TODAY(),Y797)</f>
        <v>45371</v>
      </c>
      <c r="AD797" s="298">
        <f t="shared" si="242"/>
        <v>0</v>
      </c>
      <c r="AE797" s="299" t="str">
        <f t="shared" si="243"/>
        <v>Complete</v>
      </c>
      <c r="AI797" s="301">
        <f t="shared" ca="1" si="240"/>
        <v>0</v>
      </c>
      <c r="AJ797" s="302">
        <f t="shared" ca="1" si="241"/>
        <v>0</v>
      </c>
      <c r="AL797" s="303">
        <f t="shared" si="244"/>
        <v>2314641</v>
      </c>
      <c r="AM797" s="303">
        <f t="shared" si="245"/>
        <v>52015</v>
      </c>
      <c r="AN797" s="303">
        <f t="shared" si="246"/>
        <v>2262626</v>
      </c>
      <c r="AO797" s="304">
        <f t="shared" si="247"/>
        <v>0</v>
      </c>
      <c r="AP797" s="273">
        <f t="shared" si="249"/>
        <v>2</v>
      </c>
      <c r="AQ797" s="273" t="str">
        <f t="shared" ca="1" si="248"/>
        <v>22024</v>
      </c>
    </row>
    <row r="798" spans="1:43" ht="16.5">
      <c r="A798" s="312">
        <v>40</v>
      </c>
      <c r="B798" s="711" t="s">
        <v>2328</v>
      </c>
      <c r="C798" s="273" t="s">
        <v>2329</v>
      </c>
      <c r="D798" s="711" t="s">
        <v>2330</v>
      </c>
      <c r="E798" s="440">
        <v>45161</v>
      </c>
      <c r="F798" s="739">
        <f t="shared" si="239"/>
        <v>29</v>
      </c>
      <c r="P798" s="555">
        <v>45380</v>
      </c>
      <c r="Q798" s="556" t="s">
        <v>2368</v>
      </c>
      <c r="R798" s="314">
        <v>52014</v>
      </c>
      <c r="T798" s="876">
        <v>20</v>
      </c>
      <c r="V798" s="340">
        <f t="shared" ref="V798:V867" ca="1" si="251">MONTH(Z798)</f>
        <v>4</v>
      </c>
      <c r="W798" s="594">
        <f t="shared" ref="W798:W867" ca="1" si="252">YEAR(Z798)</f>
        <v>2024</v>
      </c>
      <c r="X798" s="340" t="str">
        <f t="shared" ca="1" si="250"/>
        <v>3 WEEK</v>
      </c>
      <c r="Y798" s="794">
        <f t="shared" si="236"/>
        <v>45400</v>
      </c>
      <c r="Z798" s="541" cm="1">
        <f t="array" aca="1" ref="Z798" ca="1">_xlfn.IFS(AD798&lt;100,Y798,Y798&lt;TODAY(),TODAY(),Y798&gt;TODAY(),Y798,Y798=TODAY(),Y798)</f>
        <v>45400</v>
      </c>
      <c r="AD798" s="298">
        <f t="shared" si="242"/>
        <v>0</v>
      </c>
      <c r="AE798" s="299" t="str">
        <f t="shared" si="243"/>
        <v>Complete</v>
      </c>
      <c r="AI798" s="301">
        <f t="shared" ca="1" si="240"/>
        <v>0</v>
      </c>
      <c r="AJ798" s="302">
        <f t="shared" ca="1" si="241"/>
        <v>0</v>
      </c>
      <c r="AL798" s="303">
        <f t="shared" si="244"/>
        <v>0</v>
      </c>
      <c r="AM798" s="303">
        <f t="shared" si="245"/>
        <v>-52014</v>
      </c>
      <c r="AN798" s="303">
        <f t="shared" si="246"/>
        <v>52014</v>
      </c>
      <c r="AO798" s="304">
        <f t="shared" si="247"/>
        <v>0</v>
      </c>
      <c r="AP798" s="273">
        <f t="shared" si="249"/>
        <v>3</v>
      </c>
      <c r="AQ798" s="273" t="str">
        <f t="shared" ca="1" si="248"/>
        <v>32024</v>
      </c>
    </row>
    <row r="799" spans="1:43" ht="16.5">
      <c r="A799" s="312">
        <v>40</v>
      </c>
      <c r="B799" s="711" t="s">
        <v>2328</v>
      </c>
      <c r="C799" s="273" t="s">
        <v>2329</v>
      </c>
      <c r="D799" s="711" t="s">
        <v>2330</v>
      </c>
      <c r="E799" s="440">
        <v>45161</v>
      </c>
      <c r="F799" s="739">
        <f t="shared" si="239"/>
        <v>29</v>
      </c>
      <c r="G799" s="306">
        <v>17632000</v>
      </c>
      <c r="H799" s="307">
        <v>3173760</v>
      </c>
      <c r="I799" s="308">
        <v>20805760</v>
      </c>
      <c r="O799" s="862" t="s">
        <v>2373</v>
      </c>
      <c r="P799" s="555">
        <v>45322</v>
      </c>
      <c r="Q799" s="556" t="s">
        <v>2374</v>
      </c>
      <c r="R799" s="314">
        <v>20805760</v>
      </c>
      <c r="T799" s="876">
        <v>20</v>
      </c>
      <c r="V799" s="340">
        <f t="shared" ca="1" si="251"/>
        <v>2</v>
      </c>
      <c r="W799" s="594">
        <f t="shared" ca="1" si="252"/>
        <v>2024</v>
      </c>
      <c r="X799" s="340" t="str">
        <f t="shared" ca="1" si="250"/>
        <v>3 WEEK</v>
      </c>
      <c r="Y799" s="794">
        <f t="shared" si="236"/>
        <v>45342</v>
      </c>
      <c r="Z799" s="541" cm="1">
        <f t="array" aca="1" ref="Z799" ca="1">_xlfn.IFS(AD799&lt;100,Y799,Y799&lt;TODAY(),TODAY(),Y799&gt;TODAY(),Y799,Y799=TODAY(),Y799)</f>
        <v>45342</v>
      </c>
      <c r="AD799" s="298">
        <f t="shared" si="242"/>
        <v>0</v>
      </c>
      <c r="AE799" s="299" t="str">
        <f t="shared" si="243"/>
        <v>Complete</v>
      </c>
      <c r="AI799" s="301">
        <f t="shared" ca="1" si="240"/>
        <v>0</v>
      </c>
      <c r="AJ799" s="302">
        <f t="shared" ca="1" si="241"/>
        <v>0</v>
      </c>
      <c r="AL799" s="303">
        <f t="shared" si="244"/>
        <v>20805760</v>
      </c>
      <c r="AM799" s="303">
        <f t="shared" si="245"/>
        <v>0</v>
      </c>
      <c r="AN799" s="303">
        <f t="shared" si="246"/>
        <v>20805760</v>
      </c>
      <c r="AO799" s="304">
        <f t="shared" si="247"/>
        <v>0</v>
      </c>
      <c r="AP799" s="273">
        <f t="shared" si="249"/>
        <v>1</v>
      </c>
      <c r="AQ799" s="273" t="str">
        <f t="shared" ca="1" si="248"/>
        <v>12024</v>
      </c>
    </row>
    <row r="800" spans="1:43" ht="16.5">
      <c r="A800" s="312">
        <v>40</v>
      </c>
      <c r="B800" s="711" t="s">
        <v>2328</v>
      </c>
      <c r="C800" s="273" t="s">
        <v>2329</v>
      </c>
      <c r="D800" s="711" t="s">
        <v>2330</v>
      </c>
      <c r="E800" s="440">
        <v>45161</v>
      </c>
      <c r="F800" s="739">
        <f t="shared" si="239"/>
        <v>29</v>
      </c>
      <c r="G800" s="306">
        <v>6612000</v>
      </c>
      <c r="H800" s="307">
        <v>1190160</v>
      </c>
      <c r="I800" s="308">
        <v>7802160</v>
      </c>
      <c r="O800" s="862" t="s">
        <v>2375</v>
      </c>
      <c r="P800" s="829">
        <v>45351</v>
      </c>
      <c r="Q800" s="830" t="s">
        <v>2376</v>
      </c>
      <c r="R800" s="314">
        <v>3901080</v>
      </c>
      <c r="T800" s="876">
        <v>20</v>
      </c>
      <c r="V800" s="340">
        <f t="shared" ca="1" si="251"/>
        <v>3</v>
      </c>
      <c r="W800" s="594">
        <f t="shared" ca="1" si="252"/>
        <v>2024</v>
      </c>
      <c r="X800" s="340" t="str">
        <f t="shared" ca="1" si="250"/>
        <v>3 WEEK</v>
      </c>
      <c r="Y800" s="794">
        <f t="shared" si="236"/>
        <v>45371</v>
      </c>
      <c r="Z800" s="541" cm="1">
        <f t="array" aca="1" ref="Z800" ca="1">_xlfn.IFS(AD800&lt;100,Y800,Y800&lt;TODAY(),TODAY(),Y800&gt;TODAY(),Y800,Y800=TODAY(),Y800)</f>
        <v>45371</v>
      </c>
      <c r="AD800" s="298">
        <f t="shared" si="242"/>
        <v>0</v>
      </c>
      <c r="AE800" s="299" t="str">
        <f t="shared" si="243"/>
        <v>Complete</v>
      </c>
      <c r="AI800" s="301">
        <f t="shared" ca="1" si="240"/>
        <v>0</v>
      </c>
      <c r="AJ800" s="302">
        <f t="shared" ca="1" si="241"/>
        <v>0</v>
      </c>
      <c r="AL800" s="303">
        <f t="shared" si="244"/>
        <v>7802160</v>
      </c>
      <c r="AM800" s="303">
        <f t="shared" si="245"/>
        <v>3901080</v>
      </c>
      <c r="AN800" s="303">
        <f t="shared" si="246"/>
        <v>3901080</v>
      </c>
      <c r="AO800" s="304">
        <f t="shared" si="247"/>
        <v>0</v>
      </c>
      <c r="AP800" s="273">
        <f t="shared" si="249"/>
        <v>2</v>
      </c>
      <c r="AQ800" s="273" t="str">
        <f t="shared" ca="1" si="248"/>
        <v>22024</v>
      </c>
    </row>
    <row r="801" spans="1:43" ht="16.5">
      <c r="A801" s="312">
        <v>40</v>
      </c>
      <c r="B801" s="711" t="s">
        <v>2328</v>
      </c>
      <c r="C801" s="273" t="s">
        <v>2329</v>
      </c>
      <c r="D801" s="711" t="s">
        <v>2330</v>
      </c>
      <c r="E801" s="440">
        <v>45161</v>
      </c>
      <c r="F801" s="739">
        <f t="shared" si="239"/>
        <v>29</v>
      </c>
      <c r="P801" s="555">
        <v>45380</v>
      </c>
      <c r="Q801" s="556" t="s">
        <v>2368</v>
      </c>
      <c r="R801" s="314">
        <v>3901080</v>
      </c>
      <c r="T801" s="876">
        <v>20</v>
      </c>
      <c r="V801" s="340">
        <f t="shared" ca="1" si="251"/>
        <v>4</v>
      </c>
      <c r="W801" s="594">
        <f t="shared" ca="1" si="252"/>
        <v>2024</v>
      </c>
      <c r="X801" s="340" t="str">
        <f t="shared" ca="1" si="250"/>
        <v>3 WEEK</v>
      </c>
      <c r="Y801" s="794">
        <f t="shared" si="236"/>
        <v>45400</v>
      </c>
      <c r="Z801" s="541" cm="1">
        <f t="array" aca="1" ref="Z801" ca="1">_xlfn.IFS(AD801&lt;100,Y801,Y801&lt;TODAY(),TODAY(),Y801&gt;TODAY(),Y801,Y801=TODAY(),Y801)</f>
        <v>45400</v>
      </c>
      <c r="AD801" s="298">
        <f t="shared" si="242"/>
        <v>0</v>
      </c>
      <c r="AE801" s="299" t="str">
        <f t="shared" si="243"/>
        <v>Complete</v>
      </c>
      <c r="AI801" s="301">
        <f t="shared" ca="1" si="240"/>
        <v>0</v>
      </c>
      <c r="AJ801" s="302">
        <f t="shared" ca="1" si="241"/>
        <v>0</v>
      </c>
      <c r="AL801" s="303">
        <f t="shared" si="244"/>
        <v>0</v>
      </c>
      <c r="AM801" s="303">
        <f t="shared" si="245"/>
        <v>-3901080</v>
      </c>
      <c r="AN801" s="303">
        <f t="shared" si="246"/>
        <v>3901080</v>
      </c>
      <c r="AO801" s="304">
        <f t="shared" si="247"/>
        <v>0</v>
      </c>
      <c r="AP801" s="273">
        <f t="shared" si="249"/>
        <v>3</v>
      </c>
      <c r="AQ801" s="273" t="str">
        <f t="shared" ca="1" si="248"/>
        <v>32024</v>
      </c>
    </row>
    <row r="802" spans="1:43" ht="16.5">
      <c r="A802" s="312">
        <v>40</v>
      </c>
      <c r="B802" s="711" t="s">
        <v>2328</v>
      </c>
      <c r="C802" s="273" t="s">
        <v>2329</v>
      </c>
      <c r="D802" s="711" t="s">
        <v>2330</v>
      </c>
      <c r="E802" s="440">
        <v>45161</v>
      </c>
      <c r="F802" s="739">
        <f t="shared" si="239"/>
        <v>29</v>
      </c>
      <c r="G802" s="306">
        <v>344375</v>
      </c>
      <c r="H802" s="307">
        <v>61987.5</v>
      </c>
      <c r="I802" s="308">
        <v>406363</v>
      </c>
      <c r="O802" s="862" t="s">
        <v>2377</v>
      </c>
      <c r="P802" s="829">
        <v>45351</v>
      </c>
      <c r="Q802" s="830" t="s">
        <v>2372</v>
      </c>
      <c r="R802" s="314">
        <v>389253</v>
      </c>
      <c r="T802" s="876">
        <v>20</v>
      </c>
      <c r="V802" s="340">
        <f t="shared" ca="1" si="251"/>
        <v>3</v>
      </c>
      <c r="W802" s="594">
        <f t="shared" ca="1" si="252"/>
        <v>2024</v>
      </c>
      <c r="X802" s="340" t="str">
        <f t="shared" ca="1" si="250"/>
        <v>3 WEEK</v>
      </c>
      <c r="Y802" s="794">
        <f t="shared" si="236"/>
        <v>45371</v>
      </c>
      <c r="Z802" s="541" cm="1">
        <f t="array" aca="1" ref="Z802" ca="1">_xlfn.IFS(AD802&lt;100,Y802,Y802&lt;TODAY(),TODAY(),Y802&gt;TODAY(),Y802,Y802=TODAY(),Y802)</f>
        <v>45371</v>
      </c>
      <c r="AD802" s="298">
        <f t="shared" si="242"/>
        <v>0</v>
      </c>
      <c r="AE802" s="299" t="str">
        <f t="shared" si="243"/>
        <v>Complete</v>
      </c>
      <c r="AI802" s="301">
        <f t="shared" ca="1" si="240"/>
        <v>0</v>
      </c>
      <c r="AJ802" s="302">
        <f t="shared" ca="1" si="241"/>
        <v>0</v>
      </c>
      <c r="AL802" s="303">
        <f t="shared" si="244"/>
        <v>406363</v>
      </c>
      <c r="AM802" s="303">
        <f t="shared" si="245"/>
        <v>17110</v>
      </c>
      <c r="AN802" s="303">
        <f t="shared" si="246"/>
        <v>389253</v>
      </c>
      <c r="AO802" s="304">
        <f t="shared" si="247"/>
        <v>0</v>
      </c>
      <c r="AP802" s="273">
        <f t="shared" si="249"/>
        <v>2</v>
      </c>
      <c r="AQ802" s="273" t="str">
        <f t="shared" ca="1" si="248"/>
        <v>22024</v>
      </c>
    </row>
    <row r="803" spans="1:43" ht="16.5">
      <c r="A803" s="312">
        <v>40</v>
      </c>
      <c r="B803" s="711" t="s">
        <v>2328</v>
      </c>
      <c r="C803" s="273" t="s">
        <v>2329</v>
      </c>
      <c r="D803" s="711" t="s">
        <v>2330</v>
      </c>
      <c r="E803" s="440">
        <v>45161</v>
      </c>
      <c r="F803" s="739">
        <f t="shared" si="239"/>
        <v>29</v>
      </c>
      <c r="P803" s="555">
        <v>45380</v>
      </c>
      <c r="Q803" s="556" t="s">
        <v>2368</v>
      </c>
      <c r="R803" s="314">
        <v>17110</v>
      </c>
      <c r="T803" s="876">
        <v>20</v>
      </c>
      <c r="V803" s="340">
        <f t="shared" ca="1" si="251"/>
        <v>4</v>
      </c>
      <c r="W803" s="594">
        <f t="shared" ca="1" si="252"/>
        <v>2024</v>
      </c>
      <c r="X803" s="340" t="str">
        <f t="shared" ca="1" si="250"/>
        <v>3 WEEK</v>
      </c>
      <c r="Y803" s="794">
        <f t="shared" si="236"/>
        <v>45400</v>
      </c>
      <c r="Z803" s="541" cm="1">
        <f t="array" aca="1" ref="Z803" ca="1">_xlfn.IFS(AD803&lt;100,Y803,Y803&lt;TODAY(),TODAY(),Y803&gt;TODAY(),Y803,Y803=TODAY(),Y803)</f>
        <v>45400</v>
      </c>
      <c r="AD803" s="298">
        <f t="shared" si="242"/>
        <v>0</v>
      </c>
      <c r="AE803" s="299" t="str">
        <f t="shared" si="243"/>
        <v>Complete</v>
      </c>
      <c r="AI803" s="301">
        <f t="shared" ca="1" si="240"/>
        <v>0</v>
      </c>
      <c r="AJ803" s="302">
        <f t="shared" ca="1" si="241"/>
        <v>0</v>
      </c>
      <c r="AL803" s="303">
        <f t="shared" si="244"/>
        <v>0</v>
      </c>
      <c r="AM803" s="303">
        <f t="shared" si="245"/>
        <v>-17110</v>
      </c>
      <c r="AN803" s="303">
        <f t="shared" si="246"/>
        <v>17110</v>
      </c>
      <c r="AO803" s="304">
        <f t="shared" si="247"/>
        <v>0</v>
      </c>
      <c r="AP803" s="273">
        <f t="shared" si="249"/>
        <v>3</v>
      </c>
      <c r="AQ803" s="273" t="str">
        <f t="shared" ca="1" si="248"/>
        <v>32024</v>
      </c>
    </row>
    <row r="804" spans="1:43" ht="16.5">
      <c r="A804" s="312">
        <v>40</v>
      </c>
      <c r="B804" s="711" t="s">
        <v>2328</v>
      </c>
      <c r="C804" s="273" t="s">
        <v>2329</v>
      </c>
      <c r="D804" s="711" t="s">
        <v>2330</v>
      </c>
      <c r="E804" s="440">
        <v>45161</v>
      </c>
      <c r="F804" s="739">
        <f t="shared" si="239"/>
        <v>29</v>
      </c>
      <c r="G804" s="306">
        <v>1812500</v>
      </c>
      <c r="H804" s="307">
        <v>326250</v>
      </c>
      <c r="I804" s="308">
        <v>2138750</v>
      </c>
      <c r="O804" s="862" t="s">
        <v>2378</v>
      </c>
      <c r="P804" s="945">
        <v>45322</v>
      </c>
      <c r="Q804" s="946" t="s">
        <v>2374</v>
      </c>
      <c r="R804" s="314">
        <v>2138750</v>
      </c>
      <c r="T804" s="876">
        <v>20</v>
      </c>
      <c r="V804" s="340">
        <f t="shared" ca="1" si="251"/>
        <v>2</v>
      </c>
      <c r="W804" s="594">
        <f t="shared" ca="1" si="252"/>
        <v>2024</v>
      </c>
      <c r="X804" s="340" t="str">
        <f t="shared" ca="1" si="250"/>
        <v>3 WEEK</v>
      </c>
      <c r="Y804" s="794">
        <f t="shared" si="236"/>
        <v>45342</v>
      </c>
      <c r="Z804" s="541" cm="1">
        <f t="array" aca="1" ref="Z804" ca="1">_xlfn.IFS(AD804&lt;100,Y804,Y804&lt;TODAY(),TODAY(),Y804&gt;TODAY(),Y804,Y804=TODAY(),Y804)</f>
        <v>45342</v>
      </c>
      <c r="AD804" s="298">
        <f t="shared" si="242"/>
        <v>0</v>
      </c>
      <c r="AE804" s="299" t="str">
        <f t="shared" si="243"/>
        <v>Complete</v>
      </c>
      <c r="AI804" s="301">
        <f t="shared" ca="1" si="240"/>
        <v>0</v>
      </c>
      <c r="AJ804" s="302">
        <f t="shared" ca="1" si="241"/>
        <v>0</v>
      </c>
      <c r="AL804" s="303">
        <f t="shared" si="244"/>
        <v>2138750</v>
      </c>
      <c r="AM804" s="303">
        <f t="shared" si="245"/>
        <v>0</v>
      </c>
      <c r="AN804" s="303">
        <f t="shared" si="246"/>
        <v>2138750</v>
      </c>
      <c r="AO804" s="304">
        <f t="shared" si="247"/>
        <v>0</v>
      </c>
      <c r="AP804" s="273">
        <f t="shared" si="249"/>
        <v>1</v>
      </c>
      <c r="AQ804" s="273" t="str">
        <f t="shared" ca="1" si="248"/>
        <v>12024</v>
      </c>
    </row>
    <row r="805" spans="1:43" ht="16.5">
      <c r="B805" s="702"/>
      <c r="D805" s="702"/>
      <c r="E805" s="440"/>
      <c r="P805" s="947"/>
      <c r="Q805" s="668"/>
      <c r="V805" s="340">
        <f t="shared" ca="1" si="251"/>
        <v>1</v>
      </c>
      <c r="W805" s="594">
        <f t="shared" ca="1" si="252"/>
        <v>1900</v>
      </c>
      <c r="X805" s="340" t="str">
        <f t="shared" ca="1" si="250"/>
        <v>0 WEEK</v>
      </c>
      <c r="Y805" s="794">
        <f t="shared" si="236"/>
        <v>0</v>
      </c>
      <c r="Z805" s="541" cm="1">
        <f t="array" aca="1" ref="Z805" ca="1">_xlfn.IFS(AD805&lt;100,Y805,Y805&lt;TODAY(),TODAY(),Y805&gt;TODAY(),Y805,Y805=TODAY(),Y805)</f>
        <v>0</v>
      </c>
      <c r="AD805" s="298">
        <f t="shared" si="242"/>
        <v>0</v>
      </c>
      <c r="AE805" s="299" t="str">
        <f t="shared" si="243"/>
        <v>Complete</v>
      </c>
      <c r="AI805" s="301">
        <f t="shared" ca="1" si="240"/>
        <v>0</v>
      </c>
      <c r="AJ805" s="302">
        <f t="shared" ca="1" si="241"/>
        <v>0</v>
      </c>
      <c r="AL805" s="303">
        <f t="shared" si="244"/>
        <v>0</v>
      </c>
      <c r="AM805" s="303">
        <f t="shared" si="245"/>
        <v>0</v>
      </c>
      <c r="AN805" s="303">
        <f t="shared" si="246"/>
        <v>0</v>
      </c>
      <c r="AO805" s="304">
        <f t="shared" si="247"/>
        <v>0</v>
      </c>
      <c r="AP805" s="273">
        <f t="shared" si="249"/>
        <v>1</v>
      </c>
      <c r="AQ805" s="273" t="str">
        <f t="shared" ca="1" si="248"/>
        <v>11900</v>
      </c>
    </row>
    <row r="806" spans="1:43" ht="16.5">
      <c r="A806" s="312">
        <f>A804+1</f>
        <v>41</v>
      </c>
      <c r="B806" s="711" t="s">
        <v>2328</v>
      </c>
      <c r="C806" s="273" t="s">
        <v>2329</v>
      </c>
      <c r="D806" s="711" t="s">
        <v>2330</v>
      </c>
      <c r="E806" s="440">
        <v>45161</v>
      </c>
      <c r="F806" s="739">
        <f t="shared" ref="F806:F808" si="253">29000/1000</f>
        <v>29</v>
      </c>
      <c r="N806" s="273" t="s">
        <v>2116</v>
      </c>
      <c r="P806" s="947"/>
      <c r="Q806" s="668"/>
      <c r="T806" s="876">
        <v>7</v>
      </c>
      <c r="V806" s="340">
        <f t="shared" ca="1" si="251"/>
        <v>1</v>
      </c>
      <c r="W806" s="594">
        <f t="shared" ca="1" si="252"/>
        <v>1900</v>
      </c>
      <c r="X806" s="340" t="str">
        <f t="shared" ca="1" si="250"/>
        <v>1 WEEK</v>
      </c>
      <c r="Y806" s="794">
        <f t="shared" si="236"/>
        <v>7</v>
      </c>
      <c r="Z806" s="541" cm="1">
        <f t="array" aca="1" ref="Z806" ca="1">_xlfn.IFS(AD806&lt;100,Y806,Y806&lt;TODAY(),TODAY(),Y806&gt;TODAY(),Y806,Y806=TODAY(),Y806)</f>
        <v>7</v>
      </c>
      <c r="AD806" s="298">
        <f t="shared" si="242"/>
        <v>0</v>
      </c>
      <c r="AE806" s="299" t="str">
        <f t="shared" si="243"/>
        <v>Complete</v>
      </c>
      <c r="AI806" s="301">
        <f t="shared" ca="1" si="240"/>
        <v>0</v>
      </c>
      <c r="AJ806" s="302">
        <f t="shared" ca="1" si="241"/>
        <v>0</v>
      </c>
      <c r="AL806" s="303">
        <f t="shared" si="244"/>
        <v>0</v>
      </c>
      <c r="AM806" s="303">
        <f t="shared" si="245"/>
        <v>0</v>
      </c>
      <c r="AN806" s="303">
        <f t="shared" si="246"/>
        <v>0</v>
      </c>
      <c r="AO806" s="304">
        <f t="shared" si="247"/>
        <v>0</v>
      </c>
      <c r="AP806" s="273">
        <f t="shared" si="249"/>
        <v>1</v>
      </c>
      <c r="AQ806" s="273" t="str">
        <f t="shared" ca="1" si="248"/>
        <v>11900</v>
      </c>
    </row>
    <row r="807" spans="1:43" ht="16.5">
      <c r="B807" s="711" t="s">
        <v>2328</v>
      </c>
      <c r="C807" s="273" t="s">
        <v>2329</v>
      </c>
      <c r="D807" s="711" t="s">
        <v>2330</v>
      </c>
      <c r="E807" s="440">
        <v>45161</v>
      </c>
      <c r="F807" s="739">
        <f t="shared" si="253"/>
        <v>29</v>
      </c>
      <c r="N807" s="273" t="s">
        <v>2116</v>
      </c>
      <c r="P807" s="947"/>
      <c r="Q807" s="668"/>
      <c r="T807" s="876">
        <v>7</v>
      </c>
      <c r="V807" s="340">
        <f t="shared" ca="1" si="251"/>
        <v>1</v>
      </c>
      <c r="W807" s="594">
        <f t="shared" ca="1" si="252"/>
        <v>1900</v>
      </c>
      <c r="X807" s="340" t="str">
        <f t="shared" ca="1" si="250"/>
        <v>1 WEEK</v>
      </c>
      <c r="Y807" s="794">
        <f t="shared" ref="Y807:Y870" si="254">P807+T807</f>
        <v>7</v>
      </c>
      <c r="Z807" s="541" cm="1">
        <f t="array" aca="1" ref="Z807" ca="1">_xlfn.IFS(AD807&lt;100,Y807,Y807&lt;TODAY(),TODAY(),Y807&gt;TODAY(),Y807,Y807=TODAY(),Y807)</f>
        <v>7</v>
      </c>
      <c r="AD807" s="298">
        <f t="shared" si="242"/>
        <v>0</v>
      </c>
      <c r="AE807" s="299" t="str">
        <f t="shared" si="243"/>
        <v>Complete</v>
      </c>
      <c r="AI807" s="301">
        <f t="shared" ca="1" si="240"/>
        <v>0</v>
      </c>
      <c r="AJ807" s="302">
        <f t="shared" ca="1" si="241"/>
        <v>0</v>
      </c>
      <c r="AL807" s="303">
        <f t="shared" si="244"/>
        <v>0</v>
      </c>
      <c r="AM807" s="303">
        <f t="shared" si="245"/>
        <v>0</v>
      </c>
      <c r="AN807" s="303">
        <f t="shared" si="246"/>
        <v>0</v>
      </c>
      <c r="AO807" s="304">
        <f t="shared" si="247"/>
        <v>0</v>
      </c>
      <c r="AP807" s="273">
        <f t="shared" si="249"/>
        <v>1</v>
      </c>
      <c r="AQ807" s="273" t="str">
        <f t="shared" ca="1" si="248"/>
        <v>11900</v>
      </c>
    </row>
    <row r="808" spans="1:43" ht="16.5">
      <c r="B808" s="711" t="s">
        <v>2328</v>
      </c>
      <c r="C808" s="273" t="s">
        <v>2329</v>
      </c>
      <c r="D808" s="711" t="s">
        <v>2330</v>
      </c>
      <c r="E808" s="440">
        <v>45161</v>
      </c>
      <c r="F808" s="739">
        <f t="shared" si="253"/>
        <v>29</v>
      </c>
      <c r="N808" s="273" t="s">
        <v>2116</v>
      </c>
      <c r="P808" s="947"/>
      <c r="Q808" s="668"/>
      <c r="T808" s="876">
        <v>7</v>
      </c>
      <c r="V808" s="340">
        <f t="shared" ca="1" si="251"/>
        <v>1</v>
      </c>
      <c r="W808" s="594">
        <f t="shared" ca="1" si="252"/>
        <v>1900</v>
      </c>
      <c r="X808" s="340" t="str">
        <f t="shared" ca="1" si="250"/>
        <v>1 WEEK</v>
      </c>
      <c r="Y808" s="794">
        <f t="shared" si="254"/>
        <v>7</v>
      </c>
      <c r="Z808" s="541" cm="1">
        <f t="array" aca="1" ref="Z808" ca="1">_xlfn.IFS(AD808&lt;100,Y808,Y808&lt;TODAY(),TODAY(),Y808&gt;TODAY(),Y808,Y808=TODAY(),Y808)</f>
        <v>7</v>
      </c>
      <c r="AD808" s="298">
        <f t="shared" si="242"/>
        <v>0</v>
      </c>
      <c r="AE808" s="299" t="str">
        <f t="shared" si="243"/>
        <v>Complete</v>
      </c>
      <c r="AI808" s="301">
        <f t="shared" ca="1" si="240"/>
        <v>0</v>
      </c>
      <c r="AJ808" s="302">
        <f t="shared" ca="1" si="241"/>
        <v>0</v>
      </c>
      <c r="AL808" s="303">
        <f t="shared" si="244"/>
        <v>0</v>
      </c>
      <c r="AM808" s="303">
        <f t="shared" si="245"/>
        <v>0</v>
      </c>
      <c r="AN808" s="303">
        <f t="shared" si="246"/>
        <v>0</v>
      </c>
      <c r="AO808" s="304">
        <f t="shared" si="247"/>
        <v>0</v>
      </c>
      <c r="AP808" s="273">
        <f t="shared" si="249"/>
        <v>1</v>
      </c>
      <c r="AQ808" s="273" t="str">
        <f t="shared" ca="1" si="248"/>
        <v>11900</v>
      </c>
    </row>
    <row r="809" spans="1:43">
      <c r="P809" s="447">
        <v>0</v>
      </c>
      <c r="V809" s="340">
        <f t="shared" ca="1" si="251"/>
        <v>1</v>
      </c>
      <c r="W809" s="594">
        <f t="shared" ca="1" si="252"/>
        <v>1900</v>
      </c>
      <c r="X809" s="340" t="str">
        <f t="shared" ca="1" si="250"/>
        <v>0 WEEK</v>
      </c>
      <c r="Y809" s="794">
        <f t="shared" si="254"/>
        <v>0</v>
      </c>
      <c r="Z809" s="541" cm="1">
        <f t="array" aca="1" ref="Z809" ca="1">_xlfn.IFS(AD809&lt;100,Y809,Y809&lt;TODAY(),TODAY(),Y809&gt;TODAY(),Y809,Y809=TODAY(),Y809)</f>
        <v>0</v>
      </c>
      <c r="AD809" s="298">
        <f t="shared" si="242"/>
        <v>0</v>
      </c>
      <c r="AE809" s="299" t="str">
        <f t="shared" si="243"/>
        <v>Complete</v>
      </c>
      <c r="AI809" s="301">
        <f t="shared" ca="1" si="240"/>
        <v>0</v>
      </c>
      <c r="AJ809" s="302">
        <f t="shared" ca="1" si="241"/>
        <v>0</v>
      </c>
      <c r="AL809" s="303">
        <f t="shared" si="244"/>
        <v>0</v>
      </c>
      <c r="AM809" s="303">
        <f t="shared" si="245"/>
        <v>0</v>
      </c>
      <c r="AN809" s="303">
        <f t="shared" si="246"/>
        <v>0</v>
      </c>
      <c r="AO809" s="304">
        <f t="shared" si="247"/>
        <v>0</v>
      </c>
      <c r="AP809" s="273">
        <f t="shared" si="249"/>
        <v>1</v>
      </c>
      <c r="AQ809" s="273" t="str">
        <f t="shared" ca="1" si="248"/>
        <v>11900</v>
      </c>
    </row>
    <row r="810" spans="1:43" ht="18">
      <c r="A810" s="312">
        <v>41</v>
      </c>
      <c r="B810" s="273" t="s">
        <v>2379</v>
      </c>
      <c r="D810" s="273" t="s">
        <v>2380</v>
      </c>
      <c r="E810" s="440">
        <v>44817</v>
      </c>
      <c r="P810" s="447">
        <v>0</v>
      </c>
      <c r="R810" s="741"/>
      <c r="V810" s="340">
        <f t="shared" ca="1" si="251"/>
        <v>1</v>
      </c>
      <c r="W810" s="594">
        <f t="shared" ca="1" si="252"/>
        <v>1900</v>
      </c>
      <c r="X810" s="340" t="str">
        <f t="shared" ca="1" si="250"/>
        <v>0 WEEK</v>
      </c>
      <c r="Y810" s="447">
        <f t="shared" si="254"/>
        <v>0</v>
      </c>
      <c r="Z810" s="302" cm="1">
        <f t="array" aca="1" ref="Z810" ca="1">_xlfn.IFS(AD810&lt;100,Y810,Y810&lt;TODAY(),TODAY(),Y810&gt;TODAY(),Y810,Y810=TODAY(),Y810)</f>
        <v>0</v>
      </c>
      <c r="AD810" s="298">
        <f t="shared" si="242"/>
        <v>0</v>
      </c>
      <c r="AE810" s="299" t="str">
        <f t="shared" si="243"/>
        <v>Complete</v>
      </c>
      <c r="AI810" s="301">
        <f t="shared" ca="1" si="240"/>
        <v>0</v>
      </c>
      <c r="AJ810" s="302">
        <f t="shared" ca="1" si="241"/>
        <v>0</v>
      </c>
      <c r="AL810" s="303">
        <f t="shared" si="244"/>
        <v>0</v>
      </c>
      <c r="AM810" s="303">
        <f t="shared" si="245"/>
        <v>0</v>
      </c>
      <c r="AN810" s="303">
        <f t="shared" si="246"/>
        <v>0</v>
      </c>
      <c r="AO810" s="304">
        <f t="shared" si="247"/>
        <v>0</v>
      </c>
      <c r="AP810" s="273">
        <f t="shared" si="249"/>
        <v>1</v>
      </c>
      <c r="AQ810" s="273" t="str">
        <f t="shared" ca="1" si="248"/>
        <v>11900</v>
      </c>
    </row>
    <row r="811" spans="1:43">
      <c r="A811" s="312">
        <v>41</v>
      </c>
      <c r="B811" s="273" t="s">
        <v>2379</v>
      </c>
      <c r="D811" s="273" t="s">
        <v>2380</v>
      </c>
      <c r="E811" s="440">
        <v>44817</v>
      </c>
      <c r="G811" s="306">
        <v>88562968.579999998</v>
      </c>
      <c r="H811" s="307">
        <v>10627556.229599999</v>
      </c>
      <c r="I811" s="308">
        <v>99190525</v>
      </c>
      <c r="O811" s="594" t="s">
        <v>1629</v>
      </c>
      <c r="P811" s="447">
        <v>0</v>
      </c>
      <c r="Q811" s="273" t="s">
        <v>2381</v>
      </c>
      <c r="R811" s="314">
        <v>55546694</v>
      </c>
      <c r="T811" s="876">
        <v>15</v>
      </c>
      <c r="V811" s="340">
        <f t="shared" ca="1" si="251"/>
        <v>1</v>
      </c>
      <c r="W811" s="594">
        <f t="shared" ca="1" si="252"/>
        <v>1900</v>
      </c>
      <c r="X811" s="340" t="str">
        <f t="shared" ca="1" si="250"/>
        <v>3 WEEK</v>
      </c>
      <c r="Y811" s="794">
        <f t="shared" si="254"/>
        <v>15</v>
      </c>
      <c r="Z811" s="541" cm="1">
        <f t="array" aca="1" ref="Z811" ca="1">_xlfn.IFS(AD811&lt;100,Y811,Y811&lt;TODAY(),TODAY(),Y811&gt;TODAY(),Y811,Y811=TODAY(),Y811)</f>
        <v>15</v>
      </c>
      <c r="AB811" s="307">
        <v>166399213.83000001</v>
      </c>
      <c r="AD811" s="298">
        <f t="shared" si="242"/>
        <v>-166399214</v>
      </c>
      <c r="AE811" s="299" t="str">
        <f t="shared" si="243"/>
        <v>Complete</v>
      </c>
      <c r="AI811" s="301">
        <f t="shared" ca="1" si="240"/>
        <v>0</v>
      </c>
      <c r="AJ811" s="302">
        <f t="shared" ca="1" si="241"/>
        <v>0</v>
      </c>
      <c r="AL811" s="303">
        <f t="shared" si="244"/>
        <v>99190525</v>
      </c>
      <c r="AM811" s="303">
        <f t="shared" si="245"/>
        <v>43643831</v>
      </c>
      <c r="AN811" s="303">
        <f t="shared" si="246"/>
        <v>55546694</v>
      </c>
      <c r="AO811" s="304">
        <f t="shared" si="247"/>
        <v>0</v>
      </c>
      <c r="AP811" s="273">
        <f t="shared" si="249"/>
        <v>1</v>
      </c>
      <c r="AQ811" s="273" t="str">
        <f t="shared" ca="1" si="248"/>
        <v>11900</v>
      </c>
    </row>
    <row r="812" spans="1:43" ht="16.5">
      <c r="A812" s="312">
        <v>41</v>
      </c>
      <c r="B812" s="273" t="s">
        <v>2379</v>
      </c>
      <c r="D812" s="273" t="s">
        <v>2380</v>
      </c>
      <c r="E812" s="440">
        <v>44817</v>
      </c>
      <c r="O812" s="593" t="s">
        <v>1629</v>
      </c>
      <c r="P812" s="447">
        <v>0</v>
      </c>
      <c r="Q812" s="273" t="s">
        <v>2382</v>
      </c>
      <c r="R812" s="314">
        <v>43643831</v>
      </c>
      <c r="T812" s="876">
        <v>15</v>
      </c>
      <c r="V812" s="340">
        <f t="shared" ca="1" si="251"/>
        <v>1</v>
      </c>
      <c r="W812" s="594">
        <f t="shared" ca="1" si="252"/>
        <v>1900</v>
      </c>
      <c r="X812" s="340" t="str">
        <f t="shared" ca="1" si="250"/>
        <v>3 WEEK</v>
      </c>
      <c r="Y812" s="794">
        <f t="shared" si="254"/>
        <v>15</v>
      </c>
      <c r="Z812" s="541" cm="1">
        <f t="array" aca="1" ref="Z812" ca="1">_xlfn.IFS(AD812&lt;100,Y812,Y812&lt;TODAY(),TODAY(),Y812&gt;TODAY(),Y812,Y812=TODAY(),Y812)</f>
        <v>15</v>
      </c>
      <c r="AD812" s="298">
        <f t="shared" si="242"/>
        <v>0</v>
      </c>
      <c r="AE812" s="299" t="str">
        <f t="shared" si="243"/>
        <v>Complete</v>
      </c>
      <c r="AI812" s="301">
        <f t="shared" ca="1" si="240"/>
        <v>0</v>
      </c>
      <c r="AJ812" s="302">
        <f t="shared" ca="1" si="241"/>
        <v>0</v>
      </c>
      <c r="AL812" s="303">
        <f t="shared" si="244"/>
        <v>0</v>
      </c>
      <c r="AM812" s="303">
        <f t="shared" si="245"/>
        <v>-43643831</v>
      </c>
      <c r="AN812" s="303">
        <f t="shared" si="246"/>
        <v>43643831</v>
      </c>
      <c r="AO812" s="304">
        <f t="shared" si="247"/>
        <v>0</v>
      </c>
      <c r="AP812" s="273">
        <f t="shared" si="249"/>
        <v>1</v>
      </c>
      <c r="AQ812" s="273" t="str">
        <f t="shared" ca="1" si="248"/>
        <v>11900</v>
      </c>
    </row>
    <row r="813" spans="1:43">
      <c r="A813" s="312">
        <v>41</v>
      </c>
      <c r="B813" s="273" t="s">
        <v>2379</v>
      </c>
      <c r="D813" s="273" t="s">
        <v>2380</v>
      </c>
      <c r="E813" s="440">
        <v>44817</v>
      </c>
      <c r="G813" s="306">
        <v>6406464.1500000004</v>
      </c>
      <c r="H813" s="307">
        <v>768775.69799999997</v>
      </c>
      <c r="I813" s="308">
        <v>7175240</v>
      </c>
      <c r="O813" s="948" t="s">
        <v>1598</v>
      </c>
      <c r="P813" s="447">
        <v>0</v>
      </c>
      <c r="Q813" s="273" t="s">
        <v>2383</v>
      </c>
      <c r="R813" s="314">
        <v>7175240</v>
      </c>
      <c r="T813" s="876">
        <v>15</v>
      </c>
      <c r="V813" s="340">
        <f t="shared" ca="1" si="251"/>
        <v>1</v>
      </c>
      <c r="W813" s="594">
        <f t="shared" ca="1" si="252"/>
        <v>1900</v>
      </c>
      <c r="X813" s="340" t="str">
        <f t="shared" ca="1" si="250"/>
        <v>3 WEEK</v>
      </c>
      <c r="Y813" s="794">
        <f t="shared" si="254"/>
        <v>15</v>
      </c>
      <c r="Z813" s="541" cm="1">
        <f t="array" aca="1" ref="Z813" ca="1">_xlfn.IFS(AD813&lt;100,Y813,Y813&lt;TODAY(),TODAY(),Y813&gt;TODAY(),Y813,Y813=TODAY(),Y813)</f>
        <v>15</v>
      </c>
      <c r="AD813" s="298">
        <f t="shared" si="242"/>
        <v>0</v>
      </c>
      <c r="AE813" s="299" t="str">
        <f t="shared" si="243"/>
        <v>Complete</v>
      </c>
      <c r="AI813" s="301">
        <f t="shared" ca="1" si="240"/>
        <v>0</v>
      </c>
      <c r="AJ813" s="302">
        <f t="shared" ca="1" si="241"/>
        <v>0</v>
      </c>
      <c r="AL813" s="303">
        <f t="shared" si="244"/>
        <v>7175240</v>
      </c>
      <c r="AM813" s="303">
        <f t="shared" si="245"/>
        <v>0</v>
      </c>
      <c r="AN813" s="303">
        <f t="shared" si="246"/>
        <v>7175240</v>
      </c>
      <c r="AO813" s="304">
        <f t="shared" si="247"/>
        <v>0</v>
      </c>
      <c r="AP813" s="273">
        <f t="shared" si="249"/>
        <v>1</v>
      </c>
      <c r="AQ813" s="273" t="str">
        <f t="shared" ca="1" si="248"/>
        <v>11900</v>
      </c>
    </row>
    <row r="814" spans="1:43" ht="16.5">
      <c r="A814" s="312">
        <v>41</v>
      </c>
      <c r="B814" s="273" t="s">
        <v>2379</v>
      </c>
      <c r="D814" s="273" t="s">
        <v>2380</v>
      </c>
      <c r="E814" s="440">
        <v>44817</v>
      </c>
      <c r="G814" s="306">
        <v>1409422.37</v>
      </c>
      <c r="H814" s="307">
        <v>253696.02660000001</v>
      </c>
      <c r="I814" s="308">
        <v>1663118</v>
      </c>
      <c r="O814" s="593" t="s">
        <v>1835</v>
      </c>
      <c r="P814" s="447">
        <v>0</v>
      </c>
      <c r="Q814" s="273" t="s">
        <v>2384</v>
      </c>
      <c r="R814" s="314">
        <v>1663118</v>
      </c>
      <c r="T814" s="876">
        <v>15</v>
      </c>
      <c r="V814" s="340">
        <f t="shared" ca="1" si="251"/>
        <v>1</v>
      </c>
      <c r="W814" s="594">
        <f t="shared" ca="1" si="252"/>
        <v>1900</v>
      </c>
      <c r="X814" s="340" t="str">
        <f t="shared" ca="1" si="250"/>
        <v>3 WEEK</v>
      </c>
      <c r="Y814" s="794">
        <f t="shared" si="254"/>
        <v>15</v>
      </c>
      <c r="Z814" s="541" cm="1">
        <f t="array" aca="1" ref="Z814" ca="1">_xlfn.IFS(AD814&lt;100,Y814,Y814&lt;TODAY(),TODAY(),Y814&gt;TODAY(),Y814,Y814=TODAY(),Y814)</f>
        <v>15</v>
      </c>
      <c r="AD814" s="298">
        <f t="shared" si="242"/>
        <v>0</v>
      </c>
      <c r="AE814" s="299" t="str">
        <f t="shared" si="243"/>
        <v>Complete</v>
      </c>
      <c r="AI814" s="301">
        <f t="shared" ca="1" si="240"/>
        <v>0</v>
      </c>
      <c r="AJ814" s="302">
        <f t="shared" ca="1" si="241"/>
        <v>0</v>
      </c>
      <c r="AL814" s="303">
        <f t="shared" si="244"/>
        <v>1663118</v>
      </c>
      <c r="AM814" s="303">
        <f t="shared" si="245"/>
        <v>0</v>
      </c>
      <c r="AN814" s="303">
        <f t="shared" si="246"/>
        <v>1663118</v>
      </c>
      <c r="AO814" s="304">
        <f t="shared" si="247"/>
        <v>0</v>
      </c>
      <c r="AP814" s="273">
        <f t="shared" si="249"/>
        <v>1</v>
      </c>
      <c r="AQ814" s="273" t="str">
        <f t="shared" ca="1" si="248"/>
        <v>11900</v>
      </c>
    </row>
    <row r="815" spans="1:43" ht="16.5">
      <c r="A815" s="312">
        <v>41</v>
      </c>
      <c r="B815" s="273" t="s">
        <v>2379</v>
      </c>
      <c r="D815" s="273" t="s">
        <v>2380</v>
      </c>
      <c r="E815" s="440">
        <v>44817</v>
      </c>
      <c r="G815" s="306">
        <v>1409422.37</v>
      </c>
      <c r="H815" s="307">
        <v>253696.02660000001</v>
      </c>
      <c r="I815" s="308">
        <v>1663118</v>
      </c>
      <c r="O815" s="593" t="s">
        <v>1834</v>
      </c>
      <c r="P815" s="447">
        <v>0</v>
      </c>
      <c r="Q815" s="273" t="s">
        <v>2384</v>
      </c>
      <c r="R815" s="314">
        <v>1663118</v>
      </c>
      <c r="T815" s="876">
        <v>15</v>
      </c>
      <c r="V815" s="340">
        <f t="shared" ca="1" si="251"/>
        <v>1</v>
      </c>
      <c r="W815" s="594">
        <f t="shared" ca="1" si="252"/>
        <v>1900</v>
      </c>
      <c r="X815" s="340" t="str">
        <f t="shared" ca="1" si="250"/>
        <v>3 WEEK</v>
      </c>
      <c r="Y815" s="794">
        <f t="shared" si="254"/>
        <v>15</v>
      </c>
      <c r="Z815" s="541" cm="1">
        <f t="array" aca="1" ref="Z815" ca="1">_xlfn.IFS(AD815&lt;100,Y815,Y815&lt;TODAY(),TODAY(),Y815&gt;TODAY(),Y815,Y815=TODAY(),Y815)</f>
        <v>15</v>
      </c>
      <c r="AD815" s="298">
        <f t="shared" si="242"/>
        <v>0</v>
      </c>
      <c r="AE815" s="299" t="str">
        <f t="shared" si="243"/>
        <v>Complete</v>
      </c>
      <c r="AI815" s="301">
        <f t="shared" ca="1" si="240"/>
        <v>0</v>
      </c>
      <c r="AJ815" s="302">
        <f t="shared" ca="1" si="241"/>
        <v>0</v>
      </c>
      <c r="AL815" s="303">
        <f t="shared" si="244"/>
        <v>1663118</v>
      </c>
      <c r="AM815" s="303">
        <f t="shared" si="245"/>
        <v>0</v>
      </c>
      <c r="AN815" s="303">
        <f t="shared" si="246"/>
        <v>1663118</v>
      </c>
      <c r="AO815" s="304">
        <f t="shared" si="247"/>
        <v>0</v>
      </c>
      <c r="AP815" s="273">
        <f t="shared" si="249"/>
        <v>1</v>
      </c>
      <c r="AQ815" s="273" t="str">
        <f t="shared" ca="1" si="248"/>
        <v>11900</v>
      </c>
    </row>
    <row r="816" spans="1:43" ht="16.5">
      <c r="A816" s="312">
        <v>41</v>
      </c>
      <c r="B816" s="273" t="s">
        <v>2379</v>
      </c>
      <c r="D816" s="273" t="s">
        <v>2380</v>
      </c>
      <c r="E816" s="440">
        <v>44817</v>
      </c>
      <c r="G816" s="306">
        <v>12812930.67</v>
      </c>
      <c r="H816" s="307">
        <v>2306327.5205999999</v>
      </c>
      <c r="I816" s="308">
        <v>15119258</v>
      </c>
      <c r="O816" s="593" t="s">
        <v>2385</v>
      </c>
      <c r="P816" s="447">
        <v>0</v>
      </c>
      <c r="Q816" s="273" t="s">
        <v>2384</v>
      </c>
      <c r="R816" s="314">
        <v>15119258</v>
      </c>
      <c r="T816" s="876">
        <v>15</v>
      </c>
      <c r="V816" s="340">
        <f t="shared" ca="1" si="251"/>
        <v>1</v>
      </c>
      <c r="W816" s="594">
        <f t="shared" ca="1" si="252"/>
        <v>1900</v>
      </c>
      <c r="X816" s="340" t="str">
        <f t="shared" ca="1" si="250"/>
        <v>3 WEEK</v>
      </c>
      <c r="Y816" s="794">
        <f t="shared" si="254"/>
        <v>15</v>
      </c>
      <c r="Z816" s="541" cm="1">
        <f t="array" aca="1" ref="Z816" ca="1">_xlfn.IFS(AD816&lt;100,Y816,Y816&lt;TODAY(),TODAY(),Y816&gt;TODAY(),Y816,Y816=TODAY(),Y816)</f>
        <v>15</v>
      </c>
      <c r="AD816" s="298">
        <f t="shared" si="242"/>
        <v>0</v>
      </c>
      <c r="AE816" s="299" t="str">
        <f t="shared" si="243"/>
        <v>Complete</v>
      </c>
      <c r="AI816" s="301">
        <f t="shared" ca="1" si="240"/>
        <v>0</v>
      </c>
      <c r="AJ816" s="302">
        <f t="shared" ca="1" si="241"/>
        <v>0</v>
      </c>
      <c r="AL816" s="303">
        <f t="shared" si="244"/>
        <v>15119258</v>
      </c>
      <c r="AM816" s="303">
        <f t="shared" si="245"/>
        <v>0</v>
      </c>
      <c r="AN816" s="303">
        <f t="shared" si="246"/>
        <v>15119258</v>
      </c>
      <c r="AO816" s="304">
        <f t="shared" si="247"/>
        <v>0</v>
      </c>
      <c r="AP816" s="273">
        <f t="shared" si="249"/>
        <v>1</v>
      </c>
      <c r="AQ816" s="273" t="str">
        <f t="shared" ca="1" si="248"/>
        <v>11900</v>
      </c>
    </row>
    <row r="817" spans="1:43" ht="16.5">
      <c r="A817" s="312">
        <v>41</v>
      </c>
      <c r="B817" s="273" t="s">
        <v>2379</v>
      </c>
      <c r="D817" s="273" t="s">
        <v>2380</v>
      </c>
      <c r="E817" s="440">
        <v>44817</v>
      </c>
      <c r="G817" s="306">
        <v>1281293.07</v>
      </c>
      <c r="H817" s="307">
        <v>230632.75260000001</v>
      </c>
      <c r="I817" s="308">
        <v>1511926</v>
      </c>
      <c r="O817" s="593" t="s">
        <v>2386</v>
      </c>
      <c r="P817" s="447">
        <v>0</v>
      </c>
      <c r="Q817" s="273" t="s">
        <v>2384</v>
      </c>
      <c r="R817" s="314">
        <v>1511926</v>
      </c>
      <c r="T817" s="876">
        <v>15</v>
      </c>
      <c r="V817" s="340">
        <f t="shared" ca="1" si="251"/>
        <v>1</v>
      </c>
      <c r="W817" s="594">
        <f t="shared" ca="1" si="252"/>
        <v>1900</v>
      </c>
      <c r="X817" s="340" t="str">
        <f t="shared" ca="1" si="250"/>
        <v>3 WEEK</v>
      </c>
      <c r="Y817" s="794">
        <f t="shared" si="254"/>
        <v>15</v>
      </c>
      <c r="Z817" s="541" cm="1">
        <f t="array" aca="1" ref="Z817" ca="1">_xlfn.IFS(AD817&lt;100,Y817,Y817&lt;TODAY(),TODAY(),Y817&gt;TODAY(),Y817,Y817=TODAY(),Y817)</f>
        <v>15</v>
      </c>
      <c r="AD817" s="298">
        <f t="shared" si="242"/>
        <v>0</v>
      </c>
      <c r="AE817" s="299" t="str">
        <f t="shared" si="243"/>
        <v>Complete</v>
      </c>
      <c r="AI817" s="301">
        <f t="shared" ca="1" si="240"/>
        <v>0</v>
      </c>
      <c r="AJ817" s="302">
        <f t="shared" ca="1" si="241"/>
        <v>0</v>
      </c>
      <c r="AL817" s="303">
        <f t="shared" si="244"/>
        <v>1511926</v>
      </c>
      <c r="AM817" s="303">
        <f t="shared" si="245"/>
        <v>0</v>
      </c>
      <c r="AN817" s="303">
        <f t="shared" si="246"/>
        <v>1511926</v>
      </c>
      <c r="AO817" s="304">
        <f t="shared" si="247"/>
        <v>0</v>
      </c>
      <c r="AP817" s="273">
        <f t="shared" si="249"/>
        <v>1</v>
      </c>
      <c r="AQ817" s="273" t="str">
        <f t="shared" ca="1" si="248"/>
        <v>11900</v>
      </c>
    </row>
    <row r="818" spans="1:43" ht="16.5">
      <c r="A818" s="312">
        <v>41</v>
      </c>
      <c r="B818" s="273" t="s">
        <v>2379</v>
      </c>
      <c r="D818" s="273" t="s">
        <v>2380</v>
      </c>
      <c r="E818" s="440">
        <v>44817</v>
      </c>
      <c r="G818" s="306">
        <v>4612655.33</v>
      </c>
      <c r="H818" s="307">
        <v>830277.95939999993</v>
      </c>
      <c r="I818" s="308">
        <v>5442933</v>
      </c>
      <c r="O818" s="593" t="s">
        <v>2387</v>
      </c>
      <c r="P818" s="447">
        <v>0</v>
      </c>
      <c r="Q818" s="273" t="s">
        <v>2388</v>
      </c>
      <c r="R818" s="314">
        <v>5442933</v>
      </c>
      <c r="T818" s="876">
        <v>15</v>
      </c>
      <c r="V818" s="340">
        <f t="shared" ca="1" si="251"/>
        <v>1</v>
      </c>
      <c r="W818" s="594">
        <f t="shared" ca="1" si="252"/>
        <v>1900</v>
      </c>
      <c r="X818" s="340" t="str">
        <f t="shared" ca="1" si="250"/>
        <v>3 WEEK</v>
      </c>
      <c r="Y818" s="794">
        <f t="shared" si="254"/>
        <v>15</v>
      </c>
      <c r="Z818" s="541" cm="1">
        <f t="array" aca="1" ref="Z818" ca="1">_xlfn.IFS(AD818&lt;100,Y818,Y818&lt;TODAY(),TODAY(),Y818&gt;TODAY(),Y818,Y818=TODAY(),Y818)</f>
        <v>15</v>
      </c>
      <c r="AD818" s="298">
        <f t="shared" si="242"/>
        <v>0</v>
      </c>
      <c r="AE818" s="299" t="str">
        <f t="shared" si="243"/>
        <v>Complete</v>
      </c>
      <c r="AI818" s="301">
        <f t="shared" ca="1" si="240"/>
        <v>0</v>
      </c>
      <c r="AJ818" s="302">
        <f t="shared" ca="1" si="241"/>
        <v>0</v>
      </c>
      <c r="AL818" s="303">
        <f t="shared" si="244"/>
        <v>5442933</v>
      </c>
      <c r="AM818" s="303">
        <f t="shared" si="245"/>
        <v>0</v>
      </c>
      <c r="AN818" s="303">
        <f t="shared" si="246"/>
        <v>5442933</v>
      </c>
      <c r="AO818" s="304">
        <f t="shared" si="247"/>
        <v>0</v>
      </c>
      <c r="AP818" s="273">
        <f t="shared" si="249"/>
        <v>1</v>
      </c>
      <c r="AQ818" s="273" t="str">
        <f t="shared" ca="1" si="248"/>
        <v>11900</v>
      </c>
    </row>
    <row r="819" spans="1:43" ht="16.5">
      <c r="A819" s="312">
        <v>41</v>
      </c>
      <c r="B819" s="273" t="s">
        <v>2379</v>
      </c>
      <c r="D819" s="273" t="s">
        <v>2380</v>
      </c>
      <c r="E819" s="440">
        <v>44817</v>
      </c>
      <c r="G819" s="306">
        <v>1409422.37</v>
      </c>
      <c r="H819" s="307">
        <v>253696.02660000001</v>
      </c>
      <c r="I819" s="308">
        <v>1663118</v>
      </c>
      <c r="O819" s="593" t="s">
        <v>2389</v>
      </c>
      <c r="P819" s="447">
        <v>0</v>
      </c>
      <c r="Q819" s="273" t="s">
        <v>2388</v>
      </c>
      <c r="R819" s="314">
        <v>1663118</v>
      </c>
      <c r="T819" s="876">
        <v>15</v>
      </c>
      <c r="V819" s="340">
        <f t="shared" ca="1" si="251"/>
        <v>1</v>
      </c>
      <c r="W819" s="594">
        <f t="shared" ca="1" si="252"/>
        <v>1900</v>
      </c>
      <c r="X819" s="340" t="str">
        <f t="shared" ca="1" si="250"/>
        <v>3 WEEK</v>
      </c>
      <c r="Y819" s="794">
        <f t="shared" si="254"/>
        <v>15</v>
      </c>
      <c r="Z819" s="541" cm="1">
        <f t="array" aca="1" ref="Z819" ca="1">_xlfn.IFS(AD819&lt;100,Y819,Y819&lt;TODAY(),TODAY(),Y819&gt;TODAY(),Y819,Y819=TODAY(),Y819)</f>
        <v>15</v>
      </c>
      <c r="AD819" s="298">
        <f t="shared" si="242"/>
        <v>0</v>
      </c>
      <c r="AE819" s="299" t="str">
        <f t="shared" si="243"/>
        <v>Complete</v>
      </c>
      <c r="AI819" s="301">
        <f t="shared" ca="1" si="240"/>
        <v>0</v>
      </c>
      <c r="AJ819" s="302">
        <f t="shared" ca="1" si="241"/>
        <v>0</v>
      </c>
      <c r="AL819" s="303">
        <f t="shared" si="244"/>
        <v>1663118</v>
      </c>
      <c r="AM819" s="303">
        <f t="shared" si="245"/>
        <v>0</v>
      </c>
      <c r="AN819" s="303">
        <f t="shared" si="246"/>
        <v>1663118</v>
      </c>
      <c r="AO819" s="304">
        <f t="shared" si="247"/>
        <v>0</v>
      </c>
      <c r="AP819" s="273">
        <f t="shared" si="249"/>
        <v>1</v>
      </c>
      <c r="AQ819" s="273" t="str">
        <f t="shared" ca="1" si="248"/>
        <v>11900</v>
      </c>
    </row>
    <row r="820" spans="1:43" ht="16.5">
      <c r="A820" s="312">
        <v>41</v>
      </c>
      <c r="B820" s="273" t="s">
        <v>2379</v>
      </c>
      <c r="D820" s="273" t="s">
        <v>2380</v>
      </c>
      <c r="E820" s="440">
        <v>44817</v>
      </c>
      <c r="G820" s="306">
        <v>1523220.18</v>
      </c>
      <c r="H820" s="307">
        <v>274179.6324</v>
      </c>
      <c r="I820" s="308">
        <v>1797400</v>
      </c>
      <c r="O820" s="593" t="s">
        <v>2390</v>
      </c>
      <c r="P820" s="447">
        <v>0</v>
      </c>
      <c r="Q820" s="273" t="s">
        <v>2384</v>
      </c>
      <c r="R820" s="314">
        <v>1797400</v>
      </c>
      <c r="T820" s="876">
        <v>15</v>
      </c>
      <c r="V820" s="340">
        <f t="shared" ca="1" si="251"/>
        <v>1</v>
      </c>
      <c r="W820" s="594">
        <f t="shared" ca="1" si="252"/>
        <v>1900</v>
      </c>
      <c r="X820" s="340" t="str">
        <f t="shared" ca="1" si="250"/>
        <v>3 WEEK</v>
      </c>
      <c r="Y820" s="794">
        <f t="shared" si="254"/>
        <v>15</v>
      </c>
      <c r="Z820" s="541" cm="1">
        <f t="array" aca="1" ref="Z820" ca="1">_xlfn.IFS(AD820&lt;100,Y820,Y820&lt;TODAY(),TODAY(),Y820&gt;TODAY(),Y820,Y820=TODAY(),Y820)</f>
        <v>15</v>
      </c>
      <c r="AD820" s="298">
        <f t="shared" si="242"/>
        <v>0</v>
      </c>
      <c r="AE820" s="299" t="str">
        <f t="shared" si="243"/>
        <v>Complete</v>
      </c>
      <c r="AI820" s="301">
        <f t="shared" ca="1" si="240"/>
        <v>0</v>
      </c>
      <c r="AJ820" s="302">
        <f t="shared" ca="1" si="241"/>
        <v>0</v>
      </c>
      <c r="AL820" s="303">
        <f t="shared" si="244"/>
        <v>1797400</v>
      </c>
      <c r="AM820" s="303">
        <f t="shared" si="245"/>
        <v>0</v>
      </c>
      <c r="AN820" s="303">
        <f t="shared" si="246"/>
        <v>1797400</v>
      </c>
      <c r="AO820" s="304">
        <f t="shared" si="247"/>
        <v>0</v>
      </c>
      <c r="AP820" s="273">
        <f t="shared" si="249"/>
        <v>1</v>
      </c>
      <c r="AQ820" s="273" t="str">
        <f t="shared" ca="1" si="248"/>
        <v>11900</v>
      </c>
    </row>
    <row r="821" spans="1:43" ht="16.5">
      <c r="A821" s="312">
        <v>41</v>
      </c>
      <c r="B821" s="273" t="s">
        <v>2379</v>
      </c>
      <c r="D821" s="273" t="s">
        <v>2380</v>
      </c>
      <c r="E821" s="440">
        <v>44817</v>
      </c>
      <c r="G821" s="306">
        <v>913932.16</v>
      </c>
      <c r="H821" s="307">
        <v>164507.78880000001</v>
      </c>
      <c r="I821" s="308">
        <v>1078440</v>
      </c>
      <c r="O821" s="593" t="s">
        <v>2391</v>
      </c>
      <c r="P821" s="447">
        <v>0</v>
      </c>
      <c r="Q821" s="273" t="s">
        <v>2392</v>
      </c>
      <c r="R821" s="314">
        <v>1078440</v>
      </c>
      <c r="T821" s="876">
        <v>15</v>
      </c>
      <c r="V821" s="340">
        <f t="shared" ca="1" si="251"/>
        <v>1</v>
      </c>
      <c r="W821" s="594">
        <f t="shared" ca="1" si="252"/>
        <v>1900</v>
      </c>
      <c r="X821" s="340" t="str">
        <f t="shared" ca="1" si="250"/>
        <v>3 WEEK</v>
      </c>
      <c r="Y821" s="794">
        <f t="shared" si="254"/>
        <v>15</v>
      </c>
      <c r="Z821" s="541" cm="1">
        <f t="array" aca="1" ref="Z821" ca="1">_xlfn.IFS(AD821&lt;100,Y821,Y821&lt;TODAY(),TODAY(),Y821&gt;TODAY(),Y821,Y821=TODAY(),Y821)</f>
        <v>15</v>
      </c>
      <c r="AD821" s="298">
        <f t="shared" si="242"/>
        <v>0</v>
      </c>
      <c r="AE821" s="299" t="str">
        <f t="shared" si="243"/>
        <v>Complete</v>
      </c>
      <c r="AI821" s="301">
        <f t="shared" ca="1" si="240"/>
        <v>0</v>
      </c>
      <c r="AJ821" s="302">
        <f t="shared" ca="1" si="241"/>
        <v>0</v>
      </c>
      <c r="AL821" s="303">
        <f t="shared" si="244"/>
        <v>1078440</v>
      </c>
      <c r="AM821" s="303">
        <f t="shared" si="245"/>
        <v>0</v>
      </c>
      <c r="AN821" s="303">
        <f t="shared" si="246"/>
        <v>1078440</v>
      </c>
      <c r="AO821" s="304">
        <f t="shared" si="247"/>
        <v>0</v>
      </c>
      <c r="AP821" s="273">
        <f t="shared" si="249"/>
        <v>1</v>
      </c>
      <c r="AQ821" s="273" t="str">
        <f t="shared" ca="1" si="248"/>
        <v>11900</v>
      </c>
    </row>
    <row r="822" spans="1:43" ht="16.5">
      <c r="A822" s="312">
        <v>41</v>
      </c>
      <c r="B822" s="273" t="s">
        <v>2379</v>
      </c>
      <c r="D822" s="273" t="s">
        <v>2380</v>
      </c>
      <c r="E822" s="440">
        <v>44817</v>
      </c>
      <c r="G822" s="306">
        <v>256258.71</v>
      </c>
      <c r="H822" s="307">
        <v>46126.567799999997</v>
      </c>
      <c r="I822" s="308">
        <v>302385</v>
      </c>
      <c r="O822" s="593" t="s">
        <v>2393</v>
      </c>
      <c r="P822" s="447">
        <v>0</v>
      </c>
      <c r="Q822" s="273" t="s">
        <v>2384</v>
      </c>
      <c r="R822" s="314">
        <v>302385</v>
      </c>
      <c r="T822" s="876">
        <v>15</v>
      </c>
      <c r="V822" s="340">
        <f t="shared" ca="1" si="251"/>
        <v>1</v>
      </c>
      <c r="W822" s="594">
        <f t="shared" ca="1" si="252"/>
        <v>1900</v>
      </c>
      <c r="X822" s="340" t="str">
        <f t="shared" ca="1" si="250"/>
        <v>3 WEEK</v>
      </c>
      <c r="Y822" s="794">
        <f t="shared" si="254"/>
        <v>15</v>
      </c>
      <c r="Z822" s="541" cm="1">
        <f t="array" aca="1" ref="Z822" ca="1">_xlfn.IFS(AD822&lt;100,Y822,Y822&lt;TODAY(),TODAY(),Y822&gt;TODAY(),Y822,Y822=TODAY(),Y822)</f>
        <v>15</v>
      </c>
      <c r="AD822" s="298">
        <f t="shared" si="242"/>
        <v>0</v>
      </c>
      <c r="AE822" s="299" t="str">
        <f t="shared" si="243"/>
        <v>Complete</v>
      </c>
      <c r="AI822" s="301">
        <f t="shared" ca="1" si="240"/>
        <v>0</v>
      </c>
      <c r="AJ822" s="302">
        <f t="shared" ca="1" si="241"/>
        <v>0</v>
      </c>
      <c r="AL822" s="303">
        <f t="shared" si="244"/>
        <v>302385</v>
      </c>
      <c r="AM822" s="303">
        <f t="shared" si="245"/>
        <v>0</v>
      </c>
      <c r="AN822" s="303">
        <f t="shared" si="246"/>
        <v>302385</v>
      </c>
      <c r="AO822" s="304">
        <f t="shared" si="247"/>
        <v>0</v>
      </c>
      <c r="AP822" s="273">
        <f t="shared" si="249"/>
        <v>1</v>
      </c>
      <c r="AQ822" s="273" t="str">
        <f t="shared" ca="1" si="248"/>
        <v>11900</v>
      </c>
    </row>
    <row r="823" spans="1:43" ht="16.5">
      <c r="A823" s="312">
        <v>41</v>
      </c>
      <c r="B823" s="273" t="s">
        <v>2379</v>
      </c>
      <c r="D823" s="273" t="s">
        <v>2380</v>
      </c>
      <c r="E823" s="440">
        <v>44817</v>
      </c>
      <c r="G823" s="306">
        <v>512517.18</v>
      </c>
      <c r="H823" s="307">
        <v>92253.092399999994</v>
      </c>
      <c r="I823" s="308">
        <v>604770</v>
      </c>
      <c r="O823" s="593" t="s">
        <v>2394</v>
      </c>
      <c r="P823" s="447">
        <v>0</v>
      </c>
      <c r="Q823" s="273" t="s">
        <v>2388</v>
      </c>
      <c r="R823" s="314">
        <v>604770</v>
      </c>
      <c r="T823" s="876">
        <v>15</v>
      </c>
      <c r="V823" s="340">
        <f t="shared" ca="1" si="251"/>
        <v>1</v>
      </c>
      <c r="W823" s="594">
        <f t="shared" ca="1" si="252"/>
        <v>1900</v>
      </c>
      <c r="X823" s="340" t="str">
        <f t="shared" ca="1" si="250"/>
        <v>3 WEEK</v>
      </c>
      <c r="Y823" s="794">
        <f t="shared" si="254"/>
        <v>15</v>
      </c>
      <c r="Z823" s="541" cm="1">
        <f t="array" aca="1" ref="Z823" ca="1">_xlfn.IFS(AD823&lt;100,Y823,Y823&lt;TODAY(),TODAY(),Y823&gt;TODAY(),Y823,Y823=TODAY(),Y823)</f>
        <v>15</v>
      </c>
      <c r="AD823" s="298">
        <f t="shared" si="242"/>
        <v>0</v>
      </c>
      <c r="AE823" s="299" t="str">
        <f t="shared" si="243"/>
        <v>Complete</v>
      </c>
      <c r="AI823" s="301">
        <f t="shared" ca="1" si="240"/>
        <v>0</v>
      </c>
      <c r="AJ823" s="302">
        <f t="shared" ca="1" si="241"/>
        <v>0</v>
      </c>
      <c r="AL823" s="303">
        <f t="shared" si="244"/>
        <v>604770</v>
      </c>
      <c r="AM823" s="303">
        <f t="shared" si="245"/>
        <v>0</v>
      </c>
      <c r="AN823" s="303">
        <f t="shared" si="246"/>
        <v>604770</v>
      </c>
      <c r="AO823" s="304">
        <f t="shared" si="247"/>
        <v>0</v>
      </c>
      <c r="AP823" s="273">
        <f t="shared" si="249"/>
        <v>1</v>
      </c>
      <c r="AQ823" s="273" t="str">
        <f t="shared" ca="1" si="248"/>
        <v>11900</v>
      </c>
    </row>
    <row r="824" spans="1:43" ht="16.5">
      <c r="A824" s="312">
        <v>41</v>
      </c>
      <c r="B824" s="273" t="s">
        <v>2379</v>
      </c>
      <c r="D824" s="273" t="s">
        <v>2380</v>
      </c>
      <c r="E824" s="440">
        <v>44817</v>
      </c>
      <c r="G824" s="306">
        <v>640646.41</v>
      </c>
      <c r="H824" s="307">
        <v>115316.3538</v>
      </c>
      <c r="I824" s="308">
        <v>755963</v>
      </c>
      <c r="O824" s="593" t="s">
        <v>2395</v>
      </c>
      <c r="P824" s="447">
        <v>0</v>
      </c>
      <c r="Q824" s="273" t="s">
        <v>2384</v>
      </c>
      <c r="R824" s="314">
        <v>755963</v>
      </c>
      <c r="T824" s="876">
        <v>15</v>
      </c>
      <c r="V824" s="340">
        <f t="shared" ca="1" si="251"/>
        <v>1</v>
      </c>
      <c r="W824" s="594">
        <f t="shared" ca="1" si="252"/>
        <v>1900</v>
      </c>
      <c r="X824" s="340" t="str">
        <f t="shared" ca="1" si="250"/>
        <v>3 WEEK</v>
      </c>
      <c r="Y824" s="794">
        <f t="shared" si="254"/>
        <v>15</v>
      </c>
      <c r="Z824" s="541" cm="1">
        <f t="array" aca="1" ref="Z824" ca="1">_xlfn.IFS(AD824&lt;100,Y824,Y824&lt;TODAY(),TODAY(),Y824&gt;TODAY(),Y824,Y824=TODAY(),Y824)</f>
        <v>15</v>
      </c>
      <c r="AD824" s="298">
        <f t="shared" si="242"/>
        <v>0</v>
      </c>
      <c r="AE824" s="299" t="str">
        <f t="shared" si="243"/>
        <v>Complete</v>
      </c>
      <c r="AI824" s="301">
        <f t="shared" ca="1" si="240"/>
        <v>0</v>
      </c>
      <c r="AJ824" s="302">
        <f t="shared" ca="1" si="241"/>
        <v>0</v>
      </c>
      <c r="AL824" s="303">
        <f t="shared" si="244"/>
        <v>755963</v>
      </c>
      <c r="AM824" s="303">
        <f t="shared" si="245"/>
        <v>0</v>
      </c>
      <c r="AN824" s="303">
        <f t="shared" si="246"/>
        <v>755963</v>
      </c>
      <c r="AO824" s="304">
        <f t="shared" si="247"/>
        <v>0</v>
      </c>
      <c r="AP824" s="273">
        <f t="shared" si="249"/>
        <v>1</v>
      </c>
      <c r="AQ824" s="273" t="str">
        <f t="shared" ca="1" si="248"/>
        <v>11900</v>
      </c>
    </row>
    <row r="825" spans="1:43" ht="16.5">
      <c r="A825" s="312">
        <v>41</v>
      </c>
      <c r="B825" s="273" t="s">
        <v>2379</v>
      </c>
      <c r="D825" s="273" t="s">
        <v>2380</v>
      </c>
      <c r="E825" s="440">
        <v>44817</v>
      </c>
      <c r="G825" s="306">
        <v>675000</v>
      </c>
      <c r="H825" s="307">
        <v>121500</v>
      </c>
      <c r="I825" s="308">
        <v>796500</v>
      </c>
      <c r="O825" s="593" t="s">
        <v>2396</v>
      </c>
      <c r="P825" s="447">
        <v>0</v>
      </c>
      <c r="Q825" s="273" t="s">
        <v>2397</v>
      </c>
      <c r="R825" s="314">
        <v>796500</v>
      </c>
      <c r="T825" s="876">
        <v>15</v>
      </c>
      <c r="V825" s="340">
        <f t="shared" ca="1" si="251"/>
        <v>1</v>
      </c>
      <c r="W825" s="594">
        <f t="shared" ca="1" si="252"/>
        <v>1900</v>
      </c>
      <c r="X825" s="340" t="str">
        <f t="shared" ca="1" si="250"/>
        <v>3 WEEK</v>
      </c>
      <c r="Y825" s="794">
        <f t="shared" si="254"/>
        <v>15</v>
      </c>
      <c r="Z825" s="541" cm="1">
        <f t="array" aca="1" ref="Z825" ca="1">_xlfn.IFS(AD825&lt;100,Y825,Y825&lt;TODAY(),TODAY(),Y825&gt;TODAY(),Y825,Y825=TODAY(),Y825)</f>
        <v>15</v>
      </c>
      <c r="AD825" s="298">
        <f t="shared" si="242"/>
        <v>0</v>
      </c>
      <c r="AE825" s="299" t="str">
        <f t="shared" si="243"/>
        <v>Complete</v>
      </c>
      <c r="AI825" s="301">
        <f t="shared" ca="1" si="240"/>
        <v>0</v>
      </c>
      <c r="AJ825" s="302">
        <f t="shared" ca="1" si="241"/>
        <v>0</v>
      </c>
      <c r="AL825" s="303">
        <f t="shared" si="244"/>
        <v>796500</v>
      </c>
      <c r="AM825" s="303">
        <f t="shared" si="245"/>
        <v>0</v>
      </c>
      <c r="AN825" s="303">
        <f t="shared" si="246"/>
        <v>796500</v>
      </c>
      <c r="AO825" s="304">
        <f t="shared" si="247"/>
        <v>0</v>
      </c>
      <c r="AP825" s="273">
        <f t="shared" si="249"/>
        <v>1</v>
      </c>
      <c r="AQ825" s="273" t="str">
        <f t="shared" ca="1" si="248"/>
        <v>11900</v>
      </c>
    </row>
    <row r="826" spans="1:43" ht="16.5">
      <c r="A826" s="312">
        <v>41</v>
      </c>
      <c r="B826" s="273" t="s">
        <v>2379</v>
      </c>
      <c r="D826" s="273" t="s">
        <v>2380</v>
      </c>
      <c r="E826" s="440">
        <v>44817</v>
      </c>
      <c r="G826" s="306">
        <v>4725000</v>
      </c>
      <c r="H826" s="307">
        <v>850500</v>
      </c>
      <c r="I826" s="308">
        <v>5575500</v>
      </c>
      <c r="O826" s="593" t="s">
        <v>2283</v>
      </c>
      <c r="P826" s="447">
        <v>0</v>
      </c>
      <c r="Q826" s="273" t="s">
        <v>2392</v>
      </c>
      <c r="R826" s="314">
        <v>5575500</v>
      </c>
      <c r="T826" s="876">
        <v>15</v>
      </c>
      <c r="V826" s="340">
        <f t="shared" ca="1" si="251"/>
        <v>1</v>
      </c>
      <c r="W826" s="594">
        <f t="shared" ca="1" si="252"/>
        <v>1900</v>
      </c>
      <c r="X826" s="340" t="str">
        <f t="shared" ca="1" si="250"/>
        <v>3 WEEK</v>
      </c>
      <c r="Y826" s="794">
        <f t="shared" si="254"/>
        <v>15</v>
      </c>
      <c r="Z826" s="541" cm="1">
        <f t="array" aca="1" ref="Z826" ca="1">_xlfn.IFS(AD826&lt;100,Y826,Y826&lt;TODAY(),TODAY(),Y826&gt;TODAY(),Y826,Y826=TODAY(),Y826)</f>
        <v>15</v>
      </c>
      <c r="AD826" s="298">
        <f t="shared" si="242"/>
        <v>0</v>
      </c>
      <c r="AE826" s="299" t="str">
        <f t="shared" si="243"/>
        <v>Complete</v>
      </c>
      <c r="AI826" s="301">
        <f t="shared" ca="1" si="240"/>
        <v>0</v>
      </c>
      <c r="AJ826" s="302">
        <f t="shared" ca="1" si="241"/>
        <v>0</v>
      </c>
      <c r="AL826" s="303">
        <f t="shared" si="244"/>
        <v>5575500</v>
      </c>
      <c r="AM826" s="303">
        <f t="shared" si="245"/>
        <v>0</v>
      </c>
      <c r="AN826" s="303">
        <f t="shared" si="246"/>
        <v>5575500</v>
      </c>
      <c r="AO826" s="304">
        <f t="shared" si="247"/>
        <v>0</v>
      </c>
      <c r="AP826" s="273">
        <f t="shared" si="249"/>
        <v>1</v>
      </c>
      <c r="AQ826" s="273" t="str">
        <f t="shared" ca="1" si="248"/>
        <v>11900</v>
      </c>
    </row>
    <row r="827" spans="1:43" ht="16.5">
      <c r="A827" s="312">
        <v>41</v>
      </c>
      <c r="B827" s="273" t="s">
        <v>2379</v>
      </c>
      <c r="D827" s="273" t="s">
        <v>2380</v>
      </c>
      <c r="E827" s="440">
        <v>44817</v>
      </c>
      <c r="G827" s="306">
        <v>1835400</v>
      </c>
      <c r="H827" s="307">
        <v>291252</v>
      </c>
      <c r="I827" s="308">
        <v>2126652</v>
      </c>
      <c r="O827" s="593" t="s">
        <v>2398</v>
      </c>
      <c r="P827" s="447">
        <v>0</v>
      </c>
      <c r="Q827" s="273" t="s">
        <v>2399</v>
      </c>
      <c r="R827" s="314">
        <v>674000</v>
      </c>
      <c r="T827" s="876">
        <v>15</v>
      </c>
      <c r="V827" s="340">
        <f t="shared" ca="1" si="251"/>
        <v>1</v>
      </c>
      <c r="W827" s="594">
        <f t="shared" ca="1" si="252"/>
        <v>1900</v>
      </c>
      <c r="X827" s="340" t="str">
        <f t="shared" ca="1" si="250"/>
        <v>3 WEEK</v>
      </c>
      <c r="Y827" s="794">
        <f t="shared" si="254"/>
        <v>15</v>
      </c>
      <c r="Z827" s="541" cm="1">
        <f t="array" aca="1" ref="Z827" ca="1">_xlfn.IFS(AD827&lt;100,Y827,Y827&lt;TODAY(),TODAY(),Y827&gt;TODAY(),Y827,Y827=TODAY(),Y827)</f>
        <v>15</v>
      </c>
      <c r="AD827" s="298">
        <f t="shared" si="242"/>
        <v>0</v>
      </c>
      <c r="AE827" s="299" t="str">
        <f t="shared" si="243"/>
        <v>Complete</v>
      </c>
      <c r="AI827" s="301">
        <f t="shared" ca="1" si="240"/>
        <v>0</v>
      </c>
      <c r="AJ827" s="302">
        <f t="shared" ca="1" si="241"/>
        <v>0</v>
      </c>
      <c r="AL827" s="303">
        <f t="shared" si="244"/>
        <v>2126652</v>
      </c>
      <c r="AM827" s="303">
        <f t="shared" si="245"/>
        <v>1452652</v>
      </c>
      <c r="AN827" s="303">
        <f t="shared" si="246"/>
        <v>674000</v>
      </c>
      <c r="AO827" s="304">
        <f t="shared" si="247"/>
        <v>0</v>
      </c>
      <c r="AP827" s="273">
        <f t="shared" si="249"/>
        <v>1</v>
      </c>
      <c r="AQ827" s="273" t="str">
        <f t="shared" ca="1" si="248"/>
        <v>11900</v>
      </c>
    </row>
    <row r="828" spans="1:43" ht="16.5">
      <c r="A828" s="312">
        <v>41</v>
      </c>
      <c r="B828" s="273" t="s">
        <v>2379</v>
      </c>
      <c r="D828" s="273" t="s">
        <v>2380</v>
      </c>
      <c r="E828" s="440">
        <v>44817</v>
      </c>
      <c r="O828" s="949" t="s">
        <v>2398</v>
      </c>
      <c r="P828" s="447">
        <v>0</v>
      </c>
      <c r="Q828" s="273" t="s">
        <v>2400</v>
      </c>
      <c r="R828" s="314">
        <v>1452652</v>
      </c>
      <c r="T828" s="876">
        <v>15</v>
      </c>
      <c r="V828" s="340">
        <f t="shared" ca="1" si="251"/>
        <v>1</v>
      </c>
      <c r="W828" s="594">
        <f t="shared" ca="1" si="252"/>
        <v>1900</v>
      </c>
      <c r="X828" s="340" t="str">
        <f t="shared" ca="1" si="250"/>
        <v>3 WEEK</v>
      </c>
      <c r="Y828" s="794">
        <f t="shared" si="254"/>
        <v>15</v>
      </c>
      <c r="Z828" s="541" cm="1">
        <f t="array" aca="1" ref="Z828" ca="1">_xlfn.IFS(AD828&lt;100,Y828,Y828&lt;TODAY(),TODAY(),Y828&gt;TODAY(),Y828,Y828=TODAY(),Y828)</f>
        <v>15</v>
      </c>
      <c r="AD828" s="298">
        <f t="shared" si="242"/>
        <v>0</v>
      </c>
      <c r="AE828" s="299" t="str">
        <f t="shared" si="243"/>
        <v>Complete</v>
      </c>
      <c r="AI828" s="301">
        <f t="shared" ca="1" si="240"/>
        <v>0</v>
      </c>
      <c r="AJ828" s="302">
        <f t="shared" ca="1" si="241"/>
        <v>0</v>
      </c>
      <c r="AL828" s="303">
        <f t="shared" si="244"/>
        <v>0</v>
      </c>
      <c r="AM828" s="303">
        <f t="shared" si="245"/>
        <v>-1452652</v>
      </c>
      <c r="AN828" s="303">
        <f t="shared" si="246"/>
        <v>1452652</v>
      </c>
      <c r="AO828" s="304">
        <f t="shared" si="247"/>
        <v>0</v>
      </c>
      <c r="AP828" s="273">
        <f t="shared" si="249"/>
        <v>1</v>
      </c>
      <c r="AQ828" s="273" t="str">
        <f t="shared" ca="1" si="248"/>
        <v>11900</v>
      </c>
    </row>
    <row r="829" spans="1:43" ht="16.5">
      <c r="A829" s="312">
        <v>41</v>
      </c>
      <c r="B829" s="273" t="s">
        <v>2379</v>
      </c>
      <c r="D829" s="273" t="s">
        <v>2380</v>
      </c>
      <c r="E829" s="440">
        <v>44817</v>
      </c>
      <c r="G829" s="306">
        <v>1463636</v>
      </c>
      <c r="H829" s="307">
        <v>263454.48</v>
      </c>
      <c r="I829" s="308">
        <v>1727090</v>
      </c>
      <c r="N829" s="273" t="s">
        <v>2116</v>
      </c>
      <c r="O829" s="593" t="s">
        <v>2401</v>
      </c>
      <c r="P829" s="794">
        <v>45163</v>
      </c>
      <c r="Q829" s="273" t="s">
        <v>2402</v>
      </c>
      <c r="R829" s="314">
        <v>215886</v>
      </c>
      <c r="T829" s="876">
        <v>15</v>
      </c>
      <c r="V829" s="340">
        <f t="shared" ca="1" si="251"/>
        <v>9</v>
      </c>
      <c r="W829" s="594">
        <f t="shared" ca="1" si="252"/>
        <v>2023</v>
      </c>
      <c r="X829" s="340" t="str">
        <f t="shared" ca="1" si="250"/>
        <v>2 WEEK</v>
      </c>
      <c r="Y829" s="794">
        <f t="shared" si="254"/>
        <v>45178</v>
      </c>
      <c r="Z829" s="541" cm="1">
        <f t="array" aca="1" ref="Z829" ca="1">_xlfn.IFS(AD829&lt;100,Y829,Y829&lt;TODAY(),TODAY(),Y829&gt;TODAY(),Y829,Y829=TODAY(),Y829)</f>
        <v>45178</v>
      </c>
      <c r="AA829" s="910">
        <f>R829</f>
        <v>215886</v>
      </c>
      <c r="AB829" s="307">
        <v>215886.31</v>
      </c>
      <c r="AD829" s="298">
        <f t="shared" si="242"/>
        <v>0</v>
      </c>
      <c r="AE829" s="299" t="str">
        <f t="shared" si="243"/>
        <v>Complete</v>
      </c>
      <c r="AI829" s="301">
        <f t="shared" ca="1" si="240"/>
        <v>0</v>
      </c>
      <c r="AJ829" s="302">
        <f t="shared" ca="1" si="241"/>
        <v>0</v>
      </c>
      <c r="AL829" s="303">
        <f t="shared" si="244"/>
        <v>1727090</v>
      </c>
      <c r="AM829" s="303">
        <f t="shared" si="245"/>
        <v>1511204</v>
      </c>
      <c r="AN829" s="303">
        <f t="shared" si="246"/>
        <v>215886</v>
      </c>
      <c r="AO829" s="304">
        <f t="shared" si="247"/>
        <v>0</v>
      </c>
      <c r="AP829" s="273">
        <f t="shared" si="249"/>
        <v>8</v>
      </c>
      <c r="AQ829" s="273" t="str">
        <f t="shared" ca="1" si="248"/>
        <v>82023</v>
      </c>
    </row>
    <row r="830" spans="1:43">
      <c r="A830" s="312">
        <v>41</v>
      </c>
      <c r="B830" s="273" t="s">
        <v>2379</v>
      </c>
      <c r="D830" s="273" t="s">
        <v>2380</v>
      </c>
      <c r="E830" s="440">
        <v>44817</v>
      </c>
      <c r="N830" s="273" t="s">
        <v>2116</v>
      </c>
      <c r="O830" s="594" t="s">
        <v>2401</v>
      </c>
      <c r="P830" s="794">
        <v>45269</v>
      </c>
      <c r="Q830" s="273" t="s">
        <v>2403</v>
      </c>
      <c r="R830" s="314">
        <v>215886</v>
      </c>
      <c r="T830" s="876">
        <v>15</v>
      </c>
      <c r="V830" s="340">
        <f t="shared" ca="1" si="251"/>
        <v>12</v>
      </c>
      <c r="W830" s="594">
        <f t="shared" ca="1" si="252"/>
        <v>2023</v>
      </c>
      <c r="X830" s="340" t="str">
        <f t="shared" ca="1" si="250"/>
        <v>4 WEEK</v>
      </c>
      <c r="Y830" s="794">
        <f t="shared" si="254"/>
        <v>45284</v>
      </c>
      <c r="Z830" s="541" cm="1">
        <f t="array" aca="1" ref="Z830" ca="1">_xlfn.IFS(AD830&lt;100,Y830,Y830&lt;TODAY(),TODAY(),Y830&gt;TODAY(),Y830,Y830=TODAY(),Y830)</f>
        <v>45284</v>
      </c>
      <c r="AA830" s="910">
        <f t="shared" ref="AA830:AA835" si="255">R830</f>
        <v>215886</v>
      </c>
      <c r="AB830" s="307">
        <v>215886.31</v>
      </c>
      <c r="AD830" s="298">
        <f t="shared" si="242"/>
        <v>0</v>
      </c>
      <c r="AE830" s="299" t="str">
        <f t="shared" si="243"/>
        <v>Complete</v>
      </c>
      <c r="AI830" s="301">
        <f t="shared" ca="1" si="240"/>
        <v>0</v>
      </c>
      <c r="AJ830" s="302">
        <f t="shared" ca="1" si="241"/>
        <v>0</v>
      </c>
      <c r="AL830" s="303">
        <f t="shared" si="244"/>
        <v>0</v>
      </c>
      <c r="AM830" s="303">
        <f t="shared" si="245"/>
        <v>-215886</v>
      </c>
      <c r="AN830" s="303">
        <f t="shared" si="246"/>
        <v>215886</v>
      </c>
      <c r="AO830" s="304">
        <f t="shared" si="247"/>
        <v>0</v>
      </c>
      <c r="AP830" s="273">
        <f t="shared" si="249"/>
        <v>12</v>
      </c>
      <c r="AQ830" s="273" t="str">
        <f t="shared" ca="1" si="248"/>
        <v>122023</v>
      </c>
    </row>
    <row r="831" spans="1:43">
      <c r="A831" s="312">
        <v>41</v>
      </c>
      <c r="B831" s="273" t="s">
        <v>2379</v>
      </c>
      <c r="D831" s="273" t="s">
        <v>2380</v>
      </c>
      <c r="E831" s="440">
        <v>44817</v>
      </c>
      <c r="N831" s="273" t="s">
        <v>2116</v>
      </c>
      <c r="O831" s="594" t="s">
        <v>2401</v>
      </c>
      <c r="P831" s="794">
        <v>45304</v>
      </c>
      <c r="Q831" s="273" t="s">
        <v>2404</v>
      </c>
      <c r="R831" s="314">
        <v>215886</v>
      </c>
      <c r="T831" s="876">
        <v>15</v>
      </c>
      <c r="V831" s="340">
        <f t="shared" ca="1" si="251"/>
        <v>1</v>
      </c>
      <c r="W831" s="594">
        <f t="shared" ca="1" si="252"/>
        <v>2024</v>
      </c>
      <c r="X831" s="340" t="str">
        <f t="shared" ca="1" si="250"/>
        <v>4 WEEK</v>
      </c>
      <c r="Y831" s="794">
        <f t="shared" si="254"/>
        <v>45319</v>
      </c>
      <c r="Z831" s="541" cm="1">
        <f t="array" aca="1" ref="Z831" ca="1">_xlfn.IFS(AD831&lt;100,Y831,Y831&lt;TODAY(),TODAY(),Y831&gt;TODAY(),Y831,Y831=TODAY(),Y831)</f>
        <v>45319</v>
      </c>
      <c r="AA831" s="910">
        <f t="shared" si="255"/>
        <v>215886</v>
      </c>
      <c r="AB831" s="307">
        <v>215886.31</v>
      </c>
      <c r="AD831" s="298">
        <f t="shared" si="242"/>
        <v>0</v>
      </c>
      <c r="AE831" s="299" t="str">
        <f t="shared" si="243"/>
        <v>Complete</v>
      </c>
      <c r="AI831" s="301">
        <f t="shared" ca="1" si="240"/>
        <v>0</v>
      </c>
      <c r="AJ831" s="302">
        <f t="shared" ca="1" si="241"/>
        <v>0</v>
      </c>
      <c r="AL831" s="303">
        <f t="shared" si="244"/>
        <v>0</v>
      </c>
      <c r="AM831" s="303">
        <f t="shared" si="245"/>
        <v>-215886</v>
      </c>
      <c r="AN831" s="303">
        <f t="shared" si="246"/>
        <v>215886</v>
      </c>
      <c r="AO831" s="304">
        <f t="shared" si="247"/>
        <v>0</v>
      </c>
      <c r="AP831" s="273">
        <f t="shared" si="249"/>
        <v>1</v>
      </c>
      <c r="AQ831" s="273" t="str">
        <f t="shared" ca="1" si="248"/>
        <v>12024</v>
      </c>
    </row>
    <row r="832" spans="1:43">
      <c r="A832" s="312">
        <v>41</v>
      </c>
      <c r="B832" s="273" t="s">
        <v>2379</v>
      </c>
      <c r="D832" s="273" t="s">
        <v>2380</v>
      </c>
      <c r="E832" s="440">
        <v>44817</v>
      </c>
      <c r="N832" s="273" t="s">
        <v>2116</v>
      </c>
      <c r="O832" s="594" t="s">
        <v>2401</v>
      </c>
      <c r="P832" s="794">
        <v>45382</v>
      </c>
      <c r="Q832" s="273" t="s">
        <v>2405</v>
      </c>
      <c r="R832" s="314">
        <v>215886</v>
      </c>
      <c r="T832" s="876">
        <v>15</v>
      </c>
      <c r="V832" s="340">
        <f t="shared" ca="1" si="251"/>
        <v>4</v>
      </c>
      <c r="W832" s="594">
        <f t="shared" ca="1" si="252"/>
        <v>2024</v>
      </c>
      <c r="X832" s="340" t="str">
        <f t="shared" ca="1" si="250"/>
        <v>3 WEEK</v>
      </c>
      <c r="Y832" s="794">
        <f t="shared" si="254"/>
        <v>45397</v>
      </c>
      <c r="Z832" s="541" cm="1">
        <f t="array" aca="1" ref="Z832" ca="1">_xlfn.IFS(AD832&lt;100,Y832,Y832&lt;TODAY(),TODAY(),Y832&gt;TODAY(),Y832,Y832=TODAY(),Y832)</f>
        <v>45397</v>
      </c>
      <c r="AA832" s="910">
        <f t="shared" si="255"/>
        <v>215886</v>
      </c>
      <c r="AB832" s="307">
        <v>215886.31</v>
      </c>
      <c r="AD832" s="298">
        <f t="shared" si="242"/>
        <v>0</v>
      </c>
      <c r="AE832" s="299" t="str">
        <f t="shared" si="243"/>
        <v>Complete</v>
      </c>
      <c r="AI832" s="301">
        <f t="shared" ca="1" si="240"/>
        <v>0</v>
      </c>
      <c r="AJ832" s="302">
        <f t="shared" ca="1" si="241"/>
        <v>0</v>
      </c>
      <c r="AL832" s="303">
        <f t="shared" si="244"/>
        <v>0</v>
      </c>
      <c r="AM832" s="303">
        <f t="shared" si="245"/>
        <v>-215886</v>
      </c>
      <c r="AN832" s="303">
        <f t="shared" si="246"/>
        <v>215886</v>
      </c>
      <c r="AO832" s="304">
        <f t="shared" si="247"/>
        <v>0</v>
      </c>
      <c r="AP832" s="273">
        <f t="shared" si="249"/>
        <v>3</v>
      </c>
      <c r="AQ832" s="273" t="str">
        <f t="shared" ca="1" si="248"/>
        <v>32024</v>
      </c>
    </row>
    <row r="833" spans="1:43">
      <c r="A833" s="312">
        <v>41</v>
      </c>
      <c r="B833" s="273" t="s">
        <v>2379</v>
      </c>
      <c r="D833" s="273" t="s">
        <v>2380</v>
      </c>
      <c r="E833" s="440">
        <v>44817</v>
      </c>
      <c r="N833" s="273" t="s">
        <v>2116</v>
      </c>
      <c r="O833" s="594" t="s">
        <v>2401</v>
      </c>
      <c r="P833" s="794">
        <v>45615</v>
      </c>
      <c r="Q833" s="273" t="s">
        <v>2406</v>
      </c>
      <c r="R833" s="314">
        <v>215886</v>
      </c>
      <c r="T833" s="876">
        <v>15</v>
      </c>
      <c r="V833" s="340">
        <f t="shared" ca="1" si="251"/>
        <v>12</v>
      </c>
      <c r="W833" s="594">
        <f t="shared" ca="1" si="252"/>
        <v>2024</v>
      </c>
      <c r="X833" s="340" t="str">
        <f t="shared" ca="1" si="250"/>
        <v>1 WEEK</v>
      </c>
      <c r="Y833" s="794">
        <f t="shared" si="254"/>
        <v>45630</v>
      </c>
      <c r="Z833" s="541" cm="1">
        <f t="array" aca="1" ref="Z833" ca="1">_xlfn.IFS(AD833&lt;100,Y833,Y833&lt;TODAY(),TODAY(),Y833&gt;TODAY(),Y833,Y833=TODAY(),Y833)</f>
        <v>45630</v>
      </c>
      <c r="AA833" s="910">
        <f t="shared" si="255"/>
        <v>215886</v>
      </c>
      <c r="AB833" s="307">
        <v>215886.31</v>
      </c>
      <c r="AD833" s="298">
        <f t="shared" si="242"/>
        <v>0</v>
      </c>
      <c r="AE833" s="299" t="str">
        <f t="shared" si="243"/>
        <v>Complete</v>
      </c>
      <c r="AI833" s="301">
        <f t="shared" ca="1" si="240"/>
        <v>0</v>
      </c>
      <c r="AJ833" s="302">
        <f t="shared" ca="1" si="241"/>
        <v>0</v>
      </c>
      <c r="AL833" s="303">
        <f t="shared" si="244"/>
        <v>0</v>
      </c>
      <c r="AM833" s="303">
        <f t="shared" si="245"/>
        <v>-215886</v>
      </c>
      <c r="AN833" s="303">
        <f t="shared" si="246"/>
        <v>215886</v>
      </c>
      <c r="AO833" s="304">
        <f t="shared" si="247"/>
        <v>0</v>
      </c>
      <c r="AP833" s="273">
        <f t="shared" si="249"/>
        <v>11</v>
      </c>
      <c r="AQ833" s="273" t="str">
        <f t="shared" ca="1" si="248"/>
        <v>112024</v>
      </c>
    </row>
    <row r="834" spans="1:43">
      <c r="A834" s="312">
        <v>41</v>
      </c>
      <c r="B834" s="273" t="s">
        <v>2379</v>
      </c>
      <c r="D834" s="273" t="s">
        <v>2380</v>
      </c>
      <c r="E834" s="440">
        <v>44817</v>
      </c>
      <c r="N834" s="273" t="s">
        <v>2116</v>
      </c>
      <c r="O834" s="594" t="s">
        <v>2401</v>
      </c>
      <c r="P834" s="794">
        <v>45615</v>
      </c>
      <c r="Q834" s="273" t="s">
        <v>2407</v>
      </c>
      <c r="R834" s="314">
        <v>215886</v>
      </c>
      <c r="T834" s="876">
        <v>15</v>
      </c>
      <c r="V834" s="340">
        <f t="shared" ca="1" si="251"/>
        <v>12</v>
      </c>
      <c r="W834" s="594">
        <f t="shared" ca="1" si="252"/>
        <v>2024</v>
      </c>
      <c r="X834" s="340" t="str">
        <f t="shared" ca="1" si="250"/>
        <v>1 WEEK</v>
      </c>
      <c r="Y834" s="794">
        <f t="shared" si="254"/>
        <v>45630</v>
      </c>
      <c r="Z834" s="541" cm="1">
        <f t="array" aca="1" ref="Z834" ca="1">_xlfn.IFS(AD834&lt;100,Y834,Y834&lt;TODAY(),TODAY(),Y834&gt;TODAY(),Y834,Y834=TODAY(),Y834)</f>
        <v>45630</v>
      </c>
      <c r="AA834" s="910">
        <f t="shared" si="255"/>
        <v>215886</v>
      </c>
      <c r="AB834" s="307">
        <v>215886.31</v>
      </c>
      <c r="AD834" s="298">
        <f t="shared" si="242"/>
        <v>0</v>
      </c>
      <c r="AE834" s="299" t="str">
        <f t="shared" si="243"/>
        <v>Complete</v>
      </c>
      <c r="AI834" s="301">
        <f t="shared" ref="AI834:AI897" ca="1" si="256">Z834-Y834</f>
        <v>0</v>
      </c>
      <c r="AJ834" s="302">
        <f t="shared" ref="AJ834:AJ897" ca="1" si="257">IF(AI834&gt;1,"Delayed",0)</f>
        <v>0</v>
      </c>
      <c r="AL834" s="303">
        <f t="shared" si="244"/>
        <v>0</v>
      </c>
      <c r="AM834" s="303">
        <f t="shared" si="245"/>
        <v>-215886</v>
      </c>
      <c r="AN834" s="303">
        <f t="shared" si="246"/>
        <v>215886</v>
      </c>
      <c r="AO834" s="304">
        <f t="shared" si="247"/>
        <v>0</v>
      </c>
      <c r="AP834" s="273">
        <f t="shared" si="249"/>
        <v>11</v>
      </c>
      <c r="AQ834" s="273" t="str">
        <f t="shared" ca="1" si="248"/>
        <v>112024</v>
      </c>
    </row>
    <row r="835" spans="1:43">
      <c r="A835" s="312">
        <v>41</v>
      </c>
      <c r="B835" s="273" t="s">
        <v>2379</v>
      </c>
      <c r="D835" s="273" t="s">
        <v>2380</v>
      </c>
      <c r="E835" s="440">
        <v>44817</v>
      </c>
      <c r="N835" s="273" t="s">
        <v>2116</v>
      </c>
      <c r="O835" s="594" t="s">
        <v>2401</v>
      </c>
      <c r="P835" s="794">
        <v>45322</v>
      </c>
      <c r="Q835" s="273" t="s">
        <v>2408</v>
      </c>
      <c r="R835" s="314">
        <v>215886</v>
      </c>
      <c r="T835" s="876">
        <v>15</v>
      </c>
      <c r="V835" s="340">
        <f t="shared" ca="1" si="251"/>
        <v>2</v>
      </c>
      <c r="W835" s="594">
        <f t="shared" ca="1" si="252"/>
        <v>2024</v>
      </c>
      <c r="X835" s="340" t="str">
        <f t="shared" ca="1" si="250"/>
        <v>3 WEEK</v>
      </c>
      <c r="Y835" s="794">
        <f t="shared" si="254"/>
        <v>45337</v>
      </c>
      <c r="Z835" s="541" cm="1">
        <f t="array" aca="1" ref="Z835" ca="1">_xlfn.IFS(AD835&lt;100,Y835,Y835&lt;TODAY(),TODAY(),Y835&gt;TODAY(),Y835,Y835=TODAY(),Y835)</f>
        <v>45337</v>
      </c>
      <c r="AA835" s="910">
        <f t="shared" si="255"/>
        <v>215886</v>
      </c>
      <c r="AB835" s="307">
        <v>215886.31</v>
      </c>
      <c r="AD835" s="298">
        <f t="shared" ref="AD835:AD898" si="258">ROUND(AA835-AB835-AC835,0)</f>
        <v>0</v>
      </c>
      <c r="AE835" s="299" t="str">
        <f t="shared" ref="AE835:AE898" si="259">IF(AD835&lt;100,"Complete","Incomplete")</f>
        <v>Complete</v>
      </c>
      <c r="AI835" s="301">
        <f t="shared" ca="1" si="256"/>
        <v>0</v>
      </c>
      <c r="AJ835" s="302">
        <f t="shared" ca="1" si="257"/>
        <v>0</v>
      </c>
      <c r="AL835" s="303">
        <f t="shared" ref="AL835:AL898" si="260">I835-J835</f>
        <v>0</v>
      </c>
      <c r="AM835" s="303">
        <f t="shared" ref="AM835:AM898" si="261">IFERROR(I835-R835,0)</f>
        <v>-215886</v>
      </c>
      <c r="AN835" s="303">
        <f t="shared" ref="AN835:AN898" si="262">IFERROR(R835-J835,0)</f>
        <v>215886</v>
      </c>
      <c r="AO835" s="304">
        <f t="shared" ref="AO835:AO898" si="263">IFERROR(P835/J835,0)</f>
        <v>0</v>
      </c>
      <c r="AP835" s="273">
        <f t="shared" si="249"/>
        <v>1</v>
      </c>
      <c r="AQ835" s="273" t="str">
        <f t="shared" ref="AQ835:AQ898" ca="1" si="264">AP835&amp;W835</f>
        <v>12024</v>
      </c>
    </row>
    <row r="836" spans="1:43">
      <c r="A836" s="312">
        <v>41</v>
      </c>
      <c r="B836" s="273" t="s">
        <v>2379</v>
      </c>
      <c r="D836" s="273" t="s">
        <v>2380</v>
      </c>
      <c r="E836" s="440">
        <v>44817</v>
      </c>
      <c r="N836" s="273" t="s">
        <v>2116</v>
      </c>
      <c r="O836" s="594" t="s">
        <v>2401</v>
      </c>
      <c r="P836" s="794">
        <v>45747</v>
      </c>
      <c r="Q836" s="273" t="s">
        <v>2409</v>
      </c>
      <c r="R836" s="314">
        <v>215886</v>
      </c>
      <c r="T836" s="876">
        <v>15</v>
      </c>
      <c r="V836" s="340">
        <f t="shared" ca="1" si="251"/>
        <v>4</v>
      </c>
      <c r="W836" s="594">
        <f t="shared" ca="1" si="252"/>
        <v>2025</v>
      </c>
      <c r="X836" s="340" t="str">
        <f t="shared" ca="1" si="250"/>
        <v>3 WEEK</v>
      </c>
      <c r="Y836" s="794">
        <f t="shared" si="254"/>
        <v>45762</v>
      </c>
      <c r="Z836" s="541" cm="1">
        <f t="array" aca="1" ref="Z836" ca="1">_xlfn.IFS(AD836&lt;100,Y836,Y836&lt;TODAY(),TODAY(),Y836&gt;TODAY(),Y836,Y836=TODAY(),Y836)</f>
        <v>45762</v>
      </c>
      <c r="AD836" s="298">
        <f t="shared" si="258"/>
        <v>0</v>
      </c>
      <c r="AE836" s="299" t="str">
        <f t="shared" si="259"/>
        <v>Complete</v>
      </c>
      <c r="AI836" s="301">
        <f t="shared" ca="1" si="256"/>
        <v>0</v>
      </c>
      <c r="AJ836" s="302">
        <f t="shared" ca="1" si="257"/>
        <v>0</v>
      </c>
      <c r="AL836" s="303">
        <f t="shared" si="260"/>
        <v>0</v>
      </c>
      <c r="AM836" s="303">
        <f t="shared" si="261"/>
        <v>-215886</v>
      </c>
      <c r="AN836" s="303">
        <f t="shared" si="262"/>
        <v>215886</v>
      </c>
      <c r="AO836" s="304">
        <f t="shared" si="263"/>
        <v>0</v>
      </c>
      <c r="AP836" s="273">
        <f t="shared" si="249"/>
        <v>3</v>
      </c>
      <c r="AQ836" s="273" t="str">
        <f t="shared" ca="1" si="264"/>
        <v>32025</v>
      </c>
    </row>
    <row r="837" spans="1:43">
      <c r="A837" s="312">
        <v>41</v>
      </c>
      <c r="B837" s="273" t="s">
        <v>2379</v>
      </c>
      <c r="D837" s="273" t="s">
        <v>2380</v>
      </c>
      <c r="E837" s="440">
        <v>44817</v>
      </c>
      <c r="G837" s="306">
        <v>516000</v>
      </c>
      <c r="H837" s="307">
        <v>92880</v>
      </c>
      <c r="I837" s="308">
        <v>608880</v>
      </c>
      <c r="O837" s="594" t="s">
        <v>2410</v>
      </c>
      <c r="P837" s="447">
        <v>0</v>
      </c>
      <c r="R837" s="314">
        <v>608880</v>
      </c>
      <c r="T837" s="876">
        <v>15</v>
      </c>
      <c r="V837" s="340">
        <f t="shared" ca="1" si="251"/>
        <v>1</v>
      </c>
      <c r="W837" s="594">
        <f t="shared" ca="1" si="252"/>
        <v>1900</v>
      </c>
      <c r="X837" s="340" t="str">
        <f t="shared" ca="1" si="250"/>
        <v>3 WEEK</v>
      </c>
      <c r="Y837" s="794">
        <f t="shared" si="254"/>
        <v>15</v>
      </c>
      <c r="Z837" s="541" cm="1">
        <f t="array" aca="1" ref="Z837" ca="1">_xlfn.IFS(AD837&lt;100,Y837,Y837&lt;TODAY(),TODAY(),Y837&gt;TODAY(),Y837,Y837=TODAY(),Y837)</f>
        <v>15</v>
      </c>
      <c r="AD837" s="298">
        <f t="shared" si="258"/>
        <v>0</v>
      </c>
      <c r="AE837" s="299" t="str">
        <f t="shared" si="259"/>
        <v>Complete</v>
      </c>
      <c r="AI837" s="301">
        <f t="shared" ca="1" si="256"/>
        <v>0</v>
      </c>
      <c r="AJ837" s="302">
        <f t="shared" ca="1" si="257"/>
        <v>0</v>
      </c>
      <c r="AL837" s="303">
        <f t="shared" si="260"/>
        <v>608880</v>
      </c>
      <c r="AM837" s="303">
        <f t="shared" si="261"/>
        <v>0</v>
      </c>
      <c r="AN837" s="303">
        <f t="shared" si="262"/>
        <v>608880</v>
      </c>
      <c r="AO837" s="304">
        <f t="shared" si="263"/>
        <v>0</v>
      </c>
      <c r="AP837" s="273">
        <f t="shared" ref="AP837:AP900" si="265">MONTH(P837)</f>
        <v>1</v>
      </c>
      <c r="AQ837" s="273" t="str">
        <f t="shared" ca="1" si="264"/>
        <v>11900</v>
      </c>
    </row>
    <row r="838" spans="1:43">
      <c r="A838" s="312">
        <v>41</v>
      </c>
      <c r="B838" s="273" t="s">
        <v>2379</v>
      </c>
      <c r="D838" s="273" t="s">
        <v>2380</v>
      </c>
      <c r="E838" s="440">
        <v>44817</v>
      </c>
      <c r="G838" s="306">
        <v>1400000</v>
      </c>
      <c r="H838" s="307">
        <v>252000</v>
      </c>
      <c r="I838" s="308">
        <v>1652000</v>
      </c>
      <c r="O838" s="594" t="s">
        <v>2411</v>
      </c>
      <c r="P838" s="447">
        <v>0</v>
      </c>
      <c r="R838" s="314">
        <v>1652000</v>
      </c>
      <c r="T838" s="876">
        <v>15</v>
      </c>
      <c r="V838" s="340">
        <f t="shared" ca="1" si="251"/>
        <v>1</v>
      </c>
      <c r="W838" s="594">
        <f t="shared" ca="1" si="252"/>
        <v>1900</v>
      </c>
      <c r="X838" s="340" t="str">
        <f t="shared" ca="1" si="250"/>
        <v>3 WEEK</v>
      </c>
      <c r="Y838" s="794">
        <f t="shared" si="254"/>
        <v>15</v>
      </c>
      <c r="Z838" s="541" cm="1">
        <f t="array" aca="1" ref="Z838" ca="1">_xlfn.IFS(AD838&lt;100,Y838,Y838&lt;TODAY(),TODAY(),Y838&gt;TODAY(),Y838,Y838=TODAY(),Y838)</f>
        <v>15</v>
      </c>
      <c r="AD838" s="298">
        <f t="shared" si="258"/>
        <v>0</v>
      </c>
      <c r="AE838" s="299" t="str">
        <f t="shared" si="259"/>
        <v>Complete</v>
      </c>
      <c r="AI838" s="301">
        <f t="shared" ca="1" si="256"/>
        <v>0</v>
      </c>
      <c r="AJ838" s="302">
        <f t="shared" ca="1" si="257"/>
        <v>0</v>
      </c>
      <c r="AL838" s="303">
        <f t="shared" si="260"/>
        <v>1652000</v>
      </c>
      <c r="AM838" s="303">
        <f t="shared" si="261"/>
        <v>0</v>
      </c>
      <c r="AN838" s="303">
        <f t="shared" si="262"/>
        <v>1652000</v>
      </c>
      <c r="AO838" s="304">
        <f t="shared" si="263"/>
        <v>0</v>
      </c>
      <c r="AP838" s="273">
        <f t="shared" si="265"/>
        <v>1</v>
      </c>
      <c r="AQ838" s="273" t="str">
        <f t="shared" ca="1" si="264"/>
        <v>11900</v>
      </c>
    </row>
    <row r="839" spans="1:43">
      <c r="A839" s="312">
        <v>41</v>
      </c>
      <c r="B839" s="273" t="s">
        <v>2379</v>
      </c>
      <c r="D839" s="273" t="s">
        <v>2380</v>
      </c>
      <c r="E839" s="440">
        <v>44817</v>
      </c>
      <c r="G839" s="306">
        <v>145100</v>
      </c>
      <c r="H839" s="307">
        <v>26118</v>
      </c>
      <c r="I839" s="308">
        <v>171218</v>
      </c>
      <c r="O839" s="594" t="s">
        <v>2412</v>
      </c>
      <c r="P839" s="447">
        <v>0</v>
      </c>
      <c r="R839" s="314">
        <v>171218</v>
      </c>
      <c r="T839" s="876">
        <v>15</v>
      </c>
      <c r="V839" s="340">
        <f t="shared" ca="1" si="251"/>
        <v>1</v>
      </c>
      <c r="W839" s="594">
        <f t="shared" ca="1" si="252"/>
        <v>1900</v>
      </c>
      <c r="X839" s="340" t="str">
        <f t="shared" ref="X839:X902" ca="1" si="266">INT((DAY(Z839)-1)/7)+1&amp;" WEEK"</f>
        <v>3 WEEK</v>
      </c>
      <c r="Y839" s="794">
        <f t="shared" si="254"/>
        <v>15</v>
      </c>
      <c r="Z839" s="541" cm="1">
        <f t="array" aca="1" ref="Z839" ca="1">_xlfn.IFS(AD839&lt;100,Y839,Y839&lt;TODAY(),TODAY(),Y839&gt;TODAY(),Y839,Y839=TODAY(),Y839)</f>
        <v>15</v>
      </c>
      <c r="AD839" s="298">
        <f t="shared" si="258"/>
        <v>0</v>
      </c>
      <c r="AE839" s="299" t="str">
        <f t="shared" si="259"/>
        <v>Complete</v>
      </c>
      <c r="AI839" s="301">
        <f t="shared" ca="1" si="256"/>
        <v>0</v>
      </c>
      <c r="AJ839" s="302">
        <f t="shared" ca="1" si="257"/>
        <v>0</v>
      </c>
      <c r="AL839" s="303">
        <f t="shared" si="260"/>
        <v>171218</v>
      </c>
      <c r="AM839" s="303">
        <f t="shared" si="261"/>
        <v>0</v>
      </c>
      <c r="AN839" s="303">
        <f t="shared" si="262"/>
        <v>171218</v>
      </c>
      <c r="AO839" s="304">
        <f t="shared" si="263"/>
        <v>0</v>
      </c>
      <c r="AP839" s="273">
        <f t="shared" si="265"/>
        <v>1</v>
      </c>
      <c r="AQ839" s="273" t="str">
        <f t="shared" ca="1" si="264"/>
        <v>11900</v>
      </c>
    </row>
    <row r="840" spans="1:43">
      <c r="A840" s="312">
        <v>41</v>
      </c>
      <c r="B840" s="273" t="s">
        <v>2379</v>
      </c>
      <c r="D840" s="273" t="s">
        <v>2380</v>
      </c>
      <c r="E840" s="440">
        <v>44817</v>
      </c>
      <c r="G840" s="306">
        <v>519955</v>
      </c>
      <c r="H840" s="307">
        <v>93591.9</v>
      </c>
      <c r="I840" s="308">
        <v>613547</v>
      </c>
      <c r="O840" s="594" t="s">
        <v>2413</v>
      </c>
      <c r="P840" s="794">
        <v>45640</v>
      </c>
      <c r="Q840" s="273" t="s">
        <v>2414</v>
      </c>
      <c r="R840" s="314">
        <v>613600</v>
      </c>
      <c r="T840" s="876">
        <v>15</v>
      </c>
      <c r="V840" s="340">
        <f t="shared" ca="1" si="251"/>
        <v>12</v>
      </c>
      <c r="W840" s="594">
        <f t="shared" ca="1" si="252"/>
        <v>2024</v>
      </c>
      <c r="X840" s="340" t="str">
        <f t="shared" ca="1" si="266"/>
        <v>5 WEEK</v>
      </c>
      <c r="Y840" s="794">
        <f t="shared" si="254"/>
        <v>45655</v>
      </c>
      <c r="Z840" s="541" cm="1">
        <f t="array" aca="1" ref="Z840" ca="1">_xlfn.IFS(AD840&lt;100,Y840,Y840&lt;TODAY(),TODAY(),Y840&gt;TODAY(),Y840,Y840=TODAY(),Y840)</f>
        <v>45655</v>
      </c>
      <c r="AD840" s="298">
        <f t="shared" si="258"/>
        <v>0</v>
      </c>
      <c r="AE840" s="299" t="str">
        <f t="shared" si="259"/>
        <v>Complete</v>
      </c>
      <c r="AI840" s="301">
        <f t="shared" ca="1" si="256"/>
        <v>0</v>
      </c>
      <c r="AJ840" s="302">
        <f t="shared" ca="1" si="257"/>
        <v>0</v>
      </c>
      <c r="AL840" s="303">
        <f t="shared" si="260"/>
        <v>613547</v>
      </c>
      <c r="AM840" s="303">
        <f t="shared" si="261"/>
        <v>-53</v>
      </c>
      <c r="AN840" s="303">
        <f t="shared" si="262"/>
        <v>613600</v>
      </c>
      <c r="AO840" s="304">
        <f t="shared" si="263"/>
        <v>0</v>
      </c>
      <c r="AP840" s="273">
        <f t="shared" si="265"/>
        <v>12</v>
      </c>
      <c r="AQ840" s="273" t="str">
        <f t="shared" ca="1" si="264"/>
        <v>122024</v>
      </c>
    </row>
    <row r="841" spans="1:43">
      <c r="A841" s="312">
        <v>41</v>
      </c>
      <c r="B841" s="273" t="s">
        <v>2379</v>
      </c>
      <c r="D841" s="273" t="s">
        <v>2380</v>
      </c>
      <c r="E841" s="440">
        <v>44817</v>
      </c>
      <c r="G841" s="306">
        <v>1200000</v>
      </c>
      <c r="H841" s="307">
        <v>144000</v>
      </c>
      <c r="I841" s="308">
        <v>1344000</v>
      </c>
      <c r="O841" s="594" t="s">
        <v>2415</v>
      </c>
      <c r="P841" s="447">
        <v>0</v>
      </c>
      <c r="R841" s="314">
        <v>1344000</v>
      </c>
      <c r="T841" s="876">
        <v>15</v>
      </c>
      <c r="V841" s="340">
        <f t="shared" ca="1" si="251"/>
        <v>1</v>
      </c>
      <c r="W841" s="594">
        <f t="shared" ca="1" si="252"/>
        <v>1900</v>
      </c>
      <c r="X841" s="340" t="str">
        <f t="shared" ca="1" si="266"/>
        <v>3 WEEK</v>
      </c>
      <c r="Y841" s="794">
        <f t="shared" si="254"/>
        <v>15</v>
      </c>
      <c r="Z841" s="541" cm="1">
        <f t="array" aca="1" ref="Z841" ca="1">_xlfn.IFS(AD841&lt;100,Y841,Y841&lt;TODAY(),TODAY(),Y841&gt;TODAY(),Y841,Y841=TODAY(),Y841)</f>
        <v>15</v>
      </c>
      <c r="AD841" s="298">
        <f t="shared" si="258"/>
        <v>0</v>
      </c>
      <c r="AE841" s="299" t="str">
        <f t="shared" si="259"/>
        <v>Complete</v>
      </c>
      <c r="AI841" s="301">
        <f t="shared" ca="1" si="256"/>
        <v>0</v>
      </c>
      <c r="AJ841" s="302">
        <f t="shared" ca="1" si="257"/>
        <v>0</v>
      </c>
      <c r="AL841" s="303">
        <f t="shared" si="260"/>
        <v>1344000</v>
      </c>
      <c r="AM841" s="303">
        <f t="shared" si="261"/>
        <v>0</v>
      </c>
      <c r="AN841" s="303">
        <f t="shared" si="262"/>
        <v>1344000</v>
      </c>
      <c r="AO841" s="304">
        <f t="shared" si="263"/>
        <v>0</v>
      </c>
      <c r="AP841" s="273">
        <f t="shared" si="265"/>
        <v>1</v>
      </c>
      <c r="AQ841" s="273" t="str">
        <f t="shared" ca="1" si="264"/>
        <v>11900</v>
      </c>
    </row>
    <row r="842" spans="1:43">
      <c r="A842" s="312">
        <v>41</v>
      </c>
      <c r="B842" s="273" t="s">
        <v>2379</v>
      </c>
      <c r="D842" s="273" t="s">
        <v>2380</v>
      </c>
      <c r="E842" s="440">
        <v>44817</v>
      </c>
      <c r="G842" s="306">
        <v>45000</v>
      </c>
      <c r="H842" s="307">
        <v>8100</v>
      </c>
      <c r="I842" s="308">
        <v>53100</v>
      </c>
      <c r="O842" s="594" t="s">
        <v>2416</v>
      </c>
      <c r="P842" s="447">
        <v>0</v>
      </c>
      <c r="R842" s="314">
        <v>53100</v>
      </c>
      <c r="T842" s="876">
        <v>15</v>
      </c>
      <c r="V842" s="340">
        <f t="shared" ca="1" si="251"/>
        <v>1</v>
      </c>
      <c r="W842" s="594">
        <f t="shared" ca="1" si="252"/>
        <v>1900</v>
      </c>
      <c r="X842" s="340" t="str">
        <f t="shared" ca="1" si="266"/>
        <v>3 WEEK</v>
      </c>
      <c r="Y842" s="794">
        <f t="shared" si="254"/>
        <v>15</v>
      </c>
      <c r="Z842" s="541" cm="1">
        <f t="array" aca="1" ref="Z842" ca="1">_xlfn.IFS(AD842&lt;100,Y842,Y842&lt;TODAY(),TODAY(),Y842&gt;TODAY(),Y842,Y842=TODAY(),Y842)</f>
        <v>15</v>
      </c>
      <c r="AD842" s="298">
        <f t="shared" si="258"/>
        <v>0</v>
      </c>
      <c r="AE842" s="299" t="str">
        <f t="shared" si="259"/>
        <v>Complete</v>
      </c>
      <c r="AI842" s="301">
        <f t="shared" ca="1" si="256"/>
        <v>0</v>
      </c>
      <c r="AJ842" s="302">
        <f t="shared" ca="1" si="257"/>
        <v>0</v>
      </c>
      <c r="AL842" s="303">
        <f t="shared" si="260"/>
        <v>53100</v>
      </c>
      <c r="AM842" s="303">
        <f t="shared" si="261"/>
        <v>0</v>
      </c>
      <c r="AN842" s="303">
        <f t="shared" si="262"/>
        <v>53100</v>
      </c>
      <c r="AO842" s="304">
        <f t="shared" si="263"/>
        <v>0</v>
      </c>
      <c r="AP842" s="273">
        <f t="shared" si="265"/>
        <v>1</v>
      </c>
      <c r="AQ842" s="273" t="str">
        <f t="shared" ca="1" si="264"/>
        <v>11900</v>
      </c>
    </row>
    <row r="843" spans="1:43">
      <c r="A843" s="312">
        <v>41</v>
      </c>
      <c r="B843" s="273" t="s">
        <v>2379</v>
      </c>
      <c r="D843" s="273" t="s">
        <v>2380</v>
      </c>
      <c r="E843" s="440">
        <v>44817</v>
      </c>
      <c r="G843" s="306">
        <v>2200000</v>
      </c>
      <c r="H843" s="307">
        <v>396000</v>
      </c>
      <c r="I843" s="308">
        <v>2596000</v>
      </c>
      <c r="O843" s="594" t="s">
        <v>2417</v>
      </c>
      <c r="P843" s="447">
        <v>0</v>
      </c>
      <c r="R843" s="314">
        <v>2596000</v>
      </c>
      <c r="T843" s="876">
        <v>15</v>
      </c>
      <c r="V843" s="340">
        <f t="shared" ca="1" si="251"/>
        <v>1</v>
      </c>
      <c r="W843" s="594">
        <f t="shared" ca="1" si="252"/>
        <v>1900</v>
      </c>
      <c r="X843" s="340" t="str">
        <f t="shared" ca="1" si="266"/>
        <v>3 WEEK</v>
      </c>
      <c r="Y843" s="794">
        <f t="shared" si="254"/>
        <v>15</v>
      </c>
      <c r="Z843" s="541" cm="1">
        <f t="array" aca="1" ref="Z843" ca="1">_xlfn.IFS(AD843&lt;100,Y843,Y843&lt;TODAY(),TODAY(),Y843&gt;TODAY(),Y843,Y843=TODAY(),Y843)</f>
        <v>15</v>
      </c>
      <c r="AD843" s="298">
        <f t="shared" si="258"/>
        <v>0</v>
      </c>
      <c r="AE843" s="299" t="str">
        <f t="shared" si="259"/>
        <v>Complete</v>
      </c>
      <c r="AI843" s="301">
        <f t="shared" ca="1" si="256"/>
        <v>0</v>
      </c>
      <c r="AJ843" s="302">
        <f t="shared" ca="1" si="257"/>
        <v>0</v>
      </c>
      <c r="AL843" s="303">
        <f t="shared" si="260"/>
        <v>2596000</v>
      </c>
      <c r="AM843" s="303">
        <f t="shared" si="261"/>
        <v>0</v>
      </c>
      <c r="AN843" s="303">
        <f t="shared" si="262"/>
        <v>2596000</v>
      </c>
      <c r="AO843" s="304">
        <f t="shared" si="263"/>
        <v>0</v>
      </c>
      <c r="AP843" s="273">
        <f t="shared" si="265"/>
        <v>1</v>
      </c>
      <c r="AQ843" s="273" t="str">
        <f t="shared" ca="1" si="264"/>
        <v>11900</v>
      </c>
    </row>
    <row r="844" spans="1:43">
      <c r="A844" s="312">
        <v>41</v>
      </c>
      <c r="B844" s="273" t="s">
        <v>2379</v>
      </c>
      <c r="D844" s="273" t="s">
        <v>2380</v>
      </c>
      <c r="E844" s="440">
        <v>44817</v>
      </c>
      <c r="G844" s="306">
        <v>10002</v>
      </c>
      <c r="H844" s="307">
        <v>1800.36</v>
      </c>
      <c r="I844" s="308">
        <v>11802</v>
      </c>
      <c r="O844" s="594" t="s">
        <v>2418</v>
      </c>
      <c r="P844" s="447">
        <v>0</v>
      </c>
      <c r="R844" s="314">
        <v>11802</v>
      </c>
      <c r="T844" s="876">
        <v>15</v>
      </c>
      <c r="V844" s="340">
        <f t="shared" ca="1" si="251"/>
        <v>1</v>
      </c>
      <c r="W844" s="594">
        <f t="shared" ca="1" si="252"/>
        <v>1900</v>
      </c>
      <c r="X844" s="340" t="str">
        <f t="shared" ca="1" si="266"/>
        <v>3 WEEK</v>
      </c>
      <c r="Y844" s="794">
        <f t="shared" si="254"/>
        <v>15</v>
      </c>
      <c r="Z844" s="541" cm="1">
        <f t="array" aca="1" ref="Z844" ca="1">_xlfn.IFS(AD844&lt;100,Y844,Y844&lt;TODAY(),TODAY(),Y844&gt;TODAY(),Y844,Y844=TODAY(),Y844)</f>
        <v>15</v>
      </c>
      <c r="AD844" s="298">
        <f t="shared" si="258"/>
        <v>0</v>
      </c>
      <c r="AE844" s="299" t="str">
        <f t="shared" si="259"/>
        <v>Complete</v>
      </c>
      <c r="AI844" s="301">
        <f t="shared" ca="1" si="256"/>
        <v>0</v>
      </c>
      <c r="AJ844" s="302">
        <f t="shared" ca="1" si="257"/>
        <v>0</v>
      </c>
      <c r="AL844" s="303">
        <f t="shared" si="260"/>
        <v>11802</v>
      </c>
      <c r="AM844" s="303">
        <f t="shared" si="261"/>
        <v>0</v>
      </c>
      <c r="AN844" s="303">
        <f t="shared" si="262"/>
        <v>11802</v>
      </c>
      <c r="AO844" s="304">
        <f t="shared" si="263"/>
        <v>0</v>
      </c>
      <c r="AP844" s="273">
        <f t="shared" si="265"/>
        <v>1</v>
      </c>
      <c r="AQ844" s="273" t="str">
        <f t="shared" ca="1" si="264"/>
        <v>11900</v>
      </c>
    </row>
    <row r="845" spans="1:43">
      <c r="A845" s="312">
        <v>41</v>
      </c>
      <c r="B845" s="273" t="s">
        <v>2379</v>
      </c>
      <c r="D845" s="273" t="s">
        <v>2380</v>
      </c>
      <c r="E845" s="440">
        <v>44817</v>
      </c>
      <c r="G845" s="306">
        <v>440000</v>
      </c>
      <c r="H845" s="307">
        <v>79200</v>
      </c>
      <c r="I845" s="308">
        <v>519200</v>
      </c>
      <c r="O845" s="594" t="s">
        <v>2419</v>
      </c>
      <c r="P845" s="447">
        <v>0</v>
      </c>
      <c r="R845" s="314">
        <v>519200</v>
      </c>
      <c r="T845" s="876">
        <v>15</v>
      </c>
      <c r="V845" s="340">
        <f t="shared" ca="1" si="251"/>
        <v>1</v>
      </c>
      <c r="W845" s="594">
        <f t="shared" ca="1" si="252"/>
        <v>1900</v>
      </c>
      <c r="X845" s="340" t="str">
        <f t="shared" ca="1" si="266"/>
        <v>3 WEEK</v>
      </c>
      <c r="Y845" s="794">
        <f t="shared" si="254"/>
        <v>15</v>
      </c>
      <c r="Z845" s="541" cm="1">
        <f t="array" aca="1" ref="Z845" ca="1">_xlfn.IFS(AD845&lt;100,Y845,Y845&lt;TODAY(),TODAY(),Y845&gt;TODAY(),Y845,Y845=TODAY(),Y845)</f>
        <v>15</v>
      </c>
      <c r="AD845" s="298">
        <f t="shared" si="258"/>
        <v>0</v>
      </c>
      <c r="AE845" s="299" t="str">
        <f t="shared" si="259"/>
        <v>Complete</v>
      </c>
      <c r="AI845" s="301">
        <f t="shared" ca="1" si="256"/>
        <v>0</v>
      </c>
      <c r="AJ845" s="302">
        <f t="shared" ca="1" si="257"/>
        <v>0</v>
      </c>
      <c r="AL845" s="303">
        <f t="shared" si="260"/>
        <v>519200</v>
      </c>
      <c r="AM845" s="303">
        <f t="shared" si="261"/>
        <v>0</v>
      </c>
      <c r="AN845" s="303">
        <f t="shared" si="262"/>
        <v>519200</v>
      </c>
      <c r="AO845" s="304">
        <f t="shared" si="263"/>
        <v>0</v>
      </c>
      <c r="AP845" s="273">
        <f t="shared" si="265"/>
        <v>1</v>
      </c>
      <c r="AQ845" s="273" t="str">
        <f t="shared" ca="1" si="264"/>
        <v>11900</v>
      </c>
    </row>
    <row r="846" spans="1:43">
      <c r="A846" s="312">
        <v>41</v>
      </c>
      <c r="B846" s="273" t="s">
        <v>2379</v>
      </c>
      <c r="D846" s="273" t="s">
        <v>2380</v>
      </c>
      <c r="E846" s="440">
        <v>44817</v>
      </c>
      <c r="G846" s="306">
        <v>900003</v>
      </c>
      <c r="H846" s="307">
        <v>162000.54</v>
      </c>
      <c r="I846" s="308">
        <v>1062004</v>
      </c>
      <c r="O846" s="594" t="s">
        <v>2420</v>
      </c>
      <c r="P846" s="447">
        <v>0</v>
      </c>
      <c r="R846" s="314">
        <v>1062004</v>
      </c>
      <c r="T846" s="876">
        <v>15</v>
      </c>
      <c r="V846" s="340">
        <f t="shared" ca="1" si="251"/>
        <v>1</v>
      </c>
      <c r="W846" s="594">
        <f t="shared" ca="1" si="252"/>
        <v>1900</v>
      </c>
      <c r="X846" s="340" t="str">
        <f t="shared" ca="1" si="266"/>
        <v>3 WEEK</v>
      </c>
      <c r="Y846" s="794">
        <f t="shared" si="254"/>
        <v>15</v>
      </c>
      <c r="Z846" s="541" cm="1">
        <f t="array" aca="1" ref="Z846" ca="1">_xlfn.IFS(AD846&lt;100,Y846,Y846&lt;TODAY(),TODAY(),Y846&gt;TODAY(),Y846,Y846=TODAY(),Y846)</f>
        <v>15</v>
      </c>
      <c r="AD846" s="298">
        <f t="shared" si="258"/>
        <v>0</v>
      </c>
      <c r="AE846" s="299" t="str">
        <f t="shared" si="259"/>
        <v>Complete</v>
      </c>
      <c r="AI846" s="301">
        <f t="shared" ca="1" si="256"/>
        <v>0</v>
      </c>
      <c r="AJ846" s="302">
        <f t="shared" ca="1" si="257"/>
        <v>0</v>
      </c>
      <c r="AL846" s="303">
        <f t="shared" si="260"/>
        <v>1062004</v>
      </c>
      <c r="AM846" s="303">
        <f t="shared" si="261"/>
        <v>0</v>
      </c>
      <c r="AN846" s="303">
        <f t="shared" si="262"/>
        <v>1062004</v>
      </c>
      <c r="AO846" s="304">
        <f t="shared" si="263"/>
        <v>0</v>
      </c>
      <c r="AP846" s="273">
        <f t="shared" si="265"/>
        <v>1</v>
      </c>
      <c r="AQ846" s="273" t="str">
        <f t="shared" ca="1" si="264"/>
        <v>11900</v>
      </c>
    </row>
    <row r="847" spans="1:43">
      <c r="A847" s="312">
        <v>41</v>
      </c>
      <c r="B847" s="273" t="s">
        <v>2379</v>
      </c>
      <c r="D847" s="273" t="s">
        <v>2380</v>
      </c>
      <c r="E847" s="440">
        <v>44817</v>
      </c>
      <c r="G847" s="306">
        <v>240000</v>
      </c>
      <c r="H847" s="307">
        <v>43200</v>
      </c>
      <c r="I847" s="308">
        <v>283200</v>
      </c>
      <c r="O847" s="594" t="s">
        <v>2421</v>
      </c>
      <c r="P847" s="447">
        <v>0</v>
      </c>
      <c r="R847" s="314">
        <v>283200</v>
      </c>
      <c r="T847" s="876">
        <v>15</v>
      </c>
      <c r="V847" s="340">
        <f t="shared" ca="1" si="251"/>
        <v>1</v>
      </c>
      <c r="W847" s="594">
        <f t="shared" ca="1" si="252"/>
        <v>1900</v>
      </c>
      <c r="X847" s="340" t="str">
        <f t="shared" ca="1" si="266"/>
        <v>3 WEEK</v>
      </c>
      <c r="Y847" s="794">
        <f t="shared" si="254"/>
        <v>15</v>
      </c>
      <c r="Z847" s="541" cm="1">
        <f t="array" aca="1" ref="Z847" ca="1">_xlfn.IFS(AD847&lt;100,Y847,Y847&lt;TODAY(),TODAY(),Y847&gt;TODAY(),Y847,Y847=TODAY(),Y847)</f>
        <v>15</v>
      </c>
      <c r="AD847" s="298">
        <f t="shared" si="258"/>
        <v>0</v>
      </c>
      <c r="AE847" s="299" t="str">
        <f t="shared" si="259"/>
        <v>Complete</v>
      </c>
      <c r="AI847" s="301">
        <f t="shared" ca="1" si="256"/>
        <v>0</v>
      </c>
      <c r="AJ847" s="302">
        <f t="shared" ca="1" si="257"/>
        <v>0</v>
      </c>
      <c r="AL847" s="303">
        <f t="shared" si="260"/>
        <v>283200</v>
      </c>
      <c r="AM847" s="303">
        <f t="shared" si="261"/>
        <v>0</v>
      </c>
      <c r="AN847" s="303">
        <f t="shared" si="262"/>
        <v>283200</v>
      </c>
      <c r="AO847" s="304">
        <f t="shared" si="263"/>
        <v>0</v>
      </c>
      <c r="AP847" s="273">
        <f t="shared" si="265"/>
        <v>1</v>
      </c>
      <c r="AQ847" s="273" t="str">
        <f t="shared" ca="1" si="264"/>
        <v>11900</v>
      </c>
    </row>
    <row r="848" spans="1:43">
      <c r="A848" s="312">
        <v>41</v>
      </c>
      <c r="B848" s="273" t="s">
        <v>2379</v>
      </c>
      <c r="D848" s="273" t="s">
        <v>2380</v>
      </c>
      <c r="E848" s="440">
        <v>44817</v>
      </c>
      <c r="G848" s="306">
        <v>200000</v>
      </c>
      <c r="H848" s="307">
        <v>36000</v>
      </c>
      <c r="I848" s="308">
        <v>236000</v>
      </c>
      <c r="O848" s="594" t="s">
        <v>2422</v>
      </c>
      <c r="P848" s="447">
        <v>0</v>
      </c>
      <c r="R848" s="314">
        <v>236000</v>
      </c>
      <c r="T848" s="876">
        <v>15</v>
      </c>
      <c r="V848" s="340">
        <f t="shared" ca="1" si="251"/>
        <v>1</v>
      </c>
      <c r="W848" s="594">
        <f t="shared" ca="1" si="252"/>
        <v>1900</v>
      </c>
      <c r="X848" s="340" t="str">
        <f t="shared" ca="1" si="266"/>
        <v>3 WEEK</v>
      </c>
      <c r="Y848" s="794">
        <f t="shared" si="254"/>
        <v>15</v>
      </c>
      <c r="Z848" s="541" cm="1">
        <f t="array" aca="1" ref="Z848" ca="1">_xlfn.IFS(AD848&lt;100,Y848,Y848&lt;TODAY(),TODAY(),Y848&gt;TODAY(),Y848,Y848=TODAY(),Y848)</f>
        <v>15</v>
      </c>
      <c r="AD848" s="298">
        <f t="shared" si="258"/>
        <v>0</v>
      </c>
      <c r="AE848" s="299" t="str">
        <f t="shared" si="259"/>
        <v>Complete</v>
      </c>
      <c r="AI848" s="301">
        <f t="shared" ca="1" si="256"/>
        <v>0</v>
      </c>
      <c r="AJ848" s="302">
        <f t="shared" ca="1" si="257"/>
        <v>0</v>
      </c>
      <c r="AL848" s="303">
        <f t="shared" si="260"/>
        <v>236000</v>
      </c>
      <c r="AM848" s="303">
        <f t="shared" si="261"/>
        <v>0</v>
      </c>
      <c r="AN848" s="303">
        <f t="shared" si="262"/>
        <v>236000</v>
      </c>
      <c r="AO848" s="304">
        <f t="shared" si="263"/>
        <v>0</v>
      </c>
      <c r="AP848" s="273">
        <f t="shared" si="265"/>
        <v>1</v>
      </c>
      <c r="AQ848" s="273" t="str">
        <f t="shared" ca="1" si="264"/>
        <v>11900</v>
      </c>
    </row>
    <row r="849" spans="1:43">
      <c r="A849" s="312">
        <v>41</v>
      </c>
      <c r="B849" s="273" t="s">
        <v>2379</v>
      </c>
      <c r="D849" s="273" t="s">
        <v>2380</v>
      </c>
      <c r="E849" s="440">
        <v>44817</v>
      </c>
      <c r="G849" s="306">
        <v>150000</v>
      </c>
      <c r="H849" s="307">
        <v>27000</v>
      </c>
      <c r="I849" s="308">
        <v>177000</v>
      </c>
      <c r="O849" s="594" t="s">
        <v>2423</v>
      </c>
      <c r="P849" s="447">
        <v>0</v>
      </c>
      <c r="R849" s="314">
        <v>177000</v>
      </c>
      <c r="T849" s="876">
        <v>15</v>
      </c>
      <c r="V849" s="340">
        <f t="shared" ca="1" si="251"/>
        <v>1</v>
      </c>
      <c r="W849" s="594">
        <f t="shared" ca="1" si="252"/>
        <v>1900</v>
      </c>
      <c r="X849" s="340" t="str">
        <f t="shared" ca="1" si="266"/>
        <v>3 WEEK</v>
      </c>
      <c r="Y849" s="794">
        <f t="shared" si="254"/>
        <v>15</v>
      </c>
      <c r="Z849" s="541" cm="1">
        <f t="array" aca="1" ref="Z849" ca="1">_xlfn.IFS(AD849&lt;100,Y849,Y849&lt;TODAY(),TODAY(),Y849&gt;TODAY(),Y849,Y849=TODAY(),Y849)</f>
        <v>15</v>
      </c>
      <c r="AD849" s="298">
        <f t="shared" si="258"/>
        <v>0</v>
      </c>
      <c r="AE849" s="299" t="str">
        <f t="shared" si="259"/>
        <v>Complete</v>
      </c>
      <c r="AI849" s="301">
        <f t="shared" ca="1" si="256"/>
        <v>0</v>
      </c>
      <c r="AJ849" s="302">
        <f t="shared" ca="1" si="257"/>
        <v>0</v>
      </c>
      <c r="AL849" s="303">
        <f t="shared" si="260"/>
        <v>177000</v>
      </c>
      <c r="AM849" s="303">
        <f t="shared" si="261"/>
        <v>0</v>
      </c>
      <c r="AN849" s="303">
        <f t="shared" si="262"/>
        <v>177000</v>
      </c>
      <c r="AO849" s="304">
        <f t="shared" si="263"/>
        <v>0</v>
      </c>
      <c r="AP849" s="273">
        <f t="shared" si="265"/>
        <v>1</v>
      </c>
      <c r="AQ849" s="273" t="str">
        <f t="shared" ca="1" si="264"/>
        <v>11900</v>
      </c>
    </row>
    <row r="850" spans="1:43">
      <c r="A850" s="312">
        <v>41</v>
      </c>
      <c r="B850" s="273" t="s">
        <v>2379</v>
      </c>
      <c r="D850" s="273" t="s">
        <v>2380</v>
      </c>
      <c r="E850" s="440">
        <v>44817</v>
      </c>
      <c r="G850" s="306">
        <v>1500000</v>
      </c>
      <c r="H850" s="307">
        <v>270000</v>
      </c>
      <c r="I850" s="308">
        <v>1770000</v>
      </c>
      <c r="O850" s="594" t="s">
        <v>2424</v>
      </c>
      <c r="P850" s="794">
        <v>45640</v>
      </c>
      <c r="Q850" s="273" t="s">
        <v>2425</v>
      </c>
      <c r="R850" s="314">
        <v>354000</v>
      </c>
      <c r="T850" s="876">
        <v>15</v>
      </c>
      <c r="V850" s="340">
        <f t="shared" ca="1" si="251"/>
        <v>12</v>
      </c>
      <c r="W850" s="594">
        <f t="shared" ca="1" si="252"/>
        <v>2024</v>
      </c>
      <c r="X850" s="340" t="str">
        <f t="shared" ca="1" si="266"/>
        <v>5 WEEK</v>
      </c>
      <c r="Y850" s="794">
        <f t="shared" si="254"/>
        <v>45655</v>
      </c>
      <c r="Z850" s="541" cm="1">
        <f t="array" aca="1" ref="Z850" ca="1">_xlfn.IFS(AD850&lt;100,Y850,Y850&lt;TODAY(),TODAY(),Y850&gt;TODAY(),Y850,Y850=TODAY(),Y850)</f>
        <v>45655</v>
      </c>
      <c r="AD850" s="298">
        <f t="shared" si="258"/>
        <v>0</v>
      </c>
      <c r="AE850" s="299" t="str">
        <f t="shared" si="259"/>
        <v>Complete</v>
      </c>
      <c r="AI850" s="301">
        <f t="shared" ca="1" si="256"/>
        <v>0</v>
      </c>
      <c r="AJ850" s="302">
        <f t="shared" ca="1" si="257"/>
        <v>0</v>
      </c>
      <c r="AL850" s="303">
        <f t="shared" si="260"/>
        <v>1770000</v>
      </c>
      <c r="AM850" s="303">
        <f t="shared" si="261"/>
        <v>1416000</v>
      </c>
      <c r="AN850" s="303">
        <f t="shared" si="262"/>
        <v>354000</v>
      </c>
      <c r="AO850" s="304">
        <f t="shared" si="263"/>
        <v>0</v>
      </c>
      <c r="AP850" s="273">
        <f t="shared" si="265"/>
        <v>12</v>
      </c>
      <c r="AQ850" s="273" t="str">
        <f t="shared" ca="1" si="264"/>
        <v>122024</v>
      </c>
    </row>
    <row r="851" spans="1:43">
      <c r="A851" s="312">
        <v>41</v>
      </c>
      <c r="B851" s="273" t="s">
        <v>2379</v>
      </c>
      <c r="D851" s="273" t="s">
        <v>2380</v>
      </c>
      <c r="E851" s="440">
        <v>44817</v>
      </c>
      <c r="G851" s="306">
        <v>10561878</v>
      </c>
      <c r="H851" s="307">
        <v>1267425.3599999999</v>
      </c>
      <c r="I851" s="308">
        <v>11829303</v>
      </c>
      <c r="O851" s="594" t="s">
        <v>2426</v>
      </c>
      <c r="P851" s="447">
        <v>0</v>
      </c>
      <c r="R851" s="314">
        <v>11829303</v>
      </c>
      <c r="T851" s="876">
        <v>15</v>
      </c>
      <c r="V851" s="340">
        <f t="shared" ca="1" si="251"/>
        <v>1</v>
      </c>
      <c r="W851" s="594">
        <f t="shared" ca="1" si="252"/>
        <v>1900</v>
      </c>
      <c r="X851" s="340" t="str">
        <f t="shared" ca="1" si="266"/>
        <v>3 WEEK</v>
      </c>
      <c r="Y851" s="794">
        <f t="shared" si="254"/>
        <v>15</v>
      </c>
      <c r="Z851" s="541" cm="1">
        <f t="array" aca="1" ref="Z851" ca="1">_xlfn.IFS(AD851&lt;100,Y851,Y851&lt;TODAY(),TODAY(),Y851&gt;TODAY(),Y851,Y851=TODAY(),Y851)</f>
        <v>15</v>
      </c>
      <c r="AD851" s="298">
        <f t="shared" si="258"/>
        <v>0</v>
      </c>
      <c r="AE851" s="299" t="str">
        <f t="shared" si="259"/>
        <v>Complete</v>
      </c>
      <c r="AI851" s="301">
        <f t="shared" ca="1" si="256"/>
        <v>0</v>
      </c>
      <c r="AJ851" s="302">
        <f t="shared" ca="1" si="257"/>
        <v>0</v>
      </c>
      <c r="AL851" s="303">
        <f t="shared" si="260"/>
        <v>11829303</v>
      </c>
      <c r="AM851" s="303">
        <f t="shared" si="261"/>
        <v>0</v>
      </c>
      <c r="AN851" s="303">
        <f t="shared" si="262"/>
        <v>11829303</v>
      </c>
      <c r="AO851" s="304">
        <f t="shared" si="263"/>
        <v>0</v>
      </c>
      <c r="AP851" s="273">
        <f t="shared" si="265"/>
        <v>1</v>
      </c>
      <c r="AQ851" s="273" t="str">
        <f t="shared" ca="1" si="264"/>
        <v>11900</v>
      </c>
    </row>
    <row r="852" spans="1:43">
      <c r="O852" s="811"/>
      <c r="P852" s="447">
        <v>0</v>
      </c>
      <c r="V852" s="340">
        <f t="shared" ca="1" si="251"/>
        <v>1</v>
      </c>
      <c r="W852" s="594">
        <f t="shared" ca="1" si="252"/>
        <v>1900</v>
      </c>
      <c r="X852" s="340" t="str">
        <f t="shared" ca="1" si="266"/>
        <v>0 WEEK</v>
      </c>
      <c r="Y852" s="794">
        <f t="shared" si="254"/>
        <v>0</v>
      </c>
      <c r="Z852" s="541" cm="1">
        <f t="array" aca="1" ref="Z852" ca="1">_xlfn.IFS(AD852&lt;100,Y852,Y852&lt;TODAY(),TODAY(),Y852&gt;TODAY(),Y852,Y852=TODAY(),Y852)</f>
        <v>0</v>
      </c>
      <c r="AD852" s="298">
        <f t="shared" si="258"/>
        <v>0</v>
      </c>
      <c r="AE852" s="299" t="str">
        <f t="shared" si="259"/>
        <v>Complete</v>
      </c>
      <c r="AI852" s="301">
        <f t="shared" ca="1" si="256"/>
        <v>0</v>
      </c>
      <c r="AJ852" s="302">
        <f t="shared" ca="1" si="257"/>
        <v>0</v>
      </c>
      <c r="AL852" s="303">
        <f t="shared" si="260"/>
        <v>0</v>
      </c>
      <c r="AM852" s="303">
        <f t="shared" si="261"/>
        <v>0</v>
      </c>
      <c r="AN852" s="303">
        <f t="shared" si="262"/>
        <v>0</v>
      </c>
      <c r="AO852" s="304">
        <f t="shared" si="263"/>
        <v>0</v>
      </c>
      <c r="AP852" s="273">
        <f t="shared" si="265"/>
        <v>1</v>
      </c>
      <c r="AQ852" s="273" t="str">
        <f t="shared" ca="1" si="264"/>
        <v>11900</v>
      </c>
    </row>
    <row r="853" spans="1:43">
      <c r="A853" s="312">
        <v>42</v>
      </c>
      <c r="B853" s="273" t="s">
        <v>2379</v>
      </c>
      <c r="D853" s="273" t="s">
        <v>2380</v>
      </c>
      <c r="E853" s="440">
        <v>45724</v>
      </c>
      <c r="F853" s="739">
        <v>2.75</v>
      </c>
      <c r="G853" s="306">
        <v>182954.5</v>
      </c>
      <c r="H853" s="307">
        <v>32931.81</v>
      </c>
      <c r="I853" s="308">
        <v>215886.31</v>
      </c>
      <c r="N853" s="273" t="s">
        <v>2116</v>
      </c>
      <c r="O853" s="950" t="s">
        <v>2427</v>
      </c>
      <c r="P853" s="951">
        <v>45855</v>
      </c>
      <c r="Q853" s="952" t="s">
        <v>2428</v>
      </c>
      <c r="R853" s="314">
        <v>215886.31</v>
      </c>
      <c r="V853" s="340">
        <f t="shared" ca="1" si="251"/>
        <v>10</v>
      </c>
      <c r="W853" s="594">
        <f t="shared" ca="1" si="252"/>
        <v>2025</v>
      </c>
      <c r="X853" s="340" t="str">
        <f t="shared" ca="1" si="266"/>
        <v>1 WEEK</v>
      </c>
      <c r="Y853" s="794">
        <f t="shared" si="254"/>
        <v>45855</v>
      </c>
      <c r="Z853" s="541" cm="1">
        <f t="array" aca="1" ref="Z853" ca="1">_xlfn.IFS(AD853&lt;100,Y853,Y853&lt;TODAY(),TODAY(),Y853&gt;TODAY(),Y853,Y853=TODAY(),Y853)</f>
        <v>45935</v>
      </c>
      <c r="AA853" s="877">
        <v>215886.31</v>
      </c>
      <c r="AD853" s="298">
        <f t="shared" si="258"/>
        <v>215886</v>
      </c>
      <c r="AE853" s="299" t="str">
        <f t="shared" si="259"/>
        <v>Incomplete</v>
      </c>
      <c r="AI853" s="301">
        <f t="shared" ca="1" si="256"/>
        <v>80</v>
      </c>
      <c r="AJ853" s="302" t="str">
        <f t="shared" ca="1" si="257"/>
        <v>Delayed</v>
      </c>
      <c r="AL853" s="303">
        <f t="shared" si="260"/>
        <v>215886.31</v>
      </c>
      <c r="AM853" s="303">
        <f t="shared" si="261"/>
        <v>0</v>
      </c>
      <c r="AN853" s="303">
        <f t="shared" si="262"/>
        <v>215886.31</v>
      </c>
      <c r="AO853" s="304">
        <f t="shared" si="263"/>
        <v>0</v>
      </c>
      <c r="AP853" s="273">
        <f t="shared" si="265"/>
        <v>7</v>
      </c>
      <c r="AQ853" s="273" t="str">
        <f t="shared" ca="1" si="264"/>
        <v>72025</v>
      </c>
    </row>
    <row r="854" spans="1:43">
      <c r="A854" s="312">
        <v>42</v>
      </c>
      <c r="B854" s="273" t="s">
        <v>2379</v>
      </c>
      <c r="D854" s="273" t="s">
        <v>2380</v>
      </c>
      <c r="E854" s="440">
        <v>45724</v>
      </c>
      <c r="F854" s="739">
        <v>2.75</v>
      </c>
      <c r="G854" s="306">
        <v>182954.5</v>
      </c>
      <c r="H854" s="307">
        <v>32931.81</v>
      </c>
      <c r="I854" s="308">
        <v>215886.31</v>
      </c>
      <c r="N854" s="273" t="s">
        <v>2116</v>
      </c>
      <c r="O854" s="950" t="s">
        <v>2427</v>
      </c>
      <c r="P854" s="447"/>
      <c r="V854" s="340">
        <f t="shared" ca="1" si="251"/>
        <v>1</v>
      </c>
      <c r="W854" s="594">
        <f t="shared" ca="1" si="252"/>
        <v>1900</v>
      </c>
      <c r="X854" s="340" t="str">
        <f t="shared" ca="1" si="266"/>
        <v>0 WEEK</v>
      </c>
      <c r="Y854" s="794">
        <f t="shared" si="254"/>
        <v>0</v>
      </c>
      <c r="Z854" s="541" cm="1">
        <f t="array" aca="1" ref="Z854" ca="1">_xlfn.IFS(AD854&lt;100,Y854,Y854&lt;TODAY(),TODAY(),Y854&gt;TODAY(),Y854,Y854=TODAY(),Y854)</f>
        <v>0</v>
      </c>
      <c r="AD854" s="298">
        <f t="shared" si="258"/>
        <v>0</v>
      </c>
      <c r="AE854" s="299" t="str">
        <f t="shared" si="259"/>
        <v>Complete</v>
      </c>
      <c r="AI854" s="301">
        <f t="shared" ca="1" si="256"/>
        <v>0</v>
      </c>
      <c r="AJ854" s="302">
        <f t="shared" ca="1" si="257"/>
        <v>0</v>
      </c>
      <c r="AL854" s="303">
        <f t="shared" si="260"/>
        <v>215886.31</v>
      </c>
      <c r="AM854" s="303">
        <f t="shared" si="261"/>
        <v>215886.31</v>
      </c>
      <c r="AN854" s="303">
        <f t="shared" si="262"/>
        <v>0</v>
      </c>
      <c r="AO854" s="304">
        <f t="shared" si="263"/>
        <v>0</v>
      </c>
      <c r="AP854" s="273">
        <f t="shared" si="265"/>
        <v>1</v>
      </c>
      <c r="AQ854" s="273" t="str">
        <f t="shared" ca="1" si="264"/>
        <v>11900</v>
      </c>
    </row>
    <row r="855" spans="1:43">
      <c r="A855" s="312">
        <v>42</v>
      </c>
      <c r="B855" s="273" t="s">
        <v>2379</v>
      </c>
      <c r="D855" s="273" t="s">
        <v>2380</v>
      </c>
      <c r="E855" s="440">
        <v>45724</v>
      </c>
      <c r="F855" s="739">
        <v>2.75</v>
      </c>
      <c r="G855" s="306">
        <v>182954.5</v>
      </c>
      <c r="H855" s="307">
        <v>32931.81</v>
      </c>
      <c r="I855" s="308">
        <v>215886.31</v>
      </c>
      <c r="N855" s="273" t="s">
        <v>2116</v>
      </c>
      <c r="O855" s="950" t="s">
        <v>2427</v>
      </c>
      <c r="P855" s="447"/>
      <c r="V855" s="340">
        <f t="shared" ca="1" si="251"/>
        <v>1</v>
      </c>
      <c r="W855" s="594">
        <f t="shared" ca="1" si="252"/>
        <v>1900</v>
      </c>
      <c r="X855" s="340" t="str">
        <f t="shared" ca="1" si="266"/>
        <v>0 WEEK</v>
      </c>
      <c r="Y855" s="794">
        <f t="shared" si="254"/>
        <v>0</v>
      </c>
      <c r="Z855" s="541" cm="1">
        <f t="array" aca="1" ref="Z855" ca="1">_xlfn.IFS(AD855&lt;100,Y855,Y855&lt;TODAY(),TODAY(),Y855&gt;TODAY(),Y855,Y855=TODAY(),Y855)</f>
        <v>0</v>
      </c>
      <c r="AD855" s="298">
        <f t="shared" si="258"/>
        <v>0</v>
      </c>
      <c r="AE855" s="299" t="str">
        <f t="shared" si="259"/>
        <v>Complete</v>
      </c>
      <c r="AI855" s="301">
        <f t="shared" ca="1" si="256"/>
        <v>0</v>
      </c>
      <c r="AJ855" s="302">
        <f t="shared" ca="1" si="257"/>
        <v>0</v>
      </c>
      <c r="AL855" s="303">
        <f t="shared" si="260"/>
        <v>215886.31</v>
      </c>
      <c r="AM855" s="303">
        <f t="shared" si="261"/>
        <v>215886.31</v>
      </c>
      <c r="AN855" s="303">
        <f t="shared" si="262"/>
        <v>0</v>
      </c>
      <c r="AO855" s="304">
        <f t="shared" si="263"/>
        <v>0</v>
      </c>
      <c r="AP855" s="273">
        <f t="shared" si="265"/>
        <v>1</v>
      </c>
      <c r="AQ855" s="273" t="str">
        <f t="shared" ca="1" si="264"/>
        <v>11900</v>
      </c>
    </row>
    <row r="856" spans="1:43">
      <c r="A856" s="312">
        <v>42</v>
      </c>
      <c r="B856" s="273" t="s">
        <v>2379</v>
      </c>
      <c r="D856" s="273" t="s">
        <v>2380</v>
      </c>
      <c r="E856" s="440">
        <v>45724</v>
      </c>
      <c r="F856" s="739">
        <v>2.75</v>
      </c>
      <c r="G856" s="306">
        <v>182954.5</v>
      </c>
      <c r="H856" s="307">
        <v>32931.81</v>
      </c>
      <c r="I856" s="308">
        <v>215886.31</v>
      </c>
      <c r="N856" s="273" t="s">
        <v>2116</v>
      </c>
      <c r="O856" s="950" t="s">
        <v>2427</v>
      </c>
      <c r="P856" s="447"/>
      <c r="V856" s="340">
        <f t="shared" ca="1" si="251"/>
        <v>1</v>
      </c>
      <c r="W856" s="594">
        <f t="shared" ca="1" si="252"/>
        <v>1900</v>
      </c>
      <c r="X856" s="340" t="str">
        <f t="shared" ca="1" si="266"/>
        <v>0 WEEK</v>
      </c>
      <c r="Y856" s="794">
        <f t="shared" si="254"/>
        <v>0</v>
      </c>
      <c r="Z856" s="541" cm="1">
        <f t="array" aca="1" ref="Z856" ca="1">_xlfn.IFS(AD856&lt;100,Y856,Y856&lt;TODAY(),TODAY(),Y856&gt;TODAY(),Y856,Y856=TODAY(),Y856)</f>
        <v>0</v>
      </c>
      <c r="AD856" s="298">
        <f t="shared" si="258"/>
        <v>0</v>
      </c>
      <c r="AE856" s="299" t="str">
        <f t="shared" si="259"/>
        <v>Complete</v>
      </c>
      <c r="AI856" s="301">
        <f t="shared" ca="1" si="256"/>
        <v>0</v>
      </c>
      <c r="AJ856" s="302">
        <f t="shared" ca="1" si="257"/>
        <v>0</v>
      </c>
      <c r="AL856" s="303">
        <f t="shared" si="260"/>
        <v>215886.31</v>
      </c>
      <c r="AM856" s="303">
        <f t="shared" si="261"/>
        <v>215886.31</v>
      </c>
      <c r="AN856" s="303">
        <f t="shared" si="262"/>
        <v>0</v>
      </c>
      <c r="AO856" s="304">
        <f t="shared" si="263"/>
        <v>0</v>
      </c>
      <c r="AP856" s="273">
        <f t="shared" si="265"/>
        <v>1</v>
      </c>
      <c r="AQ856" s="273" t="str">
        <f t="shared" ca="1" si="264"/>
        <v>11900</v>
      </c>
    </row>
    <row r="857" spans="1:43">
      <c r="A857" s="312">
        <v>42</v>
      </c>
      <c r="B857" s="273" t="s">
        <v>2379</v>
      </c>
      <c r="D857" s="273" t="s">
        <v>2380</v>
      </c>
      <c r="E857" s="440">
        <v>45724</v>
      </c>
      <c r="F857" s="739">
        <v>2.75</v>
      </c>
      <c r="G857" s="306">
        <v>182954.5</v>
      </c>
      <c r="H857" s="307">
        <v>32931.81</v>
      </c>
      <c r="I857" s="308">
        <v>215886.31</v>
      </c>
      <c r="N857" s="273" t="s">
        <v>2116</v>
      </c>
      <c r="O857" s="950" t="s">
        <v>2427</v>
      </c>
      <c r="P857" s="447"/>
      <c r="V857" s="340">
        <f t="shared" ca="1" si="251"/>
        <v>1</v>
      </c>
      <c r="W857" s="594">
        <f t="shared" ca="1" si="252"/>
        <v>1900</v>
      </c>
      <c r="X857" s="340" t="str">
        <f t="shared" ca="1" si="266"/>
        <v>0 WEEK</v>
      </c>
      <c r="Y857" s="794">
        <f t="shared" si="254"/>
        <v>0</v>
      </c>
      <c r="Z857" s="541" cm="1">
        <f t="array" aca="1" ref="Z857" ca="1">_xlfn.IFS(AD857&lt;100,Y857,Y857&lt;TODAY(),TODAY(),Y857&gt;TODAY(),Y857,Y857=TODAY(),Y857)</f>
        <v>0</v>
      </c>
      <c r="AD857" s="298">
        <f t="shared" si="258"/>
        <v>0</v>
      </c>
      <c r="AE857" s="299" t="str">
        <f t="shared" si="259"/>
        <v>Complete</v>
      </c>
      <c r="AI857" s="301">
        <f t="shared" ca="1" si="256"/>
        <v>0</v>
      </c>
      <c r="AJ857" s="302">
        <f t="shared" ca="1" si="257"/>
        <v>0</v>
      </c>
      <c r="AL857" s="303">
        <f t="shared" si="260"/>
        <v>215886.31</v>
      </c>
      <c r="AM857" s="303">
        <f t="shared" si="261"/>
        <v>215886.31</v>
      </c>
      <c r="AN857" s="303">
        <f t="shared" si="262"/>
        <v>0</v>
      </c>
      <c r="AO857" s="304">
        <f t="shared" si="263"/>
        <v>0</v>
      </c>
      <c r="AP857" s="273">
        <f t="shared" si="265"/>
        <v>1</v>
      </c>
      <c r="AQ857" s="273" t="str">
        <f t="shared" ca="1" si="264"/>
        <v>11900</v>
      </c>
    </row>
    <row r="858" spans="1:43">
      <c r="A858" s="312">
        <v>42</v>
      </c>
      <c r="B858" s="273" t="s">
        <v>2379</v>
      </c>
      <c r="D858" s="273" t="s">
        <v>2380</v>
      </c>
      <c r="E858" s="440">
        <v>45724</v>
      </c>
      <c r="F858" s="739">
        <v>2.75</v>
      </c>
      <c r="G858" s="306">
        <v>182954.5</v>
      </c>
      <c r="H858" s="307">
        <v>32931.81</v>
      </c>
      <c r="I858" s="308">
        <v>215886.31</v>
      </c>
      <c r="N858" s="273" t="s">
        <v>2116</v>
      </c>
      <c r="O858" s="950" t="s">
        <v>2427</v>
      </c>
      <c r="P858" s="447"/>
      <c r="V858" s="340">
        <f t="shared" ca="1" si="251"/>
        <v>1</v>
      </c>
      <c r="W858" s="594">
        <f t="shared" ca="1" si="252"/>
        <v>1900</v>
      </c>
      <c r="X858" s="340" t="str">
        <f t="shared" ca="1" si="266"/>
        <v>0 WEEK</v>
      </c>
      <c r="Y858" s="794">
        <f t="shared" si="254"/>
        <v>0</v>
      </c>
      <c r="Z858" s="541" cm="1">
        <f t="array" aca="1" ref="Z858" ca="1">_xlfn.IFS(AD858&lt;100,Y858,Y858&lt;TODAY(),TODAY(),Y858&gt;TODAY(),Y858,Y858=TODAY(),Y858)</f>
        <v>0</v>
      </c>
      <c r="AD858" s="298">
        <f t="shared" si="258"/>
        <v>0</v>
      </c>
      <c r="AE858" s="299" t="str">
        <f t="shared" si="259"/>
        <v>Complete</v>
      </c>
      <c r="AI858" s="301">
        <f t="shared" ca="1" si="256"/>
        <v>0</v>
      </c>
      <c r="AJ858" s="302">
        <f t="shared" ca="1" si="257"/>
        <v>0</v>
      </c>
      <c r="AL858" s="303">
        <f t="shared" si="260"/>
        <v>215886.31</v>
      </c>
      <c r="AM858" s="303">
        <f t="shared" si="261"/>
        <v>215886.31</v>
      </c>
      <c r="AN858" s="303">
        <f t="shared" si="262"/>
        <v>0</v>
      </c>
      <c r="AO858" s="304">
        <f t="shared" si="263"/>
        <v>0</v>
      </c>
      <c r="AP858" s="273">
        <f t="shared" si="265"/>
        <v>1</v>
      </c>
      <c r="AQ858" s="273" t="str">
        <f t="shared" ca="1" si="264"/>
        <v>11900</v>
      </c>
    </row>
    <row r="859" spans="1:43">
      <c r="A859" s="312">
        <v>42</v>
      </c>
      <c r="B859" s="273" t="s">
        <v>2379</v>
      </c>
      <c r="D859" s="273" t="s">
        <v>2380</v>
      </c>
      <c r="E859" s="440">
        <v>45724</v>
      </c>
      <c r="F859" s="739">
        <v>2.75</v>
      </c>
      <c r="G859" s="306">
        <v>182954.5</v>
      </c>
      <c r="H859" s="307">
        <v>32931.81</v>
      </c>
      <c r="I859" s="308">
        <v>215886.31</v>
      </c>
      <c r="N859" s="273" t="s">
        <v>2116</v>
      </c>
      <c r="O859" s="950" t="s">
        <v>2427</v>
      </c>
      <c r="P859" s="447"/>
      <c r="V859" s="340">
        <f t="shared" ca="1" si="251"/>
        <v>1</v>
      </c>
      <c r="W859" s="594">
        <f t="shared" ca="1" si="252"/>
        <v>1900</v>
      </c>
      <c r="X859" s="340" t="str">
        <f t="shared" ca="1" si="266"/>
        <v>0 WEEK</v>
      </c>
      <c r="Y859" s="794">
        <f t="shared" si="254"/>
        <v>0</v>
      </c>
      <c r="Z859" s="541" cm="1">
        <f t="array" aca="1" ref="Z859" ca="1">_xlfn.IFS(AD859&lt;100,Y859,Y859&lt;TODAY(),TODAY(),Y859&gt;TODAY(),Y859,Y859=TODAY(),Y859)</f>
        <v>0</v>
      </c>
      <c r="AD859" s="298">
        <f t="shared" si="258"/>
        <v>0</v>
      </c>
      <c r="AE859" s="299" t="str">
        <f t="shared" si="259"/>
        <v>Complete</v>
      </c>
      <c r="AI859" s="301">
        <f t="shared" ca="1" si="256"/>
        <v>0</v>
      </c>
      <c r="AJ859" s="302">
        <f t="shared" ca="1" si="257"/>
        <v>0</v>
      </c>
      <c r="AL859" s="303">
        <f t="shared" si="260"/>
        <v>215886.31</v>
      </c>
      <c r="AM859" s="303">
        <f t="shared" si="261"/>
        <v>215886.31</v>
      </c>
      <c r="AN859" s="303">
        <f t="shared" si="262"/>
        <v>0</v>
      </c>
      <c r="AO859" s="304">
        <f t="shared" si="263"/>
        <v>0</v>
      </c>
      <c r="AP859" s="273">
        <f t="shared" si="265"/>
        <v>1</v>
      </c>
      <c r="AQ859" s="273" t="str">
        <f t="shared" ca="1" si="264"/>
        <v>11900</v>
      </c>
    </row>
    <row r="860" spans="1:43">
      <c r="A860" s="312">
        <v>42</v>
      </c>
      <c r="B860" s="273" t="s">
        <v>2379</v>
      </c>
      <c r="D860" s="273" t="s">
        <v>2380</v>
      </c>
      <c r="E860" s="440">
        <v>45724</v>
      </c>
      <c r="F860" s="739">
        <v>2.75</v>
      </c>
      <c r="G860" s="306">
        <v>182954.5</v>
      </c>
      <c r="H860" s="307">
        <v>32931.81</v>
      </c>
      <c r="I860" s="308">
        <v>215886.31</v>
      </c>
      <c r="P860" s="447"/>
      <c r="V860" s="340">
        <f t="shared" ca="1" si="251"/>
        <v>1</v>
      </c>
      <c r="W860" s="594">
        <f t="shared" ca="1" si="252"/>
        <v>1900</v>
      </c>
      <c r="X860" s="340" t="str">
        <f t="shared" ca="1" si="266"/>
        <v>0 WEEK</v>
      </c>
      <c r="Y860" s="794">
        <f t="shared" si="254"/>
        <v>0</v>
      </c>
      <c r="Z860" s="541" cm="1">
        <f t="array" aca="1" ref="Z860" ca="1">_xlfn.IFS(AD860&lt;100,Y860,Y860&lt;TODAY(),TODAY(),Y860&gt;TODAY(),Y860,Y860=TODAY(),Y860)</f>
        <v>0</v>
      </c>
      <c r="AD860" s="298">
        <f t="shared" si="258"/>
        <v>0</v>
      </c>
      <c r="AE860" s="299" t="str">
        <f t="shared" si="259"/>
        <v>Complete</v>
      </c>
      <c r="AI860" s="301">
        <f t="shared" ca="1" si="256"/>
        <v>0</v>
      </c>
      <c r="AJ860" s="302">
        <f t="shared" ca="1" si="257"/>
        <v>0</v>
      </c>
      <c r="AL860" s="303">
        <f t="shared" si="260"/>
        <v>215886.31</v>
      </c>
      <c r="AM860" s="303">
        <f t="shared" si="261"/>
        <v>215886.31</v>
      </c>
      <c r="AN860" s="303">
        <f t="shared" si="262"/>
        <v>0</v>
      </c>
      <c r="AO860" s="304">
        <f t="shared" si="263"/>
        <v>0</v>
      </c>
      <c r="AP860" s="273">
        <f t="shared" si="265"/>
        <v>1</v>
      </c>
      <c r="AQ860" s="273" t="str">
        <f t="shared" ca="1" si="264"/>
        <v>11900</v>
      </c>
    </row>
    <row r="861" spans="1:43">
      <c r="P861" s="447"/>
      <c r="V861" s="340">
        <f t="shared" ca="1" si="251"/>
        <v>1</v>
      </c>
      <c r="W861" s="594">
        <f t="shared" ca="1" si="252"/>
        <v>1900</v>
      </c>
      <c r="X861" s="340" t="str">
        <f t="shared" ca="1" si="266"/>
        <v>0 WEEK</v>
      </c>
      <c r="Y861" s="794">
        <f t="shared" si="254"/>
        <v>0</v>
      </c>
      <c r="Z861" s="541" cm="1">
        <f t="array" aca="1" ref="Z861" ca="1">_xlfn.IFS(AD861&lt;100,Y861,Y861&lt;TODAY(),TODAY(),Y861&gt;TODAY(),Y861,Y861=TODAY(),Y861)</f>
        <v>0</v>
      </c>
      <c r="AD861" s="298">
        <f t="shared" si="258"/>
        <v>0</v>
      </c>
      <c r="AE861" s="299" t="str">
        <f t="shared" si="259"/>
        <v>Complete</v>
      </c>
      <c r="AI861" s="301">
        <f t="shared" ca="1" si="256"/>
        <v>0</v>
      </c>
      <c r="AJ861" s="302">
        <f t="shared" ca="1" si="257"/>
        <v>0</v>
      </c>
      <c r="AL861" s="303">
        <f t="shared" si="260"/>
        <v>0</v>
      </c>
      <c r="AM861" s="303">
        <f t="shared" si="261"/>
        <v>0</v>
      </c>
      <c r="AN861" s="303">
        <f t="shared" si="262"/>
        <v>0</v>
      </c>
      <c r="AO861" s="304">
        <f t="shared" si="263"/>
        <v>0</v>
      </c>
      <c r="AP861" s="273">
        <f t="shared" si="265"/>
        <v>1</v>
      </c>
      <c r="AQ861" s="273" t="str">
        <f t="shared" ca="1" si="264"/>
        <v>11900</v>
      </c>
    </row>
    <row r="862" spans="1:43">
      <c r="A862" s="312">
        <f>A860+1</f>
        <v>43</v>
      </c>
      <c r="B862" s="273" t="s">
        <v>2379</v>
      </c>
      <c r="D862" s="273" t="s">
        <v>2380</v>
      </c>
      <c r="E862" s="440">
        <v>45517</v>
      </c>
      <c r="F862" s="739">
        <f>516/1000</f>
        <v>0.51600000000000001</v>
      </c>
      <c r="G862" s="306">
        <v>75000</v>
      </c>
      <c r="H862" s="307">
        <v>13500</v>
      </c>
      <c r="I862" s="308">
        <v>88500</v>
      </c>
      <c r="N862" s="273" t="s">
        <v>2116</v>
      </c>
      <c r="O862" s="950" t="s">
        <v>2429</v>
      </c>
      <c r="P862" s="953">
        <v>45855</v>
      </c>
      <c r="Q862" s="954" t="s">
        <v>2430</v>
      </c>
      <c r="R862" s="314">
        <v>88500</v>
      </c>
      <c r="V862" s="340">
        <f t="shared" ca="1" si="251"/>
        <v>10</v>
      </c>
      <c r="W862" s="594">
        <f t="shared" ca="1" si="252"/>
        <v>2025</v>
      </c>
      <c r="X862" s="340" t="str">
        <f t="shared" ca="1" si="266"/>
        <v>1 WEEK</v>
      </c>
      <c r="Y862" s="794">
        <f t="shared" si="254"/>
        <v>45855</v>
      </c>
      <c r="Z862" s="541" cm="1">
        <f t="array" aca="1" ref="Z862" ca="1">_xlfn.IFS(AD862&lt;100,Y862,Y862&lt;TODAY(),TODAY(),Y862&gt;TODAY(),Y862,Y862=TODAY(),Y862)</f>
        <v>45935</v>
      </c>
      <c r="AA862" s="877">
        <v>88500</v>
      </c>
      <c r="AD862" s="298">
        <f t="shared" si="258"/>
        <v>88500</v>
      </c>
      <c r="AE862" s="299" t="str">
        <f t="shared" si="259"/>
        <v>Incomplete</v>
      </c>
      <c r="AI862" s="301">
        <f t="shared" ca="1" si="256"/>
        <v>80</v>
      </c>
      <c r="AJ862" s="302" t="str">
        <f t="shared" ca="1" si="257"/>
        <v>Delayed</v>
      </c>
      <c r="AL862" s="303">
        <f t="shared" si="260"/>
        <v>88500</v>
      </c>
      <c r="AM862" s="303">
        <f t="shared" si="261"/>
        <v>0</v>
      </c>
      <c r="AN862" s="303">
        <f t="shared" si="262"/>
        <v>88500</v>
      </c>
      <c r="AO862" s="304">
        <f t="shared" si="263"/>
        <v>0</v>
      </c>
      <c r="AP862" s="273">
        <f t="shared" si="265"/>
        <v>7</v>
      </c>
      <c r="AQ862" s="273" t="str">
        <f t="shared" ca="1" si="264"/>
        <v>72025</v>
      </c>
    </row>
    <row r="863" spans="1:43">
      <c r="B863" s="273" t="s">
        <v>2379</v>
      </c>
      <c r="D863" s="273" t="s">
        <v>2380</v>
      </c>
      <c r="E863" s="440">
        <v>45517</v>
      </c>
      <c r="F863" s="739">
        <f t="shared" ref="F863:F869" si="267">516/1000</f>
        <v>0.51600000000000001</v>
      </c>
      <c r="G863" s="306">
        <v>75000</v>
      </c>
      <c r="H863" s="307">
        <v>13500</v>
      </c>
      <c r="I863" s="308">
        <v>88500</v>
      </c>
      <c r="N863" s="273" t="s">
        <v>2116</v>
      </c>
      <c r="O863" s="950" t="s">
        <v>2429</v>
      </c>
      <c r="P863" s="447"/>
      <c r="V863" s="340">
        <f t="shared" ca="1" si="251"/>
        <v>1</v>
      </c>
      <c r="W863" s="594">
        <f t="shared" ca="1" si="252"/>
        <v>1900</v>
      </c>
      <c r="X863" s="340" t="str">
        <f t="shared" ca="1" si="266"/>
        <v>0 WEEK</v>
      </c>
      <c r="Y863" s="794">
        <f t="shared" si="254"/>
        <v>0</v>
      </c>
      <c r="Z863" s="541" cm="1">
        <f t="array" aca="1" ref="Z863" ca="1">_xlfn.IFS(AD863&lt;100,Y863,Y863&lt;TODAY(),TODAY(),Y863&gt;TODAY(),Y863,Y863=TODAY(),Y863)</f>
        <v>0</v>
      </c>
      <c r="AD863" s="298">
        <f t="shared" si="258"/>
        <v>0</v>
      </c>
      <c r="AE863" s="299" t="str">
        <f t="shared" si="259"/>
        <v>Complete</v>
      </c>
      <c r="AI863" s="301">
        <f t="shared" ca="1" si="256"/>
        <v>0</v>
      </c>
      <c r="AJ863" s="302">
        <f t="shared" ca="1" si="257"/>
        <v>0</v>
      </c>
      <c r="AL863" s="303">
        <f t="shared" si="260"/>
        <v>88500</v>
      </c>
      <c r="AM863" s="303">
        <f t="shared" si="261"/>
        <v>88500</v>
      </c>
      <c r="AN863" s="303">
        <f t="shared" si="262"/>
        <v>0</v>
      </c>
      <c r="AO863" s="304">
        <f t="shared" si="263"/>
        <v>0</v>
      </c>
      <c r="AP863" s="273">
        <f t="shared" si="265"/>
        <v>1</v>
      </c>
      <c r="AQ863" s="273" t="str">
        <f t="shared" ca="1" si="264"/>
        <v>11900</v>
      </c>
    </row>
    <row r="864" spans="1:43">
      <c r="B864" s="273" t="s">
        <v>2379</v>
      </c>
      <c r="D864" s="273" t="s">
        <v>2380</v>
      </c>
      <c r="E864" s="440">
        <v>45517</v>
      </c>
      <c r="F864" s="739">
        <f t="shared" si="267"/>
        <v>0.51600000000000001</v>
      </c>
      <c r="G864" s="306">
        <v>75000</v>
      </c>
      <c r="H864" s="307">
        <v>13500</v>
      </c>
      <c r="I864" s="308">
        <v>88500</v>
      </c>
      <c r="N864" s="273" t="s">
        <v>2116</v>
      </c>
      <c r="O864" s="950" t="s">
        <v>2429</v>
      </c>
      <c r="P864" s="447"/>
      <c r="V864" s="340">
        <f t="shared" ca="1" si="251"/>
        <v>1</v>
      </c>
      <c r="W864" s="594">
        <f t="shared" ca="1" si="252"/>
        <v>1900</v>
      </c>
      <c r="X864" s="340" t="str">
        <f t="shared" ca="1" si="266"/>
        <v>0 WEEK</v>
      </c>
      <c r="Y864" s="794">
        <f t="shared" si="254"/>
        <v>0</v>
      </c>
      <c r="Z864" s="541" cm="1">
        <f t="array" aca="1" ref="Z864" ca="1">_xlfn.IFS(AD864&lt;100,Y864,Y864&lt;TODAY(),TODAY(),Y864&gt;TODAY(),Y864,Y864=TODAY(),Y864)</f>
        <v>0</v>
      </c>
      <c r="AD864" s="298">
        <f t="shared" si="258"/>
        <v>0</v>
      </c>
      <c r="AE864" s="299" t="str">
        <f t="shared" si="259"/>
        <v>Complete</v>
      </c>
      <c r="AI864" s="301">
        <f t="shared" ca="1" si="256"/>
        <v>0</v>
      </c>
      <c r="AJ864" s="302">
        <f t="shared" ca="1" si="257"/>
        <v>0</v>
      </c>
      <c r="AL864" s="303">
        <f t="shared" si="260"/>
        <v>88500</v>
      </c>
      <c r="AM864" s="303">
        <f t="shared" si="261"/>
        <v>88500</v>
      </c>
      <c r="AN864" s="303">
        <f t="shared" si="262"/>
        <v>0</v>
      </c>
      <c r="AO864" s="304">
        <f t="shared" si="263"/>
        <v>0</v>
      </c>
      <c r="AP864" s="273">
        <f t="shared" si="265"/>
        <v>1</v>
      </c>
      <c r="AQ864" s="273" t="str">
        <f t="shared" ca="1" si="264"/>
        <v>11900</v>
      </c>
    </row>
    <row r="865" spans="1:43">
      <c r="B865" s="273" t="s">
        <v>2379</v>
      </c>
      <c r="D865" s="273" t="s">
        <v>2380</v>
      </c>
      <c r="E865" s="440">
        <v>45517</v>
      </c>
      <c r="F865" s="739">
        <f t="shared" si="267"/>
        <v>0.51600000000000001</v>
      </c>
      <c r="G865" s="306">
        <v>75000</v>
      </c>
      <c r="H865" s="307">
        <v>13500</v>
      </c>
      <c r="I865" s="308">
        <v>88500</v>
      </c>
      <c r="N865" s="273" t="s">
        <v>2116</v>
      </c>
      <c r="O865" s="950" t="s">
        <v>2429</v>
      </c>
      <c r="P865" s="447"/>
      <c r="V865" s="340">
        <f t="shared" ca="1" si="251"/>
        <v>1</v>
      </c>
      <c r="W865" s="594">
        <f t="shared" ca="1" si="252"/>
        <v>1900</v>
      </c>
      <c r="X865" s="340" t="str">
        <f t="shared" ca="1" si="266"/>
        <v>0 WEEK</v>
      </c>
      <c r="Y865" s="794">
        <f t="shared" si="254"/>
        <v>0</v>
      </c>
      <c r="Z865" s="541" cm="1">
        <f t="array" aca="1" ref="Z865" ca="1">_xlfn.IFS(AD865&lt;100,Y865,Y865&lt;TODAY(),TODAY(),Y865&gt;TODAY(),Y865,Y865=TODAY(),Y865)</f>
        <v>0</v>
      </c>
      <c r="AD865" s="298">
        <f t="shared" si="258"/>
        <v>0</v>
      </c>
      <c r="AE865" s="299" t="str">
        <f t="shared" si="259"/>
        <v>Complete</v>
      </c>
      <c r="AI865" s="301">
        <f t="shared" ca="1" si="256"/>
        <v>0</v>
      </c>
      <c r="AJ865" s="302">
        <f t="shared" ca="1" si="257"/>
        <v>0</v>
      </c>
      <c r="AL865" s="303">
        <f t="shared" si="260"/>
        <v>88500</v>
      </c>
      <c r="AM865" s="303">
        <f t="shared" si="261"/>
        <v>88500</v>
      </c>
      <c r="AN865" s="303">
        <f t="shared" si="262"/>
        <v>0</v>
      </c>
      <c r="AO865" s="304">
        <f t="shared" si="263"/>
        <v>0</v>
      </c>
      <c r="AP865" s="273">
        <f t="shared" si="265"/>
        <v>1</v>
      </c>
      <c r="AQ865" s="273" t="str">
        <f t="shared" ca="1" si="264"/>
        <v>11900</v>
      </c>
    </row>
    <row r="866" spans="1:43">
      <c r="B866" s="273" t="s">
        <v>2379</v>
      </c>
      <c r="D866" s="273" t="s">
        <v>2380</v>
      </c>
      <c r="E866" s="440">
        <v>45517</v>
      </c>
      <c r="F866" s="739">
        <f t="shared" si="267"/>
        <v>0.51600000000000001</v>
      </c>
      <c r="G866" s="306">
        <v>75000</v>
      </c>
      <c r="H866" s="307">
        <v>13500</v>
      </c>
      <c r="I866" s="308">
        <v>88500</v>
      </c>
      <c r="N866" s="273" t="s">
        <v>2116</v>
      </c>
      <c r="O866" s="950" t="s">
        <v>2429</v>
      </c>
      <c r="P866" s="447"/>
      <c r="V866" s="340">
        <f t="shared" ca="1" si="251"/>
        <v>1</v>
      </c>
      <c r="W866" s="594">
        <f t="shared" ca="1" si="252"/>
        <v>1900</v>
      </c>
      <c r="X866" s="340" t="str">
        <f t="shared" ca="1" si="266"/>
        <v>0 WEEK</v>
      </c>
      <c r="Y866" s="794">
        <f t="shared" si="254"/>
        <v>0</v>
      </c>
      <c r="Z866" s="541" cm="1">
        <f t="array" aca="1" ref="Z866" ca="1">_xlfn.IFS(AD866&lt;100,Y866,Y866&lt;TODAY(),TODAY(),Y866&gt;TODAY(),Y866,Y866=TODAY(),Y866)</f>
        <v>0</v>
      </c>
      <c r="AD866" s="298">
        <f t="shared" si="258"/>
        <v>0</v>
      </c>
      <c r="AE866" s="299" t="str">
        <f t="shared" si="259"/>
        <v>Complete</v>
      </c>
      <c r="AI866" s="301">
        <f t="shared" ca="1" si="256"/>
        <v>0</v>
      </c>
      <c r="AJ866" s="302">
        <f t="shared" ca="1" si="257"/>
        <v>0</v>
      </c>
      <c r="AL866" s="303">
        <f t="shared" si="260"/>
        <v>88500</v>
      </c>
      <c r="AM866" s="303">
        <f t="shared" si="261"/>
        <v>88500</v>
      </c>
      <c r="AN866" s="303">
        <f t="shared" si="262"/>
        <v>0</v>
      </c>
      <c r="AO866" s="304">
        <f t="shared" si="263"/>
        <v>0</v>
      </c>
      <c r="AP866" s="273">
        <f t="shared" si="265"/>
        <v>1</v>
      </c>
      <c r="AQ866" s="273" t="str">
        <f t="shared" ca="1" si="264"/>
        <v>11900</v>
      </c>
    </row>
    <row r="867" spans="1:43">
      <c r="B867" s="273" t="s">
        <v>2379</v>
      </c>
      <c r="D867" s="273" t="s">
        <v>2380</v>
      </c>
      <c r="E867" s="440">
        <v>45517</v>
      </c>
      <c r="F867" s="739">
        <f t="shared" si="267"/>
        <v>0.51600000000000001</v>
      </c>
      <c r="G867" s="306">
        <v>75000</v>
      </c>
      <c r="H867" s="307">
        <v>13500</v>
      </c>
      <c r="I867" s="308">
        <v>88500</v>
      </c>
      <c r="N867" s="273" t="s">
        <v>2116</v>
      </c>
      <c r="O867" s="950" t="s">
        <v>2429</v>
      </c>
      <c r="P867" s="447"/>
      <c r="V867" s="340">
        <f t="shared" ca="1" si="251"/>
        <v>1</v>
      </c>
      <c r="W867" s="594">
        <f t="shared" ca="1" si="252"/>
        <v>1900</v>
      </c>
      <c r="X867" s="340" t="str">
        <f t="shared" ca="1" si="266"/>
        <v>0 WEEK</v>
      </c>
      <c r="Y867" s="794">
        <f t="shared" si="254"/>
        <v>0</v>
      </c>
      <c r="Z867" s="541" cm="1">
        <f t="array" aca="1" ref="Z867" ca="1">_xlfn.IFS(AD867&lt;100,Y867,Y867&lt;TODAY(),TODAY(),Y867&gt;TODAY(),Y867,Y867=TODAY(),Y867)</f>
        <v>0</v>
      </c>
      <c r="AD867" s="298">
        <f t="shared" si="258"/>
        <v>0</v>
      </c>
      <c r="AE867" s="299" t="str">
        <f t="shared" si="259"/>
        <v>Complete</v>
      </c>
      <c r="AI867" s="301">
        <f t="shared" ca="1" si="256"/>
        <v>0</v>
      </c>
      <c r="AJ867" s="302">
        <f t="shared" ca="1" si="257"/>
        <v>0</v>
      </c>
      <c r="AL867" s="303">
        <f t="shared" si="260"/>
        <v>88500</v>
      </c>
      <c r="AM867" s="303">
        <f t="shared" si="261"/>
        <v>88500</v>
      </c>
      <c r="AN867" s="303">
        <f t="shared" si="262"/>
        <v>0</v>
      </c>
      <c r="AO867" s="304">
        <f t="shared" si="263"/>
        <v>0</v>
      </c>
      <c r="AP867" s="273">
        <f t="shared" si="265"/>
        <v>1</v>
      </c>
      <c r="AQ867" s="273" t="str">
        <f t="shared" ca="1" si="264"/>
        <v>11900</v>
      </c>
    </row>
    <row r="868" spans="1:43">
      <c r="B868" s="273" t="s">
        <v>2379</v>
      </c>
      <c r="D868" s="273" t="s">
        <v>2380</v>
      </c>
      <c r="E868" s="440">
        <v>45517</v>
      </c>
      <c r="F868" s="739">
        <f t="shared" si="267"/>
        <v>0.51600000000000001</v>
      </c>
      <c r="G868" s="306">
        <v>75000</v>
      </c>
      <c r="H868" s="307">
        <v>13500</v>
      </c>
      <c r="I868" s="308">
        <v>88500</v>
      </c>
      <c r="N868" s="273" t="s">
        <v>2116</v>
      </c>
      <c r="O868" s="950" t="s">
        <v>2429</v>
      </c>
      <c r="P868" s="447"/>
      <c r="V868" s="340">
        <f t="shared" ref="V868:V921" ca="1" si="268">MONTH(Z868)</f>
        <v>1</v>
      </c>
      <c r="W868" s="594">
        <f t="shared" ref="W868:W921" ca="1" si="269">YEAR(Z868)</f>
        <v>1900</v>
      </c>
      <c r="X868" s="340" t="str">
        <f t="shared" ca="1" si="266"/>
        <v>0 WEEK</v>
      </c>
      <c r="Y868" s="794">
        <f t="shared" si="254"/>
        <v>0</v>
      </c>
      <c r="Z868" s="541" cm="1">
        <f t="array" aca="1" ref="Z868" ca="1">_xlfn.IFS(AD868&lt;100,Y868,Y868&lt;TODAY(),TODAY(),Y868&gt;TODAY(),Y868,Y868=TODAY(),Y868)</f>
        <v>0</v>
      </c>
      <c r="AD868" s="298">
        <f t="shared" si="258"/>
        <v>0</v>
      </c>
      <c r="AE868" s="299" t="str">
        <f t="shared" si="259"/>
        <v>Complete</v>
      </c>
      <c r="AI868" s="301">
        <f t="shared" ca="1" si="256"/>
        <v>0</v>
      </c>
      <c r="AJ868" s="302">
        <f t="shared" ca="1" si="257"/>
        <v>0</v>
      </c>
      <c r="AL868" s="303">
        <f t="shared" si="260"/>
        <v>88500</v>
      </c>
      <c r="AM868" s="303">
        <f t="shared" si="261"/>
        <v>88500</v>
      </c>
      <c r="AN868" s="303">
        <f t="shared" si="262"/>
        <v>0</v>
      </c>
      <c r="AO868" s="304">
        <f t="shared" si="263"/>
        <v>0</v>
      </c>
      <c r="AP868" s="273">
        <f t="shared" si="265"/>
        <v>1</v>
      </c>
      <c r="AQ868" s="273" t="str">
        <f t="shared" ca="1" si="264"/>
        <v>11900</v>
      </c>
    </row>
    <row r="869" spans="1:43">
      <c r="B869" s="273" t="s">
        <v>2379</v>
      </c>
      <c r="D869" s="273" t="s">
        <v>2380</v>
      </c>
      <c r="E869" s="440">
        <v>45517</v>
      </c>
      <c r="F869" s="739">
        <f t="shared" si="267"/>
        <v>0.51600000000000001</v>
      </c>
      <c r="G869" s="306">
        <v>75000</v>
      </c>
      <c r="H869" s="307">
        <v>13500</v>
      </c>
      <c r="I869" s="308">
        <v>88500</v>
      </c>
      <c r="N869" s="273" t="s">
        <v>2116</v>
      </c>
      <c r="O869" s="950" t="s">
        <v>2429</v>
      </c>
      <c r="P869" s="447"/>
      <c r="V869" s="340">
        <f t="shared" ca="1" si="268"/>
        <v>1</v>
      </c>
      <c r="W869" s="594">
        <f t="shared" ca="1" si="269"/>
        <v>1900</v>
      </c>
      <c r="X869" s="340" t="str">
        <f t="shared" ca="1" si="266"/>
        <v>0 WEEK</v>
      </c>
      <c r="Y869" s="794">
        <f t="shared" si="254"/>
        <v>0</v>
      </c>
      <c r="Z869" s="541" cm="1">
        <f t="array" aca="1" ref="Z869" ca="1">_xlfn.IFS(AD869&lt;100,Y869,Y869&lt;TODAY(),TODAY(),Y869&gt;TODAY(),Y869,Y869=TODAY(),Y869)</f>
        <v>0</v>
      </c>
      <c r="AD869" s="298">
        <f t="shared" si="258"/>
        <v>0</v>
      </c>
      <c r="AE869" s="299" t="str">
        <f t="shared" si="259"/>
        <v>Complete</v>
      </c>
      <c r="AI869" s="301">
        <f t="shared" ca="1" si="256"/>
        <v>0</v>
      </c>
      <c r="AJ869" s="302">
        <f t="shared" ca="1" si="257"/>
        <v>0</v>
      </c>
      <c r="AL869" s="303">
        <f t="shared" si="260"/>
        <v>88500</v>
      </c>
      <c r="AM869" s="303">
        <f t="shared" si="261"/>
        <v>88500</v>
      </c>
      <c r="AN869" s="303">
        <f t="shared" si="262"/>
        <v>0</v>
      </c>
      <c r="AO869" s="304">
        <f t="shared" si="263"/>
        <v>0</v>
      </c>
      <c r="AP869" s="273">
        <f t="shared" si="265"/>
        <v>1</v>
      </c>
      <c r="AQ869" s="273" t="str">
        <f t="shared" ca="1" si="264"/>
        <v>11900</v>
      </c>
    </row>
    <row r="870" spans="1:43">
      <c r="P870" s="447">
        <v>0</v>
      </c>
      <c r="V870" s="340">
        <f t="shared" ca="1" si="268"/>
        <v>1</v>
      </c>
      <c r="W870" s="594">
        <f t="shared" ca="1" si="269"/>
        <v>1900</v>
      </c>
      <c r="X870" s="340" t="str">
        <f t="shared" ca="1" si="266"/>
        <v>0 WEEK</v>
      </c>
      <c r="Y870" s="794">
        <f t="shared" si="254"/>
        <v>0</v>
      </c>
      <c r="Z870" s="541" cm="1">
        <f t="array" aca="1" ref="Z870" ca="1">_xlfn.IFS(AD870&lt;100,Y870,Y870&lt;TODAY(),TODAY(),Y870&gt;TODAY(),Y870,Y870=TODAY(),Y870)</f>
        <v>0</v>
      </c>
      <c r="AD870" s="298">
        <f t="shared" si="258"/>
        <v>0</v>
      </c>
      <c r="AE870" s="299" t="str">
        <f t="shared" si="259"/>
        <v>Complete</v>
      </c>
      <c r="AI870" s="301">
        <f t="shared" ca="1" si="256"/>
        <v>0</v>
      </c>
      <c r="AJ870" s="302">
        <f t="shared" ca="1" si="257"/>
        <v>0</v>
      </c>
      <c r="AL870" s="303">
        <f t="shared" si="260"/>
        <v>0</v>
      </c>
      <c r="AM870" s="303">
        <f t="shared" si="261"/>
        <v>0</v>
      </c>
      <c r="AN870" s="303">
        <f t="shared" si="262"/>
        <v>0</v>
      </c>
      <c r="AO870" s="304">
        <f t="shared" si="263"/>
        <v>0</v>
      </c>
      <c r="AP870" s="273">
        <f t="shared" si="265"/>
        <v>1</v>
      </c>
      <c r="AQ870" s="273" t="str">
        <f t="shared" ca="1" si="264"/>
        <v>11900</v>
      </c>
    </row>
    <row r="871" spans="1:43" ht="18">
      <c r="A871" s="392">
        <v>42</v>
      </c>
      <c r="B871" s="711" t="s">
        <v>2431</v>
      </c>
      <c r="D871" s="273" t="s">
        <v>2432</v>
      </c>
      <c r="P871" s="447">
        <v>0</v>
      </c>
      <c r="R871" s="741" t="e">
        <v>#VALUE!</v>
      </c>
      <c r="V871" s="340">
        <f t="shared" ca="1" si="268"/>
        <v>1</v>
      </c>
      <c r="W871" s="594">
        <f t="shared" ca="1" si="269"/>
        <v>1900</v>
      </c>
      <c r="X871" s="340" t="str">
        <f t="shared" ca="1" si="266"/>
        <v>0 WEEK</v>
      </c>
      <c r="Y871" s="794">
        <f t="shared" ref="Y871:Y934" si="270">P871+T871</f>
        <v>0</v>
      </c>
      <c r="Z871" s="541" cm="1">
        <f t="array" aca="1" ref="Z871" ca="1">_xlfn.IFS(AD871&lt;100,Y871,Y871&lt;TODAY(),TODAY(),Y871&gt;TODAY(),Y871,Y871=TODAY(),Y871)</f>
        <v>0</v>
      </c>
      <c r="AB871" s="307">
        <v>0</v>
      </c>
      <c r="AD871" s="298">
        <f t="shared" si="258"/>
        <v>0</v>
      </c>
      <c r="AE871" s="299" t="str">
        <f t="shared" si="259"/>
        <v>Complete</v>
      </c>
      <c r="AI871" s="301">
        <f t="shared" ca="1" si="256"/>
        <v>0</v>
      </c>
      <c r="AJ871" s="302">
        <f t="shared" ca="1" si="257"/>
        <v>0</v>
      </c>
      <c r="AL871" s="303">
        <f t="shared" si="260"/>
        <v>0</v>
      </c>
      <c r="AM871" s="303">
        <f t="shared" si="261"/>
        <v>0</v>
      </c>
      <c r="AN871" s="303">
        <f t="shared" si="262"/>
        <v>0</v>
      </c>
      <c r="AO871" s="304">
        <f t="shared" si="263"/>
        <v>0</v>
      </c>
      <c r="AP871" s="273">
        <f t="shared" si="265"/>
        <v>1</v>
      </c>
      <c r="AQ871" s="273" t="str">
        <f t="shared" ca="1" si="264"/>
        <v>11900</v>
      </c>
    </row>
    <row r="872" spans="1:43" ht="16.5">
      <c r="A872" s="392">
        <v>42</v>
      </c>
      <c r="B872" s="711" t="s">
        <v>2431</v>
      </c>
      <c r="C872" s="340"/>
      <c r="D872" s="273" t="s">
        <v>2432</v>
      </c>
      <c r="E872" s="340"/>
      <c r="F872" s="334"/>
      <c r="G872" s="623">
        <v>3667401.8960000002</v>
      </c>
      <c r="H872" s="331">
        <v>440088.22752000001</v>
      </c>
      <c r="I872" s="624">
        <v>4107490</v>
      </c>
      <c r="J872" s="624"/>
      <c r="K872" s="340"/>
      <c r="L872" s="340"/>
      <c r="M872" s="592"/>
      <c r="N872" s="955" t="s">
        <v>1593</v>
      </c>
      <c r="O872" s="955" t="s">
        <v>2433</v>
      </c>
      <c r="P872" s="578">
        <v>0</v>
      </c>
      <c r="Q872" s="621" t="s">
        <v>2434</v>
      </c>
      <c r="R872" s="621">
        <v>4107490</v>
      </c>
      <c r="S872" s="621"/>
      <c r="T872" s="820"/>
      <c r="U872" s="340"/>
      <c r="V872" s="340">
        <f t="shared" ca="1" si="268"/>
        <v>1</v>
      </c>
      <c r="W872" s="594">
        <f t="shared" ca="1" si="269"/>
        <v>1900</v>
      </c>
      <c r="X872" s="340" t="str">
        <f t="shared" ca="1" si="266"/>
        <v>0 WEEK</v>
      </c>
      <c r="Y872" s="794">
        <f t="shared" si="270"/>
        <v>0</v>
      </c>
      <c r="Z872" s="541" cm="1">
        <f t="array" aca="1" ref="Z872" ca="1">_xlfn.IFS(AD872&lt;100,Y872,Y872&lt;TODAY(),TODAY(),Y872&gt;TODAY(),Y872,Y872=TODAY(),Y872)</f>
        <v>0</v>
      </c>
      <c r="AA872" s="837"/>
      <c r="AC872" s="331"/>
      <c r="AD872" s="298">
        <f t="shared" si="258"/>
        <v>0</v>
      </c>
      <c r="AE872" s="299" t="str">
        <f t="shared" si="259"/>
        <v>Complete</v>
      </c>
      <c r="AF872" s="340"/>
      <c r="AG872" s="340"/>
      <c r="AH872" s="340"/>
      <c r="AI872" s="301">
        <f t="shared" ca="1" si="256"/>
        <v>0</v>
      </c>
      <c r="AJ872" s="302">
        <f t="shared" ca="1" si="257"/>
        <v>0</v>
      </c>
      <c r="AK872" s="340"/>
      <c r="AL872" s="303">
        <f t="shared" si="260"/>
        <v>4107490</v>
      </c>
      <c r="AM872" s="303">
        <f t="shared" si="261"/>
        <v>0</v>
      </c>
      <c r="AN872" s="303">
        <f t="shared" si="262"/>
        <v>4107490</v>
      </c>
      <c r="AO872" s="304">
        <f t="shared" si="263"/>
        <v>0</v>
      </c>
      <c r="AP872" s="273">
        <f t="shared" si="265"/>
        <v>1</v>
      </c>
      <c r="AQ872" s="273" t="str">
        <f t="shared" ca="1" si="264"/>
        <v>11900</v>
      </c>
    </row>
    <row r="873" spans="1:43" ht="16.5">
      <c r="A873" s="392">
        <v>42</v>
      </c>
      <c r="B873" s="711" t="s">
        <v>2431</v>
      </c>
      <c r="C873" s="340"/>
      <c r="D873" s="273" t="s">
        <v>2432</v>
      </c>
      <c r="E873" s="340"/>
      <c r="F873" s="334"/>
      <c r="G873" s="623">
        <v>14669607.584000001</v>
      </c>
      <c r="H873" s="331">
        <v>1760352.9100800001</v>
      </c>
      <c r="I873" s="624">
        <v>16429960</v>
      </c>
      <c r="J873" s="624"/>
      <c r="K873" s="340"/>
      <c r="L873" s="340"/>
      <c r="M873" s="592"/>
      <c r="N873" s="955" t="s">
        <v>1593</v>
      </c>
      <c r="O873" s="955" t="s">
        <v>2435</v>
      </c>
      <c r="P873" s="578">
        <v>0</v>
      </c>
      <c r="Q873" s="621" t="s">
        <v>2436</v>
      </c>
      <c r="R873" s="621">
        <v>16429960</v>
      </c>
      <c r="S873" s="621"/>
      <c r="T873" s="820"/>
      <c r="U873" s="340"/>
      <c r="V873" s="340">
        <f t="shared" ca="1" si="268"/>
        <v>1</v>
      </c>
      <c r="W873" s="594">
        <f t="shared" ca="1" si="269"/>
        <v>1900</v>
      </c>
      <c r="X873" s="340" t="str">
        <f t="shared" ca="1" si="266"/>
        <v>0 WEEK</v>
      </c>
      <c r="Y873" s="794">
        <f t="shared" si="270"/>
        <v>0</v>
      </c>
      <c r="Z873" s="541" cm="1">
        <f t="array" aca="1" ref="Z873" ca="1">_xlfn.IFS(AD873&lt;100,Y873,Y873&lt;TODAY(),TODAY(),Y873&gt;TODAY(),Y873,Y873=TODAY(),Y873)</f>
        <v>0</v>
      </c>
      <c r="AA873" s="837"/>
      <c r="AB873" s="331"/>
      <c r="AC873" s="331"/>
      <c r="AD873" s="298">
        <f t="shared" si="258"/>
        <v>0</v>
      </c>
      <c r="AE873" s="299" t="str">
        <f t="shared" si="259"/>
        <v>Complete</v>
      </c>
      <c r="AF873" s="340"/>
      <c r="AG873" s="340"/>
      <c r="AH873" s="340"/>
      <c r="AI873" s="301">
        <f t="shared" ca="1" si="256"/>
        <v>0</v>
      </c>
      <c r="AJ873" s="302">
        <f t="shared" ca="1" si="257"/>
        <v>0</v>
      </c>
      <c r="AK873" s="340"/>
      <c r="AL873" s="303">
        <f t="shared" si="260"/>
        <v>16429960</v>
      </c>
      <c r="AM873" s="303">
        <f t="shared" si="261"/>
        <v>0</v>
      </c>
      <c r="AN873" s="303">
        <f t="shared" si="262"/>
        <v>16429960</v>
      </c>
      <c r="AO873" s="304">
        <f t="shared" si="263"/>
        <v>0</v>
      </c>
      <c r="AP873" s="273">
        <f t="shared" si="265"/>
        <v>1</v>
      </c>
      <c r="AQ873" s="273" t="str">
        <f t="shared" ca="1" si="264"/>
        <v>11900</v>
      </c>
    </row>
    <row r="874" spans="1:43" ht="16.5">
      <c r="A874" s="392">
        <v>42</v>
      </c>
      <c r="B874" s="711" t="s">
        <v>2431</v>
      </c>
      <c r="C874" s="340"/>
      <c r="D874" s="273" t="s">
        <v>2432</v>
      </c>
      <c r="E874" s="340"/>
      <c r="F874" s="334"/>
      <c r="G874" s="623">
        <v>3667401.8960000002</v>
      </c>
      <c r="H874" s="331">
        <v>440088.22752000001</v>
      </c>
      <c r="I874" s="624">
        <v>4107490</v>
      </c>
      <c r="J874" s="624"/>
      <c r="K874" s="340"/>
      <c r="L874" s="340"/>
      <c r="M874" s="592"/>
      <c r="N874" s="955" t="s">
        <v>1593</v>
      </c>
      <c r="O874" s="955" t="s">
        <v>2437</v>
      </c>
      <c r="P874" s="578">
        <v>0</v>
      </c>
      <c r="Q874" s="621" t="s">
        <v>2438</v>
      </c>
      <c r="R874" s="621">
        <v>4107490</v>
      </c>
      <c r="S874" s="621"/>
      <c r="T874" s="820"/>
      <c r="U874" s="340"/>
      <c r="V874" s="340">
        <f t="shared" ca="1" si="268"/>
        <v>1</v>
      </c>
      <c r="W874" s="594">
        <f t="shared" ca="1" si="269"/>
        <v>1900</v>
      </c>
      <c r="X874" s="340" t="str">
        <f t="shared" ca="1" si="266"/>
        <v>0 WEEK</v>
      </c>
      <c r="Y874" s="794">
        <f t="shared" si="270"/>
        <v>0</v>
      </c>
      <c r="Z874" s="541" cm="1">
        <f t="array" aca="1" ref="Z874" ca="1">_xlfn.IFS(AD874&lt;100,Y874,Y874&lt;TODAY(),TODAY(),Y874&gt;TODAY(),Y874,Y874=TODAY(),Y874)</f>
        <v>0</v>
      </c>
      <c r="AA874" s="837"/>
      <c r="AB874" s="331"/>
      <c r="AC874" s="331"/>
      <c r="AD874" s="298">
        <f t="shared" si="258"/>
        <v>0</v>
      </c>
      <c r="AE874" s="299" t="str">
        <f t="shared" si="259"/>
        <v>Complete</v>
      </c>
      <c r="AF874" s="340"/>
      <c r="AG874" s="340"/>
      <c r="AH874" s="340"/>
      <c r="AI874" s="301">
        <f t="shared" ca="1" si="256"/>
        <v>0</v>
      </c>
      <c r="AJ874" s="302">
        <f t="shared" ca="1" si="257"/>
        <v>0</v>
      </c>
      <c r="AK874" s="340"/>
      <c r="AL874" s="303">
        <f t="shared" si="260"/>
        <v>4107490</v>
      </c>
      <c r="AM874" s="303">
        <f t="shared" si="261"/>
        <v>0</v>
      </c>
      <c r="AN874" s="303">
        <f t="shared" si="262"/>
        <v>4107490</v>
      </c>
      <c r="AO874" s="304">
        <f t="shared" si="263"/>
        <v>0</v>
      </c>
      <c r="AP874" s="273">
        <f t="shared" si="265"/>
        <v>1</v>
      </c>
      <c r="AQ874" s="273" t="str">
        <f t="shared" ca="1" si="264"/>
        <v>11900</v>
      </c>
    </row>
    <row r="875" spans="1:43" ht="16.5">
      <c r="A875" s="392">
        <v>42</v>
      </c>
      <c r="B875" s="711" t="s">
        <v>2431</v>
      </c>
      <c r="C875" s="340"/>
      <c r="D875" s="273" t="s">
        <v>2432</v>
      </c>
      <c r="E875" s="340"/>
      <c r="F875" s="334"/>
      <c r="G875" s="623">
        <v>3667401.8960000002</v>
      </c>
      <c r="H875" s="331">
        <v>440088.22752000001</v>
      </c>
      <c r="I875" s="624">
        <v>4107490</v>
      </c>
      <c r="J875" s="624"/>
      <c r="K875" s="340"/>
      <c r="L875" s="340"/>
      <c r="M875" s="592"/>
      <c r="N875" s="955" t="s">
        <v>1593</v>
      </c>
      <c r="O875" s="955" t="s">
        <v>2439</v>
      </c>
      <c r="P875" s="578">
        <v>0</v>
      </c>
      <c r="Q875" s="621" t="s">
        <v>2440</v>
      </c>
      <c r="R875" s="621">
        <v>4107490</v>
      </c>
      <c r="S875" s="621"/>
      <c r="T875" s="820"/>
      <c r="U875" s="340"/>
      <c r="V875" s="340">
        <f t="shared" ca="1" si="268"/>
        <v>1</v>
      </c>
      <c r="W875" s="594">
        <f t="shared" ca="1" si="269"/>
        <v>1900</v>
      </c>
      <c r="X875" s="340" t="str">
        <f t="shared" ca="1" si="266"/>
        <v>0 WEEK</v>
      </c>
      <c r="Y875" s="794">
        <f t="shared" si="270"/>
        <v>0</v>
      </c>
      <c r="Z875" s="541" cm="1">
        <f t="array" aca="1" ref="Z875" ca="1">_xlfn.IFS(AD875&lt;100,Y875,Y875&lt;TODAY(),TODAY(),Y875&gt;TODAY(),Y875,Y875=TODAY(),Y875)</f>
        <v>0</v>
      </c>
      <c r="AA875" s="837"/>
      <c r="AB875" s="331"/>
      <c r="AC875" s="331"/>
      <c r="AD875" s="298">
        <f t="shared" si="258"/>
        <v>0</v>
      </c>
      <c r="AE875" s="299" t="str">
        <f t="shared" si="259"/>
        <v>Complete</v>
      </c>
      <c r="AF875" s="340"/>
      <c r="AG875" s="340"/>
      <c r="AH875" s="340"/>
      <c r="AI875" s="301">
        <f t="shared" ca="1" si="256"/>
        <v>0</v>
      </c>
      <c r="AJ875" s="302">
        <f t="shared" ca="1" si="257"/>
        <v>0</v>
      </c>
      <c r="AK875" s="340"/>
      <c r="AL875" s="303">
        <f t="shared" si="260"/>
        <v>4107490</v>
      </c>
      <c r="AM875" s="303">
        <f t="shared" si="261"/>
        <v>0</v>
      </c>
      <c r="AN875" s="303">
        <f t="shared" si="262"/>
        <v>4107490</v>
      </c>
      <c r="AO875" s="304">
        <f t="shared" si="263"/>
        <v>0</v>
      </c>
      <c r="AP875" s="273">
        <f t="shared" si="265"/>
        <v>1</v>
      </c>
      <c r="AQ875" s="273" t="str">
        <f t="shared" ca="1" si="264"/>
        <v>11900</v>
      </c>
    </row>
    <row r="876" spans="1:43" ht="16.5">
      <c r="A876" s="392">
        <v>42</v>
      </c>
      <c r="B876" s="711" t="s">
        <v>2431</v>
      </c>
      <c r="C876" s="340"/>
      <c r="D876" s="273" t="s">
        <v>2432</v>
      </c>
      <c r="E876" s="340"/>
      <c r="F876" s="334"/>
      <c r="G876" s="623">
        <v>5501102.8439999996</v>
      </c>
      <c r="H876" s="331">
        <v>660132.34127999994</v>
      </c>
      <c r="I876" s="624">
        <v>6161235</v>
      </c>
      <c r="J876" s="624"/>
      <c r="K876" s="340"/>
      <c r="L876" s="340"/>
      <c r="M876" s="592"/>
      <c r="N876" s="955" t="s">
        <v>1593</v>
      </c>
      <c r="O876" s="955" t="s">
        <v>2441</v>
      </c>
      <c r="P876" s="578">
        <v>0</v>
      </c>
      <c r="Q876" s="621" t="s">
        <v>2442</v>
      </c>
      <c r="R876" s="621">
        <v>6161235</v>
      </c>
      <c r="S876" s="621"/>
      <c r="T876" s="820"/>
      <c r="U876" s="340"/>
      <c r="V876" s="340">
        <f t="shared" ca="1" si="268"/>
        <v>1</v>
      </c>
      <c r="W876" s="594">
        <f t="shared" ca="1" si="269"/>
        <v>1900</v>
      </c>
      <c r="X876" s="340" t="str">
        <f t="shared" ca="1" si="266"/>
        <v>0 WEEK</v>
      </c>
      <c r="Y876" s="794">
        <f t="shared" si="270"/>
        <v>0</v>
      </c>
      <c r="Z876" s="541" cm="1">
        <f t="array" aca="1" ref="Z876" ca="1">_xlfn.IFS(AD876&lt;100,Y876,Y876&lt;TODAY(),TODAY(),Y876&gt;TODAY(),Y876,Y876=TODAY(),Y876)</f>
        <v>0</v>
      </c>
      <c r="AA876" s="837"/>
      <c r="AB876" s="331"/>
      <c r="AC876" s="331"/>
      <c r="AD876" s="298">
        <f t="shared" si="258"/>
        <v>0</v>
      </c>
      <c r="AE876" s="299" t="str">
        <f t="shared" si="259"/>
        <v>Complete</v>
      </c>
      <c r="AF876" s="340"/>
      <c r="AG876" s="340"/>
      <c r="AH876" s="340"/>
      <c r="AI876" s="301">
        <f t="shared" ca="1" si="256"/>
        <v>0</v>
      </c>
      <c r="AJ876" s="302">
        <f t="shared" ca="1" si="257"/>
        <v>0</v>
      </c>
      <c r="AK876" s="340"/>
      <c r="AL876" s="303">
        <f t="shared" si="260"/>
        <v>6161235</v>
      </c>
      <c r="AM876" s="303">
        <f t="shared" si="261"/>
        <v>0</v>
      </c>
      <c r="AN876" s="303">
        <f t="shared" si="262"/>
        <v>6161235</v>
      </c>
      <c r="AO876" s="304">
        <f t="shared" si="263"/>
        <v>0</v>
      </c>
      <c r="AP876" s="273">
        <f t="shared" si="265"/>
        <v>1</v>
      </c>
      <c r="AQ876" s="273" t="str">
        <f t="shared" ca="1" si="264"/>
        <v>11900</v>
      </c>
    </row>
    <row r="877" spans="1:43" ht="16.5">
      <c r="A877" s="392">
        <v>42</v>
      </c>
      <c r="B877" s="711" t="s">
        <v>2431</v>
      </c>
      <c r="C877" s="340"/>
      <c r="D877" s="273" t="s">
        <v>2432</v>
      </c>
      <c r="E877" s="340"/>
      <c r="F877" s="334"/>
      <c r="G877" s="623">
        <v>5501102.8439999996</v>
      </c>
      <c r="H877" s="331">
        <v>660132.34127999994</v>
      </c>
      <c r="I877" s="624">
        <v>6161235</v>
      </c>
      <c r="J877" s="624"/>
      <c r="K877" s="340"/>
      <c r="L877" s="340"/>
      <c r="M877" s="592"/>
      <c r="N877" s="955" t="s">
        <v>1593</v>
      </c>
      <c r="O877" s="955" t="s">
        <v>2443</v>
      </c>
      <c r="P877" s="578">
        <v>0</v>
      </c>
      <c r="Q877" s="621" t="s">
        <v>2442</v>
      </c>
      <c r="R877" s="621">
        <v>6161235</v>
      </c>
      <c r="S877" s="621"/>
      <c r="T877" s="820"/>
      <c r="U877" s="340"/>
      <c r="V877" s="340">
        <f t="shared" ca="1" si="268"/>
        <v>1</v>
      </c>
      <c r="W877" s="594">
        <f t="shared" ca="1" si="269"/>
        <v>1900</v>
      </c>
      <c r="X877" s="340" t="str">
        <f t="shared" ca="1" si="266"/>
        <v>0 WEEK</v>
      </c>
      <c r="Y877" s="794">
        <f t="shared" si="270"/>
        <v>0</v>
      </c>
      <c r="Z877" s="541" cm="1">
        <f t="array" aca="1" ref="Z877" ca="1">_xlfn.IFS(AD877&lt;100,Y877,Y877&lt;TODAY(),TODAY(),Y877&gt;TODAY(),Y877,Y877=TODAY(),Y877)</f>
        <v>0</v>
      </c>
      <c r="AA877" s="837"/>
      <c r="AB877" s="331"/>
      <c r="AC877" s="331"/>
      <c r="AD877" s="298">
        <f t="shared" si="258"/>
        <v>0</v>
      </c>
      <c r="AE877" s="299" t="str">
        <f t="shared" si="259"/>
        <v>Complete</v>
      </c>
      <c r="AF877" s="340"/>
      <c r="AG877" s="340"/>
      <c r="AH877" s="340"/>
      <c r="AI877" s="301">
        <f t="shared" ca="1" si="256"/>
        <v>0</v>
      </c>
      <c r="AJ877" s="302">
        <f t="shared" ca="1" si="257"/>
        <v>0</v>
      </c>
      <c r="AK877" s="340"/>
      <c r="AL877" s="303">
        <f t="shared" si="260"/>
        <v>6161235</v>
      </c>
      <c r="AM877" s="303">
        <f t="shared" si="261"/>
        <v>0</v>
      </c>
      <c r="AN877" s="303">
        <f t="shared" si="262"/>
        <v>6161235</v>
      </c>
      <c r="AO877" s="304">
        <f t="shared" si="263"/>
        <v>0</v>
      </c>
      <c r="AP877" s="273">
        <f t="shared" si="265"/>
        <v>1</v>
      </c>
      <c r="AQ877" s="273" t="str">
        <f t="shared" ca="1" si="264"/>
        <v>11900</v>
      </c>
    </row>
    <row r="878" spans="1:43" ht="16.5">
      <c r="A878" s="392">
        <v>42</v>
      </c>
      <c r="B878" s="711" t="s">
        <v>2431</v>
      </c>
      <c r="C878" s="340"/>
      <c r="D878" s="273" t="s">
        <v>2432</v>
      </c>
      <c r="E878" s="340"/>
      <c r="F878" s="334"/>
      <c r="G878" s="623">
        <v>2348865.7710000002</v>
      </c>
      <c r="H878" s="331">
        <v>422795.83877999999</v>
      </c>
      <c r="I878" s="624">
        <v>2771662</v>
      </c>
      <c r="J878" s="624"/>
      <c r="K878" s="340"/>
      <c r="L878" s="340"/>
      <c r="M878" s="592"/>
      <c r="N878" s="955" t="s">
        <v>1617</v>
      </c>
      <c r="O878" s="955" t="s">
        <v>2444</v>
      </c>
      <c r="P878" s="578">
        <v>0</v>
      </c>
      <c r="Q878" s="621" t="s">
        <v>2445</v>
      </c>
      <c r="R878" s="621">
        <v>4619436</v>
      </c>
      <c r="S878" s="621"/>
      <c r="T878" s="820"/>
      <c r="U878" s="340"/>
      <c r="V878" s="340">
        <f t="shared" ca="1" si="268"/>
        <v>1</v>
      </c>
      <c r="W878" s="594">
        <f t="shared" ca="1" si="269"/>
        <v>1900</v>
      </c>
      <c r="X878" s="340" t="str">
        <f t="shared" ca="1" si="266"/>
        <v>0 WEEK</v>
      </c>
      <c r="Y878" s="794">
        <f t="shared" si="270"/>
        <v>0</v>
      </c>
      <c r="Z878" s="541" cm="1">
        <f t="array" aca="1" ref="Z878" ca="1">_xlfn.IFS(AD878&lt;100,Y878,Y878&lt;TODAY(),TODAY(),Y878&gt;TODAY(),Y878,Y878=TODAY(),Y878)</f>
        <v>0</v>
      </c>
      <c r="AA878" s="837"/>
      <c r="AB878" s="331"/>
      <c r="AC878" s="331"/>
      <c r="AD878" s="298">
        <f t="shared" si="258"/>
        <v>0</v>
      </c>
      <c r="AE878" s="299" t="str">
        <f t="shared" si="259"/>
        <v>Complete</v>
      </c>
      <c r="AF878" s="340"/>
      <c r="AG878" s="340"/>
      <c r="AH878" s="340"/>
      <c r="AI878" s="301">
        <f t="shared" ca="1" si="256"/>
        <v>0</v>
      </c>
      <c r="AJ878" s="302">
        <f t="shared" ca="1" si="257"/>
        <v>0</v>
      </c>
      <c r="AK878" s="340"/>
      <c r="AL878" s="303">
        <f t="shared" si="260"/>
        <v>2771662</v>
      </c>
      <c r="AM878" s="303">
        <f t="shared" si="261"/>
        <v>-1847774</v>
      </c>
      <c r="AN878" s="303">
        <f t="shared" si="262"/>
        <v>4619436</v>
      </c>
      <c r="AO878" s="304">
        <f t="shared" si="263"/>
        <v>0</v>
      </c>
      <c r="AP878" s="273">
        <f t="shared" si="265"/>
        <v>1</v>
      </c>
      <c r="AQ878" s="273" t="str">
        <f t="shared" ca="1" si="264"/>
        <v>11900</v>
      </c>
    </row>
    <row r="879" spans="1:43" ht="16.5">
      <c r="A879" s="392">
        <v>42</v>
      </c>
      <c r="B879" s="711" t="s">
        <v>2431</v>
      </c>
      <c r="C879" s="340"/>
      <c r="D879" s="273" t="s">
        <v>2432</v>
      </c>
      <c r="E879" s="340"/>
      <c r="F879" s="334"/>
      <c r="G879" s="623">
        <v>1565910.5140000002</v>
      </c>
      <c r="H879" s="331">
        <v>281863.89252000005</v>
      </c>
      <c r="I879" s="624">
        <v>1847774</v>
      </c>
      <c r="J879" s="624"/>
      <c r="K879" s="340"/>
      <c r="L879" s="340"/>
      <c r="M879" s="592"/>
      <c r="N879" s="955" t="s">
        <v>1617</v>
      </c>
      <c r="O879" s="955" t="s">
        <v>2446</v>
      </c>
      <c r="P879" s="578">
        <v>0</v>
      </c>
      <c r="Q879" s="621"/>
      <c r="R879" s="621"/>
      <c r="S879" s="621"/>
      <c r="T879" s="820"/>
      <c r="U879" s="340"/>
      <c r="V879" s="340">
        <f t="shared" ca="1" si="268"/>
        <v>1</v>
      </c>
      <c r="W879" s="594">
        <f t="shared" ca="1" si="269"/>
        <v>1900</v>
      </c>
      <c r="X879" s="340" t="str">
        <f t="shared" ca="1" si="266"/>
        <v>0 WEEK</v>
      </c>
      <c r="Y879" s="794">
        <f t="shared" si="270"/>
        <v>0</v>
      </c>
      <c r="Z879" s="541" cm="1">
        <f t="array" aca="1" ref="Z879" ca="1">_xlfn.IFS(AD879&lt;100,Y879,Y879&lt;TODAY(),TODAY(),Y879&gt;TODAY(),Y879,Y879=TODAY(),Y879)</f>
        <v>0</v>
      </c>
      <c r="AA879" s="837"/>
      <c r="AB879" s="331"/>
      <c r="AC879" s="331"/>
      <c r="AD879" s="298">
        <f t="shared" si="258"/>
        <v>0</v>
      </c>
      <c r="AE879" s="299" t="str">
        <f t="shared" si="259"/>
        <v>Complete</v>
      </c>
      <c r="AF879" s="340"/>
      <c r="AG879" s="340"/>
      <c r="AH879" s="340"/>
      <c r="AI879" s="301">
        <f t="shared" ca="1" si="256"/>
        <v>0</v>
      </c>
      <c r="AJ879" s="302">
        <f t="shared" ca="1" si="257"/>
        <v>0</v>
      </c>
      <c r="AK879" s="340"/>
      <c r="AL879" s="303">
        <f t="shared" si="260"/>
        <v>1847774</v>
      </c>
      <c r="AM879" s="303">
        <f t="shared" si="261"/>
        <v>1847774</v>
      </c>
      <c r="AN879" s="303">
        <f t="shared" si="262"/>
        <v>0</v>
      </c>
      <c r="AO879" s="304">
        <f t="shared" si="263"/>
        <v>0</v>
      </c>
      <c r="AP879" s="273">
        <f t="shared" si="265"/>
        <v>1</v>
      </c>
      <c r="AQ879" s="273" t="str">
        <f t="shared" ca="1" si="264"/>
        <v>11900</v>
      </c>
    </row>
    <row r="880" spans="1:43" ht="16.5">
      <c r="A880" s="392">
        <v>42</v>
      </c>
      <c r="B880" s="711" t="s">
        <v>2431</v>
      </c>
      <c r="C880" s="340"/>
      <c r="D880" s="273" t="s">
        <v>2432</v>
      </c>
      <c r="E880" s="340"/>
      <c r="F880" s="334"/>
      <c r="G880" s="623">
        <v>3131821.0280000004</v>
      </c>
      <c r="H880" s="331">
        <v>563727.7850400001</v>
      </c>
      <c r="I880" s="624">
        <v>3695549</v>
      </c>
      <c r="J880" s="624"/>
      <c r="K880" s="340"/>
      <c r="L880" s="340"/>
      <c r="M880" s="592"/>
      <c r="N880" s="955" t="s">
        <v>1617</v>
      </c>
      <c r="O880" s="955" t="s">
        <v>2447</v>
      </c>
      <c r="P880" s="578">
        <v>0</v>
      </c>
      <c r="Q880" s="621" t="s">
        <v>2448</v>
      </c>
      <c r="R880" s="621">
        <v>3695549</v>
      </c>
      <c r="S880" s="621"/>
      <c r="T880" s="820"/>
      <c r="U880" s="340"/>
      <c r="V880" s="340">
        <f t="shared" ca="1" si="268"/>
        <v>1</v>
      </c>
      <c r="W880" s="594">
        <f t="shared" ca="1" si="269"/>
        <v>1900</v>
      </c>
      <c r="X880" s="340" t="str">
        <f t="shared" ca="1" si="266"/>
        <v>0 WEEK</v>
      </c>
      <c r="Y880" s="794">
        <f t="shared" si="270"/>
        <v>0</v>
      </c>
      <c r="Z880" s="541" cm="1">
        <f t="array" aca="1" ref="Z880" ca="1">_xlfn.IFS(AD880&lt;100,Y880,Y880&lt;TODAY(),TODAY(),Y880&gt;TODAY(),Y880,Y880=TODAY(),Y880)</f>
        <v>0</v>
      </c>
      <c r="AA880" s="837"/>
      <c r="AB880" s="331"/>
      <c r="AC880" s="331"/>
      <c r="AD880" s="298">
        <f t="shared" si="258"/>
        <v>0</v>
      </c>
      <c r="AE880" s="299" t="str">
        <f t="shared" si="259"/>
        <v>Complete</v>
      </c>
      <c r="AF880" s="340"/>
      <c r="AG880" s="340"/>
      <c r="AH880" s="340"/>
      <c r="AI880" s="301">
        <f t="shared" ca="1" si="256"/>
        <v>0</v>
      </c>
      <c r="AJ880" s="302">
        <f t="shared" ca="1" si="257"/>
        <v>0</v>
      </c>
      <c r="AK880" s="340"/>
      <c r="AL880" s="303">
        <f t="shared" si="260"/>
        <v>3695549</v>
      </c>
      <c r="AM880" s="303">
        <f t="shared" si="261"/>
        <v>0</v>
      </c>
      <c r="AN880" s="303">
        <f t="shared" si="262"/>
        <v>3695549</v>
      </c>
      <c r="AO880" s="304">
        <f t="shared" si="263"/>
        <v>0</v>
      </c>
      <c r="AP880" s="273">
        <f t="shared" si="265"/>
        <v>1</v>
      </c>
      <c r="AQ880" s="273" t="str">
        <f t="shared" ca="1" si="264"/>
        <v>11900</v>
      </c>
    </row>
    <row r="881" spans="1:43" ht="16.5">
      <c r="A881" s="392">
        <v>42</v>
      </c>
      <c r="B881" s="711" t="s">
        <v>2431</v>
      </c>
      <c r="C881" s="340"/>
      <c r="D881" s="273" t="s">
        <v>2432</v>
      </c>
      <c r="E881" s="340"/>
      <c r="F881" s="334"/>
      <c r="G881" s="623">
        <v>3131821.0280000004</v>
      </c>
      <c r="H881" s="331">
        <v>563727.7850400001</v>
      </c>
      <c r="I881" s="624">
        <v>3695549</v>
      </c>
      <c r="J881" s="624"/>
      <c r="K881" s="340"/>
      <c r="L881" s="340"/>
      <c r="M881" s="592"/>
      <c r="N881" s="955" t="s">
        <v>1617</v>
      </c>
      <c r="O881" s="955" t="s">
        <v>2449</v>
      </c>
      <c r="P881" s="578">
        <v>0</v>
      </c>
      <c r="Q881" s="621" t="s">
        <v>2450</v>
      </c>
      <c r="R881" s="621">
        <v>3695549</v>
      </c>
      <c r="S881" s="621"/>
      <c r="T881" s="820"/>
      <c r="U881" s="340"/>
      <c r="V881" s="340">
        <f t="shared" ca="1" si="268"/>
        <v>1</v>
      </c>
      <c r="W881" s="594">
        <f t="shared" ca="1" si="269"/>
        <v>1900</v>
      </c>
      <c r="X881" s="340" t="str">
        <f t="shared" ca="1" si="266"/>
        <v>0 WEEK</v>
      </c>
      <c r="Y881" s="794">
        <f t="shared" si="270"/>
        <v>0</v>
      </c>
      <c r="Z881" s="541" cm="1">
        <f t="array" aca="1" ref="Z881" ca="1">_xlfn.IFS(AD881&lt;100,Y881,Y881&lt;TODAY(),TODAY(),Y881&gt;TODAY(),Y881,Y881=TODAY(),Y881)</f>
        <v>0</v>
      </c>
      <c r="AA881" s="837"/>
      <c r="AB881" s="331"/>
      <c r="AC881" s="331"/>
      <c r="AD881" s="298">
        <f t="shared" si="258"/>
        <v>0</v>
      </c>
      <c r="AE881" s="299" t="str">
        <f t="shared" si="259"/>
        <v>Complete</v>
      </c>
      <c r="AF881" s="340"/>
      <c r="AG881" s="340"/>
      <c r="AH881" s="340"/>
      <c r="AI881" s="301">
        <f t="shared" ca="1" si="256"/>
        <v>0</v>
      </c>
      <c r="AJ881" s="302">
        <f t="shared" ca="1" si="257"/>
        <v>0</v>
      </c>
      <c r="AK881" s="340"/>
      <c r="AL881" s="303">
        <f t="shared" si="260"/>
        <v>3695549</v>
      </c>
      <c r="AM881" s="303">
        <f t="shared" si="261"/>
        <v>0</v>
      </c>
      <c r="AN881" s="303">
        <f t="shared" si="262"/>
        <v>3695549</v>
      </c>
      <c r="AO881" s="304">
        <f t="shared" si="263"/>
        <v>0</v>
      </c>
      <c r="AP881" s="273">
        <f t="shared" si="265"/>
        <v>1</v>
      </c>
      <c r="AQ881" s="273" t="str">
        <f t="shared" ca="1" si="264"/>
        <v>11900</v>
      </c>
    </row>
    <row r="882" spans="1:43" ht="16.5">
      <c r="A882" s="392">
        <v>42</v>
      </c>
      <c r="B882" s="711" t="s">
        <v>2431</v>
      </c>
      <c r="C882" s="340"/>
      <c r="D882" s="273" t="s">
        <v>2432</v>
      </c>
      <c r="E882" s="340"/>
      <c r="F882" s="334"/>
      <c r="G882" s="623">
        <v>3131821.0280000004</v>
      </c>
      <c r="H882" s="331">
        <v>563727.7850400001</v>
      </c>
      <c r="I882" s="624">
        <v>3695549</v>
      </c>
      <c r="J882" s="624"/>
      <c r="K882" s="340"/>
      <c r="L882" s="340"/>
      <c r="M882" s="592"/>
      <c r="N882" s="955" t="s">
        <v>1617</v>
      </c>
      <c r="O882" s="955" t="s">
        <v>2451</v>
      </c>
      <c r="P882" s="578">
        <v>0</v>
      </c>
      <c r="Q882" s="621" t="s">
        <v>2452</v>
      </c>
      <c r="R882" s="621">
        <v>3695549</v>
      </c>
      <c r="S882" s="621"/>
      <c r="T882" s="820"/>
      <c r="U882" s="340"/>
      <c r="V882" s="340">
        <f t="shared" ca="1" si="268"/>
        <v>1</v>
      </c>
      <c r="W882" s="594">
        <f t="shared" ca="1" si="269"/>
        <v>1900</v>
      </c>
      <c r="X882" s="340" t="str">
        <f t="shared" ca="1" si="266"/>
        <v>0 WEEK</v>
      </c>
      <c r="Y882" s="794">
        <f t="shared" si="270"/>
        <v>0</v>
      </c>
      <c r="Z882" s="541" cm="1">
        <f t="array" aca="1" ref="Z882" ca="1">_xlfn.IFS(AD882&lt;100,Y882,Y882&lt;TODAY(),TODAY(),Y882&gt;TODAY(),Y882,Y882=TODAY(),Y882)</f>
        <v>0</v>
      </c>
      <c r="AA882" s="837"/>
      <c r="AB882" s="331"/>
      <c r="AC882" s="331"/>
      <c r="AD882" s="298">
        <f t="shared" si="258"/>
        <v>0</v>
      </c>
      <c r="AE882" s="299" t="str">
        <f t="shared" si="259"/>
        <v>Complete</v>
      </c>
      <c r="AF882" s="340"/>
      <c r="AG882" s="340"/>
      <c r="AH882" s="340"/>
      <c r="AI882" s="301">
        <f t="shared" ca="1" si="256"/>
        <v>0</v>
      </c>
      <c r="AJ882" s="302">
        <f t="shared" ca="1" si="257"/>
        <v>0</v>
      </c>
      <c r="AK882" s="340"/>
      <c r="AL882" s="303">
        <f t="shared" si="260"/>
        <v>3695549</v>
      </c>
      <c r="AM882" s="303">
        <f t="shared" si="261"/>
        <v>0</v>
      </c>
      <c r="AN882" s="303">
        <f t="shared" si="262"/>
        <v>3695549</v>
      </c>
      <c r="AO882" s="304">
        <f t="shared" si="263"/>
        <v>0</v>
      </c>
      <c r="AP882" s="273">
        <f t="shared" si="265"/>
        <v>1</v>
      </c>
      <c r="AQ882" s="273" t="str">
        <f t="shared" ca="1" si="264"/>
        <v>11900</v>
      </c>
    </row>
    <row r="883" spans="1:43" ht="16.5">
      <c r="A883" s="392">
        <v>42</v>
      </c>
      <c r="B883" s="711" t="s">
        <v>2431</v>
      </c>
      <c r="C883" s="340"/>
      <c r="D883" s="273" t="s">
        <v>2432</v>
      </c>
      <c r="E883" s="340"/>
      <c r="F883" s="334"/>
      <c r="G883" s="623">
        <v>1565910.5140000002</v>
      </c>
      <c r="H883" s="331">
        <v>281863.89252000005</v>
      </c>
      <c r="I883" s="624">
        <v>1847774</v>
      </c>
      <c r="J883" s="624"/>
      <c r="K883" s="340"/>
      <c r="L883" s="340"/>
      <c r="M883" s="592"/>
      <c r="N883" s="955" t="s">
        <v>1617</v>
      </c>
      <c r="O883" s="955" t="s">
        <v>2453</v>
      </c>
      <c r="P883" s="578">
        <v>0</v>
      </c>
      <c r="Q883" s="621" t="s">
        <v>2452</v>
      </c>
      <c r="R883" s="621">
        <v>1847774</v>
      </c>
      <c r="S883" s="621"/>
      <c r="T883" s="820"/>
      <c r="U883" s="340"/>
      <c r="V883" s="340">
        <f t="shared" ca="1" si="268"/>
        <v>1</v>
      </c>
      <c r="W883" s="594">
        <f t="shared" ca="1" si="269"/>
        <v>1900</v>
      </c>
      <c r="X883" s="340" t="str">
        <f t="shared" ca="1" si="266"/>
        <v>0 WEEK</v>
      </c>
      <c r="Y883" s="794">
        <f t="shared" si="270"/>
        <v>0</v>
      </c>
      <c r="Z883" s="541" cm="1">
        <f t="array" aca="1" ref="Z883" ca="1">_xlfn.IFS(AD883&lt;100,Y883,Y883&lt;TODAY(),TODAY(),Y883&gt;TODAY(),Y883,Y883=TODAY(),Y883)</f>
        <v>0</v>
      </c>
      <c r="AA883" s="837"/>
      <c r="AB883" s="331"/>
      <c r="AC883" s="331"/>
      <c r="AD883" s="298">
        <f t="shared" si="258"/>
        <v>0</v>
      </c>
      <c r="AE883" s="299" t="str">
        <f t="shared" si="259"/>
        <v>Complete</v>
      </c>
      <c r="AF883" s="340"/>
      <c r="AG883" s="340"/>
      <c r="AH883" s="340"/>
      <c r="AI883" s="301">
        <f t="shared" ca="1" si="256"/>
        <v>0</v>
      </c>
      <c r="AJ883" s="302">
        <f t="shared" ca="1" si="257"/>
        <v>0</v>
      </c>
      <c r="AK883" s="340"/>
      <c r="AL883" s="303">
        <f t="shared" si="260"/>
        <v>1847774</v>
      </c>
      <c r="AM883" s="303">
        <f t="shared" si="261"/>
        <v>0</v>
      </c>
      <c r="AN883" s="303">
        <f t="shared" si="262"/>
        <v>1847774</v>
      </c>
      <c r="AO883" s="304">
        <f t="shared" si="263"/>
        <v>0</v>
      </c>
      <c r="AP883" s="273">
        <f t="shared" si="265"/>
        <v>1</v>
      </c>
      <c r="AQ883" s="273" t="str">
        <f t="shared" ca="1" si="264"/>
        <v>11900</v>
      </c>
    </row>
    <row r="884" spans="1:43" ht="16.5">
      <c r="A884" s="392">
        <v>42</v>
      </c>
      <c r="B884" s="711" t="s">
        <v>2431</v>
      </c>
      <c r="C884" s="340"/>
      <c r="D884" s="273" t="s">
        <v>2432</v>
      </c>
      <c r="E884" s="340"/>
      <c r="F884" s="334"/>
      <c r="G884" s="623">
        <v>782955.2570000001</v>
      </c>
      <c r="H884" s="331">
        <v>140931.94626000003</v>
      </c>
      <c r="I884" s="624">
        <v>923887</v>
      </c>
      <c r="J884" s="624"/>
      <c r="K884" s="340"/>
      <c r="L884" s="340"/>
      <c r="M884" s="592"/>
      <c r="N884" s="955" t="s">
        <v>1617</v>
      </c>
      <c r="O884" s="955" t="s">
        <v>2454</v>
      </c>
      <c r="P884" s="578">
        <v>0</v>
      </c>
      <c r="Q884" s="621" t="s">
        <v>2452</v>
      </c>
      <c r="R884" s="621">
        <v>923887</v>
      </c>
      <c r="S884" s="621"/>
      <c r="T884" s="820"/>
      <c r="U884" s="340"/>
      <c r="V884" s="340">
        <f t="shared" ca="1" si="268"/>
        <v>1</v>
      </c>
      <c r="W884" s="594">
        <f t="shared" ca="1" si="269"/>
        <v>1900</v>
      </c>
      <c r="X884" s="340" t="str">
        <f t="shared" ca="1" si="266"/>
        <v>0 WEEK</v>
      </c>
      <c r="Y884" s="794">
        <f t="shared" si="270"/>
        <v>0</v>
      </c>
      <c r="Z884" s="541" cm="1">
        <f t="array" aca="1" ref="Z884" ca="1">_xlfn.IFS(AD884&lt;100,Y884,Y884&lt;TODAY(),TODAY(),Y884&gt;TODAY(),Y884,Y884=TODAY(),Y884)</f>
        <v>0</v>
      </c>
      <c r="AA884" s="837"/>
      <c r="AB884" s="331"/>
      <c r="AC884" s="331"/>
      <c r="AD884" s="298">
        <f t="shared" si="258"/>
        <v>0</v>
      </c>
      <c r="AE884" s="299" t="str">
        <f t="shared" si="259"/>
        <v>Complete</v>
      </c>
      <c r="AF884" s="340"/>
      <c r="AG884" s="340"/>
      <c r="AH884" s="340"/>
      <c r="AI884" s="301">
        <f t="shared" ca="1" si="256"/>
        <v>0</v>
      </c>
      <c r="AJ884" s="302">
        <f t="shared" ca="1" si="257"/>
        <v>0</v>
      </c>
      <c r="AK884" s="340"/>
      <c r="AL884" s="303">
        <f t="shared" si="260"/>
        <v>923887</v>
      </c>
      <c r="AM884" s="303">
        <f t="shared" si="261"/>
        <v>0</v>
      </c>
      <c r="AN884" s="303">
        <f t="shared" si="262"/>
        <v>923887</v>
      </c>
      <c r="AO884" s="304">
        <f t="shared" si="263"/>
        <v>0</v>
      </c>
      <c r="AP884" s="273">
        <f t="shared" si="265"/>
        <v>1</v>
      </c>
      <c r="AQ884" s="273" t="str">
        <f t="shared" ca="1" si="264"/>
        <v>11900</v>
      </c>
    </row>
    <row r="885" spans="1:43">
      <c r="P885" s="447"/>
      <c r="V885" s="340">
        <f t="shared" ca="1" si="268"/>
        <v>1</v>
      </c>
      <c r="W885" s="594">
        <f t="shared" ca="1" si="269"/>
        <v>1900</v>
      </c>
      <c r="X885" s="340" t="str">
        <f t="shared" ca="1" si="266"/>
        <v>0 WEEK</v>
      </c>
      <c r="Y885" s="794">
        <f t="shared" si="270"/>
        <v>0</v>
      </c>
      <c r="Z885" s="541" cm="1">
        <f t="array" aca="1" ref="Z885" ca="1">_xlfn.IFS(AD885&lt;100,Y885,Y885&lt;TODAY(),TODAY(),Y885&gt;TODAY(),Y885,Y885=TODAY(),Y885)</f>
        <v>0</v>
      </c>
      <c r="AD885" s="298">
        <f t="shared" si="258"/>
        <v>0</v>
      </c>
      <c r="AE885" s="299" t="str">
        <f t="shared" si="259"/>
        <v>Complete</v>
      </c>
      <c r="AI885" s="301">
        <f t="shared" ca="1" si="256"/>
        <v>0</v>
      </c>
      <c r="AJ885" s="302">
        <f t="shared" ca="1" si="257"/>
        <v>0</v>
      </c>
      <c r="AL885" s="303">
        <f t="shared" si="260"/>
        <v>0</v>
      </c>
      <c r="AM885" s="303">
        <f t="shared" si="261"/>
        <v>0</v>
      </c>
      <c r="AN885" s="303">
        <f t="shared" si="262"/>
        <v>0</v>
      </c>
      <c r="AO885" s="304">
        <f t="shared" si="263"/>
        <v>0</v>
      </c>
      <c r="AP885" s="273">
        <f t="shared" si="265"/>
        <v>1</v>
      </c>
      <c r="AQ885" s="273" t="str">
        <f t="shared" ca="1" si="264"/>
        <v>11900</v>
      </c>
    </row>
    <row r="886" spans="1:43">
      <c r="A886" s="312">
        <v>43</v>
      </c>
      <c r="B886" s="711" t="s">
        <v>2431</v>
      </c>
      <c r="D886" s="273" t="s">
        <v>2432</v>
      </c>
      <c r="O886" s="273" t="s">
        <v>2455</v>
      </c>
      <c r="P886" s="447">
        <v>0</v>
      </c>
      <c r="Q886" s="273" t="s">
        <v>2456</v>
      </c>
      <c r="R886" s="314">
        <v>15340</v>
      </c>
      <c r="V886" s="340">
        <f t="shared" ca="1" si="268"/>
        <v>1</v>
      </c>
      <c r="W886" s="594">
        <f t="shared" ca="1" si="269"/>
        <v>1900</v>
      </c>
      <c r="X886" s="340" t="str">
        <f t="shared" ca="1" si="266"/>
        <v>0 WEEK</v>
      </c>
      <c r="Y886" s="794">
        <f t="shared" si="270"/>
        <v>0</v>
      </c>
      <c r="Z886" s="541" cm="1">
        <f t="array" aca="1" ref="Z886" ca="1">_xlfn.IFS(AD886&lt;100,Y886,Y886&lt;TODAY(),TODAY(),Y886&gt;TODAY(),Y886,Y886=TODAY(),Y886)</f>
        <v>0</v>
      </c>
      <c r="AD886" s="298">
        <f t="shared" si="258"/>
        <v>0</v>
      </c>
      <c r="AE886" s="299" t="str">
        <f t="shared" si="259"/>
        <v>Complete</v>
      </c>
      <c r="AI886" s="301">
        <f t="shared" ca="1" si="256"/>
        <v>0</v>
      </c>
      <c r="AJ886" s="302">
        <f t="shared" ca="1" si="257"/>
        <v>0</v>
      </c>
      <c r="AL886" s="303">
        <f t="shared" si="260"/>
        <v>0</v>
      </c>
      <c r="AM886" s="303">
        <f t="shared" si="261"/>
        <v>-15340</v>
      </c>
      <c r="AN886" s="303">
        <f t="shared" si="262"/>
        <v>15340</v>
      </c>
      <c r="AO886" s="304">
        <f t="shared" si="263"/>
        <v>0</v>
      </c>
      <c r="AP886" s="273">
        <f t="shared" si="265"/>
        <v>1</v>
      </c>
      <c r="AQ886" s="273" t="str">
        <f t="shared" ca="1" si="264"/>
        <v>11900</v>
      </c>
    </row>
    <row r="887" spans="1:43">
      <c r="A887" s="312">
        <v>43</v>
      </c>
      <c r="B887" s="711" t="s">
        <v>2431</v>
      </c>
      <c r="D887" s="273" t="s">
        <v>2432</v>
      </c>
      <c r="O887" s="273" t="s">
        <v>2455</v>
      </c>
      <c r="P887" s="447">
        <v>0</v>
      </c>
      <c r="Q887" s="273" t="s">
        <v>2457</v>
      </c>
      <c r="R887" s="314">
        <v>38350</v>
      </c>
      <c r="V887" s="340">
        <f t="shared" ca="1" si="268"/>
        <v>1</v>
      </c>
      <c r="W887" s="594">
        <f t="shared" ca="1" si="269"/>
        <v>1900</v>
      </c>
      <c r="X887" s="340" t="str">
        <f t="shared" ca="1" si="266"/>
        <v>0 WEEK</v>
      </c>
      <c r="Y887" s="794">
        <f t="shared" si="270"/>
        <v>0</v>
      </c>
      <c r="Z887" s="541" cm="1">
        <f t="array" aca="1" ref="Z887" ca="1">_xlfn.IFS(AD887&lt;100,Y887,Y887&lt;TODAY(),TODAY(),Y887&gt;TODAY(),Y887,Y887=TODAY(),Y887)</f>
        <v>0</v>
      </c>
      <c r="AD887" s="298">
        <f t="shared" si="258"/>
        <v>0</v>
      </c>
      <c r="AE887" s="299" t="str">
        <f t="shared" si="259"/>
        <v>Complete</v>
      </c>
      <c r="AI887" s="301">
        <f t="shared" ca="1" si="256"/>
        <v>0</v>
      </c>
      <c r="AJ887" s="302">
        <f t="shared" ca="1" si="257"/>
        <v>0</v>
      </c>
      <c r="AL887" s="303">
        <f t="shared" si="260"/>
        <v>0</v>
      </c>
      <c r="AM887" s="303">
        <f t="shared" si="261"/>
        <v>-38350</v>
      </c>
      <c r="AN887" s="303">
        <f t="shared" si="262"/>
        <v>38350</v>
      </c>
      <c r="AO887" s="304">
        <f t="shared" si="263"/>
        <v>0</v>
      </c>
      <c r="AP887" s="273">
        <f t="shared" si="265"/>
        <v>1</v>
      </c>
      <c r="AQ887" s="273" t="str">
        <f t="shared" ca="1" si="264"/>
        <v>11900</v>
      </c>
    </row>
    <row r="888" spans="1:43">
      <c r="A888" s="312">
        <v>43</v>
      </c>
      <c r="B888" s="711" t="s">
        <v>2431</v>
      </c>
      <c r="D888" s="273" t="s">
        <v>2432</v>
      </c>
      <c r="O888" s="273" t="s">
        <v>2455</v>
      </c>
      <c r="P888" s="447">
        <v>0</v>
      </c>
      <c r="Q888" s="273" t="s">
        <v>2458</v>
      </c>
      <c r="R888" s="314">
        <v>59295</v>
      </c>
      <c r="V888" s="340">
        <f t="shared" ca="1" si="268"/>
        <v>1</v>
      </c>
      <c r="W888" s="594">
        <f t="shared" ca="1" si="269"/>
        <v>1900</v>
      </c>
      <c r="X888" s="340" t="str">
        <f t="shared" ca="1" si="266"/>
        <v>0 WEEK</v>
      </c>
      <c r="Y888" s="794">
        <f t="shared" si="270"/>
        <v>0</v>
      </c>
      <c r="Z888" s="541" cm="1">
        <f t="array" aca="1" ref="Z888" ca="1">_xlfn.IFS(AD888&lt;100,Y888,Y888&lt;TODAY(),TODAY(),Y888&gt;TODAY(),Y888,Y888=TODAY(),Y888)</f>
        <v>0</v>
      </c>
      <c r="AD888" s="298">
        <f t="shared" si="258"/>
        <v>0</v>
      </c>
      <c r="AE888" s="299" t="str">
        <f t="shared" si="259"/>
        <v>Complete</v>
      </c>
      <c r="AI888" s="301">
        <f t="shared" ca="1" si="256"/>
        <v>0</v>
      </c>
      <c r="AJ888" s="302">
        <f t="shared" ca="1" si="257"/>
        <v>0</v>
      </c>
      <c r="AL888" s="303">
        <f t="shared" si="260"/>
        <v>0</v>
      </c>
      <c r="AM888" s="303">
        <f t="shared" si="261"/>
        <v>-59295</v>
      </c>
      <c r="AN888" s="303">
        <f t="shared" si="262"/>
        <v>59295</v>
      </c>
      <c r="AO888" s="304">
        <f t="shared" si="263"/>
        <v>0</v>
      </c>
      <c r="AP888" s="273">
        <f t="shared" si="265"/>
        <v>1</v>
      </c>
      <c r="AQ888" s="273" t="str">
        <f t="shared" ca="1" si="264"/>
        <v>11900</v>
      </c>
    </row>
    <row r="889" spans="1:43">
      <c r="A889" s="312">
        <v>43</v>
      </c>
      <c r="B889" s="711" t="s">
        <v>2431</v>
      </c>
      <c r="D889" s="273" t="s">
        <v>2432</v>
      </c>
      <c r="O889" s="273" t="s">
        <v>2455</v>
      </c>
      <c r="P889" s="447">
        <v>0</v>
      </c>
      <c r="Q889" s="273" t="s">
        <v>2459</v>
      </c>
      <c r="R889" s="314">
        <v>5950</v>
      </c>
      <c r="V889" s="340">
        <f t="shared" ca="1" si="268"/>
        <v>1</v>
      </c>
      <c r="W889" s="594">
        <f t="shared" ca="1" si="269"/>
        <v>1900</v>
      </c>
      <c r="X889" s="340" t="str">
        <f t="shared" ca="1" si="266"/>
        <v>0 WEEK</v>
      </c>
      <c r="Y889" s="794">
        <f t="shared" si="270"/>
        <v>0</v>
      </c>
      <c r="Z889" s="541" cm="1">
        <f t="array" aca="1" ref="Z889" ca="1">_xlfn.IFS(AD889&lt;100,Y889,Y889&lt;TODAY(),TODAY(),Y889&gt;TODAY(),Y889,Y889=TODAY(),Y889)</f>
        <v>0</v>
      </c>
      <c r="AD889" s="298">
        <f t="shared" si="258"/>
        <v>0</v>
      </c>
      <c r="AE889" s="299" t="str">
        <f t="shared" si="259"/>
        <v>Complete</v>
      </c>
      <c r="AI889" s="301">
        <f t="shared" ca="1" si="256"/>
        <v>0</v>
      </c>
      <c r="AJ889" s="302">
        <f t="shared" ca="1" si="257"/>
        <v>0</v>
      </c>
      <c r="AL889" s="303">
        <f t="shared" si="260"/>
        <v>0</v>
      </c>
      <c r="AM889" s="303">
        <f t="shared" si="261"/>
        <v>-5950</v>
      </c>
      <c r="AN889" s="303">
        <f t="shared" si="262"/>
        <v>5950</v>
      </c>
      <c r="AO889" s="304">
        <f t="shared" si="263"/>
        <v>0</v>
      </c>
      <c r="AP889" s="273">
        <f t="shared" si="265"/>
        <v>1</v>
      </c>
      <c r="AQ889" s="273" t="str">
        <f t="shared" ca="1" si="264"/>
        <v>11900</v>
      </c>
    </row>
    <row r="890" spans="1:43">
      <c r="A890" s="312">
        <v>43</v>
      </c>
      <c r="B890" s="711" t="s">
        <v>2431</v>
      </c>
      <c r="D890" s="273" t="s">
        <v>2432</v>
      </c>
      <c r="O890" s="273" t="s">
        <v>2455</v>
      </c>
      <c r="P890" s="447">
        <v>0</v>
      </c>
      <c r="Q890" s="273" t="s">
        <v>2460</v>
      </c>
      <c r="R890" s="314">
        <v>20650</v>
      </c>
      <c r="V890" s="340">
        <f t="shared" ca="1" si="268"/>
        <v>1</v>
      </c>
      <c r="W890" s="594">
        <f t="shared" ca="1" si="269"/>
        <v>1900</v>
      </c>
      <c r="X890" s="340" t="str">
        <f t="shared" ca="1" si="266"/>
        <v>0 WEEK</v>
      </c>
      <c r="Y890" s="794">
        <f t="shared" si="270"/>
        <v>0</v>
      </c>
      <c r="Z890" s="541" cm="1">
        <f t="array" aca="1" ref="Z890" ca="1">_xlfn.IFS(AD890&lt;100,Y890,Y890&lt;TODAY(),TODAY(),Y890&gt;TODAY(),Y890,Y890=TODAY(),Y890)</f>
        <v>0</v>
      </c>
      <c r="AD890" s="298">
        <f t="shared" si="258"/>
        <v>0</v>
      </c>
      <c r="AE890" s="299" t="str">
        <f t="shared" si="259"/>
        <v>Complete</v>
      </c>
      <c r="AI890" s="301">
        <f t="shared" ca="1" si="256"/>
        <v>0</v>
      </c>
      <c r="AJ890" s="302">
        <f t="shared" ca="1" si="257"/>
        <v>0</v>
      </c>
      <c r="AL890" s="303">
        <f t="shared" si="260"/>
        <v>0</v>
      </c>
      <c r="AM890" s="303">
        <f t="shared" si="261"/>
        <v>-20650</v>
      </c>
      <c r="AN890" s="303">
        <f t="shared" si="262"/>
        <v>20650</v>
      </c>
      <c r="AO890" s="304">
        <f t="shared" si="263"/>
        <v>0</v>
      </c>
      <c r="AP890" s="273">
        <f t="shared" si="265"/>
        <v>1</v>
      </c>
      <c r="AQ890" s="273" t="str">
        <f t="shared" ca="1" si="264"/>
        <v>11900</v>
      </c>
    </row>
    <row r="891" spans="1:43">
      <c r="A891" s="312">
        <v>43</v>
      </c>
      <c r="B891" s="711" t="s">
        <v>2431</v>
      </c>
      <c r="D891" s="273" t="s">
        <v>2432</v>
      </c>
      <c r="O891" s="273" t="s">
        <v>2455</v>
      </c>
      <c r="P891" s="447">
        <v>0</v>
      </c>
      <c r="Q891" s="273" t="s">
        <v>2461</v>
      </c>
      <c r="R891" s="314">
        <v>5005.8999999999996</v>
      </c>
      <c r="V891" s="340">
        <f t="shared" ca="1" si="268"/>
        <v>1</v>
      </c>
      <c r="W891" s="594">
        <f t="shared" ca="1" si="269"/>
        <v>1900</v>
      </c>
      <c r="X891" s="340" t="str">
        <f t="shared" ca="1" si="266"/>
        <v>0 WEEK</v>
      </c>
      <c r="Y891" s="794">
        <f t="shared" si="270"/>
        <v>0</v>
      </c>
      <c r="Z891" s="541" cm="1">
        <f t="array" aca="1" ref="Z891" ca="1">_xlfn.IFS(AD891&lt;100,Y891,Y891&lt;TODAY(),TODAY(),Y891&gt;TODAY(),Y891,Y891=TODAY(),Y891)</f>
        <v>0</v>
      </c>
      <c r="AD891" s="298">
        <f t="shared" si="258"/>
        <v>0</v>
      </c>
      <c r="AE891" s="299" t="str">
        <f t="shared" si="259"/>
        <v>Complete</v>
      </c>
      <c r="AI891" s="301">
        <f t="shared" ca="1" si="256"/>
        <v>0</v>
      </c>
      <c r="AJ891" s="302">
        <f t="shared" ca="1" si="257"/>
        <v>0</v>
      </c>
      <c r="AL891" s="303">
        <f t="shared" si="260"/>
        <v>0</v>
      </c>
      <c r="AM891" s="303">
        <f t="shared" si="261"/>
        <v>-5005.8999999999996</v>
      </c>
      <c r="AN891" s="303">
        <f t="shared" si="262"/>
        <v>5005.8999999999996</v>
      </c>
      <c r="AO891" s="304">
        <f t="shared" si="263"/>
        <v>0</v>
      </c>
      <c r="AP891" s="273">
        <f t="shared" si="265"/>
        <v>1</v>
      </c>
      <c r="AQ891" s="273" t="str">
        <f t="shared" ca="1" si="264"/>
        <v>11900</v>
      </c>
    </row>
    <row r="892" spans="1:43">
      <c r="A892" s="312">
        <v>43</v>
      </c>
      <c r="B892" s="711" t="s">
        <v>2431</v>
      </c>
      <c r="D892" s="273" t="s">
        <v>2432</v>
      </c>
      <c r="O892" s="273" t="s">
        <v>2455</v>
      </c>
      <c r="P892" s="447">
        <v>0</v>
      </c>
      <c r="Q892" s="273" t="s">
        <v>2462</v>
      </c>
      <c r="R892" s="314">
        <v>96749</v>
      </c>
      <c r="V892" s="340">
        <f t="shared" ca="1" si="268"/>
        <v>1</v>
      </c>
      <c r="W892" s="594">
        <f t="shared" ca="1" si="269"/>
        <v>1900</v>
      </c>
      <c r="X892" s="340" t="str">
        <f t="shared" ca="1" si="266"/>
        <v>0 WEEK</v>
      </c>
      <c r="Y892" s="794">
        <f t="shared" si="270"/>
        <v>0</v>
      </c>
      <c r="Z892" s="541" cm="1">
        <f t="array" aca="1" ref="Z892" ca="1">_xlfn.IFS(AD892&lt;100,Y892,Y892&lt;TODAY(),TODAY(),Y892&gt;TODAY(),Y892,Y892=TODAY(),Y892)</f>
        <v>0</v>
      </c>
      <c r="AD892" s="298">
        <f t="shared" si="258"/>
        <v>0</v>
      </c>
      <c r="AE892" s="299" t="str">
        <f t="shared" si="259"/>
        <v>Complete</v>
      </c>
      <c r="AI892" s="301">
        <f t="shared" ca="1" si="256"/>
        <v>0</v>
      </c>
      <c r="AJ892" s="302">
        <f t="shared" ca="1" si="257"/>
        <v>0</v>
      </c>
      <c r="AL892" s="303">
        <f t="shared" si="260"/>
        <v>0</v>
      </c>
      <c r="AM892" s="303">
        <f t="shared" si="261"/>
        <v>-96749</v>
      </c>
      <c r="AN892" s="303">
        <f t="shared" si="262"/>
        <v>96749</v>
      </c>
      <c r="AO892" s="304">
        <f t="shared" si="263"/>
        <v>0</v>
      </c>
      <c r="AP892" s="273">
        <f t="shared" si="265"/>
        <v>1</v>
      </c>
      <c r="AQ892" s="273" t="str">
        <f t="shared" ca="1" si="264"/>
        <v>11900</v>
      </c>
    </row>
    <row r="893" spans="1:43">
      <c r="B893" s="702"/>
      <c r="O893" s="273"/>
      <c r="P893" s="447"/>
      <c r="V893" s="340">
        <f t="shared" ca="1" si="268"/>
        <v>1</v>
      </c>
      <c r="W893" s="594">
        <f t="shared" ca="1" si="269"/>
        <v>1900</v>
      </c>
      <c r="X893" s="340" t="str">
        <f t="shared" ca="1" si="266"/>
        <v>0 WEEK</v>
      </c>
      <c r="Y893" s="794">
        <f t="shared" si="270"/>
        <v>0</v>
      </c>
      <c r="Z893" s="541" cm="1">
        <f t="array" aca="1" ref="Z893" ca="1">_xlfn.IFS(AD893&lt;100,Y893,Y893&lt;TODAY(),TODAY(),Y893&gt;TODAY(),Y893,Y893=TODAY(),Y893)</f>
        <v>0</v>
      </c>
      <c r="AD893" s="298">
        <f t="shared" si="258"/>
        <v>0</v>
      </c>
      <c r="AE893" s="299" t="str">
        <f t="shared" si="259"/>
        <v>Complete</v>
      </c>
      <c r="AI893" s="301">
        <f t="shared" ca="1" si="256"/>
        <v>0</v>
      </c>
      <c r="AJ893" s="302">
        <f t="shared" ca="1" si="257"/>
        <v>0</v>
      </c>
      <c r="AL893" s="303">
        <f t="shared" si="260"/>
        <v>0</v>
      </c>
      <c r="AM893" s="303">
        <f t="shared" si="261"/>
        <v>0</v>
      </c>
      <c r="AN893" s="303">
        <f t="shared" si="262"/>
        <v>0</v>
      </c>
      <c r="AO893" s="304">
        <f t="shared" si="263"/>
        <v>0</v>
      </c>
      <c r="AP893" s="273">
        <f t="shared" si="265"/>
        <v>1</v>
      </c>
      <c r="AQ893" s="273" t="str">
        <f t="shared" ca="1" si="264"/>
        <v>11900</v>
      </c>
    </row>
    <row r="894" spans="1:43">
      <c r="A894" s="312">
        <v>44</v>
      </c>
      <c r="B894" s="711" t="s">
        <v>2431</v>
      </c>
      <c r="D894" s="273" t="s">
        <v>2432</v>
      </c>
      <c r="G894" s="306">
        <v>408321</v>
      </c>
      <c r="H894" s="307">
        <v>73497.78</v>
      </c>
      <c r="I894" s="308">
        <v>481818.78</v>
      </c>
      <c r="N894" s="273" t="s">
        <v>2116</v>
      </c>
      <c r="O894" s="956" t="s">
        <v>2463</v>
      </c>
      <c r="P894" s="447"/>
      <c r="V894" s="340">
        <f t="shared" ca="1" si="268"/>
        <v>1</v>
      </c>
      <c r="W894" s="594">
        <f t="shared" ca="1" si="269"/>
        <v>1900</v>
      </c>
      <c r="X894" s="340" t="str">
        <f t="shared" ca="1" si="266"/>
        <v>0 WEEK</v>
      </c>
      <c r="Y894" s="794">
        <f t="shared" si="270"/>
        <v>0</v>
      </c>
      <c r="Z894" s="541" cm="1">
        <f t="array" aca="1" ref="Z894" ca="1">_xlfn.IFS(AD894&lt;100,Y894,Y894&lt;TODAY(),TODAY(),Y894&gt;TODAY(),Y894,Y894=TODAY(),Y894)</f>
        <v>0</v>
      </c>
      <c r="AD894" s="298">
        <f t="shared" si="258"/>
        <v>0</v>
      </c>
      <c r="AE894" s="299" t="str">
        <f t="shared" si="259"/>
        <v>Complete</v>
      </c>
      <c r="AI894" s="301">
        <f t="shared" ca="1" si="256"/>
        <v>0</v>
      </c>
      <c r="AJ894" s="302">
        <f t="shared" ca="1" si="257"/>
        <v>0</v>
      </c>
      <c r="AL894" s="303">
        <f t="shared" si="260"/>
        <v>481818.78</v>
      </c>
      <c r="AM894" s="303">
        <f t="shared" si="261"/>
        <v>481818.78</v>
      </c>
      <c r="AN894" s="303">
        <f t="shared" si="262"/>
        <v>0</v>
      </c>
      <c r="AO894" s="304">
        <f t="shared" si="263"/>
        <v>0</v>
      </c>
      <c r="AP894" s="273">
        <f t="shared" si="265"/>
        <v>1</v>
      </c>
      <c r="AQ894" s="273" t="str">
        <f t="shared" ca="1" si="264"/>
        <v>11900</v>
      </c>
    </row>
    <row r="895" spans="1:43">
      <c r="A895" s="312">
        <v>44</v>
      </c>
      <c r="B895" s="711" t="s">
        <v>2431</v>
      </c>
      <c r="D895" s="273" t="s">
        <v>2432</v>
      </c>
      <c r="G895" s="306">
        <v>408321</v>
      </c>
      <c r="H895" s="307">
        <v>73497.78</v>
      </c>
      <c r="I895" s="308">
        <v>481818.78</v>
      </c>
      <c r="N895" s="273" t="s">
        <v>2116</v>
      </c>
      <c r="O895" s="956" t="s">
        <v>2464</v>
      </c>
      <c r="P895" s="447"/>
      <c r="V895" s="340">
        <f t="shared" ca="1" si="268"/>
        <v>1</v>
      </c>
      <c r="W895" s="594">
        <f t="shared" ca="1" si="269"/>
        <v>1900</v>
      </c>
      <c r="X895" s="340" t="str">
        <f t="shared" ca="1" si="266"/>
        <v>0 WEEK</v>
      </c>
      <c r="Y895" s="794">
        <f t="shared" si="270"/>
        <v>0</v>
      </c>
      <c r="Z895" s="541" cm="1">
        <f t="array" aca="1" ref="Z895" ca="1">_xlfn.IFS(AD895&lt;100,Y895,Y895&lt;TODAY(),TODAY(),Y895&gt;TODAY(),Y895,Y895=TODAY(),Y895)</f>
        <v>0</v>
      </c>
      <c r="AD895" s="298">
        <f t="shared" si="258"/>
        <v>0</v>
      </c>
      <c r="AE895" s="299" t="str">
        <f t="shared" si="259"/>
        <v>Complete</v>
      </c>
      <c r="AI895" s="301">
        <f t="shared" ca="1" si="256"/>
        <v>0</v>
      </c>
      <c r="AJ895" s="302">
        <f t="shared" ca="1" si="257"/>
        <v>0</v>
      </c>
      <c r="AL895" s="303">
        <f t="shared" si="260"/>
        <v>481818.78</v>
      </c>
      <c r="AM895" s="303">
        <f t="shared" si="261"/>
        <v>481818.78</v>
      </c>
      <c r="AN895" s="303">
        <f t="shared" si="262"/>
        <v>0</v>
      </c>
      <c r="AO895" s="304">
        <f t="shared" si="263"/>
        <v>0</v>
      </c>
      <c r="AP895" s="273">
        <f t="shared" si="265"/>
        <v>1</v>
      </c>
      <c r="AQ895" s="273" t="str">
        <f t="shared" ca="1" si="264"/>
        <v>11900</v>
      </c>
    </row>
    <row r="896" spans="1:43">
      <c r="A896" s="312">
        <v>44</v>
      </c>
      <c r="B896" s="711" t="s">
        <v>2431</v>
      </c>
      <c r="D896" s="273" t="s">
        <v>2432</v>
      </c>
      <c r="G896" s="306">
        <v>408321</v>
      </c>
      <c r="H896" s="307">
        <v>73497.78</v>
      </c>
      <c r="I896" s="308">
        <v>481818.78</v>
      </c>
      <c r="N896" s="273" t="s">
        <v>2116</v>
      </c>
      <c r="O896" s="956" t="s">
        <v>2465</v>
      </c>
      <c r="P896" s="447"/>
      <c r="V896" s="340">
        <f t="shared" ca="1" si="268"/>
        <v>1</v>
      </c>
      <c r="W896" s="594">
        <f t="shared" ca="1" si="269"/>
        <v>1900</v>
      </c>
      <c r="X896" s="340" t="str">
        <f t="shared" ca="1" si="266"/>
        <v>0 WEEK</v>
      </c>
      <c r="Y896" s="794">
        <f t="shared" si="270"/>
        <v>0</v>
      </c>
      <c r="Z896" s="541" cm="1">
        <f t="array" aca="1" ref="Z896" ca="1">_xlfn.IFS(AD896&lt;100,Y896,Y896&lt;TODAY(),TODAY(),Y896&gt;TODAY(),Y896,Y896=TODAY(),Y896)</f>
        <v>0</v>
      </c>
      <c r="AD896" s="298">
        <f t="shared" si="258"/>
        <v>0</v>
      </c>
      <c r="AE896" s="299" t="str">
        <f t="shared" si="259"/>
        <v>Complete</v>
      </c>
      <c r="AI896" s="301">
        <f t="shared" ca="1" si="256"/>
        <v>0</v>
      </c>
      <c r="AJ896" s="302">
        <f t="shared" ca="1" si="257"/>
        <v>0</v>
      </c>
      <c r="AL896" s="303">
        <f t="shared" si="260"/>
        <v>481818.78</v>
      </c>
      <c r="AM896" s="303">
        <f t="shared" si="261"/>
        <v>481818.78</v>
      </c>
      <c r="AN896" s="303">
        <f t="shared" si="262"/>
        <v>0</v>
      </c>
      <c r="AO896" s="304">
        <f t="shared" si="263"/>
        <v>0</v>
      </c>
      <c r="AP896" s="273">
        <f t="shared" si="265"/>
        <v>1</v>
      </c>
      <c r="AQ896" s="273" t="str">
        <f t="shared" ca="1" si="264"/>
        <v>11900</v>
      </c>
    </row>
    <row r="897" spans="1:43">
      <c r="A897" s="312">
        <v>44</v>
      </c>
      <c r="B897" s="711" t="s">
        <v>2431</v>
      </c>
      <c r="D897" s="273" t="s">
        <v>2432</v>
      </c>
      <c r="G897" s="306">
        <v>408321</v>
      </c>
      <c r="H897" s="307">
        <v>73497.78</v>
      </c>
      <c r="I897" s="308">
        <v>481818.78</v>
      </c>
      <c r="N897" s="273" t="s">
        <v>2116</v>
      </c>
      <c r="O897" s="956" t="s">
        <v>2466</v>
      </c>
      <c r="P897" s="447"/>
      <c r="V897" s="340">
        <f t="shared" ca="1" si="268"/>
        <v>1</v>
      </c>
      <c r="W897" s="594">
        <f t="shared" ca="1" si="269"/>
        <v>1900</v>
      </c>
      <c r="X897" s="340" t="str">
        <f t="shared" ca="1" si="266"/>
        <v>0 WEEK</v>
      </c>
      <c r="Y897" s="794">
        <f t="shared" si="270"/>
        <v>0</v>
      </c>
      <c r="Z897" s="541" cm="1">
        <f t="array" aca="1" ref="Z897" ca="1">_xlfn.IFS(AD897&lt;100,Y897,Y897&lt;TODAY(),TODAY(),Y897&gt;TODAY(),Y897,Y897=TODAY(),Y897)</f>
        <v>0</v>
      </c>
      <c r="AD897" s="298">
        <f t="shared" si="258"/>
        <v>0</v>
      </c>
      <c r="AE897" s="299" t="str">
        <f t="shared" si="259"/>
        <v>Complete</v>
      </c>
      <c r="AI897" s="301">
        <f t="shared" ca="1" si="256"/>
        <v>0</v>
      </c>
      <c r="AJ897" s="302">
        <f t="shared" ca="1" si="257"/>
        <v>0</v>
      </c>
      <c r="AL897" s="303">
        <f t="shared" si="260"/>
        <v>481818.78</v>
      </c>
      <c r="AM897" s="303">
        <f t="shared" si="261"/>
        <v>481818.78</v>
      </c>
      <c r="AN897" s="303">
        <f t="shared" si="262"/>
        <v>0</v>
      </c>
      <c r="AO897" s="304">
        <f t="shared" si="263"/>
        <v>0</v>
      </c>
      <c r="AP897" s="273">
        <f t="shared" si="265"/>
        <v>1</v>
      </c>
      <c r="AQ897" s="273" t="str">
        <f t="shared" ca="1" si="264"/>
        <v>11900</v>
      </c>
    </row>
    <row r="898" spans="1:43">
      <c r="A898" s="312">
        <v>44</v>
      </c>
      <c r="B898" s="711" t="s">
        <v>2431</v>
      </c>
      <c r="D898" s="273" t="s">
        <v>2432</v>
      </c>
      <c r="G898" s="306">
        <v>408321</v>
      </c>
      <c r="H898" s="307">
        <v>73497.78</v>
      </c>
      <c r="I898" s="308">
        <v>481818.78</v>
      </c>
      <c r="N898" s="273" t="s">
        <v>2116</v>
      </c>
      <c r="O898" s="956" t="s">
        <v>2467</v>
      </c>
      <c r="P898" s="447"/>
      <c r="V898" s="340">
        <f t="shared" ca="1" si="268"/>
        <v>1</v>
      </c>
      <c r="W898" s="594">
        <f t="shared" ca="1" si="269"/>
        <v>1900</v>
      </c>
      <c r="X898" s="340" t="str">
        <f t="shared" ca="1" si="266"/>
        <v>0 WEEK</v>
      </c>
      <c r="Y898" s="794">
        <f t="shared" si="270"/>
        <v>0</v>
      </c>
      <c r="Z898" s="541" cm="1">
        <f t="array" aca="1" ref="Z898" ca="1">_xlfn.IFS(AD898&lt;100,Y898,Y898&lt;TODAY(),TODAY(),Y898&gt;TODAY(),Y898,Y898=TODAY(),Y898)</f>
        <v>0</v>
      </c>
      <c r="AD898" s="298">
        <f t="shared" si="258"/>
        <v>0</v>
      </c>
      <c r="AE898" s="299" t="str">
        <f t="shared" si="259"/>
        <v>Complete</v>
      </c>
      <c r="AI898" s="301">
        <f t="shared" ref="AI898:AI961" ca="1" si="271">Z898-Y898</f>
        <v>0</v>
      </c>
      <c r="AJ898" s="302">
        <f t="shared" ref="AJ898:AJ961" ca="1" si="272">IF(AI898&gt;1,"Delayed",0)</f>
        <v>0</v>
      </c>
      <c r="AL898" s="303">
        <f t="shared" si="260"/>
        <v>481818.78</v>
      </c>
      <c r="AM898" s="303">
        <f t="shared" si="261"/>
        <v>481818.78</v>
      </c>
      <c r="AN898" s="303">
        <f t="shared" si="262"/>
        <v>0</v>
      </c>
      <c r="AO898" s="304">
        <f t="shared" si="263"/>
        <v>0</v>
      </c>
      <c r="AP898" s="273">
        <f t="shared" si="265"/>
        <v>1</v>
      </c>
      <c r="AQ898" s="273" t="str">
        <f t="shared" ca="1" si="264"/>
        <v>11900</v>
      </c>
    </row>
    <row r="899" spans="1:43">
      <c r="B899" s="702"/>
      <c r="O899" s="273"/>
      <c r="P899" s="447"/>
      <c r="V899" s="340">
        <f t="shared" ca="1" si="268"/>
        <v>1</v>
      </c>
      <c r="W899" s="594">
        <f t="shared" ca="1" si="269"/>
        <v>1900</v>
      </c>
      <c r="X899" s="340" t="str">
        <f t="shared" ca="1" si="266"/>
        <v>0 WEEK</v>
      </c>
      <c r="Y899" s="794">
        <f t="shared" si="270"/>
        <v>0</v>
      </c>
      <c r="Z899" s="541" cm="1">
        <f t="array" aca="1" ref="Z899" ca="1">_xlfn.IFS(AD899&lt;100,Y899,Y899&lt;TODAY(),TODAY(),Y899&gt;TODAY(),Y899,Y899=TODAY(),Y899)</f>
        <v>0</v>
      </c>
      <c r="AD899" s="298">
        <f t="shared" ref="AD899:AD962" si="273">ROUND(AA899-AB899-AC899,0)</f>
        <v>0</v>
      </c>
      <c r="AE899" s="299" t="str">
        <f t="shared" ref="AE899:AE962" si="274">IF(AD899&lt;100,"Complete","Incomplete")</f>
        <v>Complete</v>
      </c>
      <c r="AI899" s="301">
        <f t="shared" ca="1" si="271"/>
        <v>0</v>
      </c>
      <c r="AJ899" s="302">
        <f t="shared" ca="1" si="272"/>
        <v>0</v>
      </c>
      <c r="AL899" s="303">
        <f t="shared" ref="AL899:AL962" si="275">I899-J899</f>
        <v>0</v>
      </c>
      <c r="AM899" s="303">
        <f t="shared" ref="AM899:AM962" si="276">IFERROR(I899-R899,0)</f>
        <v>0</v>
      </c>
      <c r="AN899" s="303">
        <f t="shared" ref="AN899:AN962" si="277">IFERROR(R899-J899,0)</f>
        <v>0</v>
      </c>
      <c r="AO899" s="304">
        <f t="shared" ref="AO899:AO962" si="278">IFERROR(P899/J899,0)</f>
        <v>0</v>
      </c>
      <c r="AP899" s="273">
        <f t="shared" si="265"/>
        <v>1</v>
      </c>
      <c r="AQ899" s="273" t="str">
        <f t="shared" ref="AQ899:AQ962" ca="1" si="279">AP899&amp;W899</f>
        <v>11900</v>
      </c>
    </row>
    <row r="900" spans="1:43" ht="18">
      <c r="A900" s="312">
        <v>45</v>
      </c>
      <c r="B900" s="711" t="s">
        <v>2468</v>
      </c>
      <c r="C900" s="273" t="s">
        <v>2469</v>
      </c>
      <c r="D900" s="273" t="s">
        <v>2470</v>
      </c>
      <c r="F900" s="739">
        <f>2750/100</f>
        <v>27.5</v>
      </c>
      <c r="P900" s="447">
        <v>0</v>
      </c>
      <c r="R900" s="741" t="e">
        <v>#VALUE!</v>
      </c>
      <c r="V900" s="340">
        <f t="shared" ca="1" si="268"/>
        <v>1</v>
      </c>
      <c r="W900" s="594">
        <f t="shared" ca="1" si="269"/>
        <v>1900</v>
      </c>
      <c r="X900" s="340" t="str">
        <f t="shared" ca="1" si="266"/>
        <v>0 WEEK</v>
      </c>
      <c r="Y900" s="794">
        <f t="shared" si="270"/>
        <v>0</v>
      </c>
      <c r="Z900" s="541" cm="1">
        <f t="array" aca="1" ref="Z900" ca="1">_xlfn.IFS(AD900&lt;100,Y900,Y900&lt;TODAY(),TODAY(),Y900&gt;TODAY(),Y900,Y900=TODAY(),Y900)</f>
        <v>0</v>
      </c>
      <c r="AB900" s="307">
        <v>0</v>
      </c>
      <c r="AD900" s="298">
        <f t="shared" si="273"/>
        <v>0</v>
      </c>
      <c r="AE900" s="299" t="str">
        <f t="shared" si="274"/>
        <v>Complete</v>
      </c>
      <c r="AI900" s="301">
        <f t="shared" ca="1" si="271"/>
        <v>0</v>
      </c>
      <c r="AJ900" s="302">
        <f t="shared" ca="1" si="272"/>
        <v>0</v>
      </c>
      <c r="AL900" s="303">
        <f t="shared" si="275"/>
        <v>0</v>
      </c>
      <c r="AM900" s="303">
        <f t="shared" si="276"/>
        <v>0</v>
      </c>
      <c r="AN900" s="303">
        <f t="shared" si="277"/>
        <v>0</v>
      </c>
      <c r="AO900" s="304">
        <f t="shared" si="278"/>
        <v>0</v>
      </c>
      <c r="AP900" s="273">
        <f t="shared" si="265"/>
        <v>1</v>
      </c>
      <c r="AQ900" s="273" t="str">
        <f t="shared" ca="1" si="279"/>
        <v>11900</v>
      </c>
    </row>
    <row r="901" spans="1:43" ht="16.5">
      <c r="A901" s="312">
        <v>45</v>
      </c>
      <c r="B901" s="711" t="s">
        <v>2468</v>
      </c>
      <c r="C901" s="273" t="s">
        <v>2469</v>
      </c>
      <c r="D901" s="273" t="s">
        <v>2470</v>
      </c>
      <c r="F901" s="739">
        <f>2750/100</f>
        <v>27.5</v>
      </c>
      <c r="G901" s="307">
        <v>55704344</v>
      </c>
      <c r="H901" s="314">
        <v>6684521.2799999993</v>
      </c>
      <c r="I901" s="314">
        <v>62388865</v>
      </c>
      <c r="J901" s="314"/>
      <c r="N901" s="273" t="s">
        <v>1593</v>
      </c>
      <c r="O901" s="862" t="s">
        <v>1822</v>
      </c>
      <c r="P901" s="688">
        <v>45382</v>
      </c>
      <c r="Q901" s="668" t="s">
        <v>2471</v>
      </c>
      <c r="R901" s="314">
        <v>62388865</v>
      </c>
      <c r="V901" s="340">
        <f t="shared" ca="1" si="268"/>
        <v>3</v>
      </c>
      <c r="W901" s="594">
        <f t="shared" ca="1" si="269"/>
        <v>2024</v>
      </c>
      <c r="X901" s="340" t="str">
        <f t="shared" ca="1" si="266"/>
        <v>5 WEEK</v>
      </c>
      <c r="Y901" s="794">
        <f t="shared" si="270"/>
        <v>45382</v>
      </c>
      <c r="Z901" s="541" cm="1">
        <f t="array" aca="1" ref="Z901" ca="1">_xlfn.IFS(AD901&lt;100,Y901,Y901&lt;TODAY(),TODAY(),Y901&gt;TODAY(),Y901,Y901=TODAY(),Y901)</f>
        <v>45382</v>
      </c>
      <c r="AD901" s="298">
        <f t="shared" si="273"/>
        <v>0</v>
      </c>
      <c r="AE901" s="299" t="str">
        <f t="shared" si="274"/>
        <v>Complete</v>
      </c>
      <c r="AI901" s="301">
        <f t="shared" ca="1" si="271"/>
        <v>0</v>
      </c>
      <c r="AJ901" s="302">
        <f t="shared" ca="1" si="272"/>
        <v>0</v>
      </c>
      <c r="AL901" s="303">
        <f t="shared" si="275"/>
        <v>62388865</v>
      </c>
      <c r="AM901" s="303">
        <f t="shared" si="276"/>
        <v>0</v>
      </c>
      <c r="AN901" s="303">
        <f t="shared" si="277"/>
        <v>62388865</v>
      </c>
      <c r="AO901" s="304">
        <f t="shared" si="278"/>
        <v>0</v>
      </c>
      <c r="AP901" s="273">
        <f t="shared" ref="AP901:AP964" si="280">MONTH(P901)</f>
        <v>3</v>
      </c>
      <c r="AQ901" s="273" t="str">
        <f t="shared" ca="1" si="279"/>
        <v>32024</v>
      </c>
    </row>
    <row r="902" spans="1:43" ht="16.5">
      <c r="A902" s="312">
        <v>45</v>
      </c>
      <c r="B902" s="711" t="s">
        <v>2468</v>
      </c>
      <c r="C902" s="273" t="s">
        <v>2469</v>
      </c>
      <c r="D902" s="273" t="s">
        <v>2470</v>
      </c>
      <c r="F902" s="739">
        <f t="shared" ref="F902:F921" si="281">2750/100</f>
        <v>27.5</v>
      </c>
      <c r="G902" s="307">
        <v>8217000</v>
      </c>
      <c r="H902" s="314">
        <v>986040</v>
      </c>
      <c r="I902" s="314">
        <v>9203040</v>
      </c>
      <c r="J902" s="314"/>
      <c r="N902" s="273" t="s">
        <v>1593</v>
      </c>
      <c r="O902" s="862" t="s">
        <v>2472</v>
      </c>
      <c r="P902" s="688">
        <v>45470</v>
      </c>
      <c r="Q902" s="668" t="s">
        <v>2473</v>
      </c>
      <c r="R902" s="314">
        <v>9203040</v>
      </c>
      <c r="V902" s="340">
        <f t="shared" ca="1" si="268"/>
        <v>6</v>
      </c>
      <c r="W902" s="594">
        <f t="shared" ca="1" si="269"/>
        <v>2024</v>
      </c>
      <c r="X902" s="340" t="str">
        <f t="shared" ca="1" si="266"/>
        <v>4 WEEK</v>
      </c>
      <c r="Y902" s="794">
        <f t="shared" si="270"/>
        <v>45470</v>
      </c>
      <c r="Z902" s="541" cm="1">
        <f t="array" aca="1" ref="Z902" ca="1">_xlfn.IFS(AD902&lt;100,Y902,Y902&lt;TODAY(),TODAY(),Y902&gt;TODAY(),Y902,Y902=TODAY(),Y902)</f>
        <v>45470</v>
      </c>
      <c r="AD902" s="298">
        <f t="shared" si="273"/>
        <v>0</v>
      </c>
      <c r="AE902" s="299" t="str">
        <f t="shared" si="274"/>
        <v>Complete</v>
      </c>
      <c r="AI902" s="301">
        <f t="shared" ca="1" si="271"/>
        <v>0</v>
      </c>
      <c r="AJ902" s="302">
        <f t="shared" ca="1" si="272"/>
        <v>0</v>
      </c>
      <c r="AL902" s="303">
        <f t="shared" si="275"/>
        <v>9203040</v>
      </c>
      <c r="AM902" s="303">
        <f t="shared" si="276"/>
        <v>0</v>
      </c>
      <c r="AN902" s="303">
        <f t="shared" si="277"/>
        <v>9203040</v>
      </c>
      <c r="AO902" s="304">
        <f t="shared" si="278"/>
        <v>0</v>
      </c>
      <c r="AP902" s="273">
        <f t="shared" si="280"/>
        <v>6</v>
      </c>
      <c r="AQ902" s="273" t="str">
        <f t="shared" ca="1" si="279"/>
        <v>62024</v>
      </c>
    </row>
    <row r="903" spans="1:43" ht="16.5">
      <c r="A903" s="312">
        <v>45</v>
      </c>
      <c r="B903" s="711" t="s">
        <v>2468</v>
      </c>
      <c r="C903" s="273" t="s">
        <v>2469</v>
      </c>
      <c r="D903" s="273" t="s">
        <v>2470</v>
      </c>
      <c r="F903" s="739">
        <f t="shared" si="281"/>
        <v>27.5</v>
      </c>
      <c r="G903" s="307">
        <v>28800000</v>
      </c>
      <c r="H903" s="314">
        <v>1440000</v>
      </c>
      <c r="I903" s="314">
        <v>30240000</v>
      </c>
      <c r="J903" s="314"/>
      <c r="N903" s="273" t="s">
        <v>1593</v>
      </c>
      <c r="O903" s="862" t="s">
        <v>2474</v>
      </c>
      <c r="P903" s="688">
        <v>45367</v>
      </c>
      <c r="Q903" s="668" t="s">
        <v>2475</v>
      </c>
      <c r="R903" s="314">
        <v>30240000</v>
      </c>
      <c r="V903" s="340">
        <f t="shared" ca="1" si="268"/>
        <v>3</v>
      </c>
      <c r="W903" s="594">
        <f t="shared" ca="1" si="269"/>
        <v>2024</v>
      </c>
      <c r="X903" s="340" t="str">
        <f t="shared" ref="X903:X966" ca="1" si="282">INT((DAY(Z903)-1)/7)+1&amp;" WEEK"</f>
        <v>3 WEEK</v>
      </c>
      <c r="Y903" s="794">
        <f t="shared" si="270"/>
        <v>45367</v>
      </c>
      <c r="Z903" s="541" cm="1">
        <f t="array" aca="1" ref="Z903" ca="1">_xlfn.IFS(AD903&lt;100,Y903,Y903&lt;TODAY(),TODAY(),Y903&gt;TODAY(),Y903,Y903=TODAY(),Y903)</f>
        <v>45367</v>
      </c>
      <c r="AD903" s="298">
        <f t="shared" si="273"/>
        <v>0</v>
      </c>
      <c r="AE903" s="299" t="str">
        <f t="shared" si="274"/>
        <v>Complete</v>
      </c>
      <c r="AI903" s="301">
        <f t="shared" ca="1" si="271"/>
        <v>0</v>
      </c>
      <c r="AJ903" s="302">
        <f t="shared" ca="1" si="272"/>
        <v>0</v>
      </c>
      <c r="AL903" s="303">
        <f t="shared" si="275"/>
        <v>30240000</v>
      </c>
      <c r="AM903" s="303">
        <f t="shared" si="276"/>
        <v>0</v>
      </c>
      <c r="AN903" s="303">
        <f t="shared" si="277"/>
        <v>30240000</v>
      </c>
      <c r="AO903" s="304">
        <f t="shared" si="278"/>
        <v>0</v>
      </c>
      <c r="AP903" s="273">
        <f t="shared" si="280"/>
        <v>3</v>
      </c>
      <c r="AQ903" s="273" t="str">
        <f t="shared" ca="1" si="279"/>
        <v>32024</v>
      </c>
    </row>
    <row r="904" spans="1:43" ht="16.5">
      <c r="A904" s="312">
        <v>45</v>
      </c>
      <c r="B904" s="711" t="s">
        <v>2468</v>
      </c>
      <c r="C904" s="273" t="s">
        <v>2469</v>
      </c>
      <c r="D904" s="273" t="s">
        <v>2470</v>
      </c>
      <c r="F904" s="739">
        <f t="shared" si="281"/>
        <v>27.5</v>
      </c>
      <c r="G904" s="307">
        <v>8000000</v>
      </c>
      <c r="H904" s="314">
        <v>1440000</v>
      </c>
      <c r="I904" s="314">
        <v>9440000</v>
      </c>
      <c r="J904" s="314"/>
      <c r="N904" s="273" t="s">
        <v>1593</v>
      </c>
      <c r="O904" s="862" t="s">
        <v>1835</v>
      </c>
      <c r="P904" s="688">
        <v>45470</v>
      </c>
      <c r="Q904" s="668" t="s">
        <v>2473</v>
      </c>
      <c r="R904" s="314">
        <v>9440000</v>
      </c>
      <c r="V904" s="340">
        <f t="shared" ca="1" si="268"/>
        <v>6</v>
      </c>
      <c r="W904" s="594">
        <f t="shared" ca="1" si="269"/>
        <v>2024</v>
      </c>
      <c r="X904" s="340" t="str">
        <f t="shared" ca="1" si="282"/>
        <v>4 WEEK</v>
      </c>
      <c r="Y904" s="794">
        <f t="shared" si="270"/>
        <v>45470</v>
      </c>
      <c r="Z904" s="541" cm="1">
        <f t="array" aca="1" ref="Z904" ca="1">_xlfn.IFS(AD904&lt;100,Y904,Y904&lt;TODAY(),TODAY(),Y904&gt;TODAY(),Y904,Y904=TODAY(),Y904)</f>
        <v>45470</v>
      </c>
      <c r="AD904" s="298">
        <f t="shared" si="273"/>
        <v>0</v>
      </c>
      <c r="AE904" s="299" t="str">
        <f t="shared" si="274"/>
        <v>Complete</v>
      </c>
      <c r="AI904" s="301">
        <f t="shared" ca="1" si="271"/>
        <v>0</v>
      </c>
      <c r="AJ904" s="302">
        <f t="shared" ca="1" si="272"/>
        <v>0</v>
      </c>
      <c r="AL904" s="303">
        <f t="shared" si="275"/>
        <v>9440000</v>
      </c>
      <c r="AM904" s="303">
        <f t="shared" si="276"/>
        <v>0</v>
      </c>
      <c r="AN904" s="303">
        <f t="shared" si="277"/>
        <v>9440000</v>
      </c>
      <c r="AO904" s="304">
        <f t="shared" si="278"/>
        <v>0</v>
      </c>
      <c r="AP904" s="273">
        <f t="shared" si="280"/>
        <v>6</v>
      </c>
      <c r="AQ904" s="273" t="str">
        <f t="shared" ca="1" si="279"/>
        <v>62024</v>
      </c>
    </row>
    <row r="905" spans="1:43" ht="16.5">
      <c r="A905" s="312">
        <v>45</v>
      </c>
      <c r="B905" s="711" t="s">
        <v>2468</v>
      </c>
      <c r="C905" s="273" t="s">
        <v>2469</v>
      </c>
      <c r="D905" s="273" t="s">
        <v>2470</v>
      </c>
      <c r="F905" s="739">
        <f t="shared" si="281"/>
        <v>27.5</v>
      </c>
      <c r="G905" s="307">
        <v>800000</v>
      </c>
      <c r="H905" s="314">
        <v>144000</v>
      </c>
      <c r="I905" s="314">
        <v>944000</v>
      </c>
      <c r="J905" s="314"/>
      <c r="N905" s="273" t="s">
        <v>1593</v>
      </c>
      <c r="O905" s="862" t="s">
        <v>1834</v>
      </c>
      <c r="P905" s="688">
        <v>45470</v>
      </c>
      <c r="Q905" s="668" t="s">
        <v>2473</v>
      </c>
      <c r="R905" s="314">
        <v>944000</v>
      </c>
      <c r="V905" s="340">
        <f t="shared" ca="1" si="268"/>
        <v>6</v>
      </c>
      <c r="W905" s="594">
        <f t="shared" ca="1" si="269"/>
        <v>2024</v>
      </c>
      <c r="X905" s="340" t="str">
        <f t="shared" ca="1" si="282"/>
        <v>4 WEEK</v>
      </c>
      <c r="Y905" s="794">
        <f t="shared" si="270"/>
        <v>45470</v>
      </c>
      <c r="Z905" s="541" cm="1">
        <f t="array" aca="1" ref="Z905" ca="1">_xlfn.IFS(AD905&lt;100,Y905,Y905&lt;TODAY(),TODAY(),Y905&gt;TODAY(),Y905,Y905=TODAY(),Y905)</f>
        <v>45470</v>
      </c>
      <c r="AD905" s="298">
        <f t="shared" si="273"/>
        <v>0</v>
      </c>
      <c r="AE905" s="299" t="str">
        <f t="shared" si="274"/>
        <v>Complete</v>
      </c>
      <c r="AI905" s="301">
        <f t="shared" ca="1" si="271"/>
        <v>0</v>
      </c>
      <c r="AJ905" s="302">
        <f t="shared" ca="1" si="272"/>
        <v>0</v>
      </c>
      <c r="AL905" s="303">
        <f t="shared" si="275"/>
        <v>944000</v>
      </c>
      <c r="AM905" s="303">
        <f t="shared" si="276"/>
        <v>0</v>
      </c>
      <c r="AN905" s="303">
        <f t="shared" si="277"/>
        <v>944000</v>
      </c>
      <c r="AO905" s="304">
        <f t="shared" si="278"/>
        <v>0</v>
      </c>
      <c r="AP905" s="273">
        <f t="shared" si="280"/>
        <v>6</v>
      </c>
      <c r="AQ905" s="273" t="str">
        <f t="shared" ca="1" si="279"/>
        <v>62024</v>
      </c>
    </row>
    <row r="906" spans="1:43" ht="16.5">
      <c r="A906" s="312">
        <v>45</v>
      </c>
      <c r="B906" s="711" t="s">
        <v>2468</v>
      </c>
      <c r="C906" s="273" t="s">
        <v>2469</v>
      </c>
      <c r="D906" s="273" t="s">
        <v>2470</v>
      </c>
      <c r="F906" s="739">
        <f t="shared" si="281"/>
        <v>27.5</v>
      </c>
      <c r="G906" s="307">
        <v>2528656</v>
      </c>
      <c r="H906" s="314">
        <v>455158.07999999996</v>
      </c>
      <c r="I906" s="314">
        <v>2983814</v>
      </c>
      <c r="J906" s="314"/>
      <c r="N906" s="273" t="s">
        <v>1593</v>
      </c>
      <c r="O906" s="862" t="s">
        <v>1832</v>
      </c>
      <c r="P906" s="688">
        <v>45470</v>
      </c>
      <c r="Q906" s="668" t="s">
        <v>2473</v>
      </c>
      <c r="R906" s="314">
        <v>2983814</v>
      </c>
      <c r="V906" s="340">
        <f t="shared" ca="1" si="268"/>
        <v>6</v>
      </c>
      <c r="W906" s="594">
        <f t="shared" ca="1" si="269"/>
        <v>2024</v>
      </c>
      <c r="X906" s="340" t="str">
        <f t="shared" ca="1" si="282"/>
        <v>4 WEEK</v>
      </c>
      <c r="Y906" s="794">
        <f t="shared" si="270"/>
        <v>45470</v>
      </c>
      <c r="Z906" s="541" cm="1">
        <f t="array" aca="1" ref="Z906" ca="1">_xlfn.IFS(AD906&lt;100,Y906,Y906&lt;TODAY(),TODAY(),Y906&gt;TODAY(),Y906,Y906=TODAY(),Y906)</f>
        <v>45470</v>
      </c>
      <c r="AD906" s="298">
        <f t="shared" si="273"/>
        <v>0</v>
      </c>
      <c r="AE906" s="299" t="str">
        <f t="shared" si="274"/>
        <v>Complete</v>
      </c>
      <c r="AI906" s="301">
        <f t="shared" ca="1" si="271"/>
        <v>0</v>
      </c>
      <c r="AJ906" s="302">
        <f t="shared" ca="1" si="272"/>
        <v>0</v>
      </c>
      <c r="AL906" s="303">
        <f t="shared" si="275"/>
        <v>2983814</v>
      </c>
      <c r="AM906" s="303">
        <f t="shared" si="276"/>
        <v>0</v>
      </c>
      <c r="AN906" s="303">
        <f t="shared" si="277"/>
        <v>2983814</v>
      </c>
      <c r="AO906" s="304">
        <f t="shared" si="278"/>
        <v>0</v>
      </c>
      <c r="AP906" s="273">
        <f t="shared" si="280"/>
        <v>6</v>
      </c>
      <c r="AQ906" s="273" t="str">
        <f t="shared" ca="1" si="279"/>
        <v>62024</v>
      </c>
    </row>
    <row r="907" spans="1:43" ht="16.5">
      <c r="A907" s="312">
        <v>45</v>
      </c>
      <c r="B907" s="711" t="s">
        <v>2468</v>
      </c>
      <c r="C907" s="273" t="s">
        <v>2469</v>
      </c>
      <c r="D907" s="273" t="s">
        <v>2470</v>
      </c>
      <c r="F907" s="739">
        <f t="shared" si="281"/>
        <v>27.5</v>
      </c>
      <c r="G907" s="307">
        <v>1500000</v>
      </c>
      <c r="H907" s="314">
        <v>270000</v>
      </c>
      <c r="I907" s="314">
        <v>1770000</v>
      </c>
      <c r="J907" s="314"/>
      <c r="N907" s="273" t="s">
        <v>1593</v>
      </c>
      <c r="O907" s="862" t="s">
        <v>2476</v>
      </c>
      <c r="P907" s="688">
        <v>45539</v>
      </c>
      <c r="Q907" s="668" t="s">
        <v>2477</v>
      </c>
      <c r="R907" s="314">
        <v>1770000</v>
      </c>
      <c r="V907" s="340">
        <f t="shared" ca="1" si="268"/>
        <v>9</v>
      </c>
      <c r="W907" s="594">
        <f t="shared" ca="1" si="269"/>
        <v>2024</v>
      </c>
      <c r="X907" s="340" t="str">
        <f t="shared" ca="1" si="282"/>
        <v>1 WEEK</v>
      </c>
      <c r="Y907" s="794">
        <f t="shared" si="270"/>
        <v>45539</v>
      </c>
      <c r="Z907" s="541" cm="1">
        <f t="array" aca="1" ref="Z907" ca="1">_xlfn.IFS(AD907&lt;100,Y907,Y907&lt;TODAY(),TODAY(),Y907&gt;TODAY(),Y907,Y907=TODAY(),Y907)</f>
        <v>45539</v>
      </c>
      <c r="AD907" s="298">
        <f t="shared" si="273"/>
        <v>0</v>
      </c>
      <c r="AE907" s="299" t="str">
        <f t="shared" si="274"/>
        <v>Complete</v>
      </c>
      <c r="AI907" s="301">
        <f t="shared" ca="1" si="271"/>
        <v>0</v>
      </c>
      <c r="AJ907" s="302">
        <f t="shared" ca="1" si="272"/>
        <v>0</v>
      </c>
      <c r="AL907" s="303">
        <f t="shared" si="275"/>
        <v>1770000</v>
      </c>
      <c r="AM907" s="303">
        <f t="shared" si="276"/>
        <v>0</v>
      </c>
      <c r="AN907" s="303">
        <f t="shared" si="277"/>
        <v>1770000</v>
      </c>
      <c r="AO907" s="304">
        <f t="shared" si="278"/>
        <v>0</v>
      </c>
      <c r="AP907" s="273">
        <f t="shared" si="280"/>
        <v>9</v>
      </c>
      <c r="AQ907" s="273" t="str">
        <f t="shared" ca="1" si="279"/>
        <v>92024</v>
      </c>
    </row>
    <row r="908" spans="1:43" ht="16.5">
      <c r="A908" s="312">
        <v>45</v>
      </c>
      <c r="B908" s="711" t="s">
        <v>2468</v>
      </c>
      <c r="C908" s="273" t="s">
        <v>2469</v>
      </c>
      <c r="D908" s="273" t="s">
        <v>2470</v>
      </c>
      <c r="F908" s="739">
        <f t="shared" si="281"/>
        <v>27.5</v>
      </c>
      <c r="G908" s="307">
        <v>2100000</v>
      </c>
      <c r="H908" s="314">
        <v>378000</v>
      </c>
      <c r="I908" s="314">
        <v>2478000</v>
      </c>
      <c r="J908" s="314"/>
      <c r="N908" s="273" t="s">
        <v>1593</v>
      </c>
      <c r="O908" s="862" t="s">
        <v>1984</v>
      </c>
      <c r="P908" s="688">
        <v>45539</v>
      </c>
      <c r="Q908" s="668" t="s">
        <v>2477</v>
      </c>
      <c r="R908" s="314">
        <v>2478000</v>
      </c>
      <c r="V908" s="340">
        <f t="shared" ca="1" si="268"/>
        <v>9</v>
      </c>
      <c r="W908" s="594">
        <f t="shared" ca="1" si="269"/>
        <v>2024</v>
      </c>
      <c r="X908" s="340" t="str">
        <f t="shared" ca="1" si="282"/>
        <v>1 WEEK</v>
      </c>
      <c r="Y908" s="794">
        <f t="shared" si="270"/>
        <v>45539</v>
      </c>
      <c r="Z908" s="541" cm="1">
        <f t="array" aca="1" ref="Z908" ca="1">_xlfn.IFS(AD908&lt;100,Y908,Y908&lt;TODAY(),TODAY(),Y908&gt;TODAY(),Y908,Y908=TODAY(),Y908)</f>
        <v>45539</v>
      </c>
      <c r="AD908" s="298">
        <f t="shared" si="273"/>
        <v>0</v>
      </c>
      <c r="AE908" s="299" t="str">
        <f t="shared" si="274"/>
        <v>Complete</v>
      </c>
      <c r="AI908" s="301">
        <f t="shared" ca="1" si="271"/>
        <v>0</v>
      </c>
      <c r="AJ908" s="302">
        <f t="shared" ca="1" si="272"/>
        <v>0</v>
      </c>
      <c r="AL908" s="303">
        <f t="shared" si="275"/>
        <v>2478000</v>
      </c>
      <c r="AM908" s="303">
        <f t="shared" si="276"/>
        <v>0</v>
      </c>
      <c r="AN908" s="303">
        <f t="shared" si="277"/>
        <v>2478000</v>
      </c>
      <c r="AO908" s="304">
        <f t="shared" si="278"/>
        <v>0</v>
      </c>
      <c r="AP908" s="273">
        <f t="shared" si="280"/>
        <v>9</v>
      </c>
      <c r="AQ908" s="273" t="str">
        <f t="shared" ca="1" si="279"/>
        <v>92024</v>
      </c>
    </row>
    <row r="909" spans="1:43" ht="16.5">
      <c r="A909" s="312">
        <v>45</v>
      </c>
      <c r="B909" s="711" t="s">
        <v>2468</v>
      </c>
      <c r="C909" s="273" t="s">
        <v>2469</v>
      </c>
      <c r="D909" s="273" t="s">
        <v>2470</v>
      </c>
      <c r="F909" s="739">
        <f t="shared" si="281"/>
        <v>27.5</v>
      </c>
      <c r="G909" s="307">
        <v>2500000</v>
      </c>
      <c r="H909" s="314">
        <v>450000</v>
      </c>
      <c r="I909" s="314">
        <v>2950000</v>
      </c>
      <c r="J909" s="314"/>
      <c r="N909" s="273" t="s">
        <v>1593</v>
      </c>
      <c r="O909" s="862" t="s">
        <v>2478</v>
      </c>
      <c r="P909" s="688">
        <v>45521</v>
      </c>
      <c r="Q909" s="668" t="s">
        <v>2479</v>
      </c>
      <c r="R909" s="314">
        <v>2950000</v>
      </c>
      <c r="V909" s="340">
        <f t="shared" ca="1" si="268"/>
        <v>8</v>
      </c>
      <c r="W909" s="594">
        <f t="shared" ca="1" si="269"/>
        <v>2024</v>
      </c>
      <c r="X909" s="340" t="str">
        <f t="shared" ca="1" si="282"/>
        <v>3 WEEK</v>
      </c>
      <c r="Y909" s="794">
        <f t="shared" si="270"/>
        <v>45521</v>
      </c>
      <c r="Z909" s="541" cm="1">
        <f t="array" aca="1" ref="Z909" ca="1">_xlfn.IFS(AD909&lt;100,Y909,Y909&lt;TODAY(),TODAY(),Y909&gt;TODAY(),Y909,Y909=TODAY(),Y909)</f>
        <v>45521</v>
      </c>
      <c r="AD909" s="298">
        <f t="shared" si="273"/>
        <v>0</v>
      </c>
      <c r="AE909" s="299" t="str">
        <f t="shared" si="274"/>
        <v>Complete</v>
      </c>
      <c r="AI909" s="301">
        <f t="shared" ca="1" si="271"/>
        <v>0</v>
      </c>
      <c r="AJ909" s="302">
        <f t="shared" ca="1" si="272"/>
        <v>0</v>
      </c>
      <c r="AL909" s="303">
        <f t="shared" si="275"/>
        <v>2950000</v>
      </c>
      <c r="AM909" s="303">
        <f t="shared" si="276"/>
        <v>0</v>
      </c>
      <c r="AN909" s="303">
        <f t="shared" si="277"/>
        <v>2950000</v>
      </c>
      <c r="AO909" s="304">
        <f t="shared" si="278"/>
        <v>0</v>
      </c>
      <c r="AP909" s="273">
        <f t="shared" si="280"/>
        <v>8</v>
      </c>
      <c r="AQ909" s="273" t="str">
        <f t="shared" ca="1" si="279"/>
        <v>82024</v>
      </c>
    </row>
    <row r="910" spans="1:43" ht="16.5">
      <c r="A910" s="312">
        <v>45</v>
      </c>
      <c r="B910" s="711" t="s">
        <v>2468</v>
      </c>
      <c r="C910" s="273" t="s">
        <v>2469</v>
      </c>
      <c r="D910" s="273" t="s">
        <v>2470</v>
      </c>
      <c r="F910" s="739">
        <f t="shared" si="281"/>
        <v>27.5</v>
      </c>
      <c r="G910" s="307">
        <v>6950000</v>
      </c>
      <c r="H910" s="314">
        <v>1251000</v>
      </c>
      <c r="I910" s="314">
        <v>8201000</v>
      </c>
      <c r="J910" s="314"/>
      <c r="N910" s="273" t="s">
        <v>1593</v>
      </c>
      <c r="O910" s="862" t="s">
        <v>2480</v>
      </c>
      <c r="P910" s="688">
        <v>45441</v>
      </c>
      <c r="Q910" s="668" t="s">
        <v>2481</v>
      </c>
      <c r="R910" s="314">
        <v>820100</v>
      </c>
      <c r="V910" s="340">
        <f t="shared" ca="1" si="268"/>
        <v>5</v>
      </c>
      <c r="W910" s="594">
        <f t="shared" ca="1" si="269"/>
        <v>2024</v>
      </c>
      <c r="X910" s="340" t="str">
        <f t="shared" ca="1" si="282"/>
        <v>5 WEEK</v>
      </c>
      <c r="Y910" s="794">
        <f t="shared" si="270"/>
        <v>45441</v>
      </c>
      <c r="Z910" s="541" cm="1">
        <f t="array" aca="1" ref="Z910" ca="1">_xlfn.IFS(AD910&lt;100,Y910,Y910&lt;TODAY(),TODAY(),Y910&gt;TODAY(),Y910,Y910=TODAY(),Y910)</f>
        <v>45441</v>
      </c>
      <c r="AD910" s="298">
        <f t="shared" si="273"/>
        <v>0</v>
      </c>
      <c r="AE910" s="299" t="str">
        <f t="shared" si="274"/>
        <v>Complete</v>
      </c>
      <c r="AI910" s="301">
        <f t="shared" ca="1" si="271"/>
        <v>0</v>
      </c>
      <c r="AJ910" s="302">
        <f t="shared" ca="1" si="272"/>
        <v>0</v>
      </c>
      <c r="AL910" s="303">
        <f t="shared" si="275"/>
        <v>8201000</v>
      </c>
      <c r="AM910" s="303">
        <f t="shared" si="276"/>
        <v>7380900</v>
      </c>
      <c r="AN910" s="303">
        <f t="shared" si="277"/>
        <v>820100</v>
      </c>
      <c r="AO910" s="304">
        <f t="shared" si="278"/>
        <v>0</v>
      </c>
      <c r="AP910" s="273">
        <f t="shared" si="280"/>
        <v>5</v>
      </c>
      <c r="AQ910" s="273" t="str">
        <f t="shared" ca="1" si="279"/>
        <v>52024</v>
      </c>
    </row>
    <row r="911" spans="1:43" ht="16.5">
      <c r="A911" s="312">
        <v>45</v>
      </c>
      <c r="B911" s="711" t="s">
        <v>2468</v>
      </c>
      <c r="C911" s="273" t="s">
        <v>2469</v>
      </c>
      <c r="D911" s="273" t="s">
        <v>2470</v>
      </c>
      <c r="F911" s="739">
        <f t="shared" si="281"/>
        <v>27.5</v>
      </c>
      <c r="G911" s="307"/>
      <c r="H911" s="314"/>
      <c r="I911" s="314"/>
      <c r="J911" s="314"/>
      <c r="N911" s="273" t="s">
        <v>1593</v>
      </c>
      <c r="P911" s="688">
        <v>45484</v>
      </c>
      <c r="Q911" s="668" t="s">
        <v>2482</v>
      </c>
      <c r="R911" s="314">
        <v>820100</v>
      </c>
      <c r="V911" s="340">
        <f t="shared" ca="1" si="268"/>
        <v>7</v>
      </c>
      <c r="W911" s="594">
        <f t="shared" ca="1" si="269"/>
        <v>2024</v>
      </c>
      <c r="X911" s="340" t="str">
        <f t="shared" ca="1" si="282"/>
        <v>2 WEEK</v>
      </c>
      <c r="Y911" s="794">
        <f t="shared" si="270"/>
        <v>45484</v>
      </c>
      <c r="Z911" s="541" cm="1">
        <f t="array" aca="1" ref="Z911" ca="1">_xlfn.IFS(AD911&lt;100,Y911,Y911&lt;TODAY(),TODAY(),Y911&gt;TODAY(),Y911,Y911=TODAY(),Y911)</f>
        <v>45484</v>
      </c>
      <c r="AD911" s="298">
        <f t="shared" si="273"/>
        <v>0</v>
      </c>
      <c r="AE911" s="299" t="str">
        <f t="shared" si="274"/>
        <v>Complete</v>
      </c>
      <c r="AI911" s="301">
        <f t="shared" ca="1" si="271"/>
        <v>0</v>
      </c>
      <c r="AJ911" s="302">
        <f t="shared" ca="1" si="272"/>
        <v>0</v>
      </c>
      <c r="AL911" s="303">
        <f t="shared" si="275"/>
        <v>0</v>
      </c>
      <c r="AM911" s="303">
        <f t="shared" si="276"/>
        <v>-820100</v>
      </c>
      <c r="AN911" s="303">
        <f t="shared" si="277"/>
        <v>820100</v>
      </c>
      <c r="AO911" s="304">
        <f t="shared" si="278"/>
        <v>0</v>
      </c>
      <c r="AP911" s="273">
        <f t="shared" si="280"/>
        <v>7</v>
      </c>
      <c r="AQ911" s="273" t="str">
        <f t="shared" ca="1" si="279"/>
        <v>72024</v>
      </c>
    </row>
    <row r="912" spans="1:43" ht="16.5">
      <c r="A912" s="312">
        <v>45</v>
      </c>
      <c r="B912" s="711" t="s">
        <v>2468</v>
      </c>
      <c r="C912" s="273" t="s">
        <v>2469</v>
      </c>
      <c r="D912" s="273" t="s">
        <v>2470</v>
      </c>
      <c r="F912" s="739">
        <f t="shared" si="281"/>
        <v>27.5</v>
      </c>
      <c r="G912" s="307"/>
      <c r="H912" s="314"/>
      <c r="I912" s="314"/>
      <c r="J912" s="314"/>
      <c r="N912" s="273" t="s">
        <v>1593</v>
      </c>
      <c r="P912" s="688">
        <v>45509</v>
      </c>
      <c r="Q912" s="668" t="s">
        <v>2483</v>
      </c>
      <c r="R912" s="314">
        <v>410050</v>
      </c>
      <c r="V912" s="340">
        <f t="shared" ca="1" si="268"/>
        <v>8</v>
      </c>
      <c r="W912" s="594">
        <f t="shared" ca="1" si="269"/>
        <v>2024</v>
      </c>
      <c r="X912" s="340" t="str">
        <f t="shared" ca="1" si="282"/>
        <v>1 WEEK</v>
      </c>
      <c r="Y912" s="794">
        <f t="shared" si="270"/>
        <v>45509</v>
      </c>
      <c r="Z912" s="541" cm="1">
        <f t="array" aca="1" ref="Z912" ca="1">_xlfn.IFS(AD912&lt;100,Y912,Y912&lt;TODAY(),TODAY(),Y912&gt;TODAY(),Y912,Y912=TODAY(),Y912)</f>
        <v>45509</v>
      </c>
      <c r="AD912" s="298">
        <f t="shared" si="273"/>
        <v>0</v>
      </c>
      <c r="AE912" s="299" t="str">
        <f t="shared" si="274"/>
        <v>Complete</v>
      </c>
      <c r="AI912" s="301">
        <f t="shared" ca="1" si="271"/>
        <v>0</v>
      </c>
      <c r="AJ912" s="302">
        <f t="shared" ca="1" si="272"/>
        <v>0</v>
      </c>
      <c r="AL912" s="303">
        <f t="shared" si="275"/>
        <v>0</v>
      </c>
      <c r="AM912" s="303">
        <f t="shared" si="276"/>
        <v>-410050</v>
      </c>
      <c r="AN912" s="303">
        <f t="shared" si="277"/>
        <v>410050</v>
      </c>
      <c r="AO912" s="304">
        <f t="shared" si="278"/>
        <v>0</v>
      </c>
      <c r="AP912" s="273">
        <f t="shared" si="280"/>
        <v>8</v>
      </c>
      <c r="AQ912" s="273" t="str">
        <f t="shared" ca="1" si="279"/>
        <v>82024</v>
      </c>
    </row>
    <row r="913" spans="1:43" ht="16.5">
      <c r="A913" s="312">
        <v>45</v>
      </c>
      <c r="B913" s="711" t="s">
        <v>2468</v>
      </c>
      <c r="C913" s="273" t="s">
        <v>2469</v>
      </c>
      <c r="D913" s="273" t="s">
        <v>2470</v>
      </c>
      <c r="F913" s="739">
        <f t="shared" si="281"/>
        <v>27.5</v>
      </c>
      <c r="G913" s="307"/>
      <c r="H913" s="314"/>
      <c r="I913" s="314"/>
      <c r="J913" s="314"/>
      <c r="N913" s="273" t="s">
        <v>1593</v>
      </c>
      <c r="P913" s="688">
        <v>45512</v>
      </c>
      <c r="Q913" s="668" t="s">
        <v>2484</v>
      </c>
      <c r="R913" s="314">
        <v>164020</v>
      </c>
      <c r="V913" s="340">
        <f t="shared" ca="1" si="268"/>
        <v>8</v>
      </c>
      <c r="W913" s="594">
        <f t="shared" ca="1" si="269"/>
        <v>2024</v>
      </c>
      <c r="X913" s="340" t="str">
        <f t="shared" ca="1" si="282"/>
        <v>2 WEEK</v>
      </c>
      <c r="Y913" s="794">
        <f t="shared" si="270"/>
        <v>45512</v>
      </c>
      <c r="Z913" s="541" cm="1">
        <f t="array" aca="1" ref="Z913" ca="1">_xlfn.IFS(AD913&lt;100,Y913,Y913&lt;TODAY(),TODAY(),Y913&gt;TODAY(),Y913,Y913=TODAY(),Y913)</f>
        <v>45512</v>
      </c>
      <c r="AD913" s="298">
        <f t="shared" si="273"/>
        <v>0</v>
      </c>
      <c r="AE913" s="299" t="str">
        <f t="shared" si="274"/>
        <v>Complete</v>
      </c>
      <c r="AI913" s="301">
        <f t="shared" ca="1" si="271"/>
        <v>0</v>
      </c>
      <c r="AJ913" s="302">
        <f t="shared" ca="1" si="272"/>
        <v>0</v>
      </c>
      <c r="AL913" s="303">
        <f t="shared" si="275"/>
        <v>0</v>
      </c>
      <c r="AM913" s="303">
        <f t="shared" si="276"/>
        <v>-164020</v>
      </c>
      <c r="AN913" s="303">
        <f t="shared" si="277"/>
        <v>164020</v>
      </c>
      <c r="AO913" s="304">
        <f t="shared" si="278"/>
        <v>0</v>
      </c>
      <c r="AP913" s="273">
        <f t="shared" si="280"/>
        <v>8</v>
      </c>
      <c r="AQ913" s="273" t="str">
        <f t="shared" ca="1" si="279"/>
        <v>82024</v>
      </c>
    </row>
    <row r="914" spans="1:43" ht="16.5">
      <c r="A914" s="312">
        <v>45</v>
      </c>
      <c r="B914" s="711" t="s">
        <v>2468</v>
      </c>
      <c r="C914" s="273" t="s">
        <v>2469</v>
      </c>
      <c r="D914" s="273" t="s">
        <v>2470</v>
      </c>
      <c r="F914" s="739">
        <f t="shared" si="281"/>
        <v>27.5</v>
      </c>
      <c r="G914" s="307"/>
      <c r="H914" s="314"/>
      <c r="I914" s="314"/>
      <c r="J914" s="314"/>
      <c r="N914" s="273" t="s">
        <v>1593</v>
      </c>
      <c r="P914" s="688">
        <v>45527</v>
      </c>
      <c r="Q914" s="668" t="s">
        <v>2485</v>
      </c>
      <c r="R914" s="314">
        <v>820100</v>
      </c>
      <c r="V914" s="340">
        <f t="shared" ca="1" si="268"/>
        <v>8</v>
      </c>
      <c r="W914" s="594">
        <f t="shared" ca="1" si="269"/>
        <v>2024</v>
      </c>
      <c r="X914" s="340" t="str">
        <f t="shared" ca="1" si="282"/>
        <v>4 WEEK</v>
      </c>
      <c r="Y914" s="794">
        <f t="shared" si="270"/>
        <v>45527</v>
      </c>
      <c r="Z914" s="541" cm="1">
        <f t="array" aca="1" ref="Z914" ca="1">_xlfn.IFS(AD914&lt;100,Y914,Y914&lt;TODAY(),TODAY(),Y914&gt;TODAY(),Y914,Y914=TODAY(),Y914)</f>
        <v>45527</v>
      </c>
      <c r="AD914" s="298">
        <f t="shared" si="273"/>
        <v>0</v>
      </c>
      <c r="AE914" s="299" t="str">
        <f t="shared" si="274"/>
        <v>Complete</v>
      </c>
      <c r="AI914" s="301">
        <f t="shared" ca="1" si="271"/>
        <v>0</v>
      </c>
      <c r="AJ914" s="302">
        <f t="shared" ca="1" si="272"/>
        <v>0</v>
      </c>
      <c r="AL914" s="303">
        <f t="shared" si="275"/>
        <v>0</v>
      </c>
      <c r="AM914" s="303">
        <f t="shared" si="276"/>
        <v>-820100</v>
      </c>
      <c r="AN914" s="303">
        <f t="shared" si="277"/>
        <v>820100</v>
      </c>
      <c r="AO914" s="304">
        <f t="shared" si="278"/>
        <v>0</v>
      </c>
      <c r="AP914" s="273">
        <f t="shared" si="280"/>
        <v>8</v>
      </c>
      <c r="AQ914" s="273" t="str">
        <f t="shared" ca="1" si="279"/>
        <v>82024</v>
      </c>
    </row>
    <row r="915" spans="1:43" ht="16.5">
      <c r="A915" s="312">
        <v>45</v>
      </c>
      <c r="B915" s="711" t="s">
        <v>2468</v>
      </c>
      <c r="C915" s="273" t="s">
        <v>2469</v>
      </c>
      <c r="D915" s="273" t="s">
        <v>2470</v>
      </c>
      <c r="F915" s="739">
        <f t="shared" si="281"/>
        <v>27.5</v>
      </c>
      <c r="G915" s="307"/>
      <c r="H915" s="314"/>
      <c r="I915" s="314"/>
      <c r="J915" s="314"/>
      <c r="N915" s="273" t="s">
        <v>1593</v>
      </c>
      <c r="P915" s="688">
        <v>45539</v>
      </c>
      <c r="Q915" s="668" t="s">
        <v>2486</v>
      </c>
      <c r="R915" s="314">
        <v>4100500</v>
      </c>
      <c r="V915" s="340">
        <f t="shared" ca="1" si="268"/>
        <v>9</v>
      </c>
      <c r="W915" s="594">
        <f t="shared" ca="1" si="269"/>
        <v>2024</v>
      </c>
      <c r="X915" s="340" t="str">
        <f t="shared" ca="1" si="282"/>
        <v>1 WEEK</v>
      </c>
      <c r="Y915" s="794">
        <f t="shared" si="270"/>
        <v>45539</v>
      </c>
      <c r="Z915" s="541" cm="1">
        <f t="array" aca="1" ref="Z915" ca="1">_xlfn.IFS(AD915&lt;100,Y915,Y915&lt;TODAY(),TODAY(),Y915&gt;TODAY(),Y915,Y915=TODAY(),Y915)</f>
        <v>45539</v>
      </c>
      <c r="AD915" s="298">
        <f t="shared" si="273"/>
        <v>0</v>
      </c>
      <c r="AE915" s="299" t="str">
        <f t="shared" si="274"/>
        <v>Complete</v>
      </c>
      <c r="AI915" s="301">
        <f t="shared" ca="1" si="271"/>
        <v>0</v>
      </c>
      <c r="AJ915" s="302">
        <f t="shared" ca="1" si="272"/>
        <v>0</v>
      </c>
      <c r="AL915" s="303">
        <f t="shared" si="275"/>
        <v>0</v>
      </c>
      <c r="AM915" s="303">
        <f t="shared" si="276"/>
        <v>-4100500</v>
      </c>
      <c r="AN915" s="303">
        <f t="shared" si="277"/>
        <v>4100500</v>
      </c>
      <c r="AO915" s="304">
        <f t="shared" si="278"/>
        <v>0</v>
      </c>
      <c r="AP915" s="273">
        <f t="shared" si="280"/>
        <v>9</v>
      </c>
      <c r="AQ915" s="273" t="str">
        <f t="shared" ca="1" si="279"/>
        <v>92024</v>
      </c>
    </row>
    <row r="916" spans="1:43" ht="16.5">
      <c r="A916" s="312">
        <v>45</v>
      </c>
      <c r="B916" s="711" t="s">
        <v>2468</v>
      </c>
      <c r="C916" s="273" t="s">
        <v>2469</v>
      </c>
      <c r="D916" s="273" t="s">
        <v>2470</v>
      </c>
      <c r="F916" s="739">
        <f t="shared" si="281"/>
        <v>27.5</v>
      </c>
      <c r="G916" s="307"/>
      <c r="H916" s="314"/>
      <c r="I916" s="314"/>
      <c r="J916" s="314"/>
      <c r="N916" s="273" t="s">
        <v>1593</v>
      </c>
      <c r="P916" s="688">
        <v>45588</v>
      </c>
      <c r="Q916" s="668" t="s">
        <v>2487</v>
      </c>
      <c r="R916" s="314">
        <v>1066130</v>
      </c>
      <c r="V916" s="340">
        <f t="shared" ca="1" si="268"/>
        <v>10</v>
      </c>
      <c r="W916" s="594">
        <f t="shared" ca="1" si="269"/>
        <v>2024</v>
      </c>
      <c r="X916" s="340" t="str">
        <f t="shared" ca="1" si="282"/>
        <v>4 WEEK</v>
      </c>
      <c r="Y916" s="794">
        <f t="shared" si="270"/>
        <v>45588</v>
      </c>
      <c r="Z916" s="541" cm="1">
        <f t="array" aca="1" ref="Z916" ca="1">_xlfn.IFS(AD916&lt;100,Y916,Y916&lt;TODAY(),TODAY(),Y916&gt;TODAY(),Y916,Y916=TODAY(),Y916)</f>
        <v>45588</v>
      </c>
      <c r="AD916" s="298">
        <f t="shared" si="273"/>
        <v>0</v>
      </c>
      <c r="AE916" s="299" t="str">
        <f t="shared" si="274"/>
        <v>Complete</v>
      </c>
      <c r="AI916" s="301">
        <f t="shared" ca="1" si="271"/>
        <v>0</v>
      </c>
      <c r="AJ916" s="302">
        <f t="shared" ca="1" si="272"/>
        <v>0</v>
      </c>
      <c r="AL916" s="303">
        <f t="shared" si="275"/>
        <v>0</v>
      </c>
      <c r="AM916" s="303">
        <f t="shared" si="276"/>
        <v>-1066130</v>
      </c>
      <c r="AN916" s="303">
        <f t="shared" si="277"/>
        <v>1066130</v>
      </c>
      <c r="AO916" s="304">
        <f t="shared" si="278"/>
        <v>0</v>
      </c>
      <c r="AP916" s="273">
        <f t="shared" si="280"/>
        <v>10</v>
      </c>
      <c r="AQ916" s="273" t="str">
        <f t="shared" ca="1" si="279"/>
        <v>102024</v>
      </c>
    </row>
    <row r="917" spans="1:43" ht="16.5">
      <c r="A917" s="312">
        <v>45</v>
      </c>
      <c r="B917" s="711" t="s">
        <v>2468</v>
      </c>
      <c r="C917" s="273" t="s">
        <v>2469</v>
      </c>
      <c r="D917" s="273" t="s">
        <v>2470</v>
      </c>
      <c r="F917" s="739">
        <f t="shared" si="281"/>
        <v>27.5</v>
      </c>
      <c r="G917" s="307">
        <v>5000000</v>
      </c>
      <c r="H917" s="314">
        <v>900000</v>
      </c>
      <c r="I917" s="314">
        <v>5900000</v>
      </c>
      <c r="J917" s="314"/>
      <c r="N917" s="273" t="s">
        <v>1617</v>
      </c>
      <c r="O917" s="862" t="s">
        <v>1849</v>
      </c>
      <c r="P917" s="688">
        <v>45588</v>
      </c>
      <c r="Q917" s="668" t="s">
        <v>2488</v>
      </c>
      <c r="R917" s="314">
        <v>5900000</v>
      </c>
      <c r="V917" s="340">
        <f t="shared" ca="1" si="268"/>
        <v>10</v>
      </c>
      <c r="W917" s="594">
        <f t="shared" ca="1" si="269"/>
        <v>2024</v>
      </c>
      <c r="X917" s="340" t="str">
        <f t="shared" ca="1" si="282"/>
        <v>4 WEEK</v>
      </c>
      <c r="Y917" s="794">
        <f t="shared" si="270"/>
        <v>45588</v>
      </c>
      <c r="Z917" s="541" cm="1">
        <f t="array" aca="1" ref="Z917" ca="1">_xlfn.IFS(AD917&lt;100,Y917,Y917&lt;TODAY(),TODAY(),Y917&gt;TODAY(),Y917,Y917=TODAY(),Y917)</f>
        <v>45588</v>
      </c>
      <c r="AD917" s="298">
        <f t="shared" si="273"/>
        <v>0</v>
      </c>
      <c r="AE917" s="299" t="str">
        <f t="shared" si="274"/>
        <v>Complete</v>
      </c>
      <c r="AI917" s="301">
        <f t="shared" ca="1" si="271"/>
        <v>0</v>
      </c>
      <c r="AJ917" s="302">
        <f t="shared" ca="1" si="272"/>
        <v>0</v>
      </c>
      <c r="AL917" s="303">
        <f t="shared" si="275"/>
        <v>5900000</v>
      </c>
      <c r="AM917" s="303">
        <f t="shared" si="276"/>
        <v>0</v>
      </c>
      <c r="AN917" s="303">
        <f t="shared" si="277"/>
        <v>5900000</v>
      </c>
      <c r="AO917" s="304">
        <f t="shared" si="278"/>
        <v>0</v>
      </c>
      <c r="AP917" s="273">
        <f t="shared" si="280"/>
        <v>10</v>
      </c>
      <c r="AQ917" s="273" t="str">
        <f t="shared" ca="1" si="279"/>
        <v>102024</v>
      </c>
    </row>
    <row r="918" spans="1:43">
      <c r="A918" s="312">
        <v>45</v>
      </c>
      <c r="B918" s="711" t="s">
        <v>2468</v>
      </c>
      <c r="C918" s="273" t="s">
        <v>2469</v>
      </c>
      <c r="D918" s="273" t="s">
        <v>2470</v>
      </c>
      <c r="F918" s="739">
        <f t="shared" si="281"/>
        <v>27.5</v>
      </c>
      <c r="P918" s="447">
        <v>0</v>
      </c>
      <c r="V918" s="340">
        <f t="shared" ca="1" si="268"/>
        <v>1</v>
      </c>
      <c r="W918" s="594">
        <f t="shared" ca="1" si="269"/>
        <v>1900</v>
      </c>
      <c r="X918" s="340" t="str">
        <f t="shared" ca="1" si="282"/>
        <v>0 WEEK</v>
      </c>
      <c r="Y918" s="794">
        <f t="shared" si="270"/>
        <v>0</v>
      </c>
      <c r="Z918" s="541" cm="1">
        <f t="array" aca="1" ref="Z918" ca="1">_xlfn.IFS(AD918&lt;100,Y918,Y918&lt;TODAY(),TODAY(),Y918&gt;TODAY(),Y918,Y918=TODAY(),Y918)</f>
        <v>0</v>
      </c>
      <c r="AD918" s="298">
        <f t="shared" si="273"/>
        <v>0</v>
      </c>
      <c r="AE918" s="299" t="str">
        <f t="shared" si="274"/>
        <v>Complete</v>
      </c>
      <c r="AI918" s="301">
        <f t="shared" ca="1" si="271"/>
        <v>0</v>
      </c>
      <c r="AJ918" s="302">
        <f t="shared" ca="1" si="272"/>
        <v>0</v>
      </c>
      <c r="AL918" s="303">
        <f t="shared" si="275"/>
        <v>0</v>
      </c>
      <c r="AM918" s="303">
        <f t="shared" si="276"/>
        <v>0</v>
      </c>
      <c r="AN918" s="303">
        <f t="shared" si="277"/>
        <v>0</v>
      </c>
      <c r="AO918" s="304">
        <f t="shared" si="278"/>
        <v>0</v>
      </c>
      <c r="AP918" s="273">
        <f t="shared" si="280"/>
        <v>1</v>
      </c>
      <c r="AQ918" s="273" t="str">
        <f t="shared" ca="1" si="279"/>
        <v>11900</v>
      </c>
    </row>
    <row r="919" spans="1:43">
      <c r="A919" s="312">
        <v>45</v>
      </c>
      <c r="B919" s="711" t="s">
        <v>2468</v>
      </c>
      <c r="C919" s="273" t="s">
        <v>2469</v>
      </c>
      <c r="D919" s="273" t="s">
        <v>2470</v>
      </c>
      <c r="F919" s="739">
        <f t="shared" si="281"/>
        <v>27.5</v>
      </c>
      <c r="P919" s="447">
        <v>0</v>
      </c>
      <c r="V919" s="340">
        <f t="shared" ca="1" si="268"/>
        <v>1</v>
      </c>
      <c r="W919" s="594">
        <f t="shared" ca="1" si="269"/>
        <v>1900</v>
      </c>
      <c r="X919" s="340" t="str">
        <f t="shared" ca="1" si="282"/>
        <v>0 WEEK</v>
      </c>
      <c r="Y919" s="794">
        <f t="shared" si="270"/>
        <v>0</v>
      </c>
      <c r="Z919" s="541" cm="1">
        <f t="array" aca="1" ref="Z919" ca="1">_xlfn.IFS(AD919&lt;100,Y919,Y919&lt;TODAY(),TODAY(),Y919&gt;TODAY(),Y919,Y919=TODAY(),Y919)</f>
        <v>0</v>
      </c>
      <c r="AD919" s="298">
        <f t="shared" si="273"/>
        <v>0</v>
      </c>
      <c r="AE919" s="299" t="str">
        <f t="shared" si="274"/>
        <v>Complete</v>
      </c>
      <c r="AI919" s="301">
        <f t="shared" ca="1" si="271"/>
        <v>0</v>
      </c>
      <c r="AJ919" s="302">
        <f t="shared" ca="1" si="272"/>
        <v>0</v>
      </c>
      <c r="AL919" s="303">
        <f t="shared" si="275"/>
        <v>0</v>
      </c>
      <c r="AM919" s="303">
        <f t="shared" si="276"/>
        <v>0</v>
      </c>
      <c r="AN919" s="303">
        <f t="shared" si="277"/>
        <v>0</v>
      </c>
      <c r="AO919" s="304">
        <f t="shared" si="278"/>
        <v>0</v>
      </c>
      <c r="AP919" s="273">
        <f t="shared" si="280"/>
        <v>1</v>
      </c>
      <c r="AQ919" s="273" t="str">
        <f t="shared" ca="1" si="279"/>
        <v>11900</v>
      </c>
    </row>
    <row r="920" spans="1:43">
      <c r="A920" s="312">
        <v>45</v>
      </c>
      <c r="B920" s="711" t="s">
        <v>2468</v>
      </c>
      <c r="C920" s="273" t="s">
        <v>2469</v>
      </c>
      <c r="D920" s="273" t="s">
        <v>2470</v>
      </c>
      <c r="F920" s="739">
        <f t="shared" si="281"/>
        <v>27.5</v>
      </c>
      <c r="P920" s="447">
        <v>0</v>
      </c>
      <c r="V920" s="340">
        <f t="shared" ca="1" si="268"/>
        <v>1</v>
      </c>
      <c r="W920" s="594">
        <f t="shared" ca="1" si="269"/>
        <v>1900</v>
      </c>
      <c r="X920" s="340" t="str">
        <f t="shared" ca="1" si="282"/>
        <v>0 WEEK</v>
      </c>
      <c r="Y920" s="794">
        <f t="shared" si="270"/>
        <v>0</v>
      </c>
      <c r="Z920" s="541" cm="1">
        <f t="array" aca="1" ref="Z920" ca="1">_xlfn.IFS(AD920&lt;100,Y920,Y920&lt;TODAY(),TODAY(),Y920&gt;TODAY(),Y920,Y920=TODAY(),Y920)</f>
        <v>0</v>
      </c>
      <c r="AD920" s="298">
        <f t="shared" si="273"/>
        <v>0</v>
      </c>
      <c r="AE920" s="299" t="str">
        <f t="shared" si="274"/>
        <v>Complete</v>
      </c>
      <c r="AI920" s="301">
        <f t="shared" ca="1" si="271"/>
        <v>0</v>
      </c>
      <c r="AJ920" s="302">
        <f t="shared" ca="1" si="272"/>
        <v>0</v>
      </c>
      <c r="AL920" s="303">
        <f t="shared" si="275"/>
        <v>0</v>
      </c>
      <c r="AM920" s="303">
        <f t="shared" si="276"/>
        <v>0</v>
      </c>
      <c r="AN920" s="303">
        <f t="shared" si="277"/>
        <v>0</v>
      </c>
      <c r="AO920" s="304">
        <f t="shared" si="278"/>
        <v>0</v>
      </c>
      <c r="AP920" s="273">
        <f t="shared" si="280"/>
        <v>1</v>
      </c>
      <c r="AQ920" s="273" t="str">
        <f t="shared" ca="1" si="279"/>
        <v>11900</v>
      </c>
    </row>
    <row r="921" spans="1:43">
      <c r="A921" s="312">
        <v>45</v>
      </c>
      <c r="B921" s="702" t="s">
        <v>2468</v>
      </c>
      <c r="C921" s="273" t="s">
        <v>2469</v>
      </c>
      <c r="D921" s="273" t="s">
        <v>2470</v>
      </c>
      <c r="F921" s="739">
        <f t="shared" si="281"/>
        <v>27.5</v>
      </c>
      <c r="O921" s="862" t="s">
        <v>2489</v>
      </c>
      <c r="P921" s="447">
        <v>0</v>
      </c>
      <c r="Q921" s="273" t="s">
        <v>2490</v>
      </c>
      <c r="R921" s="314">
        <v>154883.4</v>
      </c>
      <c r="V921" s="340">
        <f t="shared" ca="1" si="268"/>
        <v>1</v>
      </c>
      <c r="W921" s="594">
        <f t="shared" ca="1" si="269"/>
        <v>1900</v>
      </c>
      <c r="X921" s="340" t="str">
        <f t="shared" ca="1" si="282"/>
        <v>0 WEEK</v>
      </c>
      <c r="Y921" s="794">
        <f t="shared" si="270"/>
        <v>0</v>
      </c>
      <c r="Z921" s="541" cm="1">
        <f t="array" aca="1" ref="Z921" ca="1">_xlfn.IFS(AD921&lt;100,Y921,Y921&lt;TODAY(),TODAY(),Y921&gt;TODAY(),Y921,Y921=TODAY(),Y921)</f>
        <v>0</v>
      </c>
      <c r="AD921" s="298">
        <f t="shared" si="273"/>
        <v>0</v>
      </c>
      <c r="AE921" s="299" t="str">
        <f t="shared" si="274"/>
        <v>Complete</v>
      </c>
      <c r="AI921" s="301">
        <f t="shared" ca="1" si="271"/>
        <v>0</v>
      </c>
      <c r="AJ921" s="302">
        <f t="shared" ca="1" si="272"/>
        <v>0</v>
      </c>
      <c r="AL921" s="303">
        <f t="shared" si="275"/>
        <v>0</v>
      </c>
      <c r="AM921" s="303">
        <f t="shared" si="276"/>
        <v>-154883.4</v>
      </c>
      <c r="AN921" s="303">
        <f t="shared" si="277"/>
        <v>154883.4</v>
      </c>
      <c r="AO921" s="304">
        <f t="shared" si="278"/>
        <v>0</v>
      </c>
      <c r="AP921" s="273">
        <f t="shared" si="280"/>
        <v>1</v>
      </c>
      <c r="AQ921" s="273" t="str">
        <f t="shared" ca="1" si="279"/>
        <v>11900</v>
      </c>
    </row>
    <row r="922" spans="1:43">
      <c r="B922" s="702"/>
      <c r="P922" s="447"/>
      <c r="V922" s="340"/>
      <c r="W922" s="594"/>
      <c r="X922" s="340" t="str">
        <f t="shared" ca="1" si="282"/>
        <v>0 WEEK</v>
      </c>
      <c r="Y922" s="794">
        <f t="shared" si="270"/>
        <v>0</v>
      </c>
      <c r="Z922" s="541" cm="1">
        <f t="array" aca="1" ref="Z922" ca="1">_xlfn.IFS(AD922&lt;100,Y922,Y922&lt;TODAY(),TODAY(),Y922&gt;TODAY(),Y922,Y922=TODAY(),Y922)</f>
        <v>0</v>
      </c>
      <c r="AD922" s="298">
        <f t="shared" si="273"/>
        <v>0</v>
      </c>
      <c r="AE922" s="299" t="str">
        <f t="shared" si="274"/>
        <v>Complete</v>
      </c>
      <c r="AI922" s="301">
        <f t="shared" ca="1" si="271"/>
        <v>0</v>
      </c>
      <c r="AJ922" s="302">
        <f t="shared" ca="1" si="272"/>
        <v>0</v>
      </c>
      <c r="AL922" s="303">
        <f t="shared" si="275"/>
        <v>0</v>
      </c>
      <c r="AM922" s="303">
        <f t="shared" si="276"/>
        <v>0</v>
      </c>
      <c r="AN922" s="303">
        <f t="shared" si="277"/>
        <v>0</v>
      </c>
      <c r="AO922" s="304">
        <f t="shared" si="278"/>
        <v>0</v>
      </c>
      <c r="AP922" s="273">
        <f t="shared" si="280"/>
        <v>1</v>
      </c>
      <c r="AQ922" s="273" t="str">
        <f t="shared" si="279"/>
        <v>1</v>
      </c>
    </row>
    <row r="923" spans="1:43">
      <c r="B923" s="702"/>
      <c r="P923" s="447"/>
      <c r="V923" s="340"/>
      <c r="W923" s="594"/>
      <c r="X923" s="340" t="str">
        <f t="shared" ca="1" si="282"/>
        <v>0 WEEK</v>
      </c>
      <c r="Y923" s="794">
        <f t="shared" si="270"/>
        <v>0</v>
      </c>
      <c r="Z923" s="541" cm="1">
        <f t="array" aca="1" ref="Z923" ca="1">_xlfn.IFS(AD923&lt;100,Y923,Y923&lt;TODAY(),TODAY(),Y923&gt;TODAY(),Y923,Y923=TODAY(),Y923)</f>
        <v>0</v>
      </c>
      <c r="AD923" s="298">
        <f t="shared" si="273"/>
        <v>0</v>
      </c>
      <c r="AE923" s="299" t="str">
        <f t="shared" si="274"/>
        <v>Complete</v>
      </c>
      <c r="AI923" s="301">
        <f t="shared" ca="1" si="271"/>
        <v>0</v>
      </c>
      <c r="AJ923" s="302">
        <f t="shared" ca="1" si="272"/>
        <v>0</v>
      </c>
      <c r="AL923" s="303">
        <f t="shared" si="275"/>
        <v>0</v>
      </c>
      <c r="AM923" s="303">
        <f t="shared" si="276"/>
        <v>0</v>
      </c>
      <c r="AN923" s="303">
        <f t="shared" si="277"/>
        <v>0</v>
      </c>
      <c r="AO923" s="304">
        <f t="shared" si="278"/>
        <v>0</v>
      </c>
      <c r="AP923" s="273">
        <f t="shared" si="280"/>
        <v>1</v>
      </c>
      <c r="AQ923" s="273" t="str">
        <f t="shared" si="279"/>
        <v>1</v>
      </c>
    </row>
    <row r="924" spans="1:43" ht="18">
      <c r="A924" s="312">
        <v>47</v>
      </c>
      <c r="B924" s="702" t="s">
        <v>2491</v>
      </c>
      <c r="R924" s="741" t="e">
        <v>#VALUE!</v>
      </c>
      <c r="V924" s="340">
        <f t="shared" ref="V924:V989" ca="1" si="283">MONTH(Z924)</f>
        <v>1</v>
      </c>
      <c r="W924" s="594">
        <f t="shared" ref="W924:W989" ca="1" si="284">YEAR(Z924)</f>
        <v>1900</v>
      </c>
      <c r="X924" s="340" t="str">
        <f t="shared" ca="1" si="282"/>
        <v>0 WEEK</v>
      </c>
      <c r="Y924" s="794">
        <f t="shared" si="270"/>
        <v>0</v>
      </c>
      <c r="Z924" s="541" cm="1">
        <f t="array" aca="1" ref="Z924" ca="1">_xlfn.IFS(AD924&lt;100,Y924,Y924&lt;TODAY(),TODAY(),Y924&gt;TODAY(),Y924,Y924=TODAY(),Y924)</f>
        <v>0</v>
      </c>
      <c r="AB924" s="307">
        <v>0</v>
      </c>
      <c r="AD924" s="298">
        <f t="shared" si="273"/>
        <v>0</v>
      </c>
      <c r="AE924" s="299" t="str">
        <f t="shared" si="274"/>
        <v>Complete</v>
      </c>
      <c r="AI924" s="301">
        <f t="shared" ca="1" si="271"/>
        <v>0</v>
      </c>
      <c r="AJ924" s="302">
        <f t="shared" ca="1" si="272"/>
        <v>0</v>
      </c>
      <c r="AL924" s="303">
        <f t="shared" si="275"/>
        <v>0</v>
      </c>
      <c r="AM924" s="303">
        <f t="shared" si="276"/>
        <v>0</v>
      </c>
      <c r="AN924" s="303">
        <f t="shared" si="277"/>
        <v>0</v>
      </c>
      <c r="AO924" s="304">
        <f t="shared" si="278"/>
        <v>0</v>
      </c>
      <c r="AP924" s="273">
        <f t="shared" si="280"/>
        <v>1</v>
      </c>
      <c r="AQ924" s="273" t="str">
        <f t="shared" ca="1" si="279"/>
        <v>11900</v>
      </c>
    </row>
    <row r="925" spans="1:43" ht="16.5">
      <c r="A925" s="312">
        <v>47</v>
      </c>
      <c r="B925" s="702" t="s">
        <v>2491</v>
      </c>
      <c r="C925" s="957" t="s">
        <v>2492</v>
      </c>
      <c r="D925" s="957" t="s">
        <v>2493</v>
      </c>
      <c r="G925" s="306">
        <v>2402542.3728813562</v>
      </c>
      <c r="H925" s="307">
        <v>432457.62711864407</v>
      </c>
      <c r="I925" s="308">
        <v>2835000</v>
      </c>
      <c r="N925" s="273" t="s">
        <v>1593</v>
      </c>
      <c r="O925" s="958" t="s">
        <v>2396</v>
      </c>
      <c r="Q925" s="830" t="s">
        <v>2494</v>
      </c>
      <c r="R925" s="314">
        <v>2835000</v>
      </c>
      <c r="V925" s="340">
        <f t="shared" ca="1" si="283"/>
        <v>1</v>
      </c>
      <c r="W925" s="594">
        <f t="shared" ca="1" si="284"/>
        <v>1900</v>
      </c>
      <c r="X925" s="340" t="str">
        <f t="shared" ca="1" si="282"/>
        <v>0 WEEK</v>
      </c>
      <c r="Y925" s="794">
        <f t="shared" si="270"/>
        <v>0</v>
      </c>
      <c r="Z925" s="541" cm="1">
        <f t="array" aca="1" ref="Z925" ca="1">_xlfn.IFS(AD925&lt;100,Y925,Y925&lt;TODAY(),TODAY(),Y925&gt;TODAY(),Y925,Y925=TODAY(),Y925)</f>
        <v>0</v>
      </c>
      <c r="AD925" s="298">
        <f t="shared" si="273"/>
        <v>0</v>
      </c>
      <c r="AE925" s="299" t="str">
        <f t="shared" si="274"/>
        <v>Complete</v>
      </c>
      <c r="AI925" s="301">
        <f t="shared" ca="1" si="271"/>
        <v>0</v>
      </c>
      <c r="AJ925" s="302">
        <f t="shared" ca="1" si="272"/>
        <v>0</v>
      </c>
      <c r="AL925" s="303">
        <f t="shared" si="275"/>
        <v>2835000</v>
      </c>
      <c r="AM925" s="303">
        <f t="shared" si="276"/>
        <v>0</v>
      </c>
      <c r="AN925" s="303">
        <f t="shared" si="277"/>
        <v>2835000</v>
      </c>
      <c r="AO925" s="304">
        <f t="shared" si="278"/>
        <v>0</v>
      </c>
      <c r="AP925" s="273">
        <f t="shared" si="280"/>
        <v>1</v>
      </c>
      <c r="AQ925" s="273" t="str">
        <f t="shared" ca="1" si="279"/>
        <v>11900</v>
      </c>
    </row>
    <row r="926" spans="1:43" ht="16.5">
      <c r="A926" s="312">
        <v>47</v>
      </c>
      <c r="B926" s="702" t="s">
        <v>2491</v>
      </c>
      <c r="C926" s="957" t="s">
        <v>2492</v>
      </c>
      <c r="D926" s="957" t="s">
        <v>2493</v>
      </c>
      <c r="G926" s="306">
        <v>6328124.9999999991</v>
      </c>
      <c r="H926" s="307">
        <v>759374.99999999988</v>
      </c>
      <c r="I926" s="308">
        <v>7087500</v>
      </c>
      <c r="N926" s="273" t="s">
        <v>1593</v>
      </c>
      <c r="O926" s="959" t="s">
        <v>2495</v>
      </c>
      <c r="Q926" s="830" t="s">
        <v>2496</v>
      </c>
      <c r="R926" s="314">
        <v>7087500</v>
      </c>
      <c r="V926" s="340">
        <f t="shared" ca="1" si="283"/>
        <v>1</v>
      </c>
      <c r="W926" s="594">
        <f t="shared" ca="1" si="284"/>
        <v>1900</v>
      </c>
      <c r="X926" s="340" t="str">
        <f t="shared" ca="1" si="282"/>
        <v>0 WEEK</v>
      </c>
      <c r="Y926" s="794">
        <f t="shared" si="270"/>
        <v>0</v>
      </c>
      <c r="Z926" s="541" cm="1">
        <f t="array" aca="1" ref="Z926" ca="1">_xlfn.IFS(AD926&lt;100,Y926,Y926&lt;TODAY(),TODAY(),Y926&gt;TODAY(),Y926,Y926=TODAY(),Y926)</f>
        <v>0</v>
      </c>
      <c r="AD926" s="298">
        <f t="shared" si="273"/>
        <v>0</v>
      </c>
      <c r="AE926" s="299" t="str">
        <f t="shared" si="274"/>
        <v>Complete</v>
      </c>
      <c r="AI926" s="301">
        <f t="shared" ca="1" si="271"/>
        <v>0</v>
      </c>
      <c r="AJ926" s="302">
        <f t="shared" ca="1" si="272"/>
        <v>0</v>
      </c>
      <c r="AL926" s="303">
        <f t="shared" si="275"/>
        <v>7087500</v>
      </c>
      <c r="AM926" s="303">
        <f t="shared" si="276"/>
        <v>0</v>
      </c>
      <c r="AN926" s="303">
        <f t="shared" si="277"/>
        <v>7087500</v>
      </c>
      <c r="AO926" s="304">
        <f t="shared" si="278"/>
        <v>0</v>
      </c>
      <c r="AP926" s="273">
        <f t="shared" si="280"/>
        <v>1</v>
      </c>
      <c r="AQ926" s="273" t="str">
        <f t="shared" ca="1" si="279"/>
        <v>11900</v>
      </c>
    </row>
    <row r="927" spans="1:43" ht="15" customHeight="1">
      <c r="A927" s="312">
        <v>47</v>
      </c>
      <c r="B927" s="702" t="s">
        <v>2491</v>
      </c>
      <c r="C927" s="957" t="s">
        <v>2492</v>
      </c>
      <c r="D927" s="957" t="s">
        <v>2493</v>
      </c>
      <c r="G927" s="306">
        <v>2642796.6101694917</v>
      </c>
      <c r="H927" s="307">
        <v>475703.3898305085</v>
      </c>
      <c r="I927" s="308">
        <v>3118500</v>
      </c>
      <c r="N927" s="273" t="s">
        <v>1593</v>
      </c>
      <c r="O927" s="960" t="s">
        <v>2497</v>
      </c>
      <c r="Q927" s="556" t="s">
        <v>2498</v>
      </c>
      <c r="R927" s="314">
        <v>504055</v>
      </c>
      <c r="V927" s="340">
        <f t="shared" ca="1" si="283"/>
        <v>1</v>
      </c>
      <c r="W927" s="594">
        <f t="shared" ca="1" si="284"/>
        <v>1900</v>
      </c>
      <c r="X927" s="340" t="str">
        <f t="shared" ca="1" si="282"/>
        <v>0 WEEK</v>
      </c>
      <c r="Y927" s="794">
        <f t="shared" si="270"/>
        <v>0</v>
      </c>
      <c r="Z927" s="541" cm="1">
        <f t="array" aca="1" ref="Z927" ca="1">_xlfn.IFS(AD927&lt;100,Y927,Y927&lt;TODAY(),TODAY(),Y927&gt;TODAY(),Y927,Y927=TODAY(),Y927)</f>
        <v>0</v>
      </c>
      <c r="AD927" s="298">
        <f t="shared" si="273"/>
        <v>0</v>
      </c>
      <c r="AE927" s="299" t="str">
        <f t="shared" si="274"/>
        <v>Complete</v>
      </c>
      <c r="AI927" s="301">
        <f t="shared" ca="1" si="271"/>
        <v>0</v>
      </c>
      <c r="AJ927" s="302">
        <f t="shared" ca="1" si="272"/>
        <v>0</v>
      </c>
      <c r="AL927" s="303">
        <f t="shared" si="275"/>
        <v>3118500</v>
      </c>
      <c r="AM927" s="303">
        <f t="shared" si="276"/>
        <v>2614445</v>
      </c>
      <c r="AN927" s="303">
        <f t="shared" si="277"/>
        <v>504055</v>
      </c>
      <c r="AO927" s="304">
        <f t="shared" si="278"/>
        <v>0</v>
      </c>
      <c r="AP927" s="273">
        <f t="shared" si="280"/>
        <v>1</v>
      </c>
      <c r="AQ927" s="273" t="str">
        <f t="shared" ca="1" si="279"/>
        <v>11900</v>
      </c>
    </row>
    <row r="928" spans="1:43" ht="16.5">
      <c r="A928" s="312">
        <v>47</v>
      </c>
      <c r="B928" s="702" t="s">
        <v>2491</v>
      </c>
      <c r="C928" s="957" t="s">
        <v>2492</v>
      </c>
      <c r="D928" s="957" t="s">
        <v>2493</v>
      </c>
      <c r="N928" s="273" t="s">
        <v>1593</v>
      </c>
      <c r="O928" s="960" t="s">
        <v>2497</v>
      </c>
      <c r="Q928" s="556" t="s">
        <v>2499</v>
      </c>
      <c r="R928" s="314">
        <v>197648</v>
      </c>
      <c r="V928" s="340">
        <f t="shared" ca="1" si="283"/>
        <v>1</v>
      </c>
      <c r="W928" s="594">
        <f t="shared" ca="1" si="284"/>
        <v>1900</v>
      </c>
      <c r="X928" s="340" t="str">
        <f t="shared" ca="1" si="282"/>
        <v>0 WEEK</v>
      </c>
      <c r="Y928" s="794">
        <f t="shared" si="270"/>
        <v>0</v>
      </c>
      <c r="Z928" s="541" cm="1">
        <f t="array" aca="1" ref="Z928" ca="1">_xlfn.IFS(AD928&lt;100,Y928,Y928&lt;TODAY(),TODAY(),Y928&gt;TODAY(),Y928,Y928=TODAY(),Y928)</f>
        <v>0</v>
      </c>
      <c r="AD928" s="298">
        <f t="shared" si="273"/>
        <v>0</v>
      </c>
      <c r="AE928" s="299" t="str">
        <f t="shared" si="274"/>
        <v>Complete</v>
      </c>
      <c r="AI928" s="301">
        <f t="shared" ca="1" si="271"/>
        <v>0</v>
      </c>
      <c r="AJ928" s="302">
        <f t="shared" ca="1" si="272"/>
        <v>0</v>
      </c>
      <c r="AL928" s="303">
        <f t="shared" si="275"/>
        <v>0</v>
      </c>
      <c r="AM928" s="303">
        <f t="shared" si="276"/>
        <v>-197648</v>
      </c>
      <c r="AN928" s="303">
        <f t="shared" si="277"/>
        <v>197648</v>
      </c>
      <c r="AO928" s="304">
        <f t="shared" si="278"/>
        <v>0</v>
      </c>
      <c r="AP928" s="273">
        <f t="shared" si="280"/>
        <v>1</v>
      </c>
      <c r="AQ928" s="273" t="str">
        <f t="shared" ca="1" si="279"/>
        <v>11900</v>
      </c>
    </row>
    <row r="929" spans="1:43" ht="16.5">
      <c r="A929" s="312">
        <v>47</v>
      </c>
      <c r="B929" s="702" t="s">
        <v>2491</v>
      </c>
      <c r="C929" s="957" t="s">
        <v>2492</v>
      </c>
      <c r="D929" s="957" t="s">
        <v>2493</v>
      </c>
      <c r="N929" s="273" t="s">
        <v>1593</v>
      </c>
      <c r="O929" s="960" t="s">
        <v>2164</v>
      </c>
      <c r="Q929" s="556" t="s">
        <v>2500</v>
      </c>
      <c r="R929" s="314">
        <v>786744</v>
      </c>
      <c r="V929" s="340">
        <f t="shared" ca="1" si="283"/>
        <v>1</v>
      </c>
      <c r="W929" s="594">
        <f t="shared" ca="1" si="284"/>
        <v>1900</v>
      </c>
      <c r="X929" s="340" t="str">
        <f t="shared" ca="1" si="282"/>
        <v>0 WEEK</v>
      </c>
      <c r="Y929" s="794">
        <f t="shared" si="270"/>
        <v>0</v>
      </c>
      <c r="Z929" s="541" cm="1">
        <f t="array" aca="1" ref="Z929" ca="1">_xlfn.IFS(AD929&lt;100,Y929,Y929&lt;TODAY(),TODAY(),Y929&gt;TODAY(),Y929,Y929=TODAY(),Y929)</f>
        <v>0</v>
      </c>
      <c r="AD929" s="298">
        <f t="shared" si="273"/>
        <v>0</v>
      </c>
      <c r="AE929" s="299" t="str">
        <f t="shared" si="274"/>
        <v>Complete</v>
      </c>
      <c r="AI929" s="301">
        <f t="shared" ca="1" si="271"/>
        <v>0</v>
      </c>
      <c r="AJ929" s="302">
        <f t="shared" ca="1" si="272"/>
        <v>0</v>
      </c>
      <c r="AL929" s="303">
        <f t="shared" si="275"/>
        <v>0</v>
      </c>
      <c r="AM929" s="303">
        <f t="shared" si="276"/>
        <v>-786744</v>
      </c>
      <c r="AN929" s="303">
        <f t="shared" si="277"/>
        <v>786744</v>
      </c>
      <c r="AO929" s="304">
        <f t="shared" si="278"/>
        <v>0</v>
      </c>
      <c r="AP929" s="273">
        <f t="shared" si="280"/>
        <v>1</v>
      </c>
      <c r="AQ929" s="273" t="str">
        <f t="shared" ca="1" si="279"/>
        <v>11900</v>
      </c>
    </row>
    <row r="930" spans="1:43" ht="16.5">
      <c r="A930" s="312">
        <v>47</v>
      </c>
      <c r="B930" s="702" t="s">
        <v>2491</v>
      </c>
      <c r="C930" s="957" t="s">
        <v>2492</v>
      </c>
      <c r="D930" s="957" t="s">
        <v>2493</v>
      </c>
      <c r="N930" s="273" t="s">
        <v>1593</v>
      </c>
      <c r="O930" s="960" t="s">
        <v>2501</v>
      </c>
      <c r="Q930" s="556" t="s">
        <v>2500</v>
      </c>
      <c r="R930" s="314">
        <v>1276053</v>
      </c>
      <c r="V930" s="340">
        <f t="shared" ca="1" si="283"/>
        <v>1</v>
      </c>
      <c r="W930" s="594">
        <f t="shared" ca="1" si="284"/>
        <v>1900</v>
      </c>
      <c r="X930" s="340" t="str">
        <f t="shared" ca="1" si="282"/>
        <v>0 WEEK</v>
      </c>
      <c r="Y930" s="794">
        <f t="shared" si="270"/>
        <v>0</v>
      </c>
      <c r="Z930" s="541" cm="1">
        <f t="array" aca="1" ref="Z930" ca="1">_xlfn.IFS(AD930&lt;100,Y930,Y930&lt;TODAY(),TODAY(),Y930&gt;TODAY(),Y930,Y930=TODAY(),Y930)</f>
        <v>0</v>
      </c>
      <c r="AD930" s="298">
        <f t="shared" si="273"/>
        <v>0</v>
      </c>
      <c r="AE930" s="299" t="str">
        <f t="shared" si="274"/>
        <v>Complete</v>
      </c>
      <c r="AI930" s="301">
        <f t="shared" ca="1" si="271"/>
        <v>0</v>
      </c>
      <c r="AJ930" s="302">
        <f t="shared" ca="1" si="272"/>
        <v>0</v>
      </c>
      <c r="AL930" s="303">
        <f t="shared" si="275"/>
        <v>0</v>
      </c>
      <c r="AM930" s="303">
        <f t="shared" si="276"/>
        <v>-1276053</v>
      </c>
      <c r="AN930" s="303">
        <f t="shared" si="277"/>
        <v>1276053</v>
      </c>
      <c r="AO930" s="304">
        <f t="shared" si="278"/>
        <v>0</v>
      </c>
      <c r="AP930" s="273">
        <f t="shared" si="280"/>
        <v>1</v>
      </c>
      <c r="AQ930" s="273" t="str">
        <f t="shared" ca="1" si="279"/>
        <v>11900</v>
      </c>
    </row>
    <row r="931" spans="1:43" ht="16.5">
      <c r="A931" s="312">
        <v>47</v>
      </c>
      <c r="B931" s="702" t="s">
        <v>2491</v>
      </c>
      <c r="C931" s="957" t="s">
        <v>2492</v>
      </c>
      <c r="D931" s="957" t="s">
        <v>2493</v>
      </c>
      <c r="N931" s="273" t="s">
        <v>1617</v>
      </c>
      <c r="O931" s="960" t="s">
        <v>1617</v>
      </c>
      <c r="Q931" s="556" t="s">
        <v>2500</v>
      </c>
      <c r="R931" s="314">
        <v>354000</v>
      </c>
      <c r="V931" s="340">
        <f t="shared" ca="1" si="283"/>
        <v>1</v>
      </c>
      <c r="W931" s="594">
        <f t="shared" ca="1" si="284"/>
        <v>1900</v>
      </c>
      <c r="X931" s="340" t="str">
        <f t="shared" ca="1" si="282"/>
        <v>0 WEEK</v>
      </c>
      <c r="Y931" s="794">
        <f t="shared" si="270"/>
        <v>0</v>
      </c>
      <c r="Z931" s="541" cm="1">
        <f t="array" aca="1" ref="Z931" ca="1">_xlfn.IFS(AD931&lt;100,Y931,Y931&lt;TODAY(),TODAY(),Y931&gt;TODAY(),Y931,Y931=TODAY(),Y931)</f>
        <v>0</v>
      </c>
      <c r="AD931" s="298">
        <f t="shared" si="273"/>
        <v>0</v>
      </c>
      <c r="AE931" s="299" t="str">
        <f t="shared" si="274"/>
        <v>Complete</v>
      </c>
      <c r="AI931" s="301">
        <f t="shared" ca="1" si="271"/>
        <v>0</v>
      </c>
      <c r="AJ931" s="302">
        <f t="shared" ca="1" si="272"/>
        <v>0</v>
      </c>
      <c r="AL931" s="303">
        <f t="shared" si="275"/>
        <v>0</v>
      </c>
      <c r="AM931" s="303">
        <f t="shared" si="276"/>
        <v>-354000</v>
      </c>
      <c r="AN931" s="303">
        <f t="shared" si="277"/>
        <v>354000</v>
      </c>
      <c r="AO931" s="304">
        <f t="shared" si="278"/>
        <v>0</v>
      </c>
      <c r="AP931" s="273">
        <f t="shared" si="280"/>
        <v>1</v>
      </c>
      <c r="AQ931" s="273" t="str">
        <f t="shared" ca="1" si="279"/>
        <v>11900</v>
      </c>
    </row>
    <row r="932" spans="1:43" ht="16.5">
      <c r="A932" s="312">
        <v>47</v>
      </c>
      <c r="B932" s="702" t="s">
        <v>2491</v>
      </c>
      <c r="C932" s="957" t="s">
        <v>2492</v>
      </c>
      <c r="D932" s="957" t="s">
        <v>2493</v>
      </c>
      <c r="G932" s="306">
        <v>600635.59322033904</v>
      </c>
      <c r="H932" s="307">
        <v>108114.40677966102</v>
      </c>
      <c r="I932" s="308">
        <v>708750</v>
      </c>
      <c r="N932" s="273" t="s">
        <v>2116</v>
      </c>
      <c r="O932" s="959" t="s">
        <v>1870</v>
      </c>
      <c r="V932" s="340">
        <f t="shared" ca="1" si="283"/>
        <v>1</v>
      </c>
      <c r="W932" s="594">
        <f t="shared" ca="1" si="284"/>
        <v>1900</v>
      </c>
      <c r="X932" s="340" t="str">
        <f t="shared" ca="1" si="282"/>
        <v>0 WEEK</v>
      </c>
      <c r="Y932" s="794">
        <f t="shared" si="270"/>
        <v>0</v>
      </c>
      <c r="Z932" s="541" cm="1">
        <f t="array" aca="1" ref="Z932" ca="1">_xlfn.IFS(AD932&lt;100,Y932,Y932&lt;TODAY(),TODAY(),Y932&gt;TODAY(),Y932,Y932=TODAY(),Y932)</f>
        <v>0</v>
      </c>
      <c r="AD932" s="298">
        <f t="shared" si="273"/>
        <v>0</v>
      </c>
      <c r="AE932" s="299" t="str">
        <f t="shared" si="274"/>
        <v>Complete</v>
      </c>
      <c r="AI932" s="301">
        <f t="shared" ca="1" si="271"/>
        <v>0</v>
      </c>
      <c r="AJ932" s="302">
        <f t="shared" ca="1" si="272"/>
        <v>0</v>
      </c>
      <c r="AL932" s="303">
        <f t="shared" si="275"/>
        <v>708750</v>
      </c>
      <c r="AM932" s="303">
        <f t="shared" si="276"/>
        <v>708750</v>
      </c>
      <c r="AN932" s="303">
        <f t="shared" si="277"/>
        <v>0</v>
      </c>
      <c r="AO932" s="304">
        <f t="shared" si="278"/>
        <v>0</v>
      </c>
      <c r="AP932" s="273">
        <f t="shared" si="280"/>
        <v>1</v>
      </c>
      <c r="AQ932" s="273" t="str">
        <f t="shared" ca="1" si="279"/>
        <v>11900</v>
      </c>
    </row>
    <row r="933" spans="1:43" ht="16.5">
      <c r="A933" s="312">
        <v>47</v>
      </c>
      <c r="B933" s="702" t="s">
        <v>2491</v>
      </c>
      <c r="C933" s="957" t="s">
        <v>2492</v>
      </c>
      <c r="D933" s="957" t="s">
        <v>2493</v>
      </c>
      <c r="G933" s="306">
        <v>240254.2372881356</v>
      </c>
      <c r="H933" s="307">
        <v>43245.762711864409</v>
      </c>
      <c r="I933" s="308">
        <v>283500</v>
      </c>
      <c r="N933" s="273" t="s">
        <v>2116</v>
      </c>
      <c r="O933" s="959" t="s">
        <v>1871</v>
      </c>
      <c r="V933" s="340">
        <f t="shared" ca="1" si="283"/>
        <v>1</v>
      </c>
      <c r="W933" s="594">
        <f t="shared" ca="1" si="284"/>
        <v>1900</v>
      </c>
      <c r="X933" s="340" t="str">
        <f t="shared" ca="1" si="282"/>
        <v>0 WEEK</v>
      </c>
      <c r="Y933" s="794">
        <f t="shared" si="270"/>
        <v>0</v>
      </c>
      <c r="Z933" s="541" cm="1">
        <f t="array" aca="1" ref="Z933" ca="1">_xlfn.IFS(AD933&lt;100,Y933,Y933&lt;TODAY(),TODAY(),Y933&gt;TODAY(),Y933,Y933=TODAY(),Y933)</f>
        <v>0</v>
      </c>
      <c r="AD933" s="298">
        <f t="shared" si="273"/>
        <v>0</v>
      </c>
      <c r="AE933" s="299" t="str">
        <f t="shared" si="274"/>
        <v>Complete</v>
      </c>
      <c r="AI933" s="301">
        <f t="shared" ca="1" si="271"/>
        <v>0</v>
      </c>
      <c r="AJ933" s="302">
        <f t="shared" ca="1" si="272"/>
        <v>0</v>
      </c>
      <c r="AL933" s="303">
        <f t="shared" si="275"/>
        <v>283500</v>
      </c>
      <c r="AM933" s="303">
        <f t="shared" si="276"/>
        <v>283500</v>
      </c>
      <c r="AN933" s="303">
        <f t="shared" si="277"/>
        <v>0</v>
      </c>
      <c r="AO933" s="304">
        <f t="shared" si="278"/>
        <v>0</v>
      </c>
      <c r="AP933" s="273">
        <f t="shared" si="280"/>
        <v>1</v>
      </c>
      <c r="AQ933" s="273" t="str">
        <f t="shared" ca="1" si="279"/>
        <v>11900</v>
      </c>
    </row>
    <row r="934" spans="1:43" ht="17.25" thickBot="1">
      <c r="A934" s="312">
        <v>47</v>
      </c>
      <c r="B934" s="702" t="s">
        <v>2491</v>
      </c>
      <c r="C934" s="957" t="s">
        <v>2492</v>
      </c>
      <c r="D934" s="957" t="s">
        <v>2493</v>
      </c>
      <c r="G934" s="306">
        <v>120127.1186440678</v>
      </c>
      <c r="H934" s="307">
        <v>21622.881355932204</v>
      </c>
      <c r="I934" s="308">
        <v>141750</v>
      </c>
      <c r="N934" s="273" t="s">
        <v>2116</v>
      </c>
      <c r="O934" s="961" t="s">
        <v>1872</v>
      </c>
      <c r="V934" s="340">
        <f t="shared" ca="1" si="283"/>
        <v>1</v>
      </c>
      <c r="W934" s="594">
        <f t="shared" ca="1" si="284"/>
        <v>1900</v>
      </c>
      <c r="X934" s="340" t="str">
        <f t="shared" ca="1" si="282"/>
        <v>0 WEEK</v>
      </c>
      <c r="Y934" s="794">
        <f t="shared" si="270"/>
        <v>0</v>
      </c>
      <c r="Z934" s="541" cm="1">
        <f t="array" aca="1" ref="Z934" ca="1">_xlfn.IFS(AD934&lt;100,Y934,Y934&lt;TODAY(),TODAY(),Y934&gt;TODAY(),Y934,Y934=TODAY(),Y934)</f>
        <v>0</v>
      </c>
      <c r="AD934" s="298">
        <f t="shared" si="273"/>
        <v>0</v>
      </c>
      <c r="AE934" s="299" t="str">
        <f t="shared" si="274"/>
        <v>Complete</v>
      </c>
      <c r="AI934" s="301">
        <f t="shared" ca="1" si="271"/>
        <v>0</v>
      </c>
      <c r="AJ934" s="302">
        <f t="shared" ca="1" si="272"/>
        <v>0</v>
      </c>
      <c r="AL934" s="303">
        <f t="shared" si="275"/>
        <v>141750</v>
      </c>
      <c r="AM934" s="303">
        <f t="shared" si="276"/>
        <v>141750</v>
      </c>
      <c r="AN934" s="303">
        <f t="shared" si="277"/>
        <v>0</v>
      </c>
      <c r="AO934" s="304">
        <f t="shared" si="278"/>
        <v>0</v>
      </c>
      <c r="AP934" s="273">
        <f t="shared" si="280"/>
        <v>1</v>
      </c>
      <c r="AQ934" s="273" t="str">
        <f t="shared" ca="1" si="279"/>
        <v>11900</v>
      </c>
    </row>
    <row r="935" spans="1:43">
      <c r="V935" s="340">
        <f t="shared" ca="1" si="283"/>
        <v>1</v>
      </c>
      <c r="W935" s="594">
        <f t="shared" ca="1" si="284"/>
        <v>1900</v>
      </c>
      <c r="X935" s="340" t="str">
        <f t="shared" ca="1" si="282"/>
        <v>0 WEEK</v>
      </c>
      <c r="Y935" s="794">
        <f t="shared" ref="Y935:Y1000" si="285">P935+T935</f>
        <v>0</v>
      </c>
      <c r="Z935" s="541" cm="1">
        <f t="array" aca="1" ref="Z935" ca="1">_xlfn.IFS(AD935&lt;100,Y935,Y935&lt;TODAY(),TODAY(),Y935&gt;TODAY(),Y935,Y935=TODAY(),Y935)</f>
        <v>0</v>
      </c>
      <c r="AD935" s="298">
        <f t="shared" si="273"/>
        <v>0</v>
      </c>
      <c r="AE935" s="299" t="str">
        <f t="shared" si="274"/>
        <v>Complete</v>
      </c>
      <c r="AI935" s="301">
        <f t="shared" ca="1" si="271"/>
        <v>0</v>
      </c>
      <c r="AJ935" s="302">
        <f t="shared" ca="1" si="272"/>
        <v>0</v>
      </c>
      <c r="AL935" s="303">
        <f t="shared" si="275"/>
        <v>0</v>
      </c>
      <c r="AM935" s="303">
        <f t="shared" si="276"/>
        <v>0</v>
      </c>
      <c r="AN935" s="303">
        <f t="shared" si="277"/>
        <v>0</v>
      </c>
      <c r="AO935" s="304">
        <f t="shared" si="278"/>
        <v>0</v>
      </c>
      <c r="AP935" s="273">
        <f t="shared" si="280"/>
        <v>1</v>
      </c>
      <c r="AQ935" s="273" t="str">
        <f t="shared" ca="1" si="279"/>
        <v>11900</v>
      </c>
    </row>
    <row r="936" spans="1:43" ht="16.5">
      <c r="B936" s="702" t="s">
        <v>2491</v>
      </c>
      <c r="C936" s="957" t="s">
        <v>2492</v>
      </c>
      <c r="D936" s="273" t="s">
        <v>2502</v>
      </c>
      <c r="G936" s="306">
        <v>1601694.9152542374</v>
      </c>
      <c r="H936" s="307">
        <v>288305.0847457627</v>
      </c>
      <c r="I936" s="308">
        <v>1890000</v>
      </c>
      <c r="O936" s="862" t="s">
        <v>2396</v>
      </c>
      <c r="Q936" s="668" t="s">
        <v>2503</v>
      </c>
      <c r="R936" s="314">
        <v>1890000</v>
      </c>
      <c r="V936" s="340">
        <f t="shared" ca="1" si="283"/>
        <v>1</v>
      </c>
      <c r="W936" s="594">
        <f t="shared" ca="1" si="284"/>
        <v>1900</v>
      </c>
      <c r="X936" s="340" t="str">
        <f t="shared" ca="1" si="282"/>
        <v>0 WEEK</v>
      </c>
      <c r="Y936" s="794">
        <f t="shared" si="285"/>
        <v>0</v>
      </c>
      <c r="Z936" s="541" cm="1">
        <f t="array" aca="1" ref="Z936" ca="1">_xlfn.IFS(AD936&lt;100,Y936,Y936&lt;TODAY(),TODAY(),Y936&gt;TODAY(),Y936,Y936=TODAY(),Y936)</f>
        <v>0</v>
      </c>
      <c r="AD936" s="298">
        <f t="shared" si="273"/>
        <v>0</v>
      </c>
      <c r="AE936" s="299" t="str">
        <f t="shared" si="274"/>
        <v>Complete</v>
      </c>
      <c r="AI936" s="301">
        <f t="shared" ca="1" si="271"/>
        <v>0</v>
      </c>
      <c r="AJ936" s="302">
        <f t="shared" ca="1" si="272"/>
        <v>0</v>
      </c>
      <c r="AL936" s="303">
        <f t="shared" si="275"/>
        <v>1890000</v>
      </c>
      <c r="AM936" s="303">
        <f t="shared" si="276"/>
        <v>0</v>
      </c>
      <c r="AN936" s="303">
        <f t="shared" si="277"/>
        <v>1890000</v>
      </c>
      <c r="AO936" s="304">
        <f t="shared" si="278"/>
        <v>0</v>
      </c>
      <c r="AP936" s="273">
        <f t="shared" si="280"/>
        <v>1</v>
      </c>
      <c r="AQ936" s="273" t="str">
        <f t="shared" ca="1" si="279"/>
        <v>11900</v>
      </c>
    </row>
    <row r="937" spans="1:43" ht="16.5">
      <c r="B937" s="702" t="s">
        <v>2491</v>
      </c>
      <c r="C937" s="957" t="s">
        <v>2492</v>
      </c>
      <c r="D937" s="273" t="s">
        <v>2502</v>
      </c>
      <c r="G937" s="306">
        <v>4218750</v>
      </c>
      <c r="H937" s="307">
        <v>506250</v>
      </c>
      <c r="I937" s="308">
        <v>4725000</v>
      </c>
      <c r="O937" s="862" t="s">
        <v>2495</v>
      </c>
      <c r="Q937" s="668" t="s">
        <v>2504</v>
      </c>
      <c r="R937" s="314">
        <v>4725000</v>
      </c>
      <c r="V937" s="340">
        <f t="shared" ca="1" si="283"/>
        <v>1</v>
      </c>
      <c r="W937" s="594">
        <f t="shared" ca="1" si="284"/>
        <v>1900</v>
      </c>
      <c r="X937" s="340" t="str">
        <f t="shared" ca="1" si="282"/>
        <v>0 WEEK</v>
      </c>
      <c r="Y937" s="794">
        <f t="shared" si="285"/>
        <v>0</v>
      </c>
      <c r="Z937" s="541" cm="1">
        <f t="array" aca="1" ref="Z937" ca="1">_xlfn.IFS(AD937&lt;100,Y937,Y937&lt;TODAY(),TODAY(),Y937&gt;TODAY(),Y937,Y937=TODAY(),Y937)</f>
        <v>0</v>
      </c>
      <c r="AD937" s="298">
        <f t="shared" si="273"/>
        <v>0</v>
      </c>
      <c r="AE937" s="299" t="str">
        <f t="shared" si="274"/>
        <v>Complete</v>
      </c>
      <c r="AI937" s="301">
        <f t="shared" ca="1" si="271"/>
        <v>0</v>
      </c>
      <c r="AJ937" s="302">
        <f t="shared" ca="1" si="272"/>
        <v>0</v>
      </c>
      <c r="AL937" s="303">
        <f t="shared" si="275"/>
        <v>4725000</v>
      </c>
      <c r="AM937" s="303">
        <f t="shared" si="276"/>
        <v>0</v>
      </c>
      <c r="AN937" s="303">
        <f t="shared" si="277"/>
        <v>4725000</v>
      </c>
      <c r="AO937" s="304">
        <f t="shared" si="278"/>
        <v>0</v>
      </c>
      <c r="AP937" s="273">
        <f t="shared" si="280"/>
        <v>1</v>
      </c>
      <c r="AQ937" s="273" t="str">
        <f t="shared" ca="1" si="279"/>
        <v>11900</v>
      </c>
    </row>
    <row r="938" spans="1:43" ht="16.5">
      <c r="B938" s="702" t="s">
        <v>2491</v>
      </c>
      <c r="C938" s="957" t="s">
        <v>2492</v>
      </c>
      <c r="D938" s="273" t="s">
        <v>2502</v>
      </c>
      <c r="G938" s="306">
        <v>1794058</v>
      </c>
      <c r="H938" s="307">
        <v>284942</v>
      </c>
      <c r="I938" s="308">
        <v>2079000</v>
      </c>
      <c r="O938" s="862" t="s">
        <v>2497</v>
      </c>
      <c r="Q938" s="668" t="s">
        <v>2505</v>
      </c>
      <c r="R938" s="314">
        <v>419422</v>
      </c>
      <c r="V938" s="340">
        <f t="shared" ca="1" si="283"/>
        <v>1</v>
      </c>
      <c r="W938" s="594">
        <f t="shared" ca="1" si="284"/>
        <v>1900</v>
      </c>
      <c r="X938" s="340" t="str">
        <f t="shared" ca="1" si="282"/>
        <v>0 WEEK</v>
      </c>
      <c r="Y938" s="794">
        <f t="shared" si="285"/>
        <v>0</v>
      </c>
      <c r="Z938" s="541" cm="1">
        <f t="array" aca="1" ref="Z938" ca="1">_xlfn.IFS(AD938&lt;100,Y938,Y938&lt;TODAY(),TODAY(),Y938&gt;TODAY(),Y938,Y938=TODAY(),Y938)</f>
        <v>0</v>
      </c>
      <c r="AD938" s="298">
        <f t="shared" si="273"/>
        <v>0</v>
      </c>
      <c r="AE938" s="299" t="str">
        <f t="shared" si="274"/>
        <v>Complete</v>
      </c>
      <c r="AI938" s="301">
        <f t="shared" ca="1" si="271"/>
        <v>0</v>
      </c>
      <c r="AJ938" s="302">
        <f t="shared" ca="1" si="272"/>
        <v>0</v>
      </c>
      <c r="AL938" s="303">
        <f t="shared" si="275"/>
        <v>2079000</v>
      </c>
      <c r="AM938" s="303">
        <f t="shared" si="276"/>
        <v>1659578</v>
      </c>
      <c r="AN938" s="303">
        <f t="shared" si="277"/>
        <v>419422</v>
      </c>
      <c r="AO938" s="304">
        <f t="shared" si="278"/>
        <v>0</v>
      </c>
      <c r="AP938" s="273">
        <f t="shared" si="280"/>
        <v>1</v>
      </c>
      <c r="AQ938" s="273" t="str">
        <f t="shared" ca="1" si="279"/>
        <v>11900</v>
      </c>
    </row>
    <row r="939" spans="1:43" ht="16.5">
      <c r="B939" s="702" t="s">
        <v>2491</v>
      </c>
      <c r="C939" s="957" t="s">
        <v>2492</v>
      </c>
      <c r="D939" s="273" t="s">
        <v>2502</v>
      </c>
      <c r="O939" s="862" t="s">
        <v>2497</v>
      </c>
      <c r="Q939" s="668" t="s">
        <v>2506</v>
      </c>
      <c r="R939" s="314">
        <v>207044</v>
      </c>
      <c r="V939" s="340">
        <f t="shared" ca="1" si="283"/>
        <v>1</v>
      </c>
      <c r="W939" s="594">
        <f t="shared" ca="1" si="284"/>
        <v>1900</v>
      </c>
      <c r="X939" s="340" t="str">
        <f t="shared" ca="1" si="282"/>
        <v>0 WEEK</v>
      </c>
      <c r="Y939" s="794">
        <f t="shared" si="285"/>
        <v>0</v>
      </c>
      <c r="Z939" s="541" cm="1">
        <f t="array" aca="1" ref="Z939" ca="1">_xlfn.IFS(AD939&lt;100,Y939,Y939&lt;TODAY(),TODAY(),Y939&gt;TODAY(),Y939,Y939=TODAY(),Y939)</f>
        <v>0</v>
      </c>
      <c r="AD939" s="298">
        <f t="shared" si="273"/>
        <v>0</v>
      </c>
      <c r="AE939" s="299" t="str">
        <f t="shared" si="274"/>
        <v>Complete</v>
      </c>
      <c r="AI939" s="301">
        <f t="shared" ca="1" si="271"/>
        <v>0</v>
      </c>
      <c r="AJ939" s="302">
        <f t="shared" ca="1" si="272"/>
        <v>0</v>
      </c>
      <c r="AL939" s="303">
        <f t="shared" si="275"/>
        <v>0</v>
      </c>
      <c r="AM939" s="303">
        <f t="shared" si="276"/>
        <v>-207044</v>
      </c>
      <c r="AN939" s="303">
        <f t="shared" si="277"/>
        <v>207044</v>
      </c>
      <c r="AO939" s="304">
        <f t="shared" si="278"/>
        <v>0</v>
      </c>
      <c r="AP939" s="273">
        <f t="shared" si="280"/>
        <v>1</v>
      </c>
      <c r="AQ939" s="273" t="str">
        <f t="shared" ca="1" si="279"/>
        <v>11900</v>
      </c>
    </row>
    <row r="940" spans="1:43" ht="16.5">
      <c r="B940" s="702" t="s">
        <v>2491</v>
      </c>
      <c r="C940" s="957" t="s">
        <v>2492</v>
      </c>
      <c r="D940" s="273" t="s">
        <v>2502</v>
      </c>
      <c r="O940" s="862" t="s">
        <v>2164</v>
      </c>
      <c r="Q940" s="668" t="s">
        <v>2507</v>
      </c>
      <c r="R940" s="314">
        <v>709128</v>
      </c>
      <c r="V940" s="340">
        <f t="shared" ca="1" si="283"/>
        <v>1</v>
      </c>
      <c r="W940" s="594">
        <f t="shared" ca="1" si="284"/>
        <v>1900</v>
      </c>
      <c r="X940" s="340" t="str">
        <f t="shared" ca="1" si="282"/>
        <v>0 WEEK</v>
      </c>
      <c r="Y940" s="794">
        <f t="shared" si="285"/>
        <v>0</v>
      </c>
      <c r="Z940" s="541" cm="1">
        <f t="array" aca="1" ref="Z940" ca="1">_xlfn.IFS(AD940&lt;100,Y940,Y940&lt;TODAY(),TODAY(),Y940&gt;TODAY(),Y940,Y940=TODAY(),Y940)</f>
        <v>0</v>
      </c>
      <c r="AD940" s="298">
        <f t="shared" si="273"/>
        <v>0</v>
      </c>
      <c r="AE940" s="299" t="str">
        <f t="shared" si="274"/>
        <v>Complete</v>
      </c>
      <c r="AI940" s="301">
        <f t="shared" ca="1" si="271"/>
        <v>0</v>
      </c>
      <c r="AJ940" s="302">
        <f t="shared" ca="1" si="272"/>
        <v>0</v>
      </c>
      <c r="AL940" s="303">
        <f t="shared" si="275"/>
        <v>0</v>
      </c>
      <c r="AM940" s="303">
        <f t="shared" si="276"/>
        <v>-709128</v>
      </c>
      <c r="AN940" s="303">
        <f t="shared" si="277"/>
        <v>709128</v>
      </c>
      <c r="AO940" s="304">
        <f t="shared" si="278"/>
        <v>0</v>
      </c>
      <c r="AP940" s="273">
        <f t="shared" si="280"/>
        <v>1</v>
      </c>
      <c r="AQ940" s="273" t="str">
        <f t="shared" ca="1" si="279"/>
        <v>11900</v>
      </c>
    </row>
    <row r="941" spans="1:43" ht="16.5">
      <c r="B941" s="702" t="s">
        <v>2491</v>
      </c>
      <c r="C941" s="957" t="s">
        <v>2492</v>
      </c>
      <c r="D941" s="273" t="s">
        <v>2502</v>
      </c>
      <c r="O941" s="862" t="s">
        <v>2501</v>
      </c>
      <c r="Q941" s="668" t="s">
        <v>2507</v>
      </c>
      <c r="R941" s="314">
        <v>507406</v>
      </c>
      <c r="V941" s="340">
        <f t="shared" ca="1" si="283"/>
        <v>1</v>
      </c>
      <c r="W941" s="594">
        <f t="shared" ca="1" si="284"/>
        <v>1900</v>
      </c>
      <c r="X941" s="340" t="str">
        <f t="shared" ca="1" si="282"/>
        <v>0 WEEK</v>
      </c>
      <c r="Y941" s="794">
        <f t="shared" si="285"/>
        <v>0</v>
      </c>
      <c r="Z941" s="541" cm="1">
        <f t="array" aca="1" ref="Z941" ca="1">_xlfn.IFS(AD941&lt;100,Y941,Y941&lt;TODAY(),TODAY(),Y941&gt;TODAY(),Y941,Y941=TODAY(),Y941)</f>
        <v>0</v>
      </c>
      <c r="AD941" s="298">
        <f t="shared" si="273"/>
        <v>0</v>
      </c>
      <c r="AE941" s="299" t="str">
        <f t="shared" si="274"/>
        <v>Complete</v>
      </c>
      <c r="AI941" s="301">
        <f t="shared" ca="1" si="271"/>
        <v>0</v>
      </c>
      <c r="AJ941" s="302">
        <f t="shared" ca="1" si="272"/>
        <v>0</v>
      </c>
      <c r="AL941" s="303">
        <f t="shared" si="275"/>
        <v>0</v>
      </c>
      <c r="AM941" s="303">
        <f t="shared" si="276"/>
        <v>-507406</v>
      </c>
      <c r="AN941" s="303">
        <f t="shared" si="277"/>
        <v>507406</v>
      </c>
      <c r="AO941" s="304">
        <f t="shared" si="278"/>
        <v>0</v>
      </c>
      <c r="AP941" s="273">
        <f t="shared" si="280"/>
        <v>1</v>
      </c>
      <c r="AQ941" s="273" t="str">
        <f t="shared" ca="1" si="279"/>
        <v>11900</v>
      </c>
    </row>
    <row r="942" spans="1:43" ht="16.5">
      <c r="B942" s="702" t="s">
        <v>2491</v>
      </c>
      <c r="C942" s="957" t="s">
        <v>2492</v>
      </c>
      <c r="D942" s="273" t="s">
        <v>2502</v>
      </c>
      <c r="O942" s="862" t="s">
        <v>1617</v>
      </c>
      <c r="Q942" s="668" t="s">
        <v>2507</v>
      </c>
      <c r="R942" s="314">
        <v>236000</v>
      </c>
      <c r="V942" s="340">
        <f t="shared" ca="1" si="283"/>
        <v>1</v>
      </c>
      <c r="W942" s="594">
        <f t="shared" ca="1" si="284"/>
        <v>1900</v>
      </c>
      <c r="X942" s="340" t="str">
        <f t="shared" ca="1" si="282"/>
        <v>0 WEEK</v>
      </c>
      <c r="Y942" s="794">
        <f t="shared" si="285"/>
        <v>0</v>
      </c>
      <c r="Z942" s="541" cm="1">
        <f t="array" aca="1" ref="Z942" ca="1">_xlfn.IFS(AD942&lt;100,Y942,Y942&lt;TODAY(),TODAY(),Y942&gt;TODAY(),Y942,Y942=TODAY(),Y942)</f>
        <v>0</v>
      </c>
      <c r="AD942" s="298">
        <f t="shared" si="273"/>
        <v>0</v>
      </c>
      <c r="AE942" s="299" t="str">
        <f t="shared" si="274"/>
        <v>Complete</v>
      </c>
      <c r="AI942" s="301">
        <f t="shared" ca="1" si="271"/>
        <v>0</v>
      </c>
      <c r="AJ942" s="302">
        <f t="shared" ca="1" si="272"/>
        <v>0</v>
      </c>
      <c r="AL942" s="303">
        <f t="shared" si="275"/>
        <v>0</v>
      </c>
      <c r="AM942" s="303">
        <f t="shared" si="276"/>
        <v>-236000</v>
      </c>
      <c r="AN942" s="303">
        <f t="shared" si="277"/>
        <v>236000</v>
      </c>
      <c r="AO942" s="304">
        <f t="shared" si="278"/>
        <v>0</v>
      </c>
      <c r="AP942" s="273">
        <f t="shared" si="280"/>
        <v>1</v>
      </c>
      <c r="AQ942" s="273" t="str">
        <f t="shared" ca="1" si="279"/>
        <v>11900</v>
      </c>
    </row>
    <row r="943" spans="1:43" ht="16.5">
      <c r="B943" s="702" t="s">
        <v>2491</v>
      </c>
      <c r="C943" s="957" t="s">
        <v>2492</v>
      </c>
      <c r="D943" s="273" t="s">
        <v>2502</v>
      </c>
      <c r="G943" s="306">
        <v>400423.72881355934</v>
      </c>
      <c r="H943" s="307">
        <v>72076.271186440674</v>
      </c>
      <c r="I943" s="308">
        <v>472500</v>
      </c>
      <c r="O943" s="862" t="s">
        <v>1870</v>
      </c>
      <c r="V943" s="340">
        <f t="shared" ca="1" si="283"/>
        <v>1</v>
      </c>
      <c r="W943" s="594">
        <f t="shared" ca="1" si="284"/>
        <v>1900</v>
      </c>
      <c r="X943" s="340" t="str">
        <f t="shared" ca="1" si="282"/>
        <v>0 WEEK</v>
      </c>
      <c r="Y943" s="794">
        <f t="shared" si="285"/>
        <v>0</v>
      </c>
      <c r="Z943" s="541" cm="1">
        <f t="array" aca="1" ref="Z943" ca="1">_xlfn.IFS(AD943&lt;100,Y943,Y943&lt;TODAY(),TODAY(),Y943&gt;TODAY(),Y943,Y943=TODAY(),Y943)</f>
        <v>0</v>
      </c>
      <c r="AD943" s="298">
        <f t="shared" si="273"/>
        <v>0</v>
      </c>
      <c r="AE943" s="299" t="str">
        <f t="shared" si="274"/>
        <v>Complete</v>
      </c>
      <c r="AI943" s="301">
        <f t="shared" ca="1" si="271"/>
        <v>0</v>
      </c>
      <c r="AJ943" s="302">
        <f t="shared" ca="1" si="272"/>
        <v>0</v>
      </c>
      <c r="AL943" s="303">
        <f t="shared" si="275"/>
        <v>472500</v>
      </c>
      <c r="AM943" s="303">
        <f t="shared" si="276"/>
        <v>472500</v>
      </c>
      <c r="AN943" s="303">
        <f t="shared" si="277"/>
        <v>0</v>
      </c>
      <c r="AO943" s="304">
        <f t="shared" si="278"/>
        <v>0</v>
      </c>
      <c r="AP943" s="273">
        <f t="shared" si="280"/>
        <v>1</v>
      </c>
      <c r="AQ943" s="273" t="str">
        <f t="shared" ca="1" si="279"/>
        <v>11900</v>
      </c>
    </row>
    <row r="944" spans="1:43" ht="16.5">
      <c r="B944" s="702" t="s">
        <v>2491</v>
      </c>
      <c r="C944" s="957" t="s">
        <v>2492</v>
      </c>
      <c r="D944" s="273" t="s">
        <v>2502</v>
      </c>
      <c r="G944" s="306">
        <v>160169.49152542374</v>
      </c>
      <c r="H944" s="307">
        <v>28830.508474576272</v>
      </c>
      <c r="I944" s="308">
        <v>189000</v>
      </c>
      <c r="O944" s="862" t="s">
        <v>1871</v>
      </c>
      <c r="V944" s="340">
        <f t="shared" ca="1" si="283"/>
        <v>1</v>
      </c>
      <c r="W944" s="594">
        <f t="shared" ca="1" si="284"/>
        <v>1900</v>
      </c>
      <c r="X944" s="340" t="str">
        <f t="shared" ca="1" si="282"/>
        <v>0 WEEK</v>
      </c>
      <c r="Y944" s="794">
        <f t="shared" si="285"/>
        <v>0</v>
      </c>
      <c r="Z944" s="541" cm="1">
        <f t="array" aca="1" ref="Z944" ca="1">_xlfn.IFS(AD944&lt;100,Y944,Y944&lt;TODAY(),TODAY(),Y944&gt;TODAY(),Y944,Y944=TODAY(),Y944)</f>
        <v>0</v>
      </c>
      <c r="AD944" s="298">
        <f t="shared" si="273"/>
        <v>0</v>
      </c>
      <c r="AE944" s="299" t="str">
        <f t="shared" si="274"/>
        <v>Complete</v>
      </c>
      <c r="AI944" s="301">
        <f t="shared" ca="1" si="271"/>
        <v>0</v>
      </c>
      <c r="AJ944" s="302">
        <f t="shared" ca="1" si="272"/>
        <v>0</v>
      </c>
      <c r="AL944" s="303">
        <f t="shared" si="275"/>
        <v>189000</v>
      </c>
      <c r="AM944" s="303">
        <f t="shared" si="276"/>
        <v>189000</v>
      </c>
      <c r="AN944" s="303">
        <f t="shared" si="277"/>
        <v>0</v>
      </c>
      <c r="AO944" s="304">
        <f t="shared" si="278"/>
        <v>0</v>
      </c>
      <c r="AP944" s="273">
        <f t="shared" si="280"/>
        <v>1</v>
      </c>
      <c r="AQ944" s="273" t="str">
        <f t="shared" ca="1" si="279"/>
        <v>11900</v>
      </c>
    </row>
    <row r="945" spans="2:43" ht="16.5">
      <c r="B945" s="702" t="s">
        <v>2491</v>
      </c>
      <c r="C945" s="957" t="s">
        <v>2492</v>
      </c>
      <c r="D945" s="273" t="s">
        <v>2502</v>
      </c>
      <c r="G945" s="306">
        <v>80084.745762711871</v>
      </c>
      <c r="H945" s="307">
        <v>14415.254237288136</v>
      </c>
      <c r="I945" s="308">
        <v>94500</v>
      </c>
      <c r="O945" s="862" t="s">
        <v>1872</v>
      </c>
      <c r="V945" s="340">
        <f t="shared" ca="1" si="283"/>
        <v>1</v>
      </c>
      <c r="W945" s="594">
        <f t="shared" ca="1" si="284"/>
        <v>1900</v>
      </c>
      <c r="X945" s="340" t="str">
        <f t="shared" ca="1" si="282"/>
        <v>0 WEEK</v>
      </c>
      <c r="Y945" s="794">
        <f t="shared" si="285"/>
        <v>0</v>
      </c>
      <c r="Z945" s="541" cm="1">
        <f t="array" aca="1" ref="Z945" ca="1">_xlfn.IFS(AD945&lt;100,Y945,Y945&lt;TODAY(),TODAY(),Y945&gt;TODAY(),Y945,Y945=TODAY(),Y945)</f>
        <v>0</v>
      </c>
      <c r="AD945" s="298">
        <f t="shared" si="273"/>
        <v>0</v>
      </c>
      <c r="AE945" s="299" t="str">
        <f t="shared" si="274"/>
        <v>Complete</v>
      </c>
      <c r="AI945" s="301">
        <f t="shared" ca="1" si="271"/>
        <v>0</v>
      </c>
      <c r="AJ945" s="302">
        <f t="shared" ca="1" si="272"/>
        <v>0</v>
      </c>
      <c r="AL945" s="303">
        <f t="shared" si="275"/>
        <v>94500</v>
      </c>
      <c r="AM945" s="303">
        <f t="shared" si="276"/>
        <v>94500</v>
      </c>
      <c r="AN945" s="303">
        <f t="shared" si="277"/>
        <v>0</v>
      </c>
      <c r="AO945" s="304">
        <f t="shared" si="278"/>
        <v>0</v>
      </c>
      <c r="AP945" s="273">
        <f t="shared" si="280"/>
        <v>1</v>
      </c>
      <c r="AQ945" s="273" t="str">
        <f t="shared" ca="1" si="279"/>
        <v>11900</v>
      </c>
    </row>
    <row r="946" spans="2:43">
      <c r="V946" s="340">
        <f t="shared" ca="1" si="283"/>
        <v>1</v>
      </c>
      <c r="W946" s="594">
        <f t="shared" ca="1" si="284"/>
        <v>1900</v>
      </c>
      <c r="X946" s="340" t="str">
        <f t="shared" ca="1" si="282"/>
        <v>0 WEEK</v>
      </c>
      <c r="Y946" s="794">
        <f t="shared" si="285"/>
        <v>0</v>
      </c>
      <c r="Z946" s="541" cm="1">
        <f t="array" aca="1" ref="Z946" ca="1">_xlfn.IFS(AD946&lt;100,Y946,Y946&lt;TODAY(),TODAY(),Y946&gt;TODAY(),Y946,Y946=TODAY(),Y946)</f>
        <v>0</v>
      </c>
      <c r="AD946" s="298">
        <f t="shared" si="273"/>
        <v>0</v>
      </c>
      <c r="AE946" s="299" t="str">
        <f t="shared" si="274"/>
        <v>Complete</v>
      </c>
      <c r="AI946" s="301">
        <f t="shared" ca="1" si="271"/>
        <v>0</v>
      </c>
      <c r="AJ946" s="302">
        <f t="shared" ca="1" si="272"/>
        <v>0</v>
      </c>
      <c r="AL946" s="303">
        <f t="shared" si="275"/>
        <v>0</v>
      </c>
      <c r="AM946" s="303">
        <f t="shared" si="276"/>
        <v>0</v>
      </c>
      <c r="AN946" s="303">
        <f t="shared" si="277"/>
        <v>0</v>
      </c>
      <c r="AO946" s="304">
        <f t="shared" si="278"/>
        <v>0</v>
      </c>
      <c r="AP946" s="273">
        <f t="shared" si="280"/>
        <v>1</v>
      </c>
      <c r="AQ946" s="273" t="str">
        <f t="shared" ca="1" si="279"/>
        <v>11900</v>
      </c>
    </row>
    <row r="947" spans="2:43">
      <c r="V947" s="340">
        <f t="shared" ca="1" si="283"/>
        <v>1</v>
      </c>
      <c r="W947" s="594">
        <f t="shared" ca="1" si="284"/>
        <v>1900</v>
      </c>
      <c r="X947" s="340" t="str">
        <f t="shared" ca="1" si="282"/>
        <v>0 WEEK</v>
      </c>
      <c r="Y947" s="794">
        <f t="shared" si="285"/>
        <v>0</v>
      </c>
      <c r="Z947" s="541" cm="1">
        <f t="array" aca="1" ref="Z947" ca="1">_xlfn.IFS(AD947&lt;100,Y947,Y947&lt;TODAY(),TODAY(),Y947&gt;TODAY(),Y947,Y947=TODAY(),Y947)</f>
        <v>0</v>
      </c>
      <c r="AD947" s="298">
        <f t="shared" si="273"/>
        <v>0</v>
      </c>
      <c r="AE947" s="299" t="str">
        <f t="shared" si="274"/>
        <v>Complete</v>
      </c>
      <c r="AI947" s="301">
        <f t="shared" ca="1" si="271"/>
        <v>0</v>
      </c>
      <c r="AJ947" s="302">
        <f t="shared" ca="1" si="272"/>
        <v>0</v>
      </c>
      <c r="AL947" s="303">
        <f t="shared" si="275"/>
        <v>0</v>
      </c>
      <c r="AM947" s="303">
        <f t="shared" si="276"/>
        <v>0</v>
      </c>
      <c r="AN947" s="303">
        <f t="shared" si="277"/>
        <v>0</v>
      </c>
      <c r="AO947" s="304">
        <f t="shared" si="278"/>
        <v>0</v>
      </c>
      <c r="AP947" s="273">
        <f t="shared" si="280"/>
        <v>1</v>
      </c>
      <c r="AQ947" s="273" t="str">
        <f t="shared" ca="1" si="279"/>
        <v>11900</v>
      </c>
    </row>
    <row r="948" spans="2:43" ht="16.5">
      <c r="B948" s="702" t="s">
        <v>2491</v>
      </c>
      <c r="C948" s="273" t="s">
        <v>2508</v>
      </c>
      <c r="D948" s="273" t="s">
        <v>2509</v>
      </c>
      <c r="G948" s="306">
        <v>732203.3898305085</v>
      </c>
      <c r="H948" s="307">
        <v>131796.61016949153</v>
      </c>
      <c r="I948" s="308">
        <v>864000</v>
      </c>
      <c r="O948" s="958" t="s">
        <v>2396</v>
      </c>
      <c r="Q948" s="830" t="s">
        <v>2510</v>
      </c>
      <c r="R948" s="314">
        <v>864000</v>
      </c>
      <c r="V948" s="340">
        <f t="shared" ca="1" si="283"/>
        <v>1</v>
      </c>
      <c r="W948" s="594">
        <f t="shared" ca="1" si="284"/>
        <v>1900</v>
      </c>
      <c r="X948" s="340" t="str">
        <f t="shared" ca="1" si="282"/>
        <v>0 WEEK</v>
      </c>
      <c r="Y948" s="794">
        <f t="shared" si="285"/>
        <v>0</v>
      </c>
      <c r="Z948" s="541" cm="1">
        <f t="array" aca="1" ref="Z948" ca="1">_xlfn.IFS(AD948&lt;100,Y948,Y948&lt;TODAY(),TODAY(),Y948&gt;TODAY(),Y948,Y948=TODAY(),Y948)</f>
        <v>0</v>
      </c>
      <c r="AD948" s="298">
        <f t="shared" si="273"/>
        <v>0</v>
      </c>
      <c r="AE948" s="299" t="str">
        <f t="shared" si="274"/>
        <v>Complete</v>
      </c>
      <c r="AI948" s="301">
        <f t="shared" ca="1" si="271"/>
        <v>0</v>
      </c>
      <c r="AJ948" s="302">
        <f t="shared" ca="1" si="272"/>
        <v>0</v>
      </c>
      <c r="AL948" s="303">
        <f t="shared" si="275"/>
        <v>864000</v>
      </c>
      <c r="AM948" s="303">
        <f t="shared" si="276"/>
        <v>0</v>
      </c>
      <c r="AN948" s="303">
        <f t="shared" si="277"/>
        <v>864000</v>
      </c>
      <c r="AO948" s="304">
        <f t="shared" si="278"/>
        <v>0</v>
      </c>
      <c r="AP948" s="273">
        <f t="shared" si="280"/>
        <v>1</v>
      </c>
      <c r="AQ948" s="273" t="str">
        <f t="shared" ca="1" si="279"/>
        <v>11900</v>
      </c>
    </row>
    <row r="949" spans="2:43" ht="16.5">
      <c r="B949" s="702" t="s">
        <v>2491</v>
      </c>
      <c r="C949" s="273" t="s">
        <v>2508</v>
      </c>
      <c r="D949" s="273" t="s">
        <v>2509</v>
      </c>
      <c r="G949" s="306">
        <v>4242857.1428571427</v>
      </c>
      <c r="H949" s="307">
        <v>509142.8571428571</v>
      </c>
      <c r="I949" s="308">
        <v>4752000</v>
      </c>
      <c r="O949" s="959" t="s">
        <v>2495</v>
      </c>
      <c r="Q949" s="556" t="s">
        <v>2511</v>
      </c>
      <c r="R949" s="314">
        <v>4752000</v>
      </c>
      <c r="V949" s="340">
        <f t="shared" ca="1" si="283"/>
        <v>1</v>
      </c>
      <c r="W949" s="594">
        <f t="shared" ca="1" si="284"/>
        <v>1900</v>
      </c>
      <c r="X949" s="340" t="str">
        <f t="shared" ca="1" si="282"/>
        <v>0 WEEK</v>
      </c>
      <c r="Y949" s="794">
        <f t="shared" si="285"/>
        <v>0</v>
      </c>
      <c r="Z949" s="541" cm="1">
        <f t="array" aca="1" ref="Z949" ca="1">_xlfn.IFS(AD949&lt;100,Y949,Y949&lt;TODAY(),TODAY(),Y949&gt;TODAY(),Y949,Y949=TODAY(),Y949)</f>
        <v>0</v>
      </c>
      <c r="AD949" s="298">
        <f t="shared" si="273"/>
        <v>0</v>
      </c>
      <c r="AE949" s="299" t="str">
        <f t="shared" si="274"/>
        <v>Complete</v>
      </c>
      <c r="AI949" s="301">
        <f t="shared" ca="1" si="271"/>
        <v>0</v>
      </c>
      <c r="AJ949" s="302">
        <f t="shared" ca="1" si="272"/>
        <v>0</v>
      </c>
      <c r="AL949" s="303">
        <f t="shared" si="275"/>
        <v>4752000</v>
      </c>
      <c r="AM949" s="303">
        <f t="shared" si="276"/>
        <v>0</v>
      </c>
      <c r="AN949" s="303">
        <f t="shared" si="277"/>
        <v>4752000</v>
      </c>
      <c r="AO949" s="304">
        <f t="shared" si="278"/>
        <v>0</v>
      </c>
      <c r="AP949" s="273">
        <f t="shared" si="280"/>
        <v>1</v>
      </c>
      <c r="AQ949" s="273" t="str">
        <f t="shared" ca="1" si="279"/>
        <v>11900</v>
      </c>
    </row>
    <row r="950" spans="2:43" ht="16.5">
      <c r="B950" s="702" t="s">
        <v>2491</v>
      </c>
      <c r="C950" s="273" t="s">
        <v>2508</v>
      </c>
      <c r="D950" s="273" t="s">
        <v>2509</v>
      </c>
      <c r="G950" s="306">
        <v>617142.85714285704</v>
      </c>
      <c r="H950" s="307">
        <v>74057.142857142841</v>
      </c>
      <c r="I950" s="308">
        <v>691200</v>
      </c>
      <c r="O950" s="959" t="s">
        <v>1978</v>
      </c>
      <c r="Q950" s="962" t="s">
        <v>2512</v>
      </c>
      <c r="R950" s="314">
        <v>1728000</v>
      </c>
      <c r="V950" s="340">
        <f t="shared" ca="1" si="283"/>
        <v>1</v>
      </c>
      <c r="W950" s="594">
        <f t="shared" ca="1" si="284"/>
        <v>1900</v>
      </c>
      <c r="X950" s="340" t="str">
        <f t="shared" ca="1" si="282"/>
        <v>0 WEEK</v>
      </c>
      <c r="Y950" s="794">
        <f t="shared" si="285"/>
        <v>0</v>
      </c>
      <c r="Z950" s="541" cm="1">
        <f t="array" aca="1" ref="Z950" ca="1">_xlfn.IFS(AD950&lt;100,Y950,Y950&lt;TODAY(),TODAY(),Y950&gt;TODAY(),Y950,Y950=TODAY(),Y950)</f>
        <v>0</v>
      </c>
      <c r="AD950" s="298">
        <f t="shared" si="273"/>
        <v>0</v>
      </c>
      <c r="AE950" s="299" t="str">
        <f t="shared" si="274"/>
        <v>Complete</v>
      </c>
      <c r="AI950" s="301">
        <f t="shared" ca="1" si="271"/>
        <v>0</v>
      </c>
      <c r="AJ950" s="302">
        <f t="shared" ca="1" si="272"/>
        <v>0</v>
      </c>
      <c r="AL950" s="303">
        <f t="shared" si="275"/>
        <v>691200</v>
      </c>
      <c r="AM950" s="303">
        <f t="shared" si="276"/>
        <v>-1036800</v>
      </c>
      <c r="AN950" s="303">
        <f t="shared" si="277"/>
        <v>1728000</v>
      </c>
      <c r="AO950" s="304">
        <f t="shared" si="278"/>
        <v>0</v>
      </c>
      <c r="AP950" s="273">
        <f t="shared" si="280"/>
        <v>1</v>
      </c>
      <c r="AQ950" s="273" t="str">
        <f t="shared" ca="1" si="279"/>
        <v>11900</v>
      </c>
    </row>
    <row r="951" spans="2:43" ht="16.5">
      <c r="B951" s="702" t="s">
        <v>2491</v>
      </c>
      <c r="C951" s="273" t="s">
        <v>2508</v>
      </c>
      <c r="D951" s="273" t="s">
        <v>2509</v>
      </c>
      <c r="G951" s="306">
        <v>878644.06779661018</v>
      </c>
      <c r="H951" s="307">
        <v>158155.93220338982</v>
      </c>
      <c r="I951" s="308">
        <v>1036800</v>
      </c>
      <c r="O951" s="959" t="s">
        <v>1600</v>
      </c>
      <c r="Q951" s="963"/>
      <c r="V951" s="340">
        <f t="shared" ca="1" si="283"/>
        <v>1</v>
      </c>
      <c r="W951" s="594">
        <f t="shared" ca="1" si="284"/>
        <v>1900</v>
      </c>
      <c r="X951" s="340" t="str">
        <f t="shared" ca="1" si="282"/>
        <v>0 WEEK</v>
      </c>
      <c r="Y951" s="794">
        <f t="shared" si="285"/>
        <v>0</v>
      </c>
      <c r="Z951" s="541" cm="1">
        <f t="array" aca="1" ref="Z951" ca="1">_xlfn.IFS(AD951&lt;100,Y951,Y951&lt;TODAY(),TODAY(),Y951&gt;TODAY(),Y951,Y951=TODAY(),Y951)</f>
        <v>0</v>
      </c>
      <c r="AD951" s="298">
        <f t="shared" si="273"/>
        <v>0</v>
      </c>
      <c r="AE951" s="299" t="str">
        <f t="shared" si="274"/>
        <v>Complete</v>
      </c>
      <c r="AI951" s="301">
        <f t="shared" ca="1" si="271"/>
        <v>0</v>
      </c>
      <c r="AJ951" s="302">
        <f t="shared" ca="1" si="272"/>
        <v>0</v>
      </c>
      <c r="AL951" s="303">
        <f t="shared" si="275"/>
        <v>1036800</v>
      </c>
      <c r="AM951" s="303">
        <f t="shared" si="276"/>
        <v>1036800</v>
      </c>
      <c r="AN951" s="303">
        <f t="shared" si="277"/>
        <v>0</v>
      </c>
      <c r="AO951" s="304">
        <f t="shared" si="278"/>
        <v>0</v>
      </c>
      <c r="AP951" s="273">
        <f t="shared" si="280"/>
        <v>1</v>
      </c>
      <c r="AQ951" s="273" t="str">
        <f t="shared" ca="1" si="279"/>
        <v>11900</v>
      </c>
    </row>
    <row r="952" spans="2:43" ht="16.5">
      <c r="B952" s="702" t="s">
        <v>2491</v>
      </c>
      <c r="C952" s="273" t="s">
        <v>2508</v>
      </c>
      <c r="D952" s="273" t="s">
        <v>2509</v>
      </c>
      <c r="G952" s="306">
        <v>366101.69491525425</v>
      </c>
      <c r="H952" s="307">
        <v>65898.305084745763</v>
      </c>
      <c r="I952" s="308">
        <v>432000</v>
      </c>
      <c r="O952" s="958" t="s">
        <v>2283</v>
      </c>
      <c r="Q952" s="556" t="s">
        <v>2511</v>
      </c>
      <c r="R952" s="314">
        <v>432000</v>
      </c>
      <c r="V952" s="340">
        <f t="shared" ca="1" si="283"/>
        <v>1</v>
      </c>
      <c r="W952" s="594">
        <f t="shared" ca="1" si="284"/>
        <v>1900</v>
      </c>
      <c r="X952" s="340" t="str">
        <f t="shared" ca="1" si="282"/>
        <v>0 WEEK</v>
      </c>
      <c r="Y952" s="794">
        <f t="shared" si="285"/>
        <v>0</v>
      </c>
      <c r="Z952" s="541" cm="1">
        <f t="array" aca="1" ref="Z952" ca="1">_xlfn.IFS(AD952&lt;100,Y952,Y952&lt;TODAY(),TODAY(),Y952&gt;TODAY(),Y952,Y952=TODAY(),Y952)</f>
        <v>0</v>
      </c>
      <c r="AD952" s="298">
        <f t="shared" si="273"/>
        <v>0</v>
      </c>
      <c r="AE952" s="299" t="str">
        <f t="shared" si="274"/>
        <v>Complete</v>
      </c>
      <c r="AI952" s="301">
        <f t="shared" ca="1" si="271"/>
        <v>0</v>
      </c>
      <c r="AJ952" s="302">
        <f t="shared" ca="1" si="272"/>
        <v>0</v>
      </c>
      <c r="AL952" s="303">
        <f t="shared" si="275"/>
        <v>432000</v>
      </c>
      <c r="AM952" s="303">
        <f t="shared" si="276"/>
        <v>0</v>
      </c>
      <c r="AN952" s="303">
        <f t="shared" si="277"/>
        <v>432000</v>
      </c>
      <c r="AO952" s="304">
        <f t="shared" si="278"/>
        <v>0</v>
      </c>
      <c r="AP952" s="273">
        <f t="shared" si="280"/>
        <v>1</v>
      </c>
      <c r="AQ952" s="273" t="str">
        <f t="shared" ca="1" si="279"/>
        <v>11900</v>
      </c>
    </row>
    <row r="953" spans="2:43" ht="16.5">
      <c r="B953" s="702" t="s">
        <v>2491</v>
      </c>
      <c r="C953" s="273" t="s">
        <v>2508</v>
      </c>
      <c r="D953" s="273" t="s">
        <v>2509</v>
      </c>
      <c r="G953" s="306">
        <v>292881.35593220341</v>
      </c>
      <c r="H953" s="307">
        <v>52718.644067796609</v>
      </c>
      <c r="I953" s="308">
        <v>345600</v>
      </c>
      <c r="O953" s="959" t="s">
        <v>1870</v>
      </c>
      <c r="Q953" s="556" t="s">
        <v>2513</v>
      </c>
      <c r="R953" s="314">
        <v>345600</v>
      </c>
      <c r="V953" s="340">
        <f t="shared" ca="1" si="283"/>
        <v>1</v>
      </c>
      <c r="W953" s="594">
        <f t="shared" ca="1" si="284"/>
        <v>1900</v>
      </c>
      <c r="X953" s="340" t="str">
        <f t="shared" ca="1" si="282"/>
        <v>0 WEEK</v>
      </c>
      <c r="Y953" s="794">
        <f t="shared" si="285"/>
        <v>0</v>
      </c>
      <c r="Z953" s="541" cm="1">
        <f t="array" aca="1" ref="Z953" ca="1">_xlfn.IFS(AD953&lt;100,Y953,Y953&lt;TODAY(),TODAY(),Y953&gt;TODAY(),Y953,Y953=TODAY(),Y953)</f>
        <v>0</v>
      </c>
      <c r="AD953" s="298">
        <f t="shared" si="273"/>
        <v>0</v>
      </c>
      <c r="AE953" s="299" t="str">
        <f t="shared" si="274"/>
        <v>Complete</v>
      </c>
      <c r="AI953" s="301">
        <f t="shared" ca="1" si="271"/>
        <v>0</v>
      </c>
      <c r="AJ953" s="302">
        <f t="shared" ca="1" si="272"/>
        <v>0</v>
      </c>
      <c r="AL953" s="303">
        <f t="shared" si="275"/>
        <v>345600</v>
      </c>
      <c r="AM953" s="303">
        <f t="shared" si="276"/>
        <v>0</v>
      </c>
      <c r="AN953" s="303">
        <f t="shared" si="277"/>
        <v>345600</v>
      </c>
      <c r="AO953" s="304">
        <f t="shared" si="278"/>
        <v>0</v>
      </c>
      <c r="AP953" s="273">
        <f t="shared" si="280"/>
        <v>1</v>
      </c>
      <c r="AQ953" s="273" t="str">
        <f t="shared" ca="1" si="279"/>
        <v>11900</v>
      </c>
    </row>
    <row r="954" spans="2:43" ht="16.5">
      <c r="B954" s="702" t="s">
        <v>2491</v>
      </c>
      <c r="C954" s="273" t="s">
        <v>2508</v>
      </c>
      <c r="D954" s="273" t="s">
        <v>2509</v>
      </c>
      <c r="G954" s="306">
        <v>219661.01694915254</v>
      </c>
      <c r="H954" s="307">
        <v>39538.983050847455</v>
      </c>
      <c r="I954" s="308">
        <v>259200</v>
      </c>
      <c r="O954" s="959" t="s">
        <v>1871</v>
      </c>
      <c r="Q954" s="556" t="s">
        <v>2514</v>
      </c>
      <c r="R954" s="314">
        <v>259200</v>
      </c>
      <c r="V954" s="340">
        <f t="shared" ca="1" si="283"/>
        <v>1</v>
      </c>
      <c r="W954" s="594">
        <f t="shared" ca="1" si="284"/>
        <v>1900</v>
      </c>
      <c r="X954" s="340" t="str">
        <f t="shared" ca="1" si="282"/>
        <v>0 WEEK</v>
      </c>
      <c r="Y954" s="794">
        <f t="shared" si="285"/>
        <v>0</v>
      </c>
      <c r="Z954" s="541" cm="1">
        <f t="array" aca="1" ref="Z954" ca="1">_xlfn.IFS(AD954&lt;100,Y954,Y954&lt;TODAY(),TODAY(),Y954&gt;TODAY(),Y954,Y954=TODAY(),Y954)</f>
        <v>0</v>
      </c>
      <c r="AD954" s="298">
        <f t="shared" si="273"/>
        <v>0</v>
      </c>
      <c r="AE954" s="299" t="str">
        <f t="shared" si="274"/>
        <v>Complete</v>
      </c>
      <c r="AI954" s="301">
        <f t="shared" ca="1" si="271"/>
        <v>0</v>
      </c>
      <c r="AJ954" s="302">
        <f t="shared" ca="1" si="272"/>
        <v>0</v>
      </c>
      <c r="AL954" s="303">
        <f t="shared" si="275"/>
        <v>259200</v>
      </c>
      <c r="AM954" s="303">
        <f t="shared" si="276"/>
        <v>0</v>
      </c>
      <c r="AN954" s="303">
        <f t="shared" si="277"/>
        <v>259200</v>
      </c>
      <c r="AO954" s="304">
        <f t="shared" si="278"/>
        <v>0</v>
      </c>
      <c r="AP954" s="273">
        <f t="shared" si="280"/>
        <v>1</v>
      </c>
      <c r="AQ954" s="273" t="str">
        <f t="shared" ca="1" si="279"/>
        <v>11900</v>
      </c>
    </row>
    <row r="955" spans="2:43" ht="17.25" thickBot="1">
      <c r="B955" s="702" t="s">
        <v>2491</v>
      </c>
      <c r="C955" s="273" t="s">
        <v>2508</v>
      </c>
      <c r="D955" s="273" t="s">
        <v>2509</v>
      </c>
      <c r="G955" s="306">
        <v>219661.01694915254</v>
      </c>
      <c r="H955" s="307">
        <v>39538.983050847455</v>
      </c>
      <c r="I955" s="308">
        <v>259200</v>
      </c>
      <c r="O955" s="961" t="s">
        <v>1872</v>
      </c>
      <c r="Q955" s="964" t="s">
        <v>2515</v>
      </c>
      <c r="R955" s="314">
        <v>259200</v>
      </c>
      <c r="V955" s="340">
        <f t="shared" ca="1" si="283"/>
        <v>1</v>
      </c>
      <c r="W955" s="594">
        <f t="shared" ca="1" si="284"/>
        <v>1900</v>
      </c>
      <c r="X955" s="340" t="str">
        <f t="shared" ca="1" si="282"/>
        <v>0 WEEK</v>
      </c>
      <c r="Y955" s="794">
        <f t="shared" si="285"/>
        <v>0</v>
      </c>
      <c r="Z955" s="541" cm="1">
        <f t="array" aca="1" ref="Z955" ca="1">_xlfn.IFS(AD955&lt;100,Y955,Y955&lt;TODAY(),TODAY(),Y955&gt;TODAY(),Y955,Y955=TODAY(),Y955)</f>
        <v>0</v>
      </c>
      <c r="AD955" s="298">
        <f t="shared" si="273"/>
        <v>0</v>
      </c>
      <c r="AE955" s="299" t="str">
        <f t="shared" si="274"/>
        <v>Complete</v>
      </c>
      <c r="AI955" s="301">
        <f t="shared" ca="1" si="271"/>
        <v>0</v>
      </c>
      <c r="AJ955" s="302">
        <f t="shared" ca="1" si="272"/>
        <v>0</v>
      </c>
      <c r="AL955" s="303">
        <f t="shared" si="275"/>
        <v>259200</v>
      </c>
      <c r="AM955" s="303">
        <f t="shared" si="276"/>
        <v>0</v>
      </c>
      <c r="AN955" s="303">
        <f t="shared" si="277"/>
        <v>259200</v>
      </c>
      <c r="AO955" s="304">
        <f t="shared" si="278"/>
        <v>0</v>
      </c>
      <c r="AP955" s="273">
        <f t="shared" si="280"/>
        <v>1</v>
      </c>
      <c r="AQ955" s="273" t="str">
        <f t="shared" ca="1" si="279"/>
        <v>11900</v>
      </c>
    </row>
    <row r="956" spans="2:43">
      <c r="V956" s="340">
        <f t="shared" ca="1" si="283"/>
        <v>1</v>
      </c>
      <c r="W956" s="594">
        <f t="shared" ca="1" si="284"/>
        <v>1900</v>
      </c>
      <c r="X956" s="340" t="str">
        <f t="shared" ca="1" si="282"/>
        <v>0 WEEK</v>
      </c>
      <c r="Y956" s="794">
        <f t="shared" si="285"/>
        <v>0</v>
      </c>
      <c r="Z956" s="541" cm="1">
        <f t="array" aca="1" ref="Z956" ca="1">_xlfn.IFS(AD956&lt;100,Y956,Y956&lt;TODAY(),TODAY(),Y956&gt;TODAY(),Y956,Y956=TODAY(),Y956)</f>
        <v>0</v>
      </c>
      <c r="AD956" s="298">
        <f t="shared" si="273"/>
        <v>0</v>
      </c>
      <c r="AE956" s="299" t="str">
        <f t="shared" si="274"/>
        <v>Complete</v>
      </c>
      <c r="AI956" s="301">
        <f t="shared" ca="1" si="271"/>
        <v>0</v>
      </c>
      <c r="AJ956" s="302">
        <f t="shared" ca="1" si="272"/>
        <v>0</v>
      </c>
      <c r="AL956" s="303">
        <f t="shared" si="275"/>
        <v>0</v>
      </c>
      <c r="AM956" s="303">
        <f t="shared" si="276"/>
        <v>0</v>
      </c>
      <c r="AN956" s="303">
        <f t="shared" si="277"/>
        <v>0</v>
      </c>
      <c r="AO956" s="304">
        <f t="shared" si="278"/>
        <v>0</v>
      </c>
      <c r="AP956" s="273">
        <f t="shared" si="280"/>
        <v>1</v>
      </c>
      <c r="AQ956" s="273" t="str">
        <f t="shared" ca="1" si="279"/>
        <v>11900</v>
      </c>
    </row>
    <row r="957" spans="2:43" ht="16.5">
      <c r="B957" s="702" t="s">
        <v>2491</v>
      </c>
      <c r="C957" s="273" t="s">
        <v>2516</v>
      </c>
      <c r="D957" s="957" t="s">
        <v>2517</v>
      </c>
      <c r="G957" s="306">
        <v>616525.42372881353</v>
      </c>
      <c r="H957" s="307">
        <v>110974.57627118644</v>
      </c>
      <c r="I957" s="308">
        <v>727500</v>
      </c>
      <c r="O957" s="958" t="s">
        <v>2396</v>
      </c>
      <c r="Q957" s="830" t="s">
        <v>2518</v>
      </c>
      <c r="R957" s="314">
        <v>727500</v>
      </c>
      <c r="V957" s="340">
        <f t="shared" ca="1" si="283"/>
        <v>1</v>
      </c>
      <c r="W957" s="594">
        <f t="shared" ca="1" si="284"/>
        <v>1900</v>
      </c>
      <c r="X957" s="340" t="str">
        <f t="shared" ca="1" si="282"/>
        <v>0 WEEK</v>
      </c>
      <c r="Y957" s="794">
        <f t="shared" si="285"/>
        <v>0</v>
      </c>
      <c r="Z957" s="541" cm="1">
        <f t="array" aca="1" ref="Z957" ca="1">_xlfn.IFS(AD957&lt;100,Y957,Y957&lt;TODAY(),TODAY(),Y957&gt;TODAY(),Y957,Y957=TODAY(),Y957)</f>
        <v>0</v>
      </c>
      <c r="AD957" s="298">
        <f t="shared" si="273"/>
        <v>0</v>
      </c>
      <c r="AE957" s="299" t="str">
        <f t="shared" si="274"/>
        <v>Complete</v>
      </c>
      <c r="AI957" s="301">
        <f t="shared" ca="1" si="271"/>
        <v>0</v>
      </c>
      <c r="AJ957" s="302">
        <f t="shared" ca="1" si="272"/>
        <v>0</v>
      </c>
      <c r="AL957" s="303">
        <f t="shared" si="275"/>
        <v>727500</v>
      </c>
      <c r="AM957" s="303">
        <f t="shared" si="276"/>
        <v>0</v>
      </c>
      <c r="AN957" s="303">
        <f t="shared" si="277"/>
        <v>727500</v>
      </c>
      <c r="AO957" s="304">
        <f t="shared" si="278"/>
        <v>0</v>
      </c>
      <c r="AP957" s="273">
        <f t="shared" si="280"/>
        <v>1</v>
      </c>
      <c r="AQ957" s="273" t="str">
        <f t="shared" ca="1" si="279"/>
        <v>11900</v>
      </c>
    </row>
    <row r="958" spans="2:43" ht="16.5">
      <c r="B958" s="702" t="s">
        <v>2491</v>
      </c>
      <c r="C958" s="273" t="s">
        <v>2516</v>
      </c>
      <c r="D958" s="957" t="s">
        <v>2517</v>
      </c>
      <c r="G958" s="306">
        <v>3897321.4285714282</v>
      </c>
      <c r="H958" s="307">
        <v>467678.57142857136</v>
      </c>
      <c r="I958" s="308">
        <v>4365000</v>
      </c>
      <c r="O958" s="959" t="s">
        <v>2495</v>
      </c>
      <c r="Q958" s="962" t="s">
        <v>2519</v>
      </c>
      <c r="R958" s="314">
        <v>5456250</v>
      </c>
      <c r="V958" s="340">
        <f t="shared" ca="1" si="283"/>
        <v>1</v>
      </c>
      <c r="W958" s="594">
        <f t="shared" ca="1" si="284"/>
        <v>1900</v>
      </c>
      <c r="X958" s="340" t="str">
        <f t="shared" ca="1" si="282"/>
        <v>0 WEEK</v>
      </c>
      <c r="Y958" s="794">
        <f t="shared" si="285"/>
        <v>0</v>
      </c>
      <c r="Z958" s="541" cm="1">
        <f t="array" aca="1" ref="Z958" ca="1">_xlfn.IFS(AD958&lt;100,Y958,Y958&lt;TODAY(),TODAY(),Y958&gt;TODAY(),Y958,Y958=TODAY(),Y958)</f>
        <v>0</v>
      </c>
      <c r="AD958" s="298">
        <f t="shared" si="273"/>
        <v>0</v>
      </c>
      <c r="AE958" s="299" t="str">
        <f t="shared" si="274"/>
        <v>Complete</v>
      </c>
      <c r="AI958" s="301">
        <f t="shared" ca="1" si="271"/>
        <v>0</v>
      </c>
      <c r="AJ958" s="302">
        <f t="shared" ca="1" si="272"/>
        <v>0</v>
      </c>
      <c r="AL958" s="303">
        <f t="shared" si="275"/>
        <v>4365000</v>
      </c>
      <c r="AM958" s="303">
        <f t="shared" si="276"/>
        <v>-1091250</v>
      </c>
      <c r="AN958" s="303">
        <f t="shared" si="277"/>
        <v>5456250</v>
      </c>
      <c r="AO958" s="304">
        <f t="shared" si="278"/>
        <v>0</v>
      </c>
      <c r="AP958" s="273">
        <f t="shared" si="280"/>
        <v>1</v>
      </c>
      <c r="AQ958" s="273" t="str">
        <f t="shared" ca="1" si="279"/>
        <v>11900</v>
      </c>
    </row>
    <row r="959" spans="2:43" ht="16.5">
      <c r="B959" s="702" t="s">
        <v>2491</v>
      </c>
      <c r="C959" s="273" t="s">
        <v>2516</v>
      </c>
      <c r="D959" s="957" t="s">
        <v>2517</v>
      </c>
      <c r="G959" s="306">
        <v>519642.8571428571</v>
      </c>
      <c r="H959" s="307">
        <v>62357.142857142848</v>
      </c>
      <c r="I959" s="308">
        <v>582000</v>
      </c>
      <c r="O959" s="959" t="s">
        <v>1978</v>
      </c>
      <c r="Q959" s="965"/>
      <c r="V959" s="340">
        <f t="shared" ca="1" si="283"/>
        <v>1</v>
      </c>
      <c r="W959" s="594">
        <f t="shared" ca="1" si="284"/>
        <v>1900</v>
      </c>
      <c r="X959" s="340" t="str">
        <f t="shared" ca="1" si="282"/>
        <v>0 WEEK</v>
      </c>
      <c r="Y959" s="794">
        <f t="shared" si="285"/>
        <v>0</v>
      </c>
      <c r="Z959" s="541" cm="1">
        <f t="array" aca="1" ref="Z959" ca="1">_xlfn.IFS(AD959&lt;100,Y959,Y959&lt;TODAY(),TODAY(),Y959&gt;TODAY(),Y959,Y959=TODAY(),Y959)</f>
        <v>0</v>
      </c>
      <c r="AD959" s="298">
        <f t="shared" si="273"/>
        <v>0</v>
      </c>
      <c r="AE959" s="299" t="str">
        <f t="shared" si="274"/>
        <v>Complete</v>
      </c>
      <c r="AI959" s="301">
        <f t="shared" ca="1" si="271"/>
        <v>0</v>
      </c>
      <c r="AJ959" s="302">
        <f t="shared" ca="1" si="272"/>
        <v>0</v>
      </c>
      <c r="AL959" s="303">
        <f t="shared" si="275"/>
        <v>582000</v>
      </c>
      <c r="AM959" s="303">
        <f t="shared" si="276"/>
        <v>582000</v>
      </c>
      <c r="AN959" s="303">
        <f t="shared" si="277"/>
        <v>0</v>
      </c>
      <c r="AO959" s="304">
        <f t="shared" si="278"/>
        <v>0</v>
      </c>
      <c r="AP959" s="273">
        <f t="shared" si="280"/>
        <v>1</v>
      </c>
      <c r="AQ959" s="273" t="str">
        <f t="shared" ca="1" si="279"/>
        <v>11900</v>
      </c>
    </row>
    <row r="960" spans="2:43" ht="16.5">
      <c r="B960" s="702" t="s">
        <v>2491</v>
      </c>
      <c r="C960" s="273" t="s">
        <v>2516</v>
      </c>
      <c r="D960" s="957" t="s">
        <v>2517</v>
      </c>
      <c r="G960" s="306">
        <v>431567.79661016958</v>
      </c>
      <c r="H960" s="307">
        <v>77682.203389830524</v>
      </c>
      <c r="I960" s="308">
        <v>509250</v>
      </c>
      <c r="O960" s="959" t="s">
        <v>1600</v>
      </c>
      <c r="Q960" s="963"/>
      <c r="V960" s="340">
        <f t="shared" ca="1" si="283"/>
        <v>1</v>
      </c>
      <c r="W960" s="594">
        <f t="shared" ca="1" si="284"/>
        <v>1900</v>
      </c>
      <c r="X960" s="340" t="str">
        <f t="shared" ca="1" si="282"/>
        <v>0 WEEK</v>
      </c>
      <c r="Y960" s="794">
        <f t="shared" si="285"/>
        <v>0</v>
      </c>
      <c r="Z960" s="541" cm="1">
        <f t="array" aca="1" ref="Z960" ca="1">_xlfn.IFS(AD960&lt;100,Y960,Y960&lt;TODAY(),TODAY(),Y960&gt;TODAY(),Y960,Y960=TODAY(),Y960)</f>
        <v>0</v>
      </c>
      <c r="AD960" s="298">
        <f t="shared" si="273"/>
        <v>0</v>
      </c>
      <c r="AE960" s="299" t="str">
        <f t="shared" si="274"/>
        <v>Complete</v>
      </c>
      <c r="AI960" s="301">
        <f t="shared" ca="1" si="271"/>
        <v>0</v>
      </c>
      <c r="AJ960" s="302">
        <f t="shared" ca="1" si="272"/>
        <v>0</v>
      </c>
      <c r="AL960" s="303">
        <f t="shared" si="275"/>
        <v>509250</v>
      </c>
      <c r="AM960" s="303">
        <f t="shared" si="276"/>
        <v>509250</v>
      </c>
      <c r="AN960" s="303">
        <f t="shared" si="277"/>
        <v>0</v>
      </c>
      <c r="AO960" s="304">
        <f t="shared" si="278"/>
        <v>0</v>
      </c>
      <c r="AP960" s="273">
        <f t="shared" si="280"/>
        <v>1</v>
      </c>
      <c r="AQ960" s="273" t="str">
        <f t="shared" ca="1" si="279"/>
        <v>11900</v>
      </c>
    </row>
    <row r="961" spans="2:43" ht="16.5">
      <c r="B961" s="702" t="s">
        <v>2491</v>
      </c>
      <c r="C961" s="273" t="s">
        <v>2516</v>
      </c>
      <c r="D961" s="957" t="s">
        <v>2517</v>
      </c>
      <c r="G961" s="306">
        <v>308262.71186440677</v>
      </c>
      <c r="H961" s="307">
        <v>55487.288135593219</v>
      </c>
      <c r="I961" s="308">
        <v>363750</v>
      </c>
      <c r="O961" s="958" t="s">
        <v>2283</v>
      </c>
      <c r="Q961" s="556" t="s">
        <v>2520</v>
      </c>
      <c r="R961" s="314">
        <v>363750</v>
      </c>
      <c r="V961" s="340">
        <f t="shared" ca="1" si="283"/>
        <v>1</v>
      </c>
      <c r="W961" s="594">
        <f t="shared" ca="1" si="284"/>
        <v>1900</v>
      </c>
      <c r="X961" s="340" t="str">
        <f t="shared" ca="1" si="282"/>
        <v>0 WEEK</v>
      </c>
      <c r="Y961" s="794">
        <f t="shared" si="285"/>
        <v>0</v>
      </c>
      <c r="Z961" s="541" cm="1">
        <f t="array" aca="1" ref="Z961" ca="1">_xlfn.IFS(AD961&lt;100,Y961,Y961&lt;TODAY(),TODAY(),Y961&gt;TODAY(),Y961,Y961=TODAY(),Y961)</f>
        <v>0</v>
      </c>
      <c r="AD961" s="298">
        <f t="shared" si="273"/>
        <v>0</v>
      </c>
      <c r="AE961" s="299" t="str">
        <f t="shared" si="274"/>
        <v>Complete</v>
      </c>
      <c r="AI961" s="301">
        <f t="shared" ca="1" si="271"/>
        <v>0</v>
      </c>
      <c r="AJ961" s="302">
        <f t="shared" ca="1" si="272"/>
        <v>0</v>
      </c>
      <c r="AL961" s="303">
        <f t="shared" si="275"/>
        <v>363750</v>
      </c>
      <c r="AM961" s="303">
        <f t="shared" si="276"/>
        <v>0</v>
      </c>
      <c r="AN961" s="303">
        <f t="shared" si="277"/>
        <v>363750</v>
      </c>
      <c r="AO961" s="304">
        <f t="shared" si="278"/>
        <v>0</v>
      </c>
      <c r="AP961" s="273">
        <f t="shared" si="280"/>
        <v>1</v>
      </c>
      <c r="AQ961" s="273" t="str">
        <f t="shared" ca="1" si="279"/>
        <v>11900</v>
      </c>
    </row>
    <row r="962" spans="2:43" ht="16.5">
      <c r="B962" s="702" t="s">
        <v>2491</v>
      </c>
      <c r="C962" s="273" t="s">
        <v>2516</v>
      </c>
      <c r="D962" s="957" t="s">
        <v>2517</v>
      </c>
      <c r="G962" s="306">
        <v>246610.16949152545</v>
      </c>
      <c r="H962" s="307">
        <v>44389.830508474581</v>
      </c>
      <c r="I962" s="308">
        <v>291000</v>
      </c>
      <c r="O962" s="959" t="s">
        <v>1870</v>
      </c>
      <c r="Q962" s="556" t="s">
        <v>2521</v>
      </c>
      <c r="R962" s="314">
        <v>291000</v>
      </c>
      <c r="V962" s="340">
        <f t="shared" ca="1" si="283"/>
        <v>1</v>
      </c>
      <c r="W962" s="594">
        <f t="shared" ca="1" si="284"/>
        <v>1900</v>
      </c>
      <c r="X962" s="340" t="str">
        <f t="shared" ca="1" si="282"/>
        <v>0 WEEK</v>
      </c>
      <c r="Y962" s="794">
        <f t="shared" si="285"/>
        <v>0</v>
      </c>
      <c r="Z962" s="541" cm="1">
        <f t="array" aca="1" ref="Z962" ca="1">_xlfn.IFS(AD962&lt;100,Y962,Y962&lt;TODAY(),TODAY(),Y962&gt;TODAY(),Y962,Y962=TODAY(),Y962)</f>
        <v>0</v>
      </c>
      <c r="AD962" s="298">
        <f t="shared" si="273"/>
        <v>0</v>
      </c>
      <c r="AE962" s="299" t="str">
        <f t="shared" si="274"/>
        <v>Complete</v>
      </c>
      <c r="AI962" s="301">
        <f t="shared" ref="AI962:AI1025" ca="1" si="286">Z962-Y962</f>
        <v>0</v>
      </c>
      <c r="AJ962" s="302">
        <f t="shared" ref="AJ962:AJ1025" ca="1" si="287">IF(AI962&gt;1,"Delayed",0)</f>
        <v>0</v>
      </c>
      <c r="AL962" s="303">
        <f t="shared" si="275"/>
        <v>291000</v>
      </c>
      <c r="AM962" s="303">
        <f t="shared" si="276"/>
        <v>0</v>
      </c>
      <c r="AN962" s="303">
        <f t="shared" si="277"/>
        <v>291000</v>
      </c>
      <c r="AO962" s="304">
        <f t="shared" si="278"/>
        <v>0</v>
      </c>
      <c r="AP962" s="273">
        <f t="shared" si="280"/>
        <v>1</v>
      </c>
      <c r="AQ962" s="273" t="str">
        <f t="shared" ca="1" si="279"/>
        <v>11900</v>
      </c>
    </row>
    <row r="963" spans="2:43" ht="16.5">
      <c r="B963" s="702" t="s">
        <v>2491</v>
      </c>
      <c r="C963" s="273" t="s">
        <v>2516</v>
      </c>
      <c r="D963" s="957" t="s">
        <v>2517</v>
      </c>
      <c r="G963" s="306">
        <v>184957.62711864407</v>
      </c>
      <c r="H963" s="307">
        <v>33292.372881355928</v>
      </c>
      <c r="I963" s="308">
        <v>218250</v>
      </c>
      <c r="O963" s="959" t="s">
        <v>1871</v>
      </c>
      <c r="Q963" s="556" t="s">
        <v>2522</v>
      </c>
      <c r="R963" s="314">
        <v>218250</v>
      </c>
      <c r="V963" s="340">
        <f t="shared" ca="1" si="283"/>
        <v>1</v>
      </c>
      <c r="W963" s="594">
        <f t="shared" ca="1" si="284"/>
        <v>1900</v>
      </c>
      <c r="X963" s="340" t="str">
        <f t="shared" ca="1" si="282"/>
        <v>0 WEEK</v>
      </c>
      <c r="Y963" s="794">
        <f t="shared" si="285"/>
        <v>0</v>
      </c>
      <c r="Z963" s="541" cm="1">
        <f t="array" aca="1" ref="Z963" ca="1">_xlfn.IFS(AD963&lt;100,Y963,Y963&lt;TODAY(),TODAY(),Y963&gt;TODAY(),Y963,Y963=TODAY(),Y963)</f>
        <v>0</v>
      </c>
      <c r="AD963" s="298">
        <f t="shared" ref="AD963:AD1026" si="288">ROUND(AA963-AB963-AC963,0)</f>
        <v>0</v>
      </c>
      <c r="AE963" s="299" t="str">
        <f t="shared" ref="AE963:AE1026" si="289">IF(AD963&lt;100,"Complete","Incomplete")</f>
        <v>Complete</v>
      </c>
      <c r="AI963" s="301">
        <f t="shared" ca="1" si="286"/>
        <v>0</v>
      </c>
      <c r="AJ963" s="302">
        <f t="shared" ca="1" si="287"/>
        <v>0</v>
      </c>
      <c r="AL963" s="303">
        <f t="shared" ref="AL963:AL1026" si="290">I963-J963</f>
        <v>218250</v>
      </c>
      <c r="AM963" s="303">
        <f t="shared" ref="AM963:AM1026" si="291">IFERROR(I963-R963,0)</f>
        <v>0</v>
      </c>
      <c r="AN963" s="303">
        <f t="shared" ref="AN963:AN1026" si="292">IFERROR(R963-J963,0)</f>
        <v>218250</v>
      </c>
      <c r="AO963" s="304">
        <f t="shared" ref="AO963:AO1026" si="293">IFERROR(P963/J963,0)</f>
        <v>0</v>
      </c>
      <c r="AP963" s="273">
        <f t="shared" si="280"/>
        <v>1</v>
      </c>
      <c r="AQ963" s="273" t="str">
        <f t="shared" ref="AQ963:AQ1026" ca="1" si="294">AP963&amp;W963</f>
        <v>11900</v>
      </c>
    </row>
    <row r="964" spans="2:43" ht="17.25" thickBot="1">
      <c r="B964" s="702" t="s">
        <v>2491</v>
      </c>
      <c r="C964" s="273" t="s">
        <v>2516</v>
      </c>
      <c r="D964" s="957" t="s">
        <v>2517</v>
      </c>
      <c r="G964" s="306">
        <v>184957.62711864407</v>
      </c>
      <c r="H964" s="307">
        <v>33292.372881355928</v>
      </c>
      <c r="I964" s="308">
        <v>218250</v>
      </c>
      <c r="O964" s="961" t="s">
        <v>1872</v>
      </c>
      <c r="Q964" s="964" t="s">
        <v>2523</v>
      </c>
      <c r="R964" s="314">
        <v>218250</v>
      </c>
      <c r="V964" s="340">
        <f t="shared" ca="1" si="283"/>
        <v>1</v>
      </c>
      <c r="W964" s="594">
        <f t="shared" ca="1" si="284"/>
        <v>1900</v>
      </c>
      <c r="X964" s="340" t="str">
        <f t="shared" ca="1" si="282"/>
        <v>0 WEEK</v>
      </c>
      <c r="Y964" s="794">
        <f t="shared" si="285"/>
        <v>0</v>
      </c>
      <c r="Z964" s="541" cm="1">
        <f t="array" aca="1" ref="Z964" ca="1">_xlfn.IFS(AD964&lt;100,Y964,Y964&lt;TODAY(),TODAY(),Y964&gt;TODAY(),Y964,Y964=TODAY(),Y964)</f>
        <v>0</v>
      </c>
      <c r="AD964" s="298">
        <f t="shared" si="288"/>
        <v>0</v>
      </c>
      <c r="AE964" s="299" t="str">
        <f t="shared" si="289"/>
        <v>Complete</v>
      </c>
      <c r="AI964" s="301">
        <f t="shared" ca="1" si="286"/>
        <v>0</v>
      </c>
      <c r="AJ964" s="302">
        <f t="shared" ca="1" si="287"/>
        <v>0</v>
      </c>
      <c r="AL964" s="303">
        <f t="shared" si="290"/>
        <v>218250</v>
      </c>
      <c r="AM964" s="303">
        <f t="shared" si="291"/>
        <v>0</v>
      </c>
      <c r="AN964" s="303">
        <f t="shared" si="292"/>
        <v>218250</v>
      </c>
      <c r="AO964" s="304">
        <f t="shared" si="293"/>
        <v>0</v>
      </c>
      <c r="AP964" s="273">
        <f t="shared" si="280"/>
        <v>1</v>
      </c>
      <c r="AQ964" s="273" t="str">
        <f t="shared" ca="1" si="294"/>
        <v>11900</v>
      </c>
    </row>
    <row r="965" spans="2:43">
      <c r="V965" s="340">
        <f t="shared" ca="1" si="283"/>
        <v>1</v>
      </c>
      <c r="W965" s="594">
        <f t="shared" ca="1" si="284"/>
        <v>1900</v>
      </c>
      <c r="X965" s="340" t="str">
        <f t="shared" ca="1" si="282"/>
        <v>0 WEEK</v>
      </c>
      <c r="Y965" s="794">
        <f t="shared" si="285"/>
        <v>0</v>
      </c>
      <c r="Z965" s="541" cm="1">
        <f t="array" aca="1" ref="Z965" ca="1">_xlfn.IFS(AD965&lt;100,Y965,Y965&lt;TODAY(),TODAY(),Y965&gt;TODAY(),Y965,Y965=TODAY(),Y965)</f>
        <v>0</v>
      </c>
      <c r="AD965" s="298">
        <f t="shared" si="288"/>
        <v>0</v>
      </c>
      <c r="AE965" s="299" t="str">
        <f t="shared" si="289"/>
        <v>Complete</v>
      </c>
      <c r="AI965" s="301">
        <f t="shared" ca="1" si="286"/>
        <v>0</v>
      </c>
      <c r="AJ965" s="302">
        <f t="shared" ca="1" si="287"/>
        <v>0</v>
      </c>
      <c r="AL965" s="303">
        <f t="shared" si="290"/>
        <v>0</v>
      </c>
      <c r="AM965" s="303">
        <f t="shared" si="291"/>
        <v>0</v>
      </c>
      <c r="AN965" s="303">
        <f t="shared" si="292"/>
        <v>0</v>
      </c>
      <c r="AO965" s="304">
        <f t="shared" si="293"/>
        <v>0</v>
      </c>
      <c r="AP965" s="273">
        <f t="shared" ref="AP965:AP1028" si="295">MONTH(P965)</f>
        <v>1</v>
      </c>
      <c r="AQ965" s="273" t="str">
        <f t="shared" ca="1" si="294"/>
        <v>11900</v>
      </c>
    </row>
    <row r="966" spans="2:43" ht="16.5">
      <c r="B966" s="702" t="s">
        <v>2491</v>
      </c>
      <c r="C966" s="273" t="s">
        <v>2516</v>
      </c>
      <c r="D966" s="957" t="s">
        <v>2524</v>
      </c>
      <c r="G966" s="306">
        <v>1233050.8474576271</v>
      </c>
      <c r="H966" s="307">
        <v>221949.15254237287</v>
      </c>
      <c r="I966" s="308">
        <v>1455000</v>
      </c>
      <c r="O966" s="958" t="s">
        <v>2396</v>
      </c>
      <c r="Q966" s="273" t="s">
        <v>2525</v>
      </c>
      <c r="R966" s="314">
        <v>1455000</v>
      </c>
      <c r="V966" s="340">
        <f t="shared" ca="1" si="283"/>
        <v>1</v>
      </c>
      <c r="W966" s="594">
        <f t="shared" ca="1" si="284"/>
        <v>1900</v>
      </c>
      <c r="X966" s="340" t="str">
        <f t="shared" ca="1" si="282"/>
        <v>0 WEEK</v>
      </c>
      <c r="Y966" s="794">
        <f t="shared" si="285"/>
        <v>0</v>
      </c>
      <c r="Z966" s="541" cm="1">
        <f t="array" aca="1" ref="Z966" ca="1">_xlfn.IFS(AD966&lt;100,Y966,Y966&lt;TODAY(),TODAY(),Y966&gt;TODAY(),Y966,Y966=TODAY(),Y966)</f>
        <v>0</v>
      </c>
      <c r="AD966" s="298">
        <f t="shared" si="288"/>
        <v>0</v>
      </c>
      <c r="AE966" s="299" t="str">
        <f t="shared" si="289"/>
        <v>Complete</v>
      </c>
      <c r="AI966" s="301">
        <f t="shared" ca="1" si="286"/>
        <v>0</v>
      </c>
      <c r="AJ966" s="302">
        <f t="shared" ca="1" si="287"/>
        <v>0</v>
      </c>
      <c r="AL966" s="303">
        <f t="shared" si="290"/>
        <v>1455000</v>
      </c>
      <c r="AM966" s="303">
        <f t="shared" si="291"/>
        <v>0</v>
      </c>
      <c r="AN966" s="303">
        <f t="shared" si="292"/>
        <v>1455000</v>
      </c>
      <c r="AO966" s="304">
        <f t="shared" si="293"/>
        <v>0</v>
      </c>
      <c r="AP966" s="273">
        <f t="shared" si="295"/>
        <v>1</v>
      </c>
      <c r="AQ966" s="273" t="str">
        <f t="shared" ca="1" si="294"/>
        <v>11900</v>
      </c>
    </row>
    <row r="967" spans="2:43" ht="16.5">
      <c r="B967" s="702" t="s">
        <v>2491</v>
      </c>
      <c r="C967" s="273" t="s">
        <v>2516</v>
      </c>
      <c r="D967" s="957" t="s">
        <v>2524</v>
      </c>
      <c r="G967" s="306">
        <v>7794642.8571428563</v>
      </c>
      <c r="H967" s="307">
        <v>935357.14285714272</v>
      </c>
      <c r="I967" s="308">
        <v>8730000</v>
      </c>
      <c r="O967" s="959" t="s">
        <v>2495</v>
      </c>
      <c r="Q967" s="273" t="s">
        <v>2526</v>
      </c>
      <c r="R967" s="314">
        <v>10912500</v>
      </c>
      <c r="V967" s="340">
        <f t="shared" ca="1" si="283"/>
        <v>1</v>
      </c>
      <c r="W967" s="594">
        <f t="shared" ca="1" si="284"/>
        <v>1900</v>
      </c>
      <c r="X967" s="340" t="str">
        <f t="shared" ref="X967:X1030" ca="1" si="296">INT((DAY(Z967)-1)/7)+1&amp;" WEEK"</f>
        <v>0 WEEK</v>
      </c>
      <c r="Y967" s="794">
        <f t="shared" si="285"/>
        <v>0</v>
      </c>
      <c r="Z967" s="541" cm="1">
        <f t="array" aca="1" ref="Z967" ca="1">_xlfn.IFS(AD967&lt;100,Y967,Y967&lt;TODAY(),TODAY(),Y967&gt;TODAY(),Y967,Y967=TODAY(),Y967)</f>
        <v>0</v>
      </c>
      <c r="AD967" s="298">
        <f t="shared" si="288"/>
        <v>0</v>
      </c>
      <c r="AE967" s="299" t="str">
        <f t="shared" si="289"/>
        <v>Complete</v>
      </c>
      <c r="AI967" s="301">
        <f t="shared" ca="1" si="286"/>
        <v>0</v>
      </c>
      <c r="AJ967" s="302">
        <f t="shared" ca="1" si="287"/>
        <v>0</v>
      </c>
      <c r="AL967" s="303">
        <f t="shared" si="290"/>
        <v>8730000</v>
      </c>
      <c r="AM967" s="303">
        <f t="shared" si="291"/>
        <v>-2182500</v>
      </c>
      <c r="AN967" s="303">
        <f t="shared" si="292"/>
        <v>10912500</v>
      </c>
      <c r="AO967" s="304">
        <f t="shared" si="293"/>
        <v>0</v>
      </c>
      <c r="AP967" s="273">
        <f t="shared" si="295"/>
        <v>1</v>
      </c>
      <c r="AQ967" s="273" t="str">
        <f t="shared" ca="1" si="294"/>
        <v>11900</v>
      </c>
    </row>
    <row r="968" spans="2:43" ht="16.5">
      <c r="B968" s="702" t="s">
        <v>2491</v>
      </c>
      <c r="C968" s="273" t="s">
        <v>2516</v>
      </c>
      <c r="D968" s="957" t="s">
        <v>2524</v>
      </c>
      <c r="G968" s="306">
        <v>1039285.7142857142</v>
      </c>
      <c r="H968" s="307">
        <v>124714.2857142857</v>
      </c>
      <c r="I968" s="308">
        <v>1164000</v>
      </c>
      <c r="O968" s="959" t="s">
        <v>1978</v>
      </c>
      <c r="V968" s="340">
        <f t="shared" ca="1" si="283"/>
        <v>1</v>
      </c>
      <c r="W968" s="594">
        <f t="shared" ca="1" si="284"/>
        <v>1900</v>
      </c>
      <c r="X968" s="340" t="str">
        <f t="shared" ca="1" si="296"/>
        <v>0 WEEK</v>
      </c>
      <c r="Y968" s="794">
        <f t="shared" si="285"/>
        <v>0</v>
      </c>
      <c r="Z968" s="541" cm="1">
        <f t="array" aca="1" ref="Z968" ca="1">_xlfn.IFS(AD968&lt;100,Y968,Y968&lt;TODAY(),TODAY(),Y968&gt;TODAY(),Y968,Y968=TODAY(),Y968)</f>
        <v>0</v>
      </c>
      <c r="AD968" s="298">
        <f t="shared" si="288"/>
        <v>0</v>
      </c>
      <c r="AE968" s="299" t="str">
        <f t="shared" si="289"/>
        <v>Complete</v>
      </c>
      <c r="AI968" s="301">
        <f t="shared" ca="1" si="286"/>
        <v>0</v>
      </c>
      <c r="AJ968" s="302">
        <f t="shared" ca="1" si="287"/>
        <v>0</v>
      </c>
      <c r="AL968" s="303">
        <f t="shared" si="290"/>
        <v>1164000</v>
      </c>
      <c r="AM968" s="303">
        <f t="shared" si="291"/>
        <v>1164000</v>
      </c>
      <c r="AN968" s="303">
        <f t="shared" si="292"/>
        <v>0</v>
      </c>
      <c r="AO968" s="304">
        <f t="shared" si="293"/>
        <v>0</v>
      </c>
      <c r="AP968" s="273">
        <f t="shared" si="295"/>
        <v>1</v>
      </c>
      <c r="AQ968" s="273" t="str">
        <f t="shared" ca="1" si="294"/>
        <v>11900</v>
      </c>
    </row>
    <row r="969" spans="2:43" ht="16.5">
      <c r="B969" s="702" t="s">
        <v>2491</v>
      </c>
      <c r="C969" s="273" t="s">
        <v>2516</v>
      </c>
      <c r="D969" s="957" t="s">
        <v>2524</v>
      </c>
      <c r="G969" s="306">
        <v>863135.59322033916</v>
      </c>
      <c r="H969" s="307">
        <v>155364.40677966105</v>
      </c>
      <c r="I969" s="308">
        <v>1018500</v>
      </c>
      <c r="O969" s="959" t="s">
        <v>1600</v>
      </c>
      <c r="V969" s="340">
        <f t="shared" ca="1" si="283"/>
        <v>1</v>
      </c>
      <c r="W969" s="594">
        <f t="shared" ca="1" si="284"/>
        <v>1900</v>
      </c>
      <c r="X969" s="340" t="str">
        <f t="shared" ca="1" si="296"/>
        <v>0 WEEK</v>
      </c>
      <c r="Y969" s="794">
        <f t="shared" si="285"/>
        <v>0</v>
      </c>
      <c r="Z969" s="541" cm="1">
        <f t="array" aca="1" ref="Z969" ca="1">_xlfn.IFS(AD969&lt;100,Y969,Y969&lt;TODAY(),TODAY(),Y969&gt;TODAY(),Y969,Y969=TODAY(),Y969)</f>
        <v>0</v>
      </c>
      <c r="AD969" s="298">
        <f t="shared" si="288"/>
        <v>0</v>
      </c>
      <c r="AE969" s="299" t="str">
        <f t="shared" si="289"/>
        <v>Complete</v>
      </c>
      <c r="AI969" s="301">
        <f t="shared" ca="1" si="286"/>
        <v>0</v>
      </c>
      <c r="AJ969" s="302">
        <f t="shared" ca="1" si="287"/>
        <v>0</v>
      </c>
      <c r="AL969" s="303">
        <f t="shared" si="290"/>
        <v>1018500</v>
      </c>
      <c r="AM969" s="303">
        <f t="shared" si="291"/>
        <v>1018500</v>
      </c>
      <c r="AN969" s="303">
        <f t="shared" si="292"/>
        <v>0</v>
      </c>
      <c r="AO969" s="304">
        <f t="shared" si="293"/>
        <v>0</v>
      </c>
      <c r="AP969" s="273">
        <f t="shared" si="295"/>
        <v>1</v>
      </c>
      <c r="AQ969" s="273" t="str">
        <f t="shared" ca="1" si="294"/>
        <v>11900</v>
      </c>
    </row>
    <row r="970" spans="2:43" ht="16.5">
      <c r="B970" s="702" t="s">
        <v>2491</v>
      </c>
      <c r="C970" s="273" t="s">
        <v>2516</v>
      </c>
      <c r="D970" s="957" t="s">
        <v>2524</v>
      </c>
      <c r="G970" s="306">
        <v>616525.42372881353</v>
      </c>
      <c r="H970" s="307">
        <v>110974.57627118644</v>
      </c>
      <c r="I970" s="308">
        <v>727500</v>
      </c>
      <c r="O970" s="958" t="s">
        <v>2283</v>
      </c>
      <c r="Q970" s="273" t="s">
        <v>2527</v>
      </c>
      <c r="R970" s="314">
        <v>727500</v>
      </c>
      <c r="V970" s="340">
        <f t="shared" ca="1" si="283"/>
        <v>1</v>
      </c>
      <c r="W970" s="594">
        <f t="shared" ca="1" si="284"/>
        <v>1900</v>
      </c>
      <c r="X970" s="340" t="str">
        <f t="shared" ca="1" si="296"/>
        <v>0 WEEK</v>
      </c>
      <c r="Y970" s="794">
        <f t="shared" si="285"/>
        <v>0</v>
      </c>
      <c r="Z970" s="541" cm="1">
        <f t="array" aca="1" ref="Z970" ca="1">_xlfn.IFS(AD970&lt;100,Y970,Y970&lt;TODAY(),TODAY(),Y970&gt;TODAY(),Y970,Y970=TODAY(),Y970)</f>
        <v>0</v>
      </c>
      <c r="AD970" s="298">
        <f t="shared" si="288"/>
        <v>0</v>
      </c>
      <c r="AE970" s="299" t="str">
        <f t="shared" si="289"/>
        <v>Complete</v>
      </c>
      <c r="AI970" s="301">
        <f t="shared" ca="1" si="286"/>
        <v>0</v>
      </c>
      <c r="AJ970" s="302">
        <f t="shared" ca="1" si="287"/>
        <v>0</v>
      </c>
      <c r="AL970" s="303">
        <f t="shared" si="290"/>
        <v>727500</v>
      </c>
      <c r="AM970" s="303">
        <f t="shared" si="291"/>
        <v>0</v>
      </c>
      <c r="AN970" s="303">
        <f t="shared" si="292"/>
        <v>727500</v>
      </c>
      <c r="AO970" s="304">
        <f t="shared" si="293"/>
        <v>0</v>
      </c>
      <c r="AP970" s="273">
        <f t="shared" si="295"/>
        <v>1</v>
      </c>
      <c r="AQ970" s="273" t="str">
        <f t="shared" ca="1" si="294"/>
        <v>11900</v>
      </c>
    </row>
    <row r="971" spans="2:43" ht="16.5">
      <c r="B971" s="702" t="s">
        <v>2491</v>
      </c>
      <c r="C971" s="273" t="s">
        <v>2516</v>
      </c>
      <c r="D971" s="957" t="s">
        <v>2524</v>
      </c>
      <c r="G971" s="306">
        <v>493220.3389830509</v>
      </c>
      <c r="H971" s="307">
        <v>88779.661016949161</v>
      </c>
      <c r="I971" s="308">
        <v>582000</v>
      </c>
      <c r="O971" s="959" t="s">
        <v>1870</v>
      </c>
      <c r="Q971" s="273" t="s">
        <v>2528</v>
      </c>
      <c r="R971" s="314">
        <v>582000</v>
      </c>
      <c r="V971" s="340">
        <f t="shared" ca="1" si="283"/>
        <v>1</v>
      </c>
      <c r="W971" s="594">
        <f t="shared" ca="1" si="284"/>
        <v>1900</v>
      </c>
      <c r="X971" s="340" t="str">
        <f t="shared" ca="1" si="296"/>
        <v>0 WEEK</v>
      </c>
      <c r="Y971" s="794">
        <f t="shared" si="285"/>
        <v>0</v>
      </c>
      <c r="Z971" s="541" cm="1">
        <f t="array" aca="1" ref="Z971" ca="1">_xlfn.IFS(AD971&lt;100,Y971,Y971&lt;TODAY(),TODAY(),Y971&gt;TODAY(),Y971,Y971=TODAY(),Y971)</f>
        <v>0</v>
      </c>
      <c r="AD971" s="298">
        <f t="shared" si="288"/>
        <v>0</v>
      </c>
      <c r="AE971" s="299" t="str">
        <f t="shared" si="289"/>
        <v>Complete</v>
      </c>
      <c r="AI971" s="301">
        <f t="shared" ca="1" si="286"/>
        <v>0</v>
      </c>
      <c r="AJ971" s="302">
        <f t="shared" ca="1" si="287"/>
        <v>0</v>
      </c>
      <c r="AL971" s="303">
        <f t="shared" si="290"/>
        <v>582000</v>
      </c>
      <c r="AM971" s="303">
        <f t="shared" si="291"/>
        <v>0</v>
      </c>
      <c r="AN971" s="303">
        <f t="shared" si="292"/>
        <v>582000</v>
      </c>
      <c r="AO971" s="304">
        <f t="shared" si="293"/>
        <v>0</v>
      </c>
      <c r="AP971" s="273">
        <f t="shared" si="295"/>
        <v>1</v>
      </c>
      <c r="AQ971" s="273" t="str">
        <f t="shared" ca="1" si="294"/>
        <v>11900</v>
      </c>
    </row>
    <row r="972" spans="2:43" ht="16.5">
      <c r="B972" s="702" t="s">
        <v>2491</v>
      </c>
      <c r="C972" s="273" t="s">
        <v>2516</v>
      </c>
      <c r="D972" s="957" t="s">
        <v>2524</v>
      </c>
      <c r="G972" s="306">
        <v>369915.25423728814</v>
      </c>
      <c r="H972" s="307">
        <v>66584.745762711857</v>
      </c>
      <c r="I972" s="308">
        <v>436500</v>
      </c>
      <c r="O972" s="959" t="s">
        <v>1871</v>
      </c>
      <c r="Q972" s="273" t="s">
        <v>2529</v>
      </c>
      <c r="R972" s="314">
        <v>436500</v>
      </c>
      <c r="V972" s="340">
        <f t="shared" ca="1" si="283"/>
        <v>1</v>
      </c>
      <c r="W972" s="594">
        <f t="shared" ca="1" si="284"/>
        <v>1900</v>
      </c>
      <c r="X972" s="340" t="str">
        <f t="shared" ca="1" si="296"/>
        <v>0 WEEK</v>
      </c>
      <c r="Y972" s="794">
        <f t="shared" si="285"/>
        <v>0</v>
      </c>
      <c r="Z972" s="541" cm="1">
        <f t="array" aca="1" ref="Z972" ca="1">_xlfn.IFS(AD972&lt;100,Y972,Y972&lt;TODAY(),TODAY(),Y972&gt;TODAY(),Y972,Y972=TODAY(),Y972)</f>
        <v>0</v>
      </c>
      <c r="AD972" s="298">
        <f t="shared" si="288"/>
        <v>0</v>
      </c>
      <c r="AE972" s="299" t="str">
        <f t="shared" si="289"/>
        <v>Complete</v>
      </c>
      <c r="AI972" s="301">
        <f t="shared" ca="1" si="286"/>
        <v>0</v>
      </c>
      <c r="AJ972" s="302">
        <f t="shared" ca="1" si="287"/>
        <v>0</v>
      </c>
      <c r="AL972" s="303">
        <f t="shared" si="290"/>
        <v>436500</v>
      </c>
      <c r="AM972" s="303">
        <f t="shared" si="291"/>
        <v>0</v>
      </c>
      <c r="AN972" s="303">
        <f t="shared" si="292"/>
        <v>436500</v>
      </c>
      <c r="AO972" s="304">
        <f t="shared" si="293"/>
        <v>0</v>
      </c>
      <c r="AP972" s="273">
        <f t="shared" si="295"/>
        <v>1</v>
      </c>
      <c r="AQ972" s="273" t="str">
        <f t="shared" ca="1" si="294"/>
        <v>11900</v>
      </c>
    </row>
    <row r="973" spans="2:43" ht="17.25" thickBot="1">
      <c r="B973" s="702" t="s">
        <v>2491</v>
      </c>
      <c r="C973" s="273" t="s">
        <v>2516</v>
      </c>
      <c r="D973" s="957" t="s">
        <v>2524</v>
      </c>
      <c r="G973" s="306">
        <v>369915.25423728814</v>
      </c>
      <c r="H973" s="307">
        <v>66584.745762711857</v>
      </c>
      <c r="I973" s="308">
        <v>436500</v>
      </c>
      <c r="O973" s="961" t="s">
        <v>1872</v>
      </c>
      <c r="Q973" s="273" t="s">
        <v>2530</v>
      </c>
      <c r="R973" s="314">
        <v>436500</v>
      </c>
      <c r="V973" s="340">
        <f t="shared" ca="1" si="283"/>
        <v>1</v>
      </c>
      <c r="W973" s="594">
        <f t="shared" ca="1" si="284"/>
        <v>1900</v>
      </c>
      <c r="X973" s="340" t="str">
        <f t="shared" ca="1" si="296"/>
        <v>0 WEEK</v>
      </c>
      <c r="Y973" s="794">
        <f t="shared" si="285"/>
        <v>0</v>
      </c>
      <c r="Z973" s="541" cm="1">
        <f t="array" aca="1" ref="Z973" ca="1">_xlfn.IFS(AD973&lt;100,Y973,Y973&lt;TODAY(),TODAY(),Y973&gt;TODAY(),Y973,Y973=TODAY(),Y973)</f>
        <v>0</v>
      </c>
      <c r="AD973" s="298">
        <f t="shared" si="288"/>
        <v>0</v>
      </c>
      <c r="AE973" s="299" t="str">
        <f t="shared" si="289"/>
        <v>Complete</v>
      </c>
      <c r="AI973" s="301">
        <f t="shared" ca="1" si="286"/>
        <v>0</v>
      </c>
      <c r="AJ973" s="302">
        <f t="shared" ca="1" si="287"/>
        <v>0</v>
      </c>
      <c r="AL973" s="303">
        <f t="shared" si="290"/>
        <v>436500</v>
      </c>
      <c r="AM973" s="303">
        <f t="shared" si="291"/>
        <v>0</v>
      </c>
      <c r="AN973" s="303">
        <f t="shared" si="292"/>
        <v>436500</v>
      </c>
      <c r="AO973" s="304">
        <f t="shared" si="293"/>
        <v>0</v>
      </c>
      <c r="AP973" s="273">
        <f t="shared" si="295"/>
        <v>1</v>
      </c>
      <c r="AQ973" s="273" t="str">
        <f t="shared" ca="1" si="294"/>
        <v>11900</v>
      </c>
    </row>
    <row r="974" spans="2:43">
      <c r="V974" s="340">
        <f t="shared" ca="1" si="283"/>
        <v>1</v>
      </c>
      <c r="W974" s="594">
        <f t="shared" ca="1" si="284"/>
        <v>1900</v>
      </c>
      <c r="X974" s="340" t="str">
        <f t="shared" ca="1" si="296"/>
        <v>0 WEEK</v>
      </c>
      <c r="Y974" s="794">
        <f t="shared" si="285"/>
        <v>0</v>
      </c>
      <c r="Z974" s="541" cm="1">
        <f t="array" aca="1" ref="Z974" ca="1">_xlfn.IFS(AD974&lt;100,Y974,Y974&lt;TODAY(),TODAY(),Y974&gt;TODAY(),Y974,Y974=TODAY(),Y974)</f>
        <v>0</v>
      </c>
      <c r="AD974" s="298">
        <f t="shared" si="288"/>
        <v>0</v>
      </c>
      <c r="AE974" s="299" t="str">
        <f t="shared" si="289"/>
        <v>Complete</v>
      </c>
      <c r="AI974" s="301">
        <f t="shared" ca="1" si="286"/>
        <v>0</v>
      </c>
      <c r="AJ974" s="302">
        <f t="shared" ca="1" si="287"/>
        <v>0</v>
      </c>
      <c r="AL974" s="303">
        <f t="shared" si="290"/>
        <v>0</v>
      </c>
      <c r="AM974" s="303">
        <f t="shared" si="291"/>
        <v>0</v>
      </c>
      <c r="AN974" s="303">
        <f t="shared" si="292"/>
        <v>0</v>
      </c>
      <c r="AO974" s="304">
        <f t="shared" si="293"/>
        <v>0</v>
      </c>
      <c r="AP974" s="273">
        <f t="shared" si="295"/>
        <v>1</v>
      </c>
      <c r="AQ974" s="273" t="str">
        <f t="shared" ca="1" si="294"/>
        <v>11900</v>
      </c>
    </row>
    <row r="975" spans="2:43">
      <c r="V975" s="340">
        <f t="shared" ca="1" si="283"/>
        <v>1</v>
      </c>
      <c r="W975" s="594">
        <f t="shared" ca="1" si="284"/>
        <v>1900</v>
      </c>
      <c r="X975" s="340" t="str">
        <f t="shared" ca="1" si="296"/>
        <v>0 WEEK</v>
      </c>
      <c r="Y975" s="794">
        <f t="shared" si="285"/>
        <v>0</v>
      </c>
      <c r="Z975" s="541" cm="1">
        <f t="array" aca="1" ref="Z975" ca="1">_xlfn.IFS(AD975&lt;100,Y975,Y975&lt;TODAY(),TODAY(),Y975&gt;TODAY(),Y975,Y975=TODAY(),Y975)</f>
        <v>0</v>
      </c>
      <c r="AD975" s="298">
        <f t="shared" si="288"/>
        <v>0</v>
      </c>
      <c r="AE975" s="299" t="str">
        <f t="shared" si="289"/>
        <v>Complete</v>
      </c>
      <c r="AI975" s="301">
        <f t="shared" ca="1" si="286"/>
        <v>0</v>
      </c>
      <c r="AJ975" s="302">
        <f t="shared" ca="1" si="287"/>
        <v>0</v>
      </c>
      <c r="AL975" s="303">
        <f t="shared" si="290"/>
        <v>0</v>
      </c>
      <c r="AM975" s="303">
        <f t="shared" si="291"/>
        <v>0</v>
      </c>
      <c r="AN975" s="303">
        <f t="shared" si="292"/>
        <v>0</v>
      </c>
      <c r="AO975" s="304">
        <f t="shared" si="293"/>
        <v>0</v>
      </c>
      <c r="AP975" s="273">
        <f t="shared" si="295"/>
        <v>1</v>
      </c>
      <c r="AQ975" s="273" t="str">
        <f t="shared" ca="1" si="294"/>
        <v>11900</v>
      </c>
    </row>
    <row r="976" spans="2:43" ht="16.5">
      <c r="B976" s="702" t="s">
        <v>2491</v>
      </c>
      <c r="D976" s="957" t="s">
        <v>2531</v>
      </c>
      <c r="G976" s="306">
        <v>488135.59322033898</v>
      </c>
      <c r="H976" s="307">
        <v>87864.406779661018</v>
      </c>
      <c r="I976" s="308">
        <v>576000</v>
      </c>
      <c r="O976" s="958" t="s">
        <v>2396</v>
      </c>
      <c r="Q976" s="273" t="s">
        <v>2532</v>
      </c>
      <c r="R976" s="314">
        <v>576000</v>
      </c>
      <c r="V976" s="340">
        <f t="shared" ca="1" si="283"/>
        <v>1</v>
      </c>
      <c r="W976" s="594">
        <f t="shared" ca="1" si="284"/>
        <v>1900</v>
      </c>
      <c r="X976" s="340" t="str">
        <f t="shared" ca="1" si="296"/>
        <v>0 WEEK</v>
      </c>
      <c r="Y976" s="794">
        <f t="shared" si="285"/>
        <v>0</v>
      </c>
      <c r="Z976" s="541" cm="1">
        <f t="array" aca="1" ref="Z976" ca="1">_xlfn.IFS(AD976&lt;100,Y976,Y976&lt;TODAY(),TODAY(),Y976&gt;TODAY(),Y976,Y976=TODAY(),Y976)</f>
        <v>0</v>
      </c>
      <c r="AD976" s="298">
        <f t="shared" si="288"/>
        <v>0</v>
      </c>
      <c r="AE976" s="299" t="str">
        <f t="shared" si="289"/>
        <v>Complete</v>
      </c>
      <c r="AI976" s="301">
        <f t="shared" ca="1" si="286"/>
        <v>0</v>
      </c>
      <c r="AJ976" s="302">
        <f t="shared" ca="1" si="287"/>
        <v>0</v>
      </c>
      <c r="AL976" s="303">
        <f t="shared" si="290"/>
        <v>576000</v>
      </c>
      <c r="AM976" s="303">
        <f t="shared" si="291"/>
        <v>0</v>
      </c>
      <c r="AN976" s="303">
        <f t="shared" si="292"/>
        <v>576000</v>
      </c>
      <c r="AO976" s="304">
        <f t="shared" si="293"/>
        <v>0</v>
      </c>
      <c r="AP976" s="273">
        <f t="shared" si="295"/>
        <v>1</v>
      </c>
      <c r="AQ976" s="273" t="str">
        <f t="shared" ca="1" si="294"/>
        <v>11900</v>
      </c>
    </row>
    <row r="977" spans="1:43" ht="16.5">
      <c r="B977" s="702" t="s">
        <v>2491</v>
      </c>
      <c r="D977" s="957" t="s">
        <v>2531</v>
      </c>
      <c r="G977" s="306">
        <v>2440677.9661016949</v>
      </c>
      <c r="H977" s="307">
        <v>439322.03389830503</v>
      </c>
      <c r="I977" s="308">
        <v>2880000</v>
      </c>
      <c r="O977" s="959" t="s">
        <v>2533</v>
      </c>
      <c r="Q977" s="273" t="s">
        <v>2534</v>
      </c>
      <c r="R977" s="314">
        <v>2880000</v>
      </c>
      <c r="V977" s="340">
        <f t="shared" ca="1" si="283"/>
        <v>1</v>
      </c>
      <c r="W977" s="594">
        <f t="shared" ca="1" si="284"/>
        <v>1900</v>
      </c>
      <c r="X977" s="340" t="str">
        <f t="shared" ca="1" si="296"/>
        <v>0 WEEK</v>
      </c>
      <c r="Y977" s="794">
        <f t="shared" si="285"/>
        <v>0</v>
      </c>
      <c r="Z977" s="541" cm="1">
        <f t="array" aca="1" ref="Z977" ca="1">_xlfn.IFS(AD977&lt;100,Y977,Y977&lt;TODAY(),TODAY(),Y977&gt;TODAY(),Y977,Y977=TODAY(),Y977)</f>
        <v>0</v>
      </c>
      <c r="AD977" s="298">
        <f t="shared" si="288"/>
        <v>0</v>
      </c>
      <c r="AE977" s="299" t="str">
        <f t="shared" si="289"/>
        <v>Complete</v>
      </c>
      <c r="AI977" s="301">
        <f t="shared" ca="1" si="286"/>
        <v>0</v>
      </c>
      <c r="AJ977" s="302">
        <f t="shared" ca="1" si="287"/>
        <v>0</v>
      </c>
      <c r="AL977" s="303">
        <f t="shared" si="290"/>
        <v>2880000</v>
      </c>
      <c r="AM977" s="303">
        <f t="shared" si="291"/>
        <v>0</v>
      </c>
      <c r="AN977" s="303">
        <f t="shared" si="292"/>
        <v>2880000</v>
      </c>
      <c r="AO977" s="304">
        <f t="shared" si="293"/>
        <v>0</v>
      </c>
      <c r="AP977" s="273">
        <f t="shared" si="295"/>
        <v>1</v>
      </c>
      <c r="AQ977" s="273" t="str">
        <f t="shared" ca="1" si="294"/>
        <v>11900</v>
      </c>
    </row>
    <row r="978" spans="1:43" ht="16.5">
      <c r="B978" s="702" t="s">
        <v>2491</v>
      </c>
      <c r="D978" s="957" t="s">
        <v>2531</v>
      </c>
      <c r="G978" s="306">
        <v>1464406.779661017</v>
      </c>
      <c r="H978" s="307">
        <v>263593.22033898305</v>
      </c>
      <c r="I978" s="308">
        <v>1728000</v>
      </c>
      <c r="O978" s="960" t="s">
        <v>2535</v>
      </c>
      <c r="Q978" s="273" t="s">
        <v>2536</v>
      </c>
      <c r="R978" s="314">
        <v>1728000</v>
      </c>
      <c r="V978" s="340">
        <f t="shared" ca="1" si="283"/>
        <v>1</v>
      </c>
      <c r="W978" s="594">
        <f t="shared" ca="1" si="284"/>
        <v>1900</v>
      </c>
      <c r="X978" s="340" t="str">
        <f t="shared" ca="1" si="296"/>
        <v>0 WEEK</v>
      </c>
      <c r="Y978" s="794">
        <f t="shared" si="285"/>
        <v>0</v>
      </c>
      <c r="Z978" s="541" cm="1">
        <f t="array" aca="1" ref="Z978" ca="1">_xlfn.IFS(AD978&lt;100,Y978,Y978&lt;TODAY(),TODAY(),Y978&gt;TODAY(),Y978,Y978=TODAY(),Y978)</f>
        <v>0</v>
      </c>
      <c r="AD978" s="298">
        <f t="shared" si="288"/>
        <v>0</v>
      </c>
      <c r="AE978" s="299" t="str">
        <f t="shared" si="289"/>
        <v>Complete</v>
      </c>
      <c r="AI978" s="301">
        <f t="shared" ca="1" si="286"/>
        <v>0</v>
      </c>
      <c r="AJ978" s="302">
        <f t="shared" ca="1" si="287"/>
        <v>0</v>
      </c>
      <c r="AL978" s="303">
        <f t="shared" si="290"/>
        <v>1728000</v>
      </c>
      <c r="AM978" s="303">
        <f t="shared" si="291"/>
        <v>0</v>
      </c>
      <c r="AN978" s="303">
        <f t="shared" si="292"/>
        <v>1728000</v>
      </c>
      <c r="AO978" s="304">
        <f t="shared" si="293"/>
        <v>0</v>
      </c>
      <c r="AP978" s="273">
        <f t="shared" si="295"/>
        <v>1</v>
      </c>
      <c r="AQ978" s="273" t="str">
        <f t="shared" ca="1" si="294"/>
        <v>11900</v>
      </c>
    </row>
    <row r="979" spans="1:43" ht="16.5">
      <c r="B979" s="702" t="s">
        <v>2491</v>
      </c>
      <c r="D979" s="957" t="s">
        <v>2531</v>
      </c>
      <c r="O979" s="966"/>
      <c r="V979" s="340">
        <f t="shared" ca="1" si="283"/>
        <v>1</v>
      </c>
      <c r="W979" s="594">
        <f t="shared" ca="1" si="284"/>
        <v>1900</v>
      </c>
      <c r="X979" s="340" t="str">
        <f t="shared" ca="1" si="296"/>
        <v>0 WEEK</v>
      </c>
      <c r="Y979" s="794">
        <f t="shared" si="285"/>
        <v>0</v>
      </c>
      <c r="Z979" s="541" cm="1">
        <f t="array" aca="1" ref="Z979" ca="1">_xlfn.IFS(AD979&lt;100,Y979,Y979&lt;TODAY(),TODAY(),Y979&gt;TODAY(),Y979,Y979=TODAY(),Y979)</f>
        <v>0</v>
      </c>
      <c r="AD979" s="298">
        <f t="shared" si="288"/>
        <v>0</v>
      </c>
      <c r="AE979" s="299" t="str">
        <f t="shared" si="289"/>
        <v>Complete</v>
      </c>
      <c r="AI979" s="301">
        <f t="shared" ca="1" si="286"/>
        <v>0</v>
      </c>
      <c r="AJ979" s="302">
        <f t="shared" ca="1" si="287"/>
        <v>0</v>
      </c>
      <c r="AL979" s="303">
        <f t="shared" si="290"/>
        <v>0</v>
      </c>
      <c r="AM979" s="303">
        <f t="shared" si="291"/>
        <v>0</v>
      </c>
      <c r="AN979" s="303">
        <f t="shared" si="292"/>
        <v>0</v>
      </c>
      <c r="AO979" s="304">
        <f t="shared" si="293"/>
        <v>0</v>
      </c>
      <c r="AP979" s="273">
        <f t="shared" si="295"/>
        <v>1</v>
      </c>
      <c r="AQ979" s="273" t="str">
        <f t="shared" ca="1" si="294"/>
        <v>11900</v>
      </c>
    </row>
    <row r="980" spans="1:43" ht="16.5">
      <c r="B980" s="702" t="s">
        <v>2491</v>
      </c>
      <c r="D980" s="957" t="s">
        <v>2531</v>
      </c>
      <c r="G980" s="306">
        <v>195254.2372881356</v>
      </c>
      <c r="H980" s="307">
        <v>35145.762711864409</v>
      </c>
      <c r="I980" s="308">
        <v>230400</v>
      </c>
      <c r="O980" s="959" t="s">
        <v>1870</v>
      </c>
      <c r="Q980" s="273" t="s">
        <v>2537</v>
      </c>
      <c r="R980" s="314">
        <v>230400</v>
      </c>
      <c r="V980" s="340">
        <f t="shared" ca="1" si="283"/>
        <v>1</v>
      </c>
      <c r="W980" s="594">
        <f t="shared" ca="1" si="284"/>
        <v>1900</v>
      </c>
      <c r="X980" s="340" t="str">
        <f t="shared" ca="1" si="296"/>
        <v>0 WEEK</v>
      </c>
      <c r="Y980" s="794">
        <f t="shared" si="285"/>
        <v>0</v>
      </c>
      <c r="Z980" s="541" cm="1">
        <f t="array" aca="1" ref="Z980" ca="1">_xlfn.IFS(AD980&lt;100,Y980,Y980&lt;TODAY(),TODAY(),Y980&gt;TODAY(),Y980,Y980=TODAY(),Y980)</f>
        <v>0</v>
      </c>
      <c r="AD980" s="298">
        <f t="shared" si="288"/>
        <v>0</v>
      </c>
      <c r="AE980" s="299" t="str">
        <f t="shared" si="289"/>
        <v>Complete</v>
      </c>
      <c r="AI980" s="301">
        <f t="shared" ca="1" si="286"/>
        <v>0</v>
      </c>
      <c r="AJ980" s="302">
        <f t="shared" ca="1" si="287"/>
        <v>0</v>
      </c>
      <c r="AL980" s="303">
        <f t="shared" si="290"/>
        <v>230400</v>
      </c>
      <c r="AM980" s="303">
        <f t="shared" si="291"/>
        <v>0</v>
      </c>
      <c r="AN980" s="303">
        <f t="shared" si="292"/>
        <v>230400</v>
      </c>
      <c r="AO980" s="304">
        <f t="shared" si="293"/>
        <v>0</v>
      </c>
      <c r="AP980" s="273">
        <f t="shared" si="295"/>
        <v>1</v>
      </c>
      <c r="AQ980" s="273" t="str">
        <f t="shared" ca="1" si="294"/>
        <v>11900</v>
      </c>
    </row>
    <row r="981" spans="1:43" ht="16.5">
      <c r="B981" s="702" t="s">
        <v>2491</v>
      </c>
      <c r="D981" s="957" t="s">
        <v>2531</v>
      </c>
      <c r="G981" s="306">
        <v>146440.67796610171</v>
      </c>
      <c r="H981" s="307">
        <v>26359.322033898305</v>
      </c>
      <c r="I981" s="308">
        <v>172800</v>
      </c>
      <c r="O981" s="959" t="s">
        <v>1871</v>
      </c>
      <c r="Q981" s="273" t="s">
        <v>2538</v>
      </c>
      <c r="R981" s="314">
        <v>172800</v>
      </c>
      <c r="V981" s="340">
        <f t="shared" ca="1" si="283"/>
        <v>1</v>
      </c>
      <c r="W981" s="594">
        <f t="shared" ca="1" si="284"/>
        <v>1900</v>
      </c>
      <c r="X981" s="340" t="str">
        <f t="shared" ca="1" si="296"/>
        <v>0 WEEK</v>
      </c>
      <c r="Y981" s="794">
        <f t="shared" si="285"/>
        <v>0</v>
      </c>
      <c r="Z981" s="541" cm="1">
        <f t="array" aca="1" ref="Z981" ca="1">_xlfn.IFS(AD981&lt;100,Y981,Y981&lt;TODAY(),TODAY(),Y981&gt;TODAY(),Y981,Y981=TODAY(),Y981)</f>
        <v>0</v>
      </c>
      <c r="AD981" s="298">
        <f t="shared" si="288"/>
        <v>0</v>
      </c>
      <c r="AE981" s="299" t="str">
        <f t="shared" si="289"/>
        <v>Complete</v>
      </c>
      <c r="AI981" s="301">
        <f t="shared" ca="1" si="286"/>
        <v>0</v>
      </c>
      <c r="AJ981" s="302">
        <f t="shared" ca="1" si="287"/>
        <v>0</v>
      </c>
      <c r="AL981" s="303">
        <f t="shared" si="290"/>
        <v>172800</v>
      </c>
      <c r="AM981" s="303">
        <f t="shared" si="291"/>
        <v>0</v>
      </c>
      <c r="AN981" s="303">
        <f t="shared" si="292"/>
        <v>172800</v>
      </c>
      <c r="AO981" s="304">
        <f t="shared" si="293"/>
        <v>0</v>
      </c>
      <c r="AP981" s="273">
        <f t="shared" si="295"/>
        <v>1</v>
      </c>
      <c r="AQ981" s="273" t="str">
        <f t="shared" ca="1" si="294"/>
        <v>11900</v>
      </c>
    </row>
    <row r="982" spans="1:43" ht="17.25" thickBot="1">
      <c r="B982" s="702" t="s">
        <v>2491</v>
      </c>
      <c r="D982" s="957" t="s">
        <v>2531</v>
      </c>
      <c r="G982" s="306">
        <v>146440.67796610171</v>
      </c>
      <c r="H982" s="307">
        <v>26359.322033898305</v>
      </c>
      <c r="I982" s="308">
        <v>172800</v>
      </c>
      <c r="O982" s="961" t="s">
        <v>1872</v>
      </c>
      <c r="Q982" s="273" t="s">
        <v>2539</v>
      </c>
      <c r="R982" s="314">
        <v>172800</v>
      </c>
      <c r="V982" s="340">
        <f t="shared" ca="1" si="283"/>
        <v>1</v>
      </c>
      <c r="W982" s="594">
        <f t="shared" ca="1" si="284"/>
        <v>1900</v>
      </c>
      <c r="X982" s="340" t="str">
        <f t="shared" ca="1" si="296"/>
        <v>0 WEEK</v>
      </c>
      <c r="Y982" s="794">
        <f t="shared" si="285"/>
        <v>0</v>
      </c>
      <c r="Z982" s="541" cm="1">
        <f t="array" aca="1" ref="Z982" ca="1">_xlfn.IFS(AD982&lt;100,Y982,Y982&lt;TODAY(),TODAY(),Y982&gt;TODAY(),Y982,Y982=TODAY(),Y982)</f>
        <v>0</v>
      </c>
      <c r="AD982" s="298">
        <f t="shared" si="288"/>
        <v>0</v>
      </c>
      <c r="AE982" s="299" t="str">
        <f t="shared" si="289"/>
        <v>Complete</v>
      </c>
      <c r="AI982" s="301">
        <f t="shared" ca="1" si="286"/>
        <v>0</v>
      </c>
      <c r="AJ982" s="302">
        <f t="shared" ca="1" si="287"/>
        <v>0</v>
      </c>
      <c r="AL982" s="303">
        <f t="shared" si="290"/>
        <v>172800</v>
      </c>
      <c r="AM982" s="303">
        <f t="shared" si="291"/>
        <v>0</v>
      </c>
      <c r="AN982" s="303">
        <f t="shared" si="292"/>
        <v>172800</v>
      </c>
      <c r="AO982" s="304">
        <f t="shared" si="293"/>
        <v>0</v>
      </c>
      <c r="AP982" s="273">
        <f t="shared" si="295"/>
        <v>1</v>
      </c>
      <c r="AQ982" s="273" t="str">
        <f t="shared" ca="1" si="294"/>
        <v>11900</v>
      </c>
    </row>
    <row r="983" spans="1:43">
      <c r="V983" s="340">
        <f t="shared" ca="1" si="283"/>
        <v>1</v>
      </c>
      <c r="W983" s="594">
        <f t="shared" ca="1" si="284"/>
        <v>1900</v>
      </c>
      <c r="X983" s="340" t="str">
        <f t="shared" ca="1" si="296"/>
        <v>0 WEEK</v>
      </c>
      <c r="Y983" s="794">
        <f t="shared" si="285"/>
        <v>0</v>
      </c>
      <c r="Z983" s="541" cm="1">
        <f t="array" aca="1" ref="Z983" ca="1">_xlfn.IFS(AD983&lt;100,Y983,Y983&lt;TODAY(),TODAY(),Y983&gt;TODAY(),Y983,Y983=TODAY(),Y983)</f>
        <v>0</v>
      </c>
      <c r="AD983" s="298">
        <f t="shared" si="288"/>
        <v>0</v>
      </c>
      <c r="AE983" s="299" t="str">
        <f t="shared" si="289"/>
        <v>Complete</v>
      </c>
      <c r="AI983" s="301">
        <f t="shared" ca="1" si="286"/>
        <v>0</v>
      </c>
      <c r="AJ983" s="302">
        <f t="shared" ca="1" si="287"/>
        <v>0</v>
      </c>
      <c r="AL983" s="303">
        <f t="shared" si="290"/>
        <v>0</v>
      </c>
      <c r="AM983" s="303">
        <f t="shared" si="291"/>
        <v>0</v>
      </c>
      <c r="AN983" s="303">
        <f t="shared" si="292"/>
        <v>0</v>
      </c>
      <c r="AO983" s="304">
        <f t="shared" si="293"/>
        <v>0</v>
      </c>
      <c r="AP983" s="273">
        <f t="shared" si="295"/>
        <v>1</v>
      </c>
      <c r="AQ983" s="273" t="str">
        <f t="shared" ca="1" si="294"/>
        <v>11900</v>
      </c>
    </row>
    <row r="984" spans="1:43" ht="18">
      <c r="A984" s="312">
        <v>46</v>
      </c>
      <c r="B984" s="273" t="s">
        <v>2540</v>
      </c>
      <c r="R984" s="741" t="e">
        <v>#VALUE!</v>
      </c>
      <c r="V984" s="340">
        <f t="shared" ca="1" si="283"/>
        <v>1</v>
      </c>
      <c r="W984" s="594">
        <f t="shared" ca="1" si="284"/>
        <v>1900</v>
      </c>
      <c r="X984" s="340" t="str">
        <f t="shared" ca="1" si="296"/>
        <v>0 WEEK</v>
      </c>
      <c r="Y984" s="794">
        <f t="shared" si="285"/>
        <v>0</v>
      </c>
      <c r="Z984" s="541" cm="1">
        <f t="array" aca="1" ref="Z984" ca="1">_xlfn.IFS(AD984&lt;100,Y984,Y984&lt;TODAY(),TODAY(),Y984&gt;TODAY(),Y984,Y984=TODAY(),Y984)</f>
        <v>0</v>
      </c>
      <c r="AB984" s="307">
        <v>0</v>
      </c>
      <c r="AD984" s="298">
        <f t="shared" si="288"/>
        <v>0</v>
      </c>
      <c r="AE984" s="299" t="str">
        <f t="shared" si="289"/>
        <v>Complete</v>
      </c>
      <c r="AI984" s="301">
        <f t="shared" ca="1" si="286"/>
        <v>0</v>
      </c>
      <c r="AJ984" s="302">
        <f t="shared" ca="1" si="287"/>
        <v>0</v>
      </c>
      <c r="AL984" s="303">
        <f t="shared" si="290"/>
        <v>0</v>
      </c>
      <c r="AM984" s="303">
        <f t="shared" si="291"/>
        <v>0</v>
      </c>
      <c r="AN984" s="303">
        <f t="shared" si="292"/>
        <v>0</v>
      </c>
      <c r="AO984" s="304">
        <f t="shared" si="293"/>
        <v>0</v>
      </c>
      <c r="AP984" s="273">
        <f t="shared" si="295"/>
        <v>1</v>
      </c>
      <c r="AQ984" s="273" t="str">
        <f t="shared" ca="1" si="294"/>
        <v>11900</v>
      </c>
    </row>
    <row r="985" spans="1:43">
      <c r="A985" s="312">
        <v>46</v>
      </c>
      <c r="B985" s="273" t="s">
        <v>2540</v>
      </c>
      <c r="G985" s="306">
        <v>720000</v>
      </c>
      <c r="H985" s="307">
        <v>129600</v>
      </c>
      <c r="I985" s="308">
        <v>849600</v>
      </c>
      <c r="N985" s="273" t="s">
        <v>2116</v>
      </c>
      <c r="O985" s="967" t="s">
        <v>2463</v>
      </c>
      <c r="P985" s="968">
        <v>45382</v>
      </c>
      <c r="Q985" s="969" t="s">
        <v>2541</v>
      </c>
      <c r="R985" s="853">
        <v>849600</v>
      </c>
      <c r="V985" s="340">
        <f t="shared" ca="1" si="283"/>
        <v>3</v>
      </c>
      <c r="W985" s="594">
        <f t="shared" ca="1" si="284"/>
        <v>2024</v>
      </c>
      <c r="X985" s="340" t="str">
        <f t="shared" ca="1" si="296"/>
        <v>5 WEEK</v>
      </c>
      <c r="Y985" s="794">
        <f t="shared" si="285"/>
        <v>45382</v>
      </c>
      <c r="Z985" s="541" cm="1">
        <f t="array" aca="1" ref="Z985" ca="1">_xlfn.IFS(AD985&lt;100,Y985,Y985&lt;TODAY(),TODAY(),Y985&gt;TODAY(),Y985,Y985=TODAY(),Y985)</f>
        <v>45382</v>
      </c>
      <c r="AD985" s="298">
        <f t="shared" si="288"/>
        <v>0</v>
      </c>
      <c r="AE985" s="299" t="str">
        <f t="shared" si="289"/>
        <v>Complete</v>
      </c>
      <c r="AI985" s="301">
        <f t="shared" ca="1" si="286"/>
        <v>0</v>
      </c>
      <c r="AJ985" s="302">
        <f t="shared" ca="1" si="287"/>
        <v>0</v>
      </c>
      <c r="AL985" s="303">
        <f t="shared" si="290"/>
        <v>849600</v>
      </c>
      <c r="AM985" s="303">
        <f t="shared" si="291"/>
        <v>0</v>
      </c>
      <c r="AN985" s="303">
        <f t="shared" si="292"/>
        <v>849600</v>
      </c>
      <c r="AO985" s="304">
        <f t="shared" si="293"/>
        <v>0</v>
      </c>
      <c r="AP985" s="273">
        <f t="shared" si="295"/>
        <v>3</v>
      </c>
      <c r="AQ985" s="273" t="str">
        <f t="shared" ca="1" si="294"/>
        <v>32024</v>
      </c>
    </row>
    <row r="986" spans="1:43">
      <c r="A986" s="312">
        <v>46</v>
      </c>
      <c r="B986" s="273" t="s">
        <v>2540</v>
      </c>
      <c r="G986" s="306">
        <v>720000</v>
      </c>
      <c r="H986" s="307">
        <v>129600</v>
      </c>
      <c r="I986" s="308">
        <v>849600</v>
      </c>
      <c r="N986" s="273" t="s">
        <v>2116</v>
      </c>
      <c r="O986" s="967" t="s">
        <v>2464</v>
      </c>
      <c r="P986" s="968">
        <v>45793</v>
      </c>
      <c r="Q986" s="969" t="s">
        <v>2542</v>
      </c>
      <c r="R986" s="853">
        <v>849600</v>
      </c>
      <c r="V986" s="340">
        <f t="shared" ca="1" si="283"/>
        <v>5</v>
      </c>
      <c r="W986" s="594">
        <f t="shared" ca="1" si="284"/>
        <v>2025</v>
      </c>
      <c r="X986" s="340" t="str">
        <f t="shared" ca="1" si="296"/>
        <v>3 WEEK</v>
      </c>
      <c r="Y986" s="794">
        <f t="shared" si="285"/>
        <v>45793</v>
      </c>
      <c r="Z986" s="541" cm="1">
        <f t="array" aca="1" ref="Z986" ca="1">_xlfn.IFS(AD986&lt;100,Y986,Y986&lt;TODAY(),TODAY(),Y986&gt;TODAY(),Y986,Y986=TODAY(),Y986)</f>
        <v>45793</v>
      </c>
      <c r="AD986" s="298">
        <f t="shared" si="288"/>
        <v>0</v>
      </c>
      <c r="AE986" s="299" t="str">
        <f t="shared" si="289"/>
        <v>Complete</v>
      </c>
      <c r="AI986" s="301">
        <f t="shared" ca="1" si="286"/>
        <v>0</v>
      </c>
      <c r="AJ986" s="302">
        <f t="shared" ca="1" si="287"/>
        <v>0</v>
      </c>
      <c r="AL986" s="303">
        <f t="shared" si="290"/>
        <v>849600</v>
      </c>
      <c r="AM986" s="303">
        <f t="shared" si="291"/>
        <v>0</v>
      </c>
      <c r="AN986" s="303">
        <f t="shared" si="292"/>
        <v>849600</v>
      </c>
      <c r="AO986" s="304">
        <f t="shared" si="293"/>
        <v>0</v>
      </c>
      <c r="AP986" s="273">
        <f t="shared" si="295"/>
        <v>5</v>
      </c>
      <c r="AQ986" s="273" t="str">
        <f t="shared" ca="1" si="294"/>
        <v>52025</v>
      </c>
    </row>
    <row r="987" spans="1:43">
      <c r="A987" s="312">
        <v>46</v>
      </c>
      <c r="B987" s="273" t="s">
        <v>2540</v>
      </c>
      <c r="G987" s="306">
        <v>720000</v>
      </c>
      <c r="H987" s="307">
        <v>129600</v>
      </c>
      <c r="I987" s="308">
        <v>849600</v>
      </c>
      <c r="N987" s="273" t="s">
        <v>2116</v>
      </c>
      <c r="O987" s="967" t="s">
        <v>2465</v>
      </c>
      <c r="V987" s="340">
        <f t="shared" ca="1" si="283"/>
        <v>1</v>
      </c>
      <c r="W987" s="594">
        <f t="shared" ca="1" si="284"/>
        <v>1900</v>
      </c>
      <c r="X987" s="340" t="str">
        <f t="shared" ca="1" si="296"/>
        <v>0 WEEK</v>
      </c>
      <c r="Y987" s="794">
        <f t="shared" si="285"/>
        <v>0</v>
      </c>
      <c r="Z987" s="541" cm="1">
        <f t="array" aca="1" ref="Z987" ca="1">_xlfn.IFS(AD987&lt;100,Y987,Y987&lt;TODAY(),TODAY(),Y987&gt;TODAY(),Y987,Y987=TODAY(),Y987)</f>
        <v>0</v>
      </c>
      <c r="AD987" s="298">
        <f t="shared" si="288"/>
        <v>0</v>
      </c>
      <c r="AE987" s="299" t="str">
        <f t="shared" si="289"/>
        <v>Complete</v>
      </c>
      <c r="AI987" s="301">
        <f t="shared" ca="1" si="286"/>
        <v>0</v>
      </c>
      <c r="AJ987" s="302">
        <f t="shared" ca="1" si="287"/>
        <v>0</v>
      </c>
      <c r="AL987" s="303">
        <f t="shared" si="290"/>
        <v>849600</v>
      </c>
      <c r="AM987" s="303">
        <f t="shared" si="291"/>
        <v>849600</v>
      </c>
      <c r="AN987" s="303">
        <f t="shared" si="292"/>
        <v>0</v>
      </c>
      <c r="AO987" s="304">
        <f t="shared" si="293"/>
        <v>0</v>
      </c>
      <c r="AP987" s="273">
        <f t="shared" si="295"/>
        <v>1</v>
      </c>
      <c r="AQ987" s="273" t="str">
        <f t="shared" ca="1" si="294"/>
        <v>11900</v>
      </c>
    </row>
    <row r="988" spans="1:43">
      <c r="A988" s="312">
        <v>46</v>
      </c>
      <c r="B988" s="273" t="s">
        <v>2540</v>
      </c>
      <c r="G988" s="306">
        <v>720000</v>
      </c>
      <c r="H988" s="307">
        <v>129600</v>
      </c>
      <c r="I988" s="308">
        <v>849600</v>
      </c>
      <c r="N988" s="273" t="s">
        <v>2116</v>
      </c>
      <c r="O988" s="967" t="s">
        <v>2466</v>
      </c>
      <c r="V988" s="340">
        <f t="shared" ca="1" si="283"/>
        <v>1</v>
      </c>
      <c r="W988" s="594">
        <f t="shared" ca="1" si="284"/>
        <v>1900</v>
      </c>
      <c r="X988" s="340" t="str">
        <f t="shared" ca="1" si="296"/>
        <v>0 WEEK</v>
      </c>
      <c r="Y988" s="794">
        <f t="shared" si="285"/>
        <v>0</v>
      </c>
      <c r="Z988" s="541" cm="1">
        <f t="array" aca="1" ref="Z988" ca="1">_xlfn.IFS(AD988&lt;100,Y988,Y988&lt;TODAY(),TODAY(),Y988&gt;TODAY(),Y988,Y988=TODAY(),Y988)</f>
        <v>0</v>
      </c>
      <c r="AD988" s="298">
        <f t="shared" si="288"/>
        <v>0</v>
      </c>
      <c r="AE988" s="299" t="str">
        <f t="shared" si="289"/>
        <v>Complete</v>
      </c>
      <c r="AI988" s="301">
        <f t="shared" ca="1" si="286"/>
        <v>0</v>
      </c>
      <c r="AJ988" s="302">
        <f t="shared" ca="1" si="287"/>
        <v>0</v>
      </c>
      <c r="AL988" s="303">
        <f t="shared" si="290"/>
        <v>849600</v>
      </c>
      <c r="AM988" s="303">
        <f t="shared" si="291"/>
        <v>849600</v>
      </c>
      <c r="AN988" s="303">
        <f t="shared" si="292"/>
        <v>0</v>
      </c>
      <c r="AO988" s="304">
        <f t="shared" si="293"/>
        <v>0</v>
      </c>
      <c r="AP988" s="273">
        <f t="shared" si="295"/>
        <v>1</v>
      </c>
      <c r="AQ988" s="273" t="str">
        <f t="shared" ca="1" si="294"/>
        <v>11900</v>
      </c>
    </row>
    <row r="989" spans="1:43">
      <c r="A989" s="312">
        <v>46</v>
      </c>
      <c r="B989" s="273" t="s">
        <v>2540</v>
      </c>
      <c r="G989" s="306">
        <v>720000</v>
      </c>
      <c r="H989" s="307">
        <v>129600</v>
      </c>
      <c r="I989" s="308">
        <v>849600</v>
      </c>
      <c r="N989" s="273" t="s">
        <v>2116</v>
      </c>
      <c r="O989" s="967" t="s">
        <v>2467</v>
      </c>
      <c r="V989" s="340">
        <f t="shared" ca="1" si="283"/>
        <v>1</v>
      </c>
      <c r="W989" s="594">
        <f t="shared" ca="1" si="284"/>
        <v>1900</v>
      </c>
      <c r="X989" s="340" t="str">
        <f t="shared" ca="1" si="296"/>
        <v>0 WEEK</v>
      </c>
      <c r="Y989" s="794">
        <f t="shared" si="285"/>
        <v>0</v>
      </c>
      <c r="Z989" s="541" cm="1">
        <f t="array" aca="1" ref="Z989" ca="1">_xlfn.IFS(AD989&lt;100,Y989,Y989&lt;TODAY(),TODAY(),Y989&gt;TODAY(),Y989,Y989=TODAY(),Y989)</f>
        <v>0</v>
      </c>
      <c r="AD989" s="298">
        <f t="shared" si="288"/>
        <v>0</v>
      </c>
      <c r="AE989" s="299" t="str">
        <f t="shared" si="289"/>
        <v>Complete</v>
      </c>
      <c r="AI989" s="301">
        <f t="shared" ca="1" si="286"/>
        <v>0</v>
      </c>
      <c r="AJ989" s="302">
        <f t="shared" ca="1" si="287"/>
        <v>0</v>
      </c>
      <c r="AL989" s="303">
        <f t="shared" si="290"/>
        <v>849600</v>
      </c>
      <c r="AM989" s="303">
        <f t="shared" si="291"/>
        <v>849600</v>
      </c>
      <c r="AN989" s="303">
        <f t="shared" si="292"/>
        <v>0</v>
      </c>
      <c r="AO989" s="304">
        <f t="shared" si="293"/>
        <v>0</v>
      </c>
      <c r="AP989" s="273">
        <f t="shared" si="295"/>
        <v>1</v>
      </c>
      <c r="AQ989" s="273" t="str">
        <f t="shared" ca="1" si="294"/>
        <v>11900</v>
      </c>
    </row>
    <row r="990" spans="1:43">
      <c r="V990" s="340">
        <f t="shared" ref="V990:V1054" ca="1" si="297">MONTH(Z990)</f>
        <v>1</v>
      </c>
      <c r="W990" s="594">
        <f t="shared" ref="W990:W1054" ca="1" si="298">YEAR(Z990)</f>
        <v>1900</v>
      </c>
      <c r="X990" s="340" t="str">
        <f t="shared" ca="1" si="296"/>
        <v>0 WEEK</v>
      </c>
      <c r="Y990" s="794">
        <f t="shared" si="285"/>
        <v>0</v>
      </c>
      <c r="Z990" s="541" cm="1">
        <f t="array" aca="1" ref="Z990" ca="1">_xlfn.IFS(AD990&lt;100,Y990,Y990&lt;TODAY(),TODAY(),Y990&gt;TODAY(),Y990,Y990=TODAY(),Y990)</f>
        <v>0</v>
      </c>
      <c r="AD990" s="298">
        <f t="shared" si="288"/>
        <v>0</v>
      </c>
      <c r="AE990" s="299" t="str">
        <f t="shared" si="289"/>
        <v>Complete</v>
      </c>
      <c r="AI990" s="301">
        <f t="shared" ca="1" si="286"/>
        <v>0</v>
      </c>
      <c r="AJ990" s="302">
        <f t="shared" ca="1" si="287"/>
        <v>0</v>
      </c>
      <c r="AL990" s="303">
        <f t="shared" si="290"/>
        <v>0</v>
      </c>
      <c r="AM990" s="303">
        <f t="shared" si="291"/>
        <v>0</v>
      </c>
      <c r="AN990" s="303">
        <f t="shared" si="292"/>
        <v>0</v>
      </c>
      <c r="AO990" s="304">
        <f t="shared" si="293"/>
        <v>0</v>
      </c>
      <c r="AP990" s="273">
        <f t="shared" si="295"/>
        <v>1</v>
      </c>
      <c r="AQ990" s="273" t="str">
        <f t="shared" ca="1" si="294"/>
        <v>11900</v>
      </c>
    </row>
    <row r="991" spans="1:43" ht="16.5">
      <c r="B991" s="273" t="s">
        <v>2540</v>
      </c>
      <c r="G991" s="306">
        <v>17640000</v>
      </c>
      <c r="H991" s="307">
        <v>2116800</v>
      </c>
      <c r="I991" s="308">
        <v>19756800</v>
      </c>
      <c r="O991" s="960" t="s">
        <v>2543</v>
      </c>
      <c r="Q991" s="273" t="s">
        <v>2544</v>
      </c>
      <c r="R991" s="314">
        <v>9878400</v>
      </c>
      <c r="V991" s="340">
        <f t="shared" ca="1" si="297"/>
        <v>1</v>
      </c>
      <c r="W991" s="594">
        <f t="shared" ca="1" si="298"/>
        <v>1900</v>
      </c>
      <c r="X991" s="340" t="str">
        <f t="shared" ca="1" si="296"/>
        <v>0 WEEK</v>
      </c>
      <c r="Y991" s="794">
        <f t="shared" si="285"/>
        <v>0</v>
      </c>
      <c r="Z991" s="541" cm="1">
        <f t="array" aca="1" ref="Z991" ca="1">_xlfn.IFS(AD991&lt;100,Y991,Y991&lt;TODAY(),TODAY(),Y991&gt;TODAY(),Y991,Y991=TODAY(),Y991)</f>
        <v>0</v>
      </c>
      <c r="AD991" s="298">
        <f t="shared" si="288"/>
        <v>0</v>
      </c>
      <c r="AE991" s="299" t="str">
        <f t="shared" si="289"/>
        <v>Complete</v>
      </c>
      <c r="AI991" s="301">
        <f t="shared" ca="1" si="286"/>
        <v>0</v>
      </c>
      <c r="AJ991" s="302">
        <f t="shared" ca="1" si="287"/>
        <v>0</v>
      </c>
      <c r="AL991" s="303">
        <f t="shared" si="290"/>
        <v>19756800</v>
      </c>
      <c r="AM991" s="303">
        <f t="shared" si="291"/>
        <v>9878400</v>
      </c>
      <c r="AN991" s="303">
        <f t="shared" si="292"/>
        <v>9878400</v>
      </c>
      <c r="AO991" s="304">
        <f t="shared" si="293"/>
        <v>0</v>
      </c>
      <c r="AP991" s="273">
        <f t="shared" si="295"/>
        <v>1</v>
      </c>
      <c r="AQ991" s="273" t="str">
        <f t="shared" ca="1" si="294"/>
        <v>11900</v>
      </c>
    </row>
    <row r="992" spans="1:43">
      <c r="B992" s="273" t="s">
        <v>2540</v>
      </c>
      <c r="O992" s="966"/>
      <c r="Q992" s="273" t="s">
        <v>2545</v>
      </c>
      <c r="R992" s="314">
        <v>9878400</v>
      </c>
      <c r="V992" s="340">
        <f t="shared" ca="1" si="297"/>
        <v>1</v>
      </c>
      <c r="W992" s="594">
        <f t="shared" ca="1" si="298"/>
        <v>1900</v>
      </c>
      <c r="X992" s="340" t="str">
        <f t="shared" ca="1" si="296"/>
        <v>0 WEEK</v>
      </c>
      <c r="Y992" s="794">
        <f t="shared" si="285"/>
        <v>0</v>
      </c>
      <c r="Z992" s="541" cm="1">
        <f t="array" aca="1" ref="Z992" ca="1">_xlfn.IFS(AD992&lt;100,Y992,Y992&lt;TODAY(),TODAY(),Y992&gt;TODAY(),Y992,Y992=TODAY(),Y992)</f>
        <v>0</v>
      </c>
      <c r="AD992" s="298">
        <f t="shared" si="288"/>
        <v>0</v>
      </c>
      <c r="AE992" s="299" t="str">
        <f t="shared" si="289"/>
        <v>Complete</v>
      </c>
      <c r="AI992" s="301">
        <f t="shared" ca="1" si="286"/>
        <v>0</v>
      </c>
      <c r="AJ992" s="302">
        <f t="shared" ca="1" si="287"/>
        <v>0</v>
      </c>
      <c r="AL992" s="303">
        <f t="shared" si="290"/>
        <v>0</v>
      </c>
      <c r="AM992" s="303">
        <f t="shared" si="291"/>
        <v>-9878400</v>
      </c>
      <c r="AN992" s="303">
        <f t="shared" si="292"/>
        <v>9878400</v>
      </c>
      <c r="AO992" s="304">
        <f t="shared" si="293"/>
        <v>0</v>
      </c>
      <c r="AP992" s="273">
        <f t="shared" si="295"/>
        <v>1</v>
      </c>
      <c r="AQ992" s="273" t="str">
        <f t="shared" ca="1" si="294"/>
        <v>11900</v>
      </c>
    </row>
    <row r="993" spans="2:43" ht="16.5">
      <c r="B993" s="273" t="s">
        <v>2540</v>
      </c>
      <c r="G993" s="306">
        <v>2160000</v>
      </c>
      <c r="H993" s="307">
        <v>259200</v>
      </c>
      <c r="I993" s="308">
        <v>2419200</v>
      </c>
      <c r="O993" s="959" t="s">
        <v>2546</v>
      </c>
      <c r="R993" s="314">
        <v>2419200</v>
      </c>
      <c r="V993" s="340">
        <f t="shared" ca="1" si="297"/>
        <v>1</v>
      </c>
      <c r="W993" s="594">
        <f t="shared" ca="1" si="298"/>
        <v>1900</v>
      </c>
      <c r="X993" s="340" t="str">
        <f t="shared" ca="1" si="296"/>
        <v>0 WEEK</v>
      </c>
      <c r="Y993" s="794">
        <f t="shared" si="285"/>
        <v>0</v>
      </c>
      <c r="Z993" s="541" cm="1">
        <f t="array" aca="1" ref="Z993" ca="1">_xlfn.IFS(AD993&lt;100,Y993,Y993&lt;TODAY(),TODAY(),Y993&gt;TODAY(),Y993,Y993=TODAY(),Y993)</f>
        <v>0</v>
      </c>
      <c r="AD993" s="298">
        <f t="shared" si="288"/>
        <v>0</v>
      </c>
      <c r="AE993" s="299" t="str">
        <f t="shared" si="289"/>
        <v>Complete</v>
      </c>
      <c r="AI993" s="301">
        <f t="shared" ca="1" si="286"/>
        <v>0</v>
      </c>
      <c r="AJ993" s="302">
        <f t="shared" ca="1" si="287"/>
        <v>0</v>
      </c>
      <c r="AL993" s="303">
        <f t="shared" si="290"/>
        <v>2419200</v>
      </c>
      <c r="AM993" s="303">
        <f t="shared" si="291"/>
        <v>0</v>
      </c>
      <c r="AN993" s="303">
        <f t="shared" si="292"/>
        <v>2419200</v>
      </c>
      <c r="AO993" s="304">
        <f t="shared" si="293"/>
        <v>0</v>
      </c>
      <c r="AP993" s="273">
        <f t="shared" si="295"/>
        <v>1</v>
      </c>
      <c r="AQ993" s="273" t="str">
        <f t="shared" ca="1" si="294"/>
        <v>11900</v>
      </c>
    </row>
    <row r="994" spans="2:43" ht="16.5">
      <c r="B994" s="273" t="s">
        <v>2540</v>
      </c>
      <c r="G994" s="306">
        <v>1080000</v>
      </c>
      <c r="H994" s="307">
        <v>194400</v>
      </c>
      <c r="I994" s="308">
        <v>1274400</v>
      </c>
      <c r="O994" s="959" t="s">
        <v>2547</v>
      </c>
      <c r="R994" s="314">
        <v>1274400</v>
      </c>
      <c r="V994" s="340">
        <f t="shared" ca="1" si="297"/>
        <v>1</v>
      </c>
      <c r="W994" s="594">
        <f t="shared" ca="1" si="298"/>
        <v>1900</v>
      </c>
      <c r="X994" s="340" t="str">
        <f t="shared" ca="1" si="296"/>
        <v>0 WEEK</v>
      </c>
      <c r="Y994" s="794">
        <f t="shared" si="285"/>
        <v>0</v>
      </c>
      <c r="Z994" s="541" cm="1">
        <f t="array" aca="1" ref="Z994" ca="1">_xlfn.IFS(AD994&lt;100,Y994,Y994&lt;TODAY(),TODAY(),Y994&gt;TODAY(),Y994,Y994=TODAY(),Y994)</f>
        <v>0</v>
      </c>
      <c r="AD994" s="298">
        <f t="shared" si="288"/>
        <v>0</v>
      </c>
      <c r="AE994" s="299" t="str">
        <f t="shared" si="289"/>
        <v>Complete</v>
      </c>
      <c r="AI994" s="301">
        <f t="shared" ca="1" si="286"/>
        <v>0</v>
      </c>
      <c r="AJ994" s="302">
        <f t="shared" ca="1" si="287"/>
        <v>0</v>
      </c>
      <c r="AL994" s="303">
        <f t="shared" si="290"/>
        <v>1274400</v>
      </c>
      <c r="AM994" s="303">
        <f t="shared" si="291"/>
        <v>0</v>
      </c>
      <c r="AN994" s="303">
        <f t="shared" si="292"/>
        <v>1274400</v>
      </c>
      <c r="AO994" s="304">
        <f t="shared" si="293"/>
        <v>0</v>
      </c>
      <c r="AP994" s="273">
        <f t="shared" si="295"/>
        <v>1</v>
      </c>
      <c r="AQ994" s="273" t="str">
        <f t="shared" ca="1" si="294"/>
        <v>11900</v>
      </c>
    </row>
    <row r="995" spans="2:43" ht="16.5">
      <c r="B995" s="273" t="s">
        <v>2540</v>
      </c>
      <c r="G995" s="306">
        <v>468000</v>
      </c>
      <c r="H995" s="307">
        <v>84240</v>
      </c>
      <c r="I995" s="308">
        <v>552240</v>
      </c>
      <c r="O995" s="959" t="s">
        <v>1835</v>
      </c>
      <c r="Q995" s="273" t="s">
        <v>2548</v>
      </c>
      <c r="R995" s="314">
        <v>552240</v>
      </c>
      <c r="V995" s="340">
        <f t="shared" ca="1" si="297"/>
        <v>1</v>
      </c>
      <c r="W995" s="594">
        <f t="shared" ca="1" si="298"/>
        <v>1900</v>
      </c>
      <c r="X995" s="340" t="str">
        <f t="shared" ca="1" si="296"/>
        <v>0 WEEK</v>
      </c>
      <c r="Y995" s="794">
        <f t="shared" si="285"/>
        <v>0</v>
      </c>
      <c r="Z995" s="541" cm="1">
        <f t="array" aca="1" ref="Z995" ca="1">_xlfn.IFS(AD995&lt;100,Y995,Y995&lt;TODAY(),TODAY(),Y995&gt;TODAY(),Y995,Y995=TODAY(),Y995)</f>
        <v>0</v>
      </c>
      <c r="AD995" s="298">
        <f t="shared" si="288"/>
        <v>0</v>
      </c>
      <c r="AE995" s="299" t="str">
        <f t="shared" si="289"/>
        <v>Complete</v>
      </c>
      <c r="AI995" s="301">
        <f t="shared" ca="1" si="286"/>
        <v>0</v>
      </c>
      <c r="AJ995" s="302">
        <f t="shared" ca="1" si="287"/>
        <v>0</v>
      </c>
      <c r="AL995" s="303">
        <f t="shared" si="290"/>
        <v>552240</v>
      </c>
      <c r="AM995" s="303">
        <f t="shared" si="291"/>
        <v>0</v>
      </c>
      <c r="AN995" s="303">
        <f t="shared" si="292"/>
        <v>552240</v>
      </c>
      <c r="AO995" s="304">
        <f t="shared" si="293"/>
        <v>0</v>
      </c>
      <c r="AP995" s="273">
        <f t="shared" si="295"/>
        <v>1</v>
      </c>
      <c r="AQ995" s="273" t="str">
        <f t="shared" ca="1" si="294"/>
        <v>11900</v>
      </c>
    </row>
    <row r="996" spans="2:43" ht="16.5">
      <c r="B996" s="273" t="s">
        <v>2540</v>
      </c>
      <c r="G996" s="306">
        <v>900000</v>
      </c>
      <c r="H996" s="307">
        <v>162000</v>
      </c>
      <c r="I996" s="308">
        <v>1062000</v>
      </c>
      <c r="O996" s="959" t="s">
        <v>2549</v>
      </c>
      <c r="R996" s="314">
        <v>1062000</v>
      </c>
      <c r="V996" s="340">
        <f t="shared" ca="1" si="297"/>
        <v>1</v>
      </c>
      <c r="W996" s="594">
        <f t="shared" ca="1" si="298"/>
        <v>1900</v>
      </c>
      <c r="X996" s="340" t="str">
        <f t="shared" ca="1" si="296"/>
        <v>0 WEEK</v>
      </c>
      <c r="Y996" s="794">
        <f t="shared" si="285"/>
        <v>0</v>
      </c>
      <c r="Z996" s="541" cm="1">
        <f t="array" aca="1" ref="Z996" ca="1">_xlfn.IFS(AD996&lt;100,Y996,Y996&lt;TODAY(),TODAY(),Y996&gt;TODAY(),Y996,Y996=TODAY(),Y996)</f>
        <v>0</v>
      </c>
      <c r="AD996" s="298">
        <f t="shared" si="288"/>
        <v>0</v>
      </c>
      <c r="AE996" s="299" t="str">
        <f t="shared" si="289"/>
        <v>Complete</v>
      </c>
      <c r="AI996" s="301">
        <f t="shared" ca="1" si="286"/>
        <v>0</v>
      </c>
      <c r="AJ996" s="302">
        <f t="shared" ca="1" si="287"/>
        <v>0</v>
      </c>
      <c r="AL996" s="303">
        <f t="shared" si="290"/>
        <v>1062000</v>
      </c>
      <c r="AM996" s="303">
        <f t="shared" si="291"/>
        <v>0</v>
      </c>
      <c r="AN996" s="303">
        <f t="shared" si="292"/>
        <v>1062000</v>
      </c>
      <c r="AO996" s="304">
        <f t="shared" si="293"/>
        <v>0</v>
      </c>
      <c r="AP996" s="273">
        <f t="shared" si="295"/>
        <v>1</v>
      </c>
      <c r="AQ996" s="273" t="str">
        <f t="shared" ca="1" si="294"/>
        <v>11900</v>
      </c>
    </row>
    <row r="997" spans="2:43" ht="16.5">
      <c r="B997" s="273" t="s">
        <v>2540</v>
      </c>
      <c r="G997" s="306">
        <v>180000</v>
      </c>
      <c r="H997" s="307">
        <v>32400</v>
      </c>
      <c r="I997" s="308">
        <v>212400</v>
      </c>
      <c r="O997" s="959" t="s">
        <v>2550</v>
      </c>
      <c r="R997" s="314">
        <v>212400</v>
      </c>
      <c r="V997" s="340">
        <f t="shared" ca="1" si="297"/>
        <v>1</v>
      </c>
      <c r="W997" s="594">
        <f t="shared" ca="1" si="298"/>
        <v>1900</v>
      </c>
      <c r="X997" s="340" t="str">
        <f t="shared" ca="1" si="296"/>
        <v>0 WEEK</v>
      </c>
      <c r="Y997" s="794">
        <f t="shared" si="285"/>
        <v>0</v>
      </c>
      <c r="Z997" s="541" cm="1">
        <f t="array" aca="1" ref="Z997" ca="1">_xlfn.IFS(AD997&lt;100,Y997,Y997&lt;TODAY(),TODAY(),Y997&gt;TODAY(),Y997,Y997=TODAY(),Y997)</f>
        <v>0</v>
      </c>
      <c r="AD997" s="298">
        <f t="shared" si="288"/>
        <v>0</v>
      </c>
      <c r="AE997" s="299" t="str">
        <f t="shared" si="289"/>
        <v>Complete</v>
      </c>
      <c r="AI997" s="301">
        <f t="shared" ca="1" si="286"/>
        <v>0</v>
      </c>
      <c r="AJ997" s="302">
        <f t="shared" ca="1" si="287"/>
        <v>0</v>
      </c>
      <c r="AL997" s="303">
        <f t="shared" si="290"/>
        <v>212400</v>
      </c>
      <c r="AM997" s="303">
        <f t="shared" si="291"/>
        <v>0</v>
      </c>
      <c r="AN997" s="303">
        <f t="shared" si="292"/>
        <v>212400</v>
      </c>
      <c r="AO997" s="304">
        <f t="shared" si="293"/>
        <v>0</v>
      </c>
      <c r="AP997" s="273">
        <f t="shared" si="295"/>
        <v>1</v>
      </c>
      <c r="AQ997" s="273" t="str">
        <f t="shared" ca="1" si="294"/>
        <v>11900</v>
      </c>
    </row>
    <row r="998" spans="2:43" ht="16.5">
      <c r="B998" s="273" t="s">
        <v>2540</v>
      </c>
      <c r="G998" s="306">
        <v>720000</v>
      </c>
      <c r="H998" s="307">
        <v>129600</v>
      </c>
      <c r="I998" s="308">
        <v>849600</v>
      </c>
      <c r="O998" s="959" t="s">
        <v>2551</v>
      </c>
      <c r="R998" s="314">
        <v>849600</v>
      </c>
      <c r="V998" s="340">
        <f t="shared" ca="1" si="297"/>
        <v>1</v>
      </c>
      <c r="W998" s="594">
        <f t="shared" ca="1" si="298"/>
        <v>1900</v>
      </c>
      <c r="X998" s="340" t="str">
        <f t="shared" ca="1" si="296"/>
        <v>0 WEEK</v>
      </c>
      <c r="Y998" s="794">
        <f t="shared" si="285"/>
        <v>0</v>
      </c>
      <c r="Z998" s="541" cm="1">
        <f t="array" aca="1" ref="Z998" ca="1">_xlfn.IFS(AD998&lt;100,Y998,Y998&lt;TODAY(),TODAY(),Y998&gt;TODAY(),Y998,Y998=TODAY(),Y998)</f>
        <v>0</v>
      </c>
      <c r="AD998" s="298">
        <f t="shared" si="288"/>
        <v>0</v>
      </c>
      <c r="AE998" s="299" t="str">
        <f t="shared" si="289"/>
        <v>Complete</v>
      </c>
      <c r="AI998" s="301">
        <f t="shared" ca="1" si="286"/>
        <v>0</v>
      </c>
      <c r="AJ998" s="302">
        <f t="shared" ca="1" si="287"/>
        <v>0</v>
      </c>
      <c r="AL998" s="303">
        <f t="shared" si="290"/>
        <v>849600</v>
      </c>
      <c r="AM998" s="303">
        <f t="shared" si="291"/>
        <v>0</v>
      </c>
      <c r="AN998" s="303">
        <f t="shared" si="292"/>
        <v>849600</v>
      </c>
      <c r="AO998" s="304">
        <f t="shared" si="293"/>
        <v>0</v>
      </c>
      <c r="AP998" s="273">
        <f t="shared" si="295"/>
        <v>1</v>
      </c>
      <c r="AQ998" s="273" t="str">
        <f t="shared" ca="1" si="294"/>
        <v>11900</v>
      </c>
    </row>
    <row r="999" spans="2:43" ht="16.5">
      <c r="B999" s="273" t="s">
        <v>2540</v>
      </c>
      <c r="G999" s="306">
        <v>180000</v>
      </c>
      <c r="H999" s="307">
        <v>32400</v>
      </c>
      <c r="I999" s="308">
        <v>212400</v>
      </c>
      <c r="O999" s="959" t="s">
        <v>2552</v>
      </c>
      <c r="Q999" s="273" t="s">
        <v>2544</v>
      </c>
      <c r="R999" s="314">
        <v>212400</v>
      </c>
      <c r="V999" s="340">
        <f t="shared" ca="1" si="297"/>
        <v>1</v>
      </c>
      <c r="W999" s="594">
        <f t="shared" ca="1" si="298"/>
        <v>1900</v>
      </c>
      <c r="X999" s="340" t="str">
        <f t="shared" ca="1" si="296"/>
        <v>0 WEEK</v>
      </c>
      <c r="Y999" s="794">
        <f t="shared" si="285"/>
        <v>0</v>
      </c>
      <c r="Z999" s="541" cm="1">
        <f t="array" aca="1" ref="Z999" ca="1">_xlfn.IFS(AD999&lt;100,Y999,Y999&lt;TODAY(),TODAY(),Y999&gt;TODAY(),Y999,Y999=TODAY(),Y999)</f>
        <v>0</v>
      </c>
      <c r="AD999" s="298">
        <f t="shared" si="288"/>
        <v>0</v>
      </c>
      <c r="AE999" s="299" t="str">
        <f t="shared" si="289"/>
        <v>Complete</v>
      </c>
      <c r="AI999" s="301">
        <f t="shared" ca="1" si="286"/>
        <v>0</v>
      </c>
      <c r="AJ999" s="302">
        <f t="shared" ca="1" si="287"/>
        <v>0</v>
      </c>
      <c r="AL999" s="303">
        <f t="shared" si="290"/>
        <v>212400</v>
      </c>
      <c r="AM999" s="303">
        <f t="shared" si="291"/>
        <v>0</v>
      </c>
      <c r="AN999" s="303">
        <f t="shared" si="292"/>
        <v>212400</v>
      </c>
      <c r="AO999" s="304">
        <f t="shared" si="293"/>
        <v>0</v>
      </c>
      <c r="AP999" s="273">
        <f t="shared" si="295"/>
        <v>1</v>
      </c>
      <c r="AQ999" s="273" t="str">
        <f t="shared" ca="1" si="294"/>
        <v>11900</v>
      </c>
    </row>
    <row r="1000" spans="2:43" ht="16.5">
      <c r="B1000" s="273" t="s">
        <v>2540</v>
      </c>
      <c r="G1000" s="306">
        <v>180000</v>
      </c>
      <c r="H1000" s="307">
        <v>32400</v>
      </c>
      <c r="I1000" s="308">
        <v>212400</v>
      </c>
      <c r="O1000" s="959" t="s">
        <v>2553</v>
      </c>
      <c r="R1000" s="314">
        <v>212400</v>
      </c>
      <c r="V1000" s="340">
        <f t="shared" ca="1" si="297"/>
        <v>1</v>
      </c>
      <c r="W1000" s="594">
        <f t="shared" ca="1" si="298"/>
        <v>1900</v>
      </c>
      <c r="X1000" s="340" t="str">
        <f t="shared" ca="1" si="296"/>
        <v>0 WEEK</v>
      </c>
      <c r="Y1000" s="794">
        <f t="shared" si="285"/>
        <v>0</v>
      </c>
      <c r="Z1000" s="541" cm="1">
        <f t="array" aca="1" ref="Z1000" ca="1">_xlfn.IFS(AD1000&lt;100,Y1000,Y1000&lt;TODAY(),TODAY(),Y1000&gt;TODAY(),Y1000,Y1000=TODAY(),Y1000)</f>
        <v>0</v>
      </c>
      <c r="AD1000" s="298">
        <f t="shared" si="288"/>
        <v>0</v>
      </c>
      <c r="AE1000" s="299" t="str">
        <f t="shared" si="289"/>
        <v>Complete</v>
      </c>
      <c r="AI1000" s="301">
        <f t="shared" ca="1" si="286"/>
        <v>0</v>
      </c>
      <c r="AJ1000" s="302">
        <f t="shared" ca="1" si="287"/>
        <v>0</v>
      </c>
      <c r="AL1000" s="303">
        <f t="shared" si="290"/>
        <v>212400</v>
      </c>
      <c r="AM1000" s="303">
        <f t="shared" si="291"/>
        <v>0</v>
      </c>
      <c r="AN1000" s="303">
        <f t="shared" si="292"/>
        <v>212400</v>
      </c>
      <c r="AO1000" s="304">
        <f t="shared" si="293"/>
        <v>0</v>
      </c>
      <c r="AP1000" s="273">
        <f t="shared" si="295"/>
        <v>1</v>
      </c>
      <c r="AQ1000" s="273" t="str">
        <f t="shared" ca="1" si="294"/>
        <v>11900</v>
      </c>
    </row>
    <row r="1001" spans="2:43" ht="16.5">
      <c r="B1001" s="273" t="s">
        <v>2540</v>
      </c>
      <c r="G1001" s="306">
        <v>180000</v>
      </c>
      <c r="H1001" s="307">
        <v>32400</v>
      </c>
      <c r="I1001" s="308">
        <v>212400</v>
      </c>
      <c r="O1001" s="959" t="s">
        <v>2554</v>
      </c>
      <c r="Q1001" s="273" t="s">
        <v>2555</v>
      </c>
      <c r="R1001" s="314">
        <v>212400</v>
      </c>
      <c r="V1001" s="340">
        <f t="shared" ca="1" si="297"/>
        <v>1</v>
      </c>
      <c r="W1001" s="594">
        <f t="shared" ca="1" si="298"/>
        <v>1900</v>
      </c>
      <c r="X1001" s="340" t="str">
        <f t="shared" ca="1" si="296"/>
        <v>0 WEEK</v>
      </c>
      <c r="Y1001" s="794">
        <f t="shared" ref="Y1001:Y1064" si="299">P1001+T1001</f>
        <v>0</v>
      </c>
      <c r="Z1001" s="541" cm="1">
        <f t="array" aca="1" ref="Z1001" ca="1">_xlfn.IFS(AD1001&lt;100,Y1001,Y1001&lt;TODAY(),TODAY(),Y1001&gt;TODAY(),Y1001,Y1001=TODAY(),Y1001)</f>
        <v>0</v>
      </c>
      <c r="AD1001" s="298">
        <f t="shared" si="288"/>
        <v>0</v>
      </c>
      <c r="AE1001" s="299" t="str">
        <f t="shared" si="289"/>
        <v>Complete</v>
      </c>
      <c r="AI1001" s="301">
        <f t="shared" ca="1" si="286"/>
        <v>0</v>
      </c>
      <c r="AJ1001" s="302">
        <f t="shared" ca="1" si="287"/>
        <v>0</v>
      </c>
      <c r="AL1001" s="303">
        <f t="shared" si="290"/>
        <v>212400</v>
      </c>
      <c r="AM1001" s="303">
        <f t="shared" si="291"/>
        <v>0</v>
      </c>
      <c r="AN1001" s="303">
        <f t="shared" si="292"/>
        <v>212400</v>
      </c>
      <c r="AO1001" s="304">
        <f t="shared" si="293"/>
        <v>0</v>
      </c>
      <c r="AP1001" s="273">
        <f t="shared" si="295"/>
        <v>1</v>
      </c>
      <c r="AQ1001" s="273" t="str">
        <f t="shared" ca="1" si="294"/>
        <v>11900</v>
      </c>
    </row>
    <row r="1002" spans="2:43" ht="16.5">
      <c r="B1002" s="273" t="s">
        <v>2540</v>
      </c>
      <c r="G1002" s="306">
        <v>1080000</v>
      </c>
      <c r="H1002" s="307">
        <v>194400</v>
      </c>
      <c r="I1002" s="308">
        <v>1274400</v>
      </c>
      <c r="O1002" s="960" t="s">
        <v>2556</v>
      </c>
      <c r="Q1002" s="273" t="s">
        <v>2557</v>
      </c>
      <c r="R1002" s="314">
        <v>892080</v>
      </c>
      <c r="V1002" s="340">
        <f t="shared" ca="1" si="297"/>
        <v>1</v>
      </c>
      <c r="W1002" s="594">
        <f t="shared" ca="1" si="298"/>
        <v>1900</v>
      </c>
      <c r="X1002" s="340" t="str">
        <f t="shared" ca="1" si="296"/>
        <v>0 WEEK</v>
      </c>
      <c r="Y1002" s="794">
        <f t="shared" si="299"/>
        <v>0</v>
      </c>
      <c r="Z1002" s="541" cm="1">
        <f t="array" aca="1" ref="Z1002" ca="1">_xlfn.IFS(AD1002&lt;100,Y1002,Y1002&lt;TODAY(),TODAY(),Y1002&gt;TODAY(),Y1002,Y1002=TODAY(),Y1002)</f>
        <v>0</v>
      </c>
      <c r="AD1002" s="298">
        <f t="shared" si="288"/>
        <v>0</v>
      </c>
      <c r="AE1002" s="299" t="str">
        <f t="shared" si="289"/>
        <v>Complete</v>
      </c>
      <c r="AI1002" s="301">
        <f t="shared" ca="1" si="286"/>
        <v>0</v>
      </c>
      <c r="AJ1002" s="302">
        <f t="shared" ca="1" si="287"/>
        <v>0</v>
      </c>
      <c r="AL1002" s="303">
        <f t="shared" si="290"/>
        <v>1274400</v>
      </c>
      <c r="AM1002" s="303">
        <f t="shared" si="291"/>
        <v>382320</v>
      </c>
      <c r="AN1002" s="303">
        <f t="shared" si="292"/>
        <v>892080</v>
      </c>
      <c r="AO1002" s="304">
        <f t="shared" si="293"/>
        <v>0</v>
      </c>
      <c r="AP1002" s="273">
        <f t="shared" si="295"/>
        <v>1</v>
      </c>
      <c r="AQ1002" s="273" t="str">
        <f t="shared" ca="1" si="294"/>
        <v>11900</v>
      </c>
    </row>
    <row r="1003" spans="2:43">
      <c r="B1003" s="273" t="s">
        <v>2540</v>
      </c>
      <c r="O1003" s="966"/>
      <c r="Q1003" s="273" t="s">
        <v>2558</v>
      </c>
      <c r="R1003" s="314">
        <v>382320</v>
      </c>
      <c r="V1003" s="340">
        <f t="shared" ca="1" si="297"/>
        <v>1</v>
      </c>
      <c r="W1003" s="594">
        <f t="shared" ca="1" si="298"/>
        <v>1900</v>
      </c>
      <c r="X1003" s="340" t="str">
        <f t="shared" ca="1" si="296"/>
        <v>0 WEEK</v>
      </c>
      <c r="Y1003" s="794">
        <f t="shared" si="299"/>
        <v>0</v>
      </c>
      <c r="Z1003" s="541" cm="1">
        <f t="array" aca="1" ref="Z1003" ca="1">_xlfn.IFS(AD1003&lt;100,Y1003,Y1003&lt;TODAY(),TODAY(),Y1003&gt;TODAY(),Y1003,Y1003=TODAY(),Y1003)</f>
        <v>0</v>
      </c>
      <c r="AD1003" s="298">
        <f t="shared" si="288"/>
        <v>0</v>
      </c>
      <c r="AE1003" s="299" t="str">
        <f t="shared" si="289"/>
        <v>Complete</v>
      </c>
      <c r="AI1003" s="301">
        <f t="shared" ca="1" si="286"/>
        <v>0</v>
      </c>
      <c r="AJ1003" s="302">
        <f t="shared" ca="1" si="287"/>
        <v>0</v>
      </c>
      <c r="AL1003" s="303">
        <f t="shared" si="290"/>
        <v>0</v>
      </c>
      <c r="AM1003" s="303">
        <f t="shared" si="291"/>
        <v>-382320</v>
      </c>
      <c r="AN1003" s="303">
        <f t="shared" si="292"/>
        <v>382320</v>
      </c>
      <c r="AO1003" s="304">
        <f t="shared" si="293"/>
        <v>0</v>
      </c>
      <c r="AP1003" s="273">
        <f t="shared" si="295"/>
        <v>1</v>
      </c>
      <c r="AQ1003" s="273" t="str">
        <f t="shared" ca="1" si="294"/>
        <v>11900</v>
      </c>
    </row>
    <row r="1004" spans="2:43" ht="16.5">
      <c r="B1004" s="273" t="s">
        <v>2540</v>
      </c>
      <c r="G1004" s="306">
        <v>432000</v>
      </c>
      <c r="H1004" s="307">
        <v>77760</v>
      </c>
      <c r="I1004" s="308">
        <v>509760</v>
      </c>
      <c r="O1004" s="960" t="s">
        <v>2559</v>
      </c>
      <c r="Q1004" s="273" t="s">
        <v>2557</v>
      </c>
      <c r="R1004" s="314">
        <v>305856</v>
      </c>
      <c r="V1004" s="340">
        <f t="shared" ca="1" si="297"/>
        <v>1</v>
      </c>
      <c r="W1004" s="594">
        <f t="shared" ca="1" si="298"/>
        <v>1900</v>
      </c>
      <c r="X1004" s="340" t="str">
        <f t="shared" ca="1" si="296"/>
        <v>0 WEEK</v>
      </c>
      <c r="Y1004" s="794">
        <f t="shared" si="299"/>
        <v>0</v>
      </c>
      <c r="Z1004" s="541" cm="1">
        <f t="array" aca="1" ref="Z1004" ca="1">_xlfn.IFS(AD1004&lt;100,Y1004,Y1004&lt;TODAY(),TODAY(),Y1004&gt;TODAY(),Y1004,Y1004=TODAY(),Y1004)</f>
        <v>0</v>
      </c>
      <c r="AD1004" s="298">
        <f t="shared" si="288"/>
        <v>0</v>
      </c>
      <c r="AE1004" s="299" t="str">
        <f t="shared" si="289"/>
        <v>Complete</v>
      </c>
      <c r="AI1004" s="301">
        <f t="shared" ca="1" si="286"/>
        <v>0</v>
      </c>
      <c r="AJ1004" s="302">
        <f t="shared" ca="1" si="287"/>
        <v>0</v>
      </c>
      <c r="AL1004" s="303">
        <f t="shared" si="290"/>
        <v>509760</v>
      </c>
      <c r="AM1004" s="303">
        <f t="shared" si="291"/>
        <v>203904</v>
      </c>
      <c r="AN1004" s="303">
        <f t="shared" si="292"/>
        <v>305856</v>
      </c>
      <c r="AO1004" s="304">
        <f t="shared" si="293"/>
        <v>0</v>
      </c>
      <c r="AP1004" s="273">
        <f t="shared" si="295"/>
        <v>1</v>
      </c>
      <c r="AQ1004" s="273" t="str">
        <f t="shared" ca="1" si="294"/>
        <v>11900</v>
      </c>
    </row>
    <row r="1005" spans="2:43">
      <c r="B1005" s="273" t="s">
        <v>2540</v>
      </c>
      <c r="O1005" s="970"/>
      <c r="Q1005" s="273" t="s">
        <v>2558</v>
      </c>
      <c r="R1005" s="314">
        <v>203904</v>
      </c>
      <c r="V1005" s="340">
        <f t="shared" ca="1" si="297"/>
        <v>1</v>
      </c>
      <c r="W1005" s="594">
        <f t="shared" ca="1" si="298"/>
        <v>1900</v>
      </c>
      <c r="X1005" s="340" t="str">
        <f t="shared" ca="1" si="296"/>
        <v>0 WEEK</v>
      </c>
      <c r="Y1005" s="794">
        <f t="shared" si="299"/>
        <v>0</v>
      </c>
      <c r="Z1005" s="541" cm="1">
        <f t="array" aca="1" ref="Z1005" ca="1">_xlfn.IFS(AD1005&lt;100,Y1005,Y1005&lt;TODAY(),TODAY(),Y1005&gt;TODAY(),Y1005,Y1005=TODAY(),Y1005)</f>
        <v>0</v>
      </c>
      <c r="AD1005" s="298">
        <f t="shared" si="288"/>
        <v>0</v>
      </c>
      <c r="AE1005" s="299" t="str">
        <f t="shared" si="289"/>
        <v>Complete</v>
      </c>
      <c r="AI1005" s="301">
        <f t="shared" ca="1" si="286"/>
        <v>0</v>
      </c>
      <c r="AJ1005" s="302">
        <f t="shared" ca="1" si="287"/>
        <v>0</v>
      </c>
      <c r="AL1005" s="303">
        <f t="shared" si="290"/>
        <v>0</v>
      </c>
      <c r="AM1005" s="303">
        <f t="shared" si="291"/>
        <v>-203904</v>
      </c>
      <c r="AN1005" s="303">
        <f t="shared" si="292"/>
        <v>203904</v>
      </c>
      <c r="AO1005" s="304">
        <f t="shared" si="293"/>
        <v>0</v>
      </c>
      <c r="AP1005" s="273">
        <f t="shared" si="295"/>
        <v>1</v>
      </c>
      <c r="AQ1005" s="273" t="str">
        <f t="shared" ca="1" si="294"/>
        <v>11900</v>
      </c>
    </row>
    <row r="1006" spans="2:43">
      <c r="V1006" s="340">
        <f t="shared" ca="1" si="297"/>
        <v>1</v>
      </c>
      <c r="W1006" s="594">
        <f t="shared" ca="1" si="298"/>
        <v>1900</v>
      </c>
      <c r="X1006" s="340" t="str">
        <f t="shared" ca="1" si="296"/>
        <v>0 WEEK</v>
      </c>
      <c r="Y1006" s="794">
        <f t="shared" si="299"/>
        <v>0</v>
      </c>
      <c r="Z1006" s="541" cm="1">
        <f t="array" aca="1" ref="Z1006" ca="1">_xlfn.IFS(AD1006&lt;100,Y1006,Y1006&lt;TODAY(),TODAY(),Y1006&gt;TODAY(),Y1006,Y1006=TODAY(),Y1006)</f>
        <v>0</v>
      </c>
      <c r="AD1006" s="298">
        <f t="shared" si="288"/>
        <v>0</v>
      </c>
      <c r="AE1006" s="299" t="str">
        <f t="shared" si="289"/>
        <v>Complete</v>
      </c>
      <c r="AI1006" s="301">
        <f t="shared" ca="1" si="286"/>
        <v>0</v>
      </c>
      <c r="AJ1006" s="302">
        <f t="shared" ca="1" si="287"/>
        <v>0</v>
      </c>
      <c r="AL1006" s="303">
        <f t="shared" si="290"/>
        <v>0</v>
      </c>
      <c r="AM1006" s="303">
        <f t="shared" si="291"/>
        <v>0</v>
      </c>
      <c r="AN1006" s="303">
        <f t="shared" si="292"/>
        <v>0</v>
      </c>
      <c r="AO1006" s="304">
        <f t="shared" si="293"/>
        <v>0</v>
      </c>
      <c r="AP1006" s="273">
        <f t="shared" si="295"/>
        <v>1</v>
      </c>
      <c r="AQ1006" s="273" t="str">
        <f t="shared" ca="1" si="294"/>
        <v>11900</v>
      </c>
    </row>
    <row r="1007" spans="2:43">
      <c r="B1007" s="273" t="s">
        <v>2540</v>
      </c>
      <c r="G1007" s="306">
        <v>1098000</v>
      </c>
      <c r="H1007" s="307">
        <v>197640</v>
      </c>
      <c r="I1007" s="308">
        <v>1295640</v>
      </c>
      <c r="O1007" s="862" t="s">
        <v>2543</v>
      </c>
      <c r="Q1007" s="273" t="s">
        <v>2548</v>
      </c>
      <c r="R1007" s="314">
        <v>647820</v>
      </c>
      <c r="V1007" s="340">
        <f t="shared" ca="1" si="297"/>
        <v>1</v>
      </c>
      <c r="W1007" s="594">
        <f t="shared" ca="1" si="298"/>
        <v>1900</v>
      </c>
      <c r="X1007" s="340" t="str">
        <f t="shared" ca="1" si="296"/>
        <v>0 WEEK</v>
      </c>
      <c r="Y1007" s="794">
        <f t="shared" si="299"/>
        <v>0</v>
      </c>
      <c r="Z1007" s="541" cm="1">
        <f t="array" aca="1" ref="Z1007" ca="1">_xlfn.IFS(AD1007&lt;100,Y1007,Y1007&lt;TODAY(),TODAY(),Y1007&gt;TODAY(),Y1007,Y1007=TODAY(),Y1007)</f>
        <v>0</v>
      </c>
      <c r="AD1007" s="298">
        <f t="shared" si="288"/>
        <v>0</v>
      </c>
      <c r="AE1007" s="299" t="str">
        <f t="shared" si="289"/>
        <v>Complete</v>
      </c>
      <c r="AI1007" s="301">
        <f t="shared" ca="1" si="286"/>
        <v>0</v>
      </c>
      <c r="AJ1007" s="302">
        <f t="shared" ca="1" si="287"/>
        <v>0</v>
      </c>
      <c r="AL1007" s="303">
        <f t="shared" si="290"/>
        <v>1295640</v>
      </c>
      <c r="AM1007" s="303">
        <f t="shared" si="291"/>
        <v>647820</v>
      </c>
      <c r="AN1007" s="303">
        <f t="shared" si="292"/>
        <v>647820</v>
      </c>
      <c r="AO1007" s="304">
        <f t="shared" si="293"/>
        <v>0</v>
      </c>
      <c r="AP1007" s="273">
        <f t="shared" si="295"/>
        <v>1</v>
      </c>
      <c r="AQ1007" s="273" t="str">
        <f t="shared" ca="1" si="294"/>
        <v>11900</v>
      </c>
    </row>
    <row r="1008" spans="2:43">
      <c r="B1008" s="273" t="s">
        <v>2540</v>
      </c>
      <c r="Q1008" s="273" t="s">
        <v>2544</v>
      </c>
      <c r="R1008" s="314">
        <v>518256</v>
      </c>
      <c r="V1008" s="340">
        <f t="shared" ca="1" si="297"/>
        <v>1</v>
      </c>
      <c r="W1008" s="594">
        <f t="shared" ca="1" si="298"/>
        <v>1900</v>
      </c>
      <c r="X1008" s="340" t="str">
        <f t="shared" ca="1" si="296"/>
        <v>0 WEEK</v>
      </c>
      <c r="Y1008" s="794">
        <f t="shared" si="299"/>
        <v>0</v>
      </c>
      <c r="Z1008" s="541" cm="1">
        <f t="array" aca="1" ref="Z1008" ca="1">_xlfn.IFS(AD1008&lt;100,Y1008,Y1008&lt;TODAY(),TODAY(),Y1008&gt;TODAY(),Y1008,Y1008=TODAY(),Y1008)</f>
        <v>0</v>
      </c>
      <c r="AD1008" s="298">
        <f t="shared" si="288"/>
        <v>0</v>
      </c>
      <c r="AE1008" s="299" t="str">
        <f t="shared" si="289"/>
        <v>Complete</v>
      </c>
      <c r="AI1008" s="301">
        <f t="shared" ca="1" si="286"/>
        <v>0</v>
      </c>
      <c r="AJ1008" s="302">
        <f t="shared" ca="1" si="287"/>
        <v>0</v>
      </c>
      <c r="AL1008" s="303">
        <f t="shared" si="290"/>
        <v>0</v>
      </c>
      <c r="AM1008" s="303">
        <f t="shared" si="291"/>
        <v>-518256</v>
      </c>
      <c r="AN1008" s="303">
        <f t="shared" si="292"/>
        <v>518256</v>
      </c>
      <c r="AO1008" s="304">
        <f t="shared" si="293"/>
        <v>0</v>
      </c>
      <c r="AP1008" s="273">
        <f t="shared" si="295"/>
        <v>1</v>
      </c>
      <c r="AQ1008" s="273" t="str">
        <f t="shared" ca="1" si="294"/>
        <v>11900</v>
      </c>
    </row>
    <row r="1009" spans="2:43">
      <c r="B1009" s="273" t="s">
        <v>2540</v>
      </c>
      <c r="Q1009" s="273" t="s">
        <v>2557</v>
      </c>
      <c r="R1009" s="314">
        <v>64782</v>
      </c>
      <c r="V1009" s="340">
        <f t="shared" ca="1" si="297"/>
        <v>1</v>
      </c>
      <c r="W1009" s="594">
        <f t="shared" ca="1" si="298"/>
        <v>1900</v>
      </c>
      <c r="X1009" s="340" t="str">
        <f t="shared" ca="1" si="296"/>
        <v>0 WEEK</v>
      </c>
      <c r="Y1009" s="794">
        <f t="shared" si="299"/>
        <v>0</v>
      </c>
      <c r="Z1009" s="541" cm="1">
        <f t="array" aca="1" ref="Z1009" ca="1">_xlfn.IFS(AD1009&lt;100,Y1009,Y1009&lt;TODAY(),TODAY(),Y1009&gt;TODAY(),Y1009,Y1009=TODAY(),Y1009)</f>
        <v>0</v>
      </c>
      <c r="AD1009" s="298">
        <f t="shared" si="288"/>
        <v>0</v>
      </c>
      <c r="AE1009" s="299" t="str">
        <f t="shared" si="289"/>
        <v>Complete</v>
      </c>
      <c r="AI1009" s="301">
        <f t="shared" ca="1" si="286"/>
        <v>0</v>
      </c>
      <c r="AJ1009" s="302">
        <f t="shared" ca="1" si="287"/>
        <v>0</v>
      </c>
      <c r="AL1009" s="303">
        <f t="shared" si="290"/>
        <v>0</v>
      </c>
      <c r="AM1009" s="303">
        <f t="shared" si="291"/>
        <v>-64782</v>
      </c>
      <c r="AN1009" s="303">
        <f t="shared" si="292"/>
        <v>64782</v>
      </c>
      <c r="AO1009" s="304">
        <f t="shared" si="293"/>
        <v>0</v>
      </c>
      <c r="AP1009" s="273">
        <f t="shared" si="295"/>
        <v>1</v>
      </c>
      <c r="AQ1009" s="273" t="str">
        <f t="shared" ca="1" si="294"/>
        <v>11900</v>
      </c>
    </row>
    <row r="1010" spans="2:43">
      <c r="B1010" s="273" t="s">
        <v>2540</v>
      </c>
      <c r="Q1010" s="273" t="s">
        <v>2558</v>
      </c>
      <c r="R1010" s="314">
        <v>64782</v>
      </c>
      <c r="V1010" s="340">
        <f t="shared" ca="1" si="297"/>
        <v>1</v>
      </c>
      <c r="W1010" s="594">
        <f t="shared" ca="1" si="298"/>
        <v>1900</v>
      </c>
      <c r="X1010" s="340" t="str">
        <f t="shared" ca="1" si="296"/>
        <v>0 WEEK</v>
      </c>
      <c r="Y1010" s="794">
        <f t="shared" si="299"/>
        <v>0</v>
      </c>
      <c r="Z1010" s="541" cm="1">
        <f t="array" aca="1" ref="Z1010" ca="1">_xlfn.IFS(AD1010&lt;100,Y1010,Y1010&lt;TODAY(),TODAY(),Y1010&gt;TODAY(),Y1010,Y1010=TODAY(),Y1010)</f>
        <v>0</v>
      </c>
      <c r="AD1010" s="298">
        <f t="shared" si="288"/>
        <v>0</v>
      </c>
      <c r="AE1010" s="299" t="str">
        <f t="shared" si="289"/>
        <v>Complete</v>
      </c>
      <c r="AI1010" s="301">
        <f t="shared" ca="1" si="286"/>
        <v>0</v>
      </c>
      <c r="AJ1010" s="302">
        <f t="shared" ca="1" si="287"/>
        <v>0</v>
      </c>
      <c r="AL1010" s="303">
        <f t="shared" si="290"/>
        <v>0</v>
      </c>
      <c r="AM1010" s="303">
        <f t="shared" si="291"/>
        <v>-64782</v>
      </c>
      <c r="AN1010" s="303">
        <f t="shared" si="292"/>
        <v>64782</v>
      </c>
      <c r="AO1010" s="304">
        <f t="shared" si="293"/>
        <v>0</v>
      </c>
      <c r="AP1010" s="273">
        <f t="shared" si="295"/>
        <v>1</v>
      </c>
      <c r="AQ1010" s="273" t="str">
        <f t="shared" ca="1" si="294"/>
        <v>11900</v>
      </c>
    </row>
    <row r="1011" spans="2:43">
      <c r="B1011" s="273" t="s">
        <v>2540</v>
      </c>
      <c r="G1011" s="306">
        <v>486000</v>
      </c>
      <c r="H1011" s="307">
        <v>87480</v>
      </c>
      <c r="I1011" s="308">
        <v>573480</v>
      </c>
      <c r="O1011" s="862" t="s">
        <v>2560</v>
      </c>
      <c r="Q1011" s="273" t="s">
        <v>2548</v>
      </c>
      <c r="R1011" s="314">
        <v>286740</v>
      </c>
      <c r="V1011" s="340">
        <f t="shared" ca="1" si="297"/>
        <v>1</v>
      </c>
      <c r="W1011" s="594">
        <f t="shared" ca="1" si="298"/>
        <v>1900</v>
      </c>
      <c r="X1011" s="340" t="str">
        <f t="shared" ca="1" si="296"/>
        <v>0 WEEK</v>
      </c>
      <c r="Y1011" s="794">
        <f t="shared" si="299"/>
        <v>0</v>
      </c>
      <c r="Z1011" s="541" cm="1">
        <f t="array" aca="1" ref="Z1011" ca="1">_xlfn.IFS(AD1011&lt;100,Y1011,Y1011&lt;TODAY(),TODAY(),Y1011&gt;TODAY(),Y1011,Y1011=TODAY(),Y1011)</f>
        <v>0</v>
      </c>
      <c r="AD1011" s="298">
        <f t="shared" si="288"/>
        <v>0</v>
      </c>
      <c r="AE1011" s="299" t="str">
        <f t="shared" si="289"/>
        <v>Complete</v>
      </c>
      <c r="AI1011" s="301">
        <f t="shared" ca="1" si="286"/>
        <v>0</v>
      </c>
      <c r="AJ1011" s="302">
        <f t="shared" ca="1" si="287"/>
        <v>0</v>
      </c>
      <c r="AL1011" s="303">
        <f t="shared" si="290"/>
        <v>573480</v>
      </c>
      <c r="AM1011" s="303">
        <f t="shared" si="291"/>
        <v>286740</v>
      </c>
      <c r="AN1011" s="303">
        <f t="shared" si="292"/>
        <v>286740</v>
      </c>
      <c r="AO1011" s="304">
        <f t="shared" si="293"/>
        <v>0</v>
      </c>
      <c r="AP1011" s="273">
        <f t="shared" si="295"/>
        <v>1</v>
      </c>
      <c r="AQ1011" s="273" t="str">
        <f t="shared" ca="1" si="294"/>
        <v>11900</v>
      </c>
    </row>
    <row r="1012" spans="2:43">
      <c r="B1012" s="273" t="s">
        <v>2540</v>
      </c>
      <c r="Q1012" s="273" t="s">
        <v>2544</v>
      </c>
      <c r="R1012" s="314">
        <v>229392</v>
      </c>
      <c r="V1012" s="340">
        <f t="shared" ca="1" si="297"/>
        <v>1</v>
      </c>
      <c r="W1012" s="594">
        <f t="shared" ca="1" si="298"/>
        <v>1900</v>
      </c>
      <c r="X1012" s="340" t="str">
        <f t="shared" ca="1" si="296"/>
        <v>0 WEEK</v>
      </c>
      <c r="Y1012" s="794">
        <f t="shared" si="299"/>
        <v>0</v>
      </c>
      <c r="Z1012" s="541" cm="1">
        <f t="array" aca="1" ref="Z1012" ca="1">_xlfn.IFS(AD1012&lt;100,Y1012,Y1012&lt;TODAY(),TODAY(),Y1012&gt;TODAY(),Y1012,Y1012=TODAY(),Y1012)</f>
        <v>0</v>
      </c>
      <c r="AD1012" s="298">
        <f t="shared" si="288"/>
        <v>0</v>
      </c>
      <c r="AE1012" s="299" t="str">
        <f t="shared" si="289"/>
        <v>Complete</v>
      </c>
      <c r="AI1012" s="301">
        <f t="shared" ca="1" si="286"/>
        <v>0</v>
      </c>
      <c r="AJ1012" s="302">
        <f t="shared" ca="1" si="287"/>
        <v>0</v>
      </c>
      <c r="AL1012" s="303">
        <f t="shared" si="290"/>
        <v>0</v>
      </c>
      <c r="AM1012" s="303">
        <f t="shared" si="291"/>
        <v>-229392</v>
      </c>
      <c r="AN1012" s="303">
        <f t="shared" si="292"/>
        <v>229392</v>
      </c>
      <c r="AO1012" s="304">
        <f t="shared" si="293"/>
        <v>0</v>
      </c>
      <c r="AP1012" s="273">
        <f t="shared" si="295"/>
        <v>1</v>
      </c>
      <c r="AQ1012" s="273" t="str">
        <f t="shared" ca="1" si="294"/>
        <v>11900</v>
      </c>
    </row>
    <row r="1013" spans="2:43">
      <c r="B1013" s="273" t="s">
        <v>2540</v>
      </c>
      <c r="Q1013" s="273" t="s">
        <v>2558</v>
      </c>
      <c r="R1013" s="314">
        <v>57348</v>
      </c>
      <c r="V1013" s="340">
        <f t="shared" ca="1" si="297"/>
        <v>1</v>
      </c>
      <c r="W1013" s="594">
        <f t="shared" ca="1" si="298"/>
        <v>1900</v>
      </c>
      <c r="X1013" s="340" t="str">
        <f t="shared" ca="1" si="296"/>
        <v>0 WEEK</v>
      </c>
      <c r="Y1013" s="794">
        <f t="shared" si="299"/>
        <v>0</v>
      </c>
      <c r="Z1013" s="541" cm="1">
        <f t="array" aca="1" ref="Z1013" ca="1">_xlfn.IFS(AD1013&lt;100,Y1013,Y1013&lt;TODAY(),TODAY(),Y1013&gt;TODAY(),Y1013,Y1013=TODAY(),Y1013)</f>
        <v>0</v>
      </c>
      <c r="AD1013" s="298">
        <f t="shared" si="288"/>
        <v>0</v>
      </c>
      <c r="AE1013" s="299" t="str">
        <f t="shared" si="289"/>
        <v>Complete</v>
      </c>
      <c r="AI1013" s="301">
        <f t="shared" ca="1" si="286"/>
        <v>0</v>
      </c>
      <c r="AJ1013" s="302">
        <f t="shared" ca="1" si="287"/>
        <v>0</v>
      </c>
      <c r="AL1013" s="303">
        <f t="shared" si="290"/>
        <v>0</v>
      </c>
      <c r="AM1013" s="303">
        <f t="shared" si="291"/>
        <v>-57348</v>
      </c>
      <c r="AN1013" s="303">
        <f t="shared" si="292"/>
        <v>57348</v>
      </c>
      <c r="AO1013" s="304">
        <f t="shared" si="293"/>
        <v>0</v>
      </c>
      <c r="AP1013" s="273">
        <f t="shared" si="295"/>
        <v>1</v>
      </c>
      <c r="AQ1013" s="273" t="str">
        <f t="shared" ca="1" si="294"/>
        <v>11900</v>
      </c>
    </row>
    <row r="1014" spans="2:43">
      <c r="B1014" s="273" t="s">
        <v>2540</v>
      </c>
      <c r="G1014" s="306">
        <v>144000</v>
      </c>
      <c r="H1014" s="307">
        <v>25920</v>
      </c>
      <c r="I1014" s="308">
        <v>169920</v>
      </c>
      <c r="O1014" s="862" t="s">
        <v>2547</v>
      </c>
      <c r="Q1014" s="273" t="s">
        <v>2548</v>
      </c>
      <c r="R1014" s="314">
        <v>84960</v>
      </c>
      <c r="V1014" s="340">
        <f t="shared" ca="1" si="297"/>
        <v>1</v>
      </c>
      <c r="W1014" s="594">
        <f t="shared" ca="1" si="298"/>
        <v>1900</v>
      </c>
      <c r="X1014" s="340" t="str">
        <f t="shared" ca="1" si="296"/>
        <v>0 WEEK</v>
      </c>
      <c r="Y1014" s="794">
        <f t="shared" si="299"/>
        <v>0</v>
      </c>
      <c r="Z1014" s="541" cm="1">
        <f t="array" aca="1" ref="Z1014" ca="1">_xlfn.IFS(AD1014&lt;100,Y1014,Y1014&lt;TODAY(),TODAY(),Y1014&gt;TODAY(),Y1014,Y1014=TODAY(),Y1014)</f>
        <v>0</v>
      </c>
      <c r="AD1014" s="298">
        <f t="shared" si="288"/>
        <v>0</v>
      </c>
      <c r="AE1014" s="299" t="str">
        <f t="shared" si="289"/>
        <v>Complete</v>
      </c>
      <c r="AI1014" s="301">
        <f t="shared" ca="1" si="286"/>
        <v>0</v>
      </c>
      <c r="AJ1014" s="302">
        <f t="shared" ca="1" si="287"/>
        <v>0</v>
      </c>
      <c r="AL1014" s="303">
        <f t="shared" si="290"/>
        <v>169920</v>
      </c>
      <c r="AM1014" s="303">
        <f t="shared" si="291"/>
        <v>84960</v>
      </c>
      <c r="AN1014" s="303">
        <f t="shared" si="292"/>
        <v>84960</v>
      </c>
      <c r="AO1014" s="304">
        <f t="shared" si="293"/>
        <v>0</v>
      </c>
      <c r="AP1014" s="273">
        <f t="shared" si="295"/>
        <v>1</v>
      </c>
      <c r="AQ1014" s="273" t="str">
        <f t="shared" ca="1" si="294"/>
        <v>11900</v>
      </c>
    </row>
    <row r="1015" spans="2:43">
      <c r="B1015" s="273" t="s">
        <v>2540</v>
      </c>
      <c r="Q1015" s="273" t="s">
        <v>2557</v>
      </c>
      <c r="R1015" s="314">
        <v>50976</v>
      </c>
      <c r="V1015" s="340">
        <f t="shared" ca="1" si="297"/>
        <v>1</v>
      </c>
      <c r="W1015" s="594">
        <f t="shared" ca="1" si="298"/>
        <v>1900</v>
      </c>
      <c r="X1015" s="340" t="str">
        <f t="shared" ca="1" si="296"/>
        <v>0 WEEK</v>
      </c>
      <c r="Y1015" s="794">
        <f t="shared" si="299"/>
        <v>0</v>
      </c>
      <c r="Z1015" s="541" cm="1">
        <f t="array" aca="1" ref="Z1015" ca="1">_xlfn.IFS(AD1015&lt;100,Y1015,Y1015&lt;TODAY(),TODAY(),Y1015&gt;TODAY(),Y1015,Y1015=TODAY(),Y1015)</f>
        <v>0</v>
      </c>
      <c r="AD1015" s="298">
        <f t="shared" si="288"/>
        <v>0</v>
      </c>
      <c r="AE1015" s="299" t="str">
        <f t="shared" si="289"/>
        <v>Complete</v>
      </c>
      <c r="AI1015" s="301">
        <f t="shared" ca="1" si="286"/>
        <v>0</v>
      </c>
      <c r="AJ1015" s="302">
        <f t="shared" ca="1" si="287"/>
        <v>0</v>
      </c>
      <c r="AL1015" s="303">
        <f t="shared" si="290"/>
        <v>0</v>
      </c>
      <c r="AM1015" s="303">
        <f t="shared" si="291"/>
        <v>-50976</v>
      </c>
      <c r="AN1015" s="303">
        <f t="shared" si="292"/>
        <v>50976</v>
      </c>
      <c r="AO1015" s="304">
        <f t="shared" si="293"/>
        <v>0</v>
      </c>
      <c r="AP1015" s="273">
        <f t="shared" si="295"/>
        <v>1</v>
      </c>
      <c r="AQ1015" s="273" t="str">
        <f t="shared" ca="1" si="294"/>
        <v>11900</v>
      </c>
    </row>
    <row r="1016" spans="2:43">
      <c r="B1016" s="273" t="s">
        <v>2540</v>
      </c>
      <c r="Q1016" s="273" t="s">
        <v>2558</v>
      </c>
      <c r="R1016" s="314">
        <v>33984</v>
      </c>
      <c r="V1016" s="340">
        <f t="shared" ca="1" si="297"/>
        <v>1</v>
      </c>
      <c r="W1016" s="594">
        <f t="shared" ca="1" si="298"/>
        <v>1900</v>
      </c>
      <c r="X1016" s="340" t="str">
        <f t="shared" ca="1" si="296"/>
        <v>0 WEEK</v>
      </c>
      <c r="Y1016" s="794">
        <f t="shared" si="299"/>
        <v>0</v>
      </c>
      <c r="Z1016" s="541" cm="1">
        <f t="array" aca="1" ref="Z1016" ca="1">_xlfn.IFS(AD1016&lt;100,Y1016,Y1016&lt;TODAY(),TODAY(),Y1016&gt;TODAY(),Y1016,Y1016=TODAY(),Y1016)</f>
        <v>0</v>
      </c>
      <c r="AD1016" s="298">
        <f t="shared" si="288"/>
        <v>0</v>
      </c>
      <c r="AE1016" s="299" t="str">
        <f t="shared" si="289"/>
        <v>Complete</v>
      </c>
      <c r="AI1016" s="301">
        <f t="shared" ca="1" si="286"/>
        <v>0</v>
      </c>
      <c r="AJ1016" s="302">
        <f t="shared" ca="1" si="287"/>
        <v>0</v>
      </c>
      <c r="AL1016" s="303">
        <f t="shared" si="290"/>
        <v>0</v>
      </c>
      <c r="AM1016" s="303">
        <f t="shared" si="291"/>
        <v>-33984</v>
      </c>
      <c r="AN1016" s="303">
        <f t="shared" si="292"/>
        <v>33984</v>
      </c>
      <c r="AO1016" s="304">
        <f t="shared" si="293"/>
        <v>0</v>
      </c>
      <c r="AP1016" s="273">
        <f t="shared" si="295"/>
        <v>1</v>
      </c>
      <c r="AQ1016" s="273" t="str">
        <f t="shared" ca="1" si="294"/>
        <v>11900</v>
      </c>
    </row>
    <row r="1017" spans="2:43">
      <c r="B1017" s="273" t="s">
        <v>2540</v>
      </c>
      <c r="G1017" s="306">
        <v>72000</v>
      </c>
      <c r="H1017" s="307">
        <v>12960</v>
      </c>
      <c r="I1017" s="308">
        <v>84960</v>
      </c>
      <c r="O1017" s="862" t="s">
        <v>1835</v>
      </c>
      <c r="Q1017" s="273" t="s">
        <v>2548</v>
      </c>
      <c r="R1017" s="314">
        <v>42480</v>
      </c>
      <c r="V1017" s="340">
        <f t="shared" ca="1" si="297"/>
        <v>1</v>
      </c>
      <c r="W1017" s="594">
        <f t="shared" ca="1" si="298"/>
        <v>1900</v>
      </c>
      <c r="X1017" s="340" t="str">
        <f t="shared" ca="1" si="296"/>
        <v>0 WEEK</v>
      </c>
      <c r="Y1017" s="794">
        <f t="shared" si="299"/>
        <v>0</v>
      </c>
      <c r="Z1017" s="541" cm="1">
        <f t="array" aca="1" ref="Z1017" ca="1">_xlfn.IFS(AD1017&lt;100,Y1017,Y1017&lt;TODAY(),TODAY(),Y1017&gt;TODAY(),Y1017,Y1017=TODAY(),Y1017)</f>
        <v>0</v>
      </c>
      <c r="AD1017" s="298">
        <f t="shared" si="288"/>
        <v>0</v>
      </c>
      <c r="AE1017" s="299" t="str">
        <f t="shared" si="289"/>
        <v>Complete</v>
      </c>
      <c r="AI1017" s="301">
        <f t="shared" ca="1" si="286"/>
        <v>0</v>
      </c>
      <c r="AJ1017" s="302">
        <f t="shared" ca="1" si="287"/>
        <v>0</v>
      </c>
      <c r="AL1017" s="303">
        <f t="shared" si="290"/>
        <v>84960</v>
      </c>
      <c r="AM1017" s="303">
        <f t="shared" si="291"/>
        <v>42480</v>
      </c>
      <c r="AN1017" s="303">
        <f t="shared" si="292"/>
        <v>42480</v>
      </c>
      <c r="AO1017" s="304">
        <f t="shared" si="293"/>
        <v>0</v>
      </c>
      <c r="AP1017" s="273">
        <f t="shared" si="295"/>
        <v>1</v>
      </c>
      <c r="AQ1017" s="273" t="str">
        <f t="shared" ca="1" si="294"/>
        <v>11900</v>
      </c>
    </row>
    <row r="1018" spans="2:43">
      <c r="B1018" s="273" t="s">
        <v>2540</v>
      </c>
      <c r="Q1018" s="273" t="s">
        <v>2557</v>
      </c>
      <c r="R1018" s="314">
        <v>33984</v>
      </c>
      <c r="V1018" s="340">
        <f t="shared" ca="1" si="297"/>
        <v>1</v>
      </c>
      <c r="W1018" s="594">
        <f t="shared" ca="1" si="298"/>
        <v>1900</v>
      </c>
      <c r="X1018" s="340" t="str">
        <f t="shared" ca="1" si="296"/>
        <v>0 WEEK</v>
      </c>
      <c r="Y1018" s="794">
        <f t="shared" si="299"/>
        <v>0</v>
      </c>
      <c r="Z1018" s="541" cm="1">
        <f t="array" aca="1" ref="Z1018" ca="1">_xlfn.IFS(AD1018&lt;100,Y1018,Y1018&lt;TODAY(),TODAY(),Y1018&gt;TODAY(),Y1018,Y1018=TODAY(),Y1018)</f>
        <v>0</v>
      </c>
      <c r="AD1018" s="298">
        <f t="shared" si="288"/>
        <v>0</v>
      </c>
      <c r="AE1018" s="299" t="str">
        <f t="shared" si="289"/>
        <v>Complete</v>
      </c>
      <c r="AI1018" s="301">
        <f t="shared" ca="1" si="286"/>
        <v>0</v>
      </c>
      <c r="AJ1018" s="302">
        <f t="shared" ca="1" si="287"/>
        <v>0</v>
      </c>
      <c r="AL1018" s="303">
        <f t="shared" si="290"/>
        <v>0</v>
      </c>
      <c r="AM1018" s="303">
        <f t="shared" si="291"/>
        <v>-33984</v>
      </c>
      <c r="AN1018" s="303">
        <f t="shared" si="292"/>
        <v>33984</v>
      </c>
      <c r="AO1018" s="304">
        <f t="shared" si="293"/>
        <v>0</v>
      </c>
      <c r="AP1018" s="273">
        <f t="shared" si="295"/>
        <v>1</v>
      </c>
      <c r="AQ1018" s="273" t="str">
        <f t="shared" ca="1" si="294"/>
        <v>11900</v>
      </c>
    </row>
    <row r="1019" spans="2:43">
      <c r="B1019" s="273" t="s">
        <v>2540</v>
      </c>
      <c r="Q1019" s="273" t="s">
        <v>2558</v>
      </c>
      <c r="R1019" s="314">
        <v>8496</v>
      </c>
      <c r="V1019" s="340">
        <f t="shared" ca="1" si="297"/>
        <v>1</v>
      </c>
      <c r="W1019" s="594">
        <f t="shared" ca="1" si="298"/>
        <v>1900</v>
      </c>
      <c r="X1019" s="340" t="str">
        <f t="shared" ca="1" si="296"/>
        <v>0 WEEK</v>
      </c>
      <c r="Y1019" s="794">
        <f t="shared" si="299"/>
        <v>0</v>
      </c>
      <c r="Z1019" s="541" cm="1">
        <f t="array" aca="1" ref="Z1019" ca="1">_xlfn.IFS(AD1019&lt;100,Y1019,Y1019&lt;TODAY(),TODAY(),Y1019&gt;TODAY(),Y1019,Y1019=TODAY(),Y1019)</f>
        <v>0</v>
      </c>
      <c r="AD1019" s="298">
        <f t="shared" si="288"/>
        <v>0</v>
      </c>
      <c r="AE1019" s="299" t="str">
        <f t="shared" si="289"/>
        <v>Complete</v>
      </c>
      <c r="AI1019" s="301">
        <f t="shared" ca="1" si="286"/>
        <v>0</v>
      </c>
      <c r="AJ1019" s="302">
        <f t="shared" ca="1" si="287"/>
        <v>0</v>
      </c>
      <c r="AL1019" s="303">
        <f t="shared" si="290"/>
        <v>0</v>
      </c>
      <c r="AM1019" s="303">
        <f t="shared" si="291"/>
        <v>-8496</v>
      </c>
      <c r="AN1019" s="303">
        <f t="shared" si="292"/>
        <v>8496</v>
      </c>
      <c r="AO1019" s="304">
        <f t="shared" si="293"/>
        <v>0</v>
      </c>
      <c r="AP1019" s="273">
        <f t="shared" si="295"/>
        <v>1</v>
      </c>
      <c r="AQ1019" s="273" t="str">
        <f t="shared" ca="1" si="294"/>
        <v>11900</v>
      </c>
    </row>
    <row r="1020" spans="2:43">
      <c r="B1020" s="273" t="s">
        <v>2540</v>
      </c>
      <c r="G1020" s="306">
        <v>36000</v>
      </c>
      <c r="H1020" s="307">
        <v>6480</v>
      </c>
      <c r="I1020" s="308">
        <v>42480</v>
      </c>
      <c r="O1020" s="862" t="s">
        <v>2549</v>
      </c>
      <c r="Q1020" s="273" t="s">
        <v>2548</v>
      </c>
      <c r="R1020" s="314">
        <v>21240</v>
      </c>
      <c r="V1020" s="340">
        <f t="shared" ca="1" si="297"/>
        <v>1</v>
      </c>
      <c r="W1020" s="594">
        <f t="shared" ca="1" si="298"/>
        <v>1900</v>
      </c>
      <c r="X1020" s="340" t="str">
        <f t="shared" ca="1" si="296"/>
        <v>0 WEEK</v>
      </c>
      <c r="Y1020" s="794">
        <f t="shared" si="299"/>
        <v>0</v>
      </c>
      <c r="Z1020" s="541" cm="1">
        <f t="array" aca="1" ref="Z1020" ca="1">_xlfn.IFS(AD1020&lt;100,Y1020,Y1020&lt;TODAY(),TODAY(),Y1020&gt;TODAY(),Y1020,Y1020=TODAY(),Y1020)</f>
        <v>0</v>
      </c>
      <c r="AD1020" s="298">
        <f t="shared" si="288"/>
        <v>0</v>
      </c>
      <c r="AE1020" s="299" t="str">
        <f t="shared" si="289"/>
        <v>Complete</v>
      </c>
      <c r="AI1020" s="301">
        <f t="shared" ca="1" si="286"/>
        <v>0</v>
      </c>
      <c r="AJ1020" s="302">
        <f t="shared" ca="1" si="287"/>
        <v>0</v>
      </c>
      <c r="AL1020" s="303">
        <f t="shared" si="290"/>
        <v>42480</v>
      </c>
      <c r="AM1020" s="303">
        <f t="shared" si="291"/>
        <v>21240</v>
      </c>
      <c r="AN1020" s="303">
        <f t="shared" si="292"/>
        <v>21240</v>
      </c>
      <c r="AO1020" s="304">
        <f t="shared" si="293"/>
        <v>0</v>
      </c>
      <c r="AP1020" s="273">
        <f t="shared" si="295"/>
        <v>1</v>
      </c>
      <c r="AQ1020" s="273" t="str">
        <f t="shared" ca="1" si="294"/>
        <v>11900</v>
      </c>
    </row>
    <row r="1021" spans="2:43">
      <c r="B1021" s="273" t="s">
        <v>2540</v>
      </c>
      <c r="Q1021" s="273" t="s">
        <v>2544</v>
      </c>
      <c r="R1021" s="314">
        <v>16992</v>
      </c>
      <c r="V1021" s="340">
        <f t="shared" ca="1" si="297"/>
        <v>1</v>
      </c>
      <c r="W1021" s="594">
        <f t="shared" ca="1" si="298"/>
        <v>1900</v>
      </c>
      <c r="X1021" s="340" t="str">
        <f t="shared" ca="1" si="296"/>
        <v>0 WEEK</v>
      </c>
      <c r="Y1021" s="794">
        <f t="shared" si="299"/>
        <v>0</v>
      </c>
      <c r="Z1021" s="541" cm="1">
        <f t="array" aca="1" ref="Z1021" ca="1">_xlfn.IFS(AD1021&lt;100,Y1021,Y1021&lt;TODAY(),TODAY(),Y1021&gt;TODAY(),Y1021,Y1021=TODAY(),Y1021)</f>
        <v>0</v>
      </c>
      <c r="AD1021" s="298">
        <f t="shared" si="288"/>
        <v>0</v>
      </c>
      <c r="AE1021" s="299" t="str">
        <f t="shared" si="289"/>
        <v>Complete</v>
      </c>
      <c r="AI1021" s="301">
        <f t="shared" ca="1" si="286"/>
        <v>0</v>
      </c>
      <c r="AJ1021" s="302">
        <f t="shared" ca="1" si="287"/>
        <v>0</v>
      </c>
      <c r="AL1021" s="303">
        <f t="shared" si="290"/>
        <v>0</v>
      </c>
      <c r="AM1021" s="303">
        <f t="shared" si="291"/>
        <v>-16992</v>
      </c>
      <c r="AN1021" s="303">
        <f t="shared" si="292"/>
        <v>16992</v>
      </c>
      <c r="AO1021" s="304">
        <f t="shared" si="293"/>
        <v>0</v>
      </c>
      <c r="AP1021" s="273">
        <f t="shared" si="295"/>
        <v>1</v>
      </c>
      <c r="AQ1021" s="273" t="str">
        <f t="shared" ca="1" si="294"/>
        <v>11900</v>
      </c>
    </row>
    <row r="1022" spans="2:43">
      <c r="B1022" s="273" t="s">
        <v>2540</v>
      </c>
      <c r="Q1022" s="273" t="s">
        <v>2558</v>
      </c>
      <c r="R1022" s="314">
        <v>4248</v>
      </c>
      <c r="V1022" s="340">
        <f t="shared" ca="1" si="297"/>
        <v>1</v>
      </c>
      <c r="W1022" s="594">
        <f t="shared" ca="1" si="298"/>
        <v>1900</v>
      </c>
      <c r="X1022" s="340" t="str">
        <f t="shared" ca="1" si="296"/>
        <v>0 WEEK</v>
      </c>
      <c r="Y1022" s="794">
        <f t="shared" si="299"/>
        <v>0</v>
      </c>
      <c r="Z1022" s="541" cm="1">
        <f t="array" aca="1" ref="Z1022" ca="1">_xlfn.IFS(AD1022&lt;100,Y1022,Y1022&lt;TODAY(),TODAY(),Y1022&gt;TODAY(),Y1022,Y1022=TODAY(),Y1022)</f>
        <v>0</v>
      </c>
      <c r="AD1022" s="298">
        <f t="shared" si="288"/>
        <v>0</v>
      </c>
      <c r="AE1022" s="299" t="str">
        <f t="shared" si="289"/>
        <v>Complete</v>
      </c>
      <c r="AI1022" s="301">
        <f t="shared" ca="1" si="286"/>
        <v>0</v>
      </c>
      <c r="AJ1022" s="302">
        <f t="shared" ca="1" si="287"/>
        <v>0</v>
      </c>
      <c r="AL1022" s="303">
        <f t="shared" si="290"/>
        <v>0</v>
      </c>
      <c r="AM1022" s="303">
        <f t="shared" si="291"/>
        <v>-4248</v>
      </c>
      <c r="AN1022" s="303">
        <f t="shared" si="292"/>
        <v>4248</v>
      </c>
      <c r="AO1022" s="304">
        <f t="shared" si="293"/>
        <v>0</v>
      </c>
      <c r="AP1022" s="273">
        <f t="shared" si="295"/>
        <v>1</v>
      </c>
      <c r="AQ1022" s="273" t="str">
        <f t="shared" ca="1" si="294"/>
        <v>11900</v>
      </c>
    </row>
    <row r="1023" spans="2:43">
      <c r="B1023" s="273" t="s">
        <v>2540</v>
      </c>
      <c r="G1023" s="306">
        <v>144000</v>
      </c>
      <c r="H1023" s="307">
        <v>25920</v>
      </c>
      <c r="I1023" s="308">
        <v>169920</v>
      </c>
      <c r="O1023" s="862" t="s">
        <v>2550</v>
      </c>
      <c r="Q1023" s="273" t="s">
        <v>2557</v>
      </c>
      <c r="R1023" s="314">
        <v>169920</v>
      </c>
      <c r="V1023" s="340">
        <f t="shared" ca="1" si="297"/>
        <v>1</v>
      </c>
      <c r="W1023" s="594">
        <f t="shared" ca="1" si="298"/>
        <v>1900</v>
      </c>
      <c r="X1023" s="340" t="str">
        <f t="shared" ca="1" si="296"/>
        <v>0 WEEK</v>
      </c>
      <c r="Y1023" s="794">
        <f t="shared" si="299"/>
        <v>0</v>
      </c>
      <c r="Z1023" s="541" cm="1">
        <f t="array" aca="1" ref="Z1023" ca="1">_xlfn.IFS(AD1023&lt;100,Y1023,Y1023&lt;TODAY(),TODAY(),Y1023&gt;TODAY(),Y1023,Y1023=TODAY(),Y1023)</f>
        <v>0</v>
      </c>
      <c r="AD1023" s="298">
        <f t="shared" si="288"/>
        <v>0</v>
      </c>
      <c r="AE1023" s="299" t="str">
        <f t="shared" si="289"/>
        <v>Complete</v>
      </c>
      <c r="AI1023" s="301">
        <f t="shared" ca="1" si="286"/>
        <v>0</v>
      </c>
      <c r="AJ1023" s="302">
        <f t="shared" ca="1" si="287"/>
        <v>0</v>
      </c>
      <c r="AL1023" s="303">
        <f t="shared" si="290"/>
        <v>169920</v>
      </c>
      <c r="AM1023" s="303">
        <f t="shared" si="291"/>
        <v>0</v>
      </c>
      <c r="AN1023" s="303">
        <f t="shared" si="292"/>
        <v>169920</v>
      </c>
      <c r="AO1023" s="304">
        <f t="shared" si="293"/>
        <v>0</v>
      </c>
      <c r="AP1023" s="273">
        <f t="shared" si="295"/>
        <v>1</v>
      </c>
      <c r="AQ1023" s="273" t="str">
        <f t="shared" ca="1" si="294"/>
        <v>11900</v>
      </c>
    </row>
    <row r="1024" spans="2:43">
      <c r="B1024" s="273" t="s">
        <v>2540</v>
      </c>
      <c r="G1024" s="306">
        <v>144000</v>
      </c>
      <c r="H1024" s="307">
        <v>25920</v>
      </c>
      <c r="I1024" s="308">
        <v>169920</v>
      </c>
      <c r="O1024" s="862" t="s">
        <v>2551</v>
      </c>
      <c r="Q1024" s="273" t="s">
        <v>2557</v>
      </c>
      <c r="R1024" s="314">
        <v>84960</v>
      </c>
      <c r="V1024" s="340">
        <f t="shared" ca="1" si="297"/>
        <v>1</v>
      </c>
      <c r="W1024" s="594">
        <f t="shared" ca="1" si="298"/>
        <v>1900</v>
      </c>
      <c r="X1024" s="340" t="str">
        <f t="shared" ca="1" si="296"/>
        <v>0 WEEK</v>
      </c>
      <c r="Y1024" s="794">
        <f t="shared" si="299"/>
        <v>0</v>
      </c>
      <c r="Z1024" s="541" cm="1">
        <f t="array" aca="1" ref="Z1024" ca="1">_xlfn.IFS(AD1024&lt;100,Y1024,Y1024&lt;TODAY(),TODAY(),Y1024&gt;TODAY(),Y1024,Y1024=TODAY(),Y1024)</f>
        <v>0</v>
      </c>
      <c r="AD1024" s="298">
        <f t="shared" si="288"/>
        <v>0</v>
      </c>
      <c r="AE1024" s="299" t="str">
        <f t="shared" si="289"/>
        <v>Complete</v>
      </c>
      <c r="AI1024" s="301">
        <f t="shared" ca="1" si="286"/>
        <v>0</v>
      </c>
      <c r="AJ1024" s="302">
        <f t="shared" ca="1" si="287"/>
        <v>0</v>
      </c>
      <c r="AL1024" s="303">
        <f t="shared" si="290"/>
        <v>169920</v>
      </c>
      <c r="AM1024" s="303">
        <f t="shared" si="291"/>
        <v>84960</v>
      </c>
      <c r="AN1024" s="303">
        <f t="shared" si="292"/>
        <v>84960</v>
      </c>
      <c r="AO1024" s="304">
        <f t="shared" si="293"/>
        <v>0</v>
      </c>
      <c r="AP1024" s="273">
        <f t="shared" si="295"/>
        <v>1</v>
      </c>
      <c r="AQ1024" s="273" t="str">
        <f t="shared" ca="1" si="294"/>
        <v>11900</v>
      </c>
    </row>
    <row r="1025" spans="2:43">
      <c r="B1025" s="273" t="s">
        <v>2540</v>
      </c>
      <c r="Q1025" s="273" t="s">
        <v>2558</v>
      </c>
      <c r="R1025" s="314">
        <v>84960</v>
      </c>
      <c r="V1025" s="340">
        <f t="shared" ca="1" si="297"/>
        <v>1</v>
      </c>
      <c r="W1025" s="594">
        <f t="shared" ca="1" si="298"/>
        <v>1900</v>
      </c>
      <c r="X1025" s="340" t="str">
        <f t="shared" ca="1" si="296"/>
        <v>0 WEEK</v>
      </c>
      <c r="Y1025" s="794">
        <f t="shared" si="299"/>
        <v>0</v>
      </c>
      <c r="Z1025" s="541" cm="1">
        <f t="array" aca="1" ref="Z1025" ca="1">_xlfn.IFS(AD1025&lt;100,Y1025,Y1025&lt;TODAY(),TODAY(),Y1025&gt;TODAY(),Y1025,Y1025=TODAY(),Y1025)</f>
        <v>0</v>
      </c>
      <c r="AD1025" s="298">
        <f t="shared" si="288"/>
        <v>0</v>
      </c>
      <c r="AE1025" s="299" t="str">
        <f t="shared" si="289"/>
        <v>Complete</v>
      </c>
      <c r="AI1025" s="301">
        <f t="shared" ca="1" si="286"/>
        <v>0</v>
      </c>
      <c r="AJ1025" s="302">
        <f t="shared" ca="1" si="287"/>
        <v>0</v>
      </c>
      <c r="AL1025" s="303">
        <f t="shared" si="290"/>
        <v>0</v>
      </c>
      <c r="AM1025" s="303">
        <f t="shared" si="291"/>
        <v>-84960</v>
      </c>
      <c r="AN1025" s="303">
        <f t="shared" si="292"/>
        <v>84960</v>
      </c>
      <c r="AO1025" s="304">
        <f t="shared" si="293"/>
        <v>0</v>
      </c>
      <c r="AP1025" s="273">
        <f t="shared" si="295"/>
        <v>1</v>
      </c>
      <c r="AQ1025" s="273" t="str">
        <f t="shared" ca="1" si="294"/>
        <v>11900</v>
      </c>
    </row>
    <row r="1026" spans="2:43">
      <c r="B1026" s="273" t="s">
        <v>2540</v>
      </c>
      <c r="G1026" s="306">
        <v>36000</v>
      </c>
      <c r="H1026" s="307">
        <v>6480</v>
      </c>
      <c r="I1026" s="308">
        <v>42480</v>
      </c>
      <c r="O1026" s="862" t="s">
        <v>2552</v>
      </c>
      <c r="Q1026" s="273" t="s">
        <v>2557</v>
      </c>
      <c r="R1026" s="314">
        <v>29736</v>
      </c>
      <c r="V1026" s="340">
        <f t="shared" ca="1" si="297"/>
        <v>1</v>
      </c>
      <c r="W1026" s="594">
        <f t="shared" ca="1" si="298"/>
        <v>1900</v>
      </c>
      <c r="X1026" s="340" t="str">
        <f t="shared" ca="1" si="296"/>
        <v>0 WEEK</v>
      </c>
      <c r="Y1026" s="794">
        <f t="shared" si="299"/>
        <v>0</v>
      </c>
      <c r="Z1026" s="541" cm="1">
        <f t="array" aca="1" ref="Z1026" ca="1">_xlfn.IFS(AD1026&lt;100,Y1026,Y1026&lt;TODAY(),TODAY(),Y1026&gt;TODAY(),Y1026,Y1026=TODAY(),Y1026)</f>
        <v>0</v>
      </c>
      <c r="AD1026" s="298">
        <f t="shared" si="288"/>
        <v>0</v>
      </c>
      <c r="AE1026" s="299" t="str">
        <f t="shared" si="289"/>
        <v>Complete</v>
      </c>
      <c r="AI1026" s="301">
        <f t="shared" ref="AI1026:AI1089" ca="1" si="300">Z1026-Y1026</f>
        <v>0</v>
      </c>
      <c r="AJ1026" s="302">
        <f t="shared" ref="AJ1026:AJ1089" ca="1" si="301">IF(AI1026&gt;1,"Delayed",0)</f>
        <v>0</v>
      </c>
      <c r="AL1026" s="303">
        <f t="shared" si="290"/>
        <v>42480</v>
      </c>
      <c r="AM1026" s="303">
        <f t="shared" si="291"/>
        <v>12744</v>
      </c>
      <c r="AN1026" s="303">
        <f t="shared" si="292"/>
        <v>29736</v>
      </c>
      <c r="AO1026" s="304">
        <f t="shared" si="293"/>
        <v>0</v>
      </c>
      <c r="AP1026" s="273">
        <f t="shared" si="295"/>
        <v>1</v>
      </c>
      <c r="AQ1026" s="273" t="str">
        <f t="shared" ca="1" si="294"/>
        <v>11900</v>
      </c>
    </row>
    <row r="1027" spans="2:43">
      <c r="B1027" s="273" t="s">
        <v>2540</v>
      </c>
      <c r="Q1027" s="273" t="s">
        <v>2558</v>
      </c>
      <c r="R1027" s="314">
        <v>12744</v>
      </c>
      <c r="V1027" s="340">
        <f t="shared" ca="1" si="297"/>
        <v>1</v>
      </c>
      <c r="W1027" s="594">
        <f t="shared" ca="1" si="298"/>
        <v>1900</v>
      </c>
      <c r="X1027" s="340" t="str">
        <f t="shared" ca="1" si="296"/>
        <v>0 WEEK</v>
      </c>
      <c r="Y1027" s="794">
        <f t="shared" si="299"/>
        <v>0</v>
      </c>
      <c r="Z1027" s="541" cm="1">
        <f t="array" aca="1" ref="Z1027" ca="1">_xlfn.IFS(AD1027&lt;100,Y1027,Y1027&lt;TODAY(),TODAY(),Y1027&gt;TODAY(),Y1027,Y1027=TODAY(),Y1027)</f>
        <v>0</v>
      </c>
      <c r="AD1027" s="298">
        <f t="shared" ref="AD1027:AD1090" si="302">ROUND(AA1027-AB1027-AC1027,0)</f>
        <v>0</v>
      </c>
      <c r="AE1027" s="299" t="str">
        <f t="shared" ref="AE1027:AE1090" si="303">IF(AD1027&lt;100,"Complete","Incomplete")</f>
        <v>Complete</v>
      </c>
      <c r="AI1027" s="301">
        <f t="shared" ca="1" si="300"/>
        <v>0</v>
      </c>
      <c r="AJ1027" s="302">
        <f t="shared" ca="1" si="301"/>
        <v>0</v>
      </c>
      <c r="AL1027" s="303">
        <f t="shared" ref="AL1027:AL1090" si="304">I1027-J1027</f>
        <v>0</v>
      </c>
      <c r="AM1027" s="303">
        <f t="shared" ref="AM1027:AM1090" si="305">IFERROR(I1027-R1027,0)</f>
        <v>-12744</v>
      </c>
      <c r="AN1027" s="303">
        <f t="shared" ref="AN1027:AN1090" si="306">IFERROR(R1027-J1027,0)</f>
        <v>12744</v>
      </c>
      <c r="AO1027" s="304">
        <f t="shared" ref="AO1027:AO1090" si="307">IFERROR(P1027/J1027,0)</f>
        <v>0</v>
      </c>
      <c r="AP1027" s="273">
        <f t="shared" si="295"/>
        <v>1</v>
      </c>
      <c r="AQ1027" s="273" t="str">
        <f t="shared" ref="AQ1027:AQ1090" ca="1" si="308">AP1027&amp;W1027</f>
        <v>11900</v>
      </c>
    </row>
    <row r="1028" spans="2:43">
      <c r="B1028" s="273" t="s">
        <v>2540</v>
      </c>
      <c r="G1028" s="306">
        <v>216000</v>
      </c>
      <c r="H1028" s="307">
        <v>38880</v>
      </c>
      <c r="I1028" s="308">
        <v>254880</v>
      </c>
      <c r="O1028" s="862" t="s">
        <v>2553</v>
      </c>
      <c r="Q1028" s="273" t="s">
        <v>2558</v>
      </c>
      <c r="R1028" s="314">
        <v>254880</v>
      </c>
      <c r="V1028" s="340">
        <f t="shared" ca="1" si="297"/>
        <v>1</v>
      </c>
      <c r="W1028" s="594">
        <f t="shared" ca="1" si="298"/>
        <v>1900</v>
      </c>
      <c r="X1028" s="340" t="str">
        <f t="shared" ca="1" si="296"/>
        <v>0 WEEK</v>
      </c>
      <c r="Y1028" s="794">
        <f t="shared" si="299"/>
        <v>0</v>
      </c>
      <c r="Z1028" s="541" cm="1">
        <f t="array" aca="1" ref="Z1028" ca="1">_xlfn.IFS(AD1028&lt;100,Y1028,Y1028&lt;TODAY(),TODAY(),Y1028&gt;TODAY(),Y1028,Y1028=TODAY(),Y1028)</f>
        <v>0</v>
      </c>
      <c r="AD1028" s="298">
        <f t="shared" si="302"/>
        <v>0</v>
      </c>
      <c r="AE1028" s="299" t="str">
        <f t="shared" si="303"/>
        <v>Complete</v>
      </c>
      <c r="AI1028" s="301">
        <f t="shared" ca="1" si="300"/>
        <v>0</v>
      </c>
      <c r="AJ1028" s="302">
        <f t="shared" ca="1" si="301"/>
        <v>0</v>
      </c>
      <c r="AL1028" s="303">
        <f t="shared" si="304"/>
        <v>254880</v>
      </c>
      <c r="AM1028" s="303">
        <f t="shared" si="305"/>
        <v>0</v>
      </c>
      <c r="AN1028" s="303">
        <f t="shared" si="306"/>
        <v>254880</v>
      </c>
      <c r="AO1028" s="304">
        <f t="shared" si="307"/>
        <v>0</v>
      </c>
      <c r="AP1028" s="273">
        <f t="shared" si="295"/>
        <v>1</v>
      </c>
      <c r="AQ1028" s="273" t="str">
        <f t="shared" ca="1" si="308"/>
        <v>11900</v>
      </c>
    </row>
    <row r="1029" spans="2:43">
      <c r="B1029" s="273" t="s">
        <v>2540</v>
      </c>
      <c r="G1029" s="306">
        <v>72000</v>
      </c>
      <c r="H1029" s="307">
        <v>12960</v>
      </c>
      <c r="I1029" s="308">
        <v>84960</v>
      </c>
      <c r="O1029" s="862" t="s">
        <v>2554</v>
      </c>
      <c r="Q1029" s="273" t="s">
        <v>2548</v>
      </c>
      <c r="R1029" s="314">
        <v>59472</v>
      </c>
      <c r="V1029" s="340">
        <f t="shared" ca="1" si="297"/>
        <v>1</v>
      </c>
      <c r="W1029" s="594">
        <f t="shared" ca="1" si="298"/>
        <v>1900</v>
      </c>
      <c r="X1029" s="340" t="str">
        <f t="shared" ca="1" si="296"/>
        <v>0 WEEK</v>
      </c>
      <c r="Y1029" s="794">
        <f t="shared" si="299"/>
        <v>0</v>
      </c>
      <c r="Z1029" s="541" cm="1">
        <f t="array" aca="1" ref="Z1029" ca="1">_xlfn.IFS(AD1029&lt;100,Y1029,Y1029&lt;TODAY(),TODAY(),Y1029&gt;TODAY(),Y1029,Y1029=TODAY(),Y1029)</f>
        <v>0</v>
      </c>
      <c r="AD1029" s="298">
        <f t="shared" si="302"/>
        <v>0</v>
      </c>
      <c r="AE1029" s="299" t="str">
        <f t="shared" si="303"/>
        <v>Complete</v>
      </c>
      <c r="AI1029" s="301">
        <f t="shared" ca="1" si="300"/>
        <v>0</v>
      </c>
      <c r="AJ1029" s="302">
        <f t="shared" ca="1" si="301"/>
        <v>0</v>
      </c>
      <c r="AL1029" s="303">
        <f t="shared" si="304"/>
        <v>84960</v>
      </c>
      <c r="AM1029" s="303">
        <f t="shared" si="305"/>
        <v>25488</v>
      </c>
      <c r="AN1029" s="303">
        <f t="shared" si="306"/>
        <v>59472</v>
      </c>
      <c r="AO1029" s="304">
        <f t="shared" si="307"/>
        <v>0</v>
      </c>
      <c r="AP1029" s="273">
        <f t="shared" ref="AP1029:AP1092" si="309">MONTH(P1029)</f>
        <v>1</v>
      </c>
      <c r="AQ1029" s="273" t="str">
        <f t="shared" ca="1" si="308"/>
        <v>11900</v>
      </c>
    </row>
    <row r="1030" spans="2:43">
      <c r="B1030" s="273" t="s">
        <v>2540</v>
      </c>
      <c r="Q1030" s="273" t="s">
        <v>2557</v>
      </c>
      <c r="R1030" s="314">
        <v>16992</v>
      </c>
      <c r="V1030" s="340">
        <f t="shared" ca="1" si="297"/>
        <v>1</v>
      </c>
      <c r="W1030" s="594">
        <f t="shared" ca="1" si="298"/>
        <v>1900</v>
      </c>
      <c r="X1030" s="340" t="str">
        <f t="shared" ca="1" si="296"/>
        <v>0 WEEK</v>
      </c>
      <c r="Y1030" s="794">
        <f t="shared" si="299"/>
        <v>0</v>
      </c>
      <c r="Z1030" s="541" cm="1">
        <f t="array" aca="1" ref="Z1030" ca="1">_xlfn.IFS(AD1030&lt;100,Y1030,Y1030&lt;TODAY(),TODAY(),Y1030&gt;TODAY(),Y1030,Y1030=TODAY(),Y1030)</f>
        <v>0</v>
      </c>
      <c r="AD1030" s="298">
        <f t="shared" si="302"/>
        <v>0</v>
      </c>
      <c r="AE1030" s="299" t="str">
        <f t="shared" si="303"/>
        <v>Complete</v>
      </c>
      <c r="AI1030" s="301">
        <f t="shared" ca="1" si="300"/>
        <v>0</v>
      </c>
      <c r="AJ1030" s="302">
        <f t="shared" ca="1" si="301"/>
        <v>0</v>
      </c>
      <c r="AL1030" s="303">
        <f t="shared" si="304"/>
        <v>0</v>
      </c>
      <c r="AM1030" s="303">
        <f t="shared" si="305"/>
        <v>-16992</v>
      </c>
      <c r="AN1030" s="303">
        <f t="shared" si="306"/>
        <v>16992</v>
      </c>
      <c r="AO1030" s="304">
        <f t="shared" si="307"/>
        <v>0</v>
      </c>
      <c r="AP1030" s="273">
        <f t="shared" si="309"/>
        <v>1</v>
      </c>
      <c r="AQ1030" s="273" t="str">
        <f t="shared" ca="1" si="308"/>
        <v>11900</v>
      </c>
    </row>
    <row r="1031" spans="2:43">
      <c r="B1031" s="273" t="s">
        <v>2540</v>
      </c>
      <c r="Q1031" s="273" t="s">
        <v>2558</v>
      </c>
      <c r="R1031" s="314">
        <v>8496</v>
      </c>
      <c r="V1031" s="340">
        <f t="shared" ca="1" si="297"/>
        <v>1</v>
      </c>
      <c r="W1031" s="594">
        <f t="shared" ca="1" si="298"/>
        <v>1900</v>
      </c>
      <c r="X1031" s="340" t="str">
        <f t="shared" ref="X1031:X1094" ca="1" si="310">INT((DAY(Z1031)-1)/7)+1&amp;" WEEK"</f>
        <v>0 WEEK</v>
      </c>
      <c r="Y1031" s="794">
        <f t="shared" si="299"/>
        <v>0</v>
      </c>
      <c r="Z1031" s="541" cm="1">
        <f t="array" aca="1" ref="Z1031" ca="1">_xlfn.IFS(AD1031&lt;100,Y1031,Y1031&lt;TODAY(),TODAY(),Y1031&gt;TODAY(),Y1031,Y1031=TODAY(),Y1031)</f>
        <v>0</v>
      </c>
      <c r="AD1031" s="298">
        <f t="shared" si="302"/>
        <v>0</v>
      </c>
      <c r="AE1031" s="299" t="str">
        <f t="shared" si="303"/>
        <v>Complete</v>
      </c>
      <c r="AI1031" s="301">
        <f t="shared" ca="1" si="300"/>
        <v>0</v>
      </c>
      <c r="AJ1031" s="302">
        <f t="shared" ca="1" si="301"/>
        <v>0</v>
      </c>
      <c r="AL1031" s="303">
        <f t="shared" si="304"/>
        <v>0</v>
      </c>
      <c r="AM1031" s="303">
        <f t="shared" si="305"/>
        <v>-8496</v>
      </c>
      <c r="AN1031" s="303">
        <f t="shared" si="306"/>
        <v>8496</v>
      </c>
      <c r="AO1031" s="304">
        <f t="shared" si="307"/>
        <v>0</v>
      </c>
      <c r="AP1031" s="273">
        <f t="shared" si="309"/>
        <v>1</v>
      </c>
      <c r="AQ1031" s="273" t="str">
        <f t="shared" ca="1" si="308"/>
        <v>11900</v>
      </c>
    </row>
    <row r="1032" spans="2:43">
      <c r="B1032" s="273" t="s">
        <v>2540</v>
      </c>
      <c r="G1032" s="306">
        <v>288000</v>
      </c>
      <c r="H1032" s="307">
        <v>51840</v>
      </c>
      <c r="I1032" s="308">
        <v>339840</v>
      </c>
      <c r="O1032" s="862" t="s">
        <v>2556</v>
      </c>
      <c r="Q1032" s="273" t="s">
        <v>2557</v>
      </c>
      <c r="R1032" s="314">
        <v>169920</v>
      </c>
      <c r="V1032" s="340">
        <f t="shared" ca="1" si="297"/>
        <v>1</v>
      </c>
      <c r="W1032" s="594">
        <f t="shared" ca="1" si="298"/>
        <v>1900</v>
      </c>
      <c r="X1032" s="340" t="str">
        <f t="shared" ca="1" si="310"/>
        <v>0 WEEK</v>
      </c>
      <c r="Y1032" s="794">
        <f t="shared" si="299"/>
        <v>0</v>
      </c>
      <c r="Z1032" s="541" cm="1">
        <f t="array" aca="1" ref="Z1032" ca="1">_xlfn.IFS(AD1032&lt;100,Y1032,Y1032&lt;TODAY(),TODAY(),Y1032&gt;TODAY(),Y1032,Y1032=TODAY(),Y1032)</f>
        <v>0</v>
      </c>
      <c r="AD1032" s="298">
        <f t="shared" si="302"/>
        <v>0</v>
      </c>
      <c r="AE1032" s="299" t="str">
        <f t="shared" si="303"/>
        <v>Complete</v>
      </c>
      <c r="AI1032" s="301">
        <f t="shared" ca="1" si="300"/>
        <v>0</v>
      </c>
      <c r="AJ1032" s="302">
        <f t="shared" ca="1" si="301"/>
        <v>0</v>
      </c>
      <c r="AL1032" s="303">
        <f t="shared" si="304"/>
        <v>339840</v>
      </c>
      <c r="AM1032" s="303">
        <f t="shared" si="305"/>
        <v>169920</v>
      </c>
      <c r="AN1032" s="303">
        <f t="shared" si="306"/>
        <v>169920</v>
      </c>
      <c r="AO1032" s="304">
        <f t="shared" si="307"/>
        <v>0</v>
      </c>
      <c r="AP1032" s="273">
        <f t="shared" si="309"/>
        <v>1</v>
      </c>
      <c r="AQ1032" s="273" t="str">
        <f t="shared" ca="1" si="308"/>
        <v>11900</v>
      </c>
    </row>
    <row r="1033" spans="2:43">
      <c r="B1033" s="273" t="s">
        <v>2540</v>
      </c>
      <c r="Q1033" s="273" t="s">
        <v>2558</v>
      </c>
      <c r="R1033" s="314">
        <v>169920</v>
      </c>
      <c r="V1033" s="340">
        <f t="shared" ca="1" si="297"/>
        <v>1</v>
      </c>
      <c r="W1033" s="594">
        <f t="shared" ca="1" si="298"/>
        <v>1900</v>
      </c>
      <c r="X1033" s="340" t="str">
        <f t="shared" ca="1" si="310"/>
        <v>0 WEEK</v>
      </c>
      <c r="Y1033" s="794">
        <f t="shared" si="299"/>
        <v>0</v>
      </c>
      <c r="Z1033" s="541" cm="1">
        <f t="array" aca="1" ref="Z1033" ca="1">_xlfn.IFS(AD1033&lt;100,Y1033,Y1033&lt;TODAY(),TODAY(),Y1033&gt;TODAY(),Y1033,Y1033=TODAY(),Y1033)</f>
        <v>0</v>
      </c>
      <c r="AD1033" s="298">
        <f t="shared" si="302"/>
        <v>0</v>
      </c>
      <c r="AE1033" s="299" t="str">
        <f t="shared" si="303"/>
        <v>Complete</v>
      </c>
      <c r="AI1033" s="301">
        <f t="shared" ca="1" si="300"/>
        <v>0</v>
      </c>
      <c r="AJ1033" s="302">
        <f t="shared" ca="1" si="301"/>
        <v>0</v>
      </c>
      <c r="AL1033" s="303">
        <f t="shared" si="304"/>
        <v>0</v>
      </c>
      <c r="AM1033" s="303">
        <f t="shared" si="305"/>
        <v>-169920</v>
      </c>
      <c r="AN1033" s="303">
        <f t="shared" si="306"/>
        <v>169920</v>
      </c>
      <c r="AO1033" s="304">
        <f t="shared" si="307"/>
        <v>0</v>
      </c>
      <c r="AP1033" s="273">
        <f t="shared" si="309"/>
        <v>1</v>
      </c>
      <c r="AQ1033" s="273" t="str">
        <f t="shared" ca="1" si="308"/>
        <v>11900</v>
      </c>
    </row>
    <row r="1034" spans="2:43">
      <c r="B1034" s="273" t="s">
        <v>2540</v>
      </c>
      <c r="G1034" s="306">
        <v>144000</v>
      </c>
      <c r="H1034" s="307">
        <v>25920</v>
      </c>
      <c r="I1034" s="308">
        <v>169920</v>
      </c>
      <c r="O1034" s="862" t="s">
        <v>2559</v>
      </c>
      <c r="Q1034" s="273" t="s">
        <v>2557</v>
      </c>
      <c r="R1034" s="314">
        <v>135936</v>
      </c>
      <c r="V1034" s="340">
        <f t="shared" ca="1" si="297"/>
        <v>1</v>
      </c>
      <c r="W1034" s="594">
        <f t="shared" ca="1" si="298"/>
        <v>1900</v>
      </c>
      <c r="X1034" s="340" t="str">
        <f t="shared" ca="1" si="310"/>
        <v>0 WEEK</v>
      </c>
      <c r="Y1034" s="794">
        <f t="shared" si="299"/>
        <v>0</v>
      </c>
      <c r="Z1034" s="541" cm="1">
        <f t="array" aca="1" ref="Z1034" ca="1">_xlfn.IFS(AD1034&lt;100,Y1034,Y1034&lt;TODAY(),TODAY(),Y1034&gt;TODAY(),Y1034,Y1034=TODAY(),Y1034)</f>
        <v>0</v>
      </c>
      <c r="AD1034" s="298">
        <f t="shared" si="302"/>
        <v>0</v>
      </c>
      <c r="AE1034" s="299" t="str">
        <f t="shared" si="303"/>
        <v>Complete</v>
      </c>
      <c r="AI1034" s="301">
        <f t="shared" ca="1" si="300"/>
        <v>0</v>
      </c>
      <c r="AJ1034" s="302">
        <f t="shared" ca="1" si="301"/>
        <v>0</v>
      </c>
      <c r="AL1034" s="303">
        <f t="shared" si="304"/>
        <v>169920</v>
      </c>
      <c r="AM1034" s="303">
        <f t="shared" si="305"/>
        <v>33984</v>
      </c>
      <c r="AN1034" s="303">
        <f t="shared" si="306"/>
        <v>135936</v>
      </c>
      <c r="AO1034" s="304">
        <f t="shared" si="307"/>
        <v>0</v>
      </c>
      <c r="AP1034" s="273">
        <f t="shared" si="309"/>
        <v>1</v>
      </c>
      <c r="AQ1034" s="273" t="str">
        <f t="shared" ca="1" si="308"/>
        <v>11900</v>
      </c>
    </row>
    <row r="1035" spans="2:43">
      <c r="B1035" s="273" t="s">
        <v>2540</v>
      </c>
      <c r="Q1035" s="273" t="s">
        <v>2558</v>
      </c>
      <c r="R1035" s="314">
        <v>33984</v>
      </c>
      <c r="V1035" s="340">
        <f t="shared" ca="1" si="297"/>
        <v>1</v>
      </c>
      <c r="W1035" s="594">
        <f t="shared" ca="1" si="298"/>
        <v>1900</v>
      </c>
      <c r="X1035" s="340" t="str">
        <f t="shared" ca="1" si="310"/>
        <v>0 WEEK</v>
      </c>
      <c r="Y1035" s="794">
        <f t="shared" si="299"/>
        <v>0</v>
      </c>
      <c r="Z1035" s="541" cm="1">
        <f t="array" aca="1" ref="Z1035" ca="1">_xlfn.IFS(AD1035&lt;100,Y1035,Y1035&lt;TODAY(),TODAY(),Y1035&gt;TODAY(),Y1035,Y1035=TODAY(),Y1035)</f>
        <v>0</v>
      </c>
      <c r="AD1035" s="298">
        <f t="shared" si="302"/>
        <v>0</v>
      </c>
      <c r="AE1035" s="299" t="str">
        <f t="shared" si="303"/>
        <v>Complete</v>
      </c>
      <c r="AI1035" s="301">
        <f t="shared" ca="1" si="300"/>
        <v>0</v>
      </c>
      <c r="AJ1035" s="302">
        <f t="shared" ca="1" si="301"/>
        <v>0</v>
      </c>
      <c r="AL1035" s="303">
        <f t="shared" si="304"/>
        <v>0</v>
      </c>
      <c r="AM1035" s="303">
        <f t="shared" si="305"/>
        <v>-33984</v>
      </c>
      <c r="AN1035" s="303">
        <f t="shared" si="306"/>
        <v>33984</v>
      </c>
      <c r="AO1035" s="304">
        <f t="shared" si="307"/>
        <v>0</v>
      </c>
      <c r="AP1035" s="273">
        <f t="shared" si="309"/>
        <v>1</v>
      </c>
      <c r="AQ1035" s="273" t="str">
        <f t="shared" ca="1" si="308"/>
        <v>11900</v>
      </c>
    </row>
    <row r="1036" spans="2:43">
      <c r="V1036" s="340">
        <f t="shared" ca="1" si="297"/>
        <v>1</v>
      </c>
      <c r="W1036" s="594">
        <f t="shared" ca="1" si="298"/>
        <v>1900</v>
      </c>
      <c r="X1036" s="340" t="str">
        <f t="shared" ca="1" si="310"/>
        <v>0 WEEK</v>
      </c>
      <c r="Y1036" s="794">
        <f t="shared" si="299"/>
        <v>0</v>
      </c>
      <c r="Z1036" s="541" cm="1">
        <f t="array" aca="1" ref="Z1036" ca="1">_xlfn.IFS(AD1036&lt;100,Y1036,Y1036&lt;TODAY(),TODAY(),Y1036&gt;TODAY(),Y1036,Y1036=TODAY(),Y1036)</f>
        <v>0</v>
      </c>
      <c r="AD1036" s="298">
        <f t="shared" si="302"/>
        <v>0</v>
      </c>
      <c r="AE1036" s="299" t="str">
        <f t="shared" si="303"/>
        <v>Complete</v>
      </c>
      <c r="AI1036" s="301">
        <f t="shared" ca="1" si="300"/>
        <v>0</v>
      </c>
      <c r="AJ1036" s="302">
        <f t="shared" ca="1" si="301"/>
        <v>0</v>
      </c>
      <c r="AL1036" s="303">
        <f t="shared" si="304"/>
        <v>0</v>
      </c>
      <c r="AM1036" s="303">
        <f t="shared" si="305"/>
        <v>0</v>
      </c>
      <c r="AN1036" s="303">
        <f t="shared" si="306"/>
        <v>0</v>
      </c>
      <c r="AO1036" s="304">
        <f t="shared" si="307"/>
        <v>0</v>
      </c>
      <c r="AP1036" s="273">
        <f t="shared" si="309"/>
        <v>1</v>
      </c>
      <c r="AQ1036" s="273" t="str">
        <f t="shared" ca="1" si="308"/>
        <v>11900</v>
      </c>
    </row>
    <row r="1037" spans="2:43" ht="16.5">
      <c r="B1037" s="273" t="s">
        <v>2540</v>
      </c>
      <c r="G1037" s="306">
        <v>1764000</v>
      </c>
      <c r="H1037" s="307">
        <v>317520</v>
      </c>
      <c r="I1037" s="308">
        <v>2081520</v>
      </c>
      <c r="N1037" s="273" t="s">
        <v>1620</v>
      </c>
      <c r="O1037" s="960" t="s">
        <v>2543</v>
      </c>
      <c r="Q1037" s="273" t="s">
        <v>2557</v>
      </c>
      <c r="R1037" s="314">
        <v>1977444</v>
      </c>
      <c r="V1037" s="340">
        <f t="shared" ca="1" si="297"/>
        <v>1</v>
      </c>
      <c r="W1037" s="594">
        <f t="shared" ca="1" si="298"/>
        <v>1900</v>
      </c>
      <c r="X1037" s="340" t="str">
        <f t="shared" ca="1" si="310"/>
        <v>0 WEEK</v>
      </c>
      <c r="Y1037" s="794">
        <f t="shared" si="299"/>
        <v>0</v>
      </c>
      <c r="Z1037" s="541" cm="1">
        <f t="array" aca="1" ref="Z1037" ca="1">_xlfn.IFS(AD1037&lt;100,Y1037,Y1037&lt;TODAY(),TODAY(),Y1037&gt;TODAY(),Y1037,Y1037=TODAY(),Y1037)</f>
        <v>0</v>
      </c>
      <c r="AD1037" s="298">
        <f t="shared" si="302"/>
        <v>0</v>
      </c>
      <c r="AE1037" s="299" t="str">
        <f t="shared" si="303"/>
        <v>Complete</v>
      </c>
      <c r="AI1037" s="301">
        <f t="shared" ca="1" si="300"/>
        <v>0</v>
      </c>
      <c r="AJ1037" s="302">
        <f t="shared" ca="1" si="301"/>
        <v>0</v>
      </c>
      <c r="AL1037" s="303">
        <f t="shared" si="304"/>
        <v>2081520</v>
      </c>
      <c r="AM1037" s="303">
        <f t="shared" si="305"/>
        <v>104076</v>
      </c>
      <c r="AN1037" s="303">
        <f t="shared" si="306"/>
        <v>1977444</v>
      </c>
      <c r="AO1037" s="304">
        <f t="shared" si="307"/>
        <v>0</v>
      </c>
      <c r="AP1037" s="273">
        <f t="shared" si="309"/>
        <v>1</v>
      </c>
      <c r="AQ1037" s="273" t="str">
        <f t="shared" ca="1" si="308"/>
        <v>11900</v>
      </c>
    </row>
    <row r="1038" spans="2:43">
      <c r="B1038" s="273" t="s">
        <v>2540</v>
      </c>
      <c r="O1038" s="966"/>
      <c r="Q1038" s="273" t="s">
        <v>2558</v>
      </c>
      <c r="R1038" s="314">
        <v>104076</v>
      </c>
      <c r="V1038" s="340">
        <f t="shared" ca="1" si="297"/>
        <v>1</v>
      </c>
      <c r="W1038" s="594">
        <f t="shared" ca="1" si="298"/>
        <v>1900</v>
      </c>
      <c r="X1038" s="340" t="str">
        <f t="shared" ca="1" si="310"/>
        <v>0 WEEK</v>
      </c>
      <c r="Y1038" s="794">
        <f t="shared" si="299"/>
        <v>0</v>
      </c>
      <c r="Z1038" s="541" cm="1">
        <f t="array" aca="1" ref="Z1038" ca="1">_xlfn.IFS(AD1038&lt;100,Y1038,Y1038&lt;TODAY(),TODAY(),Y1038&gt;TODAY(),Y1038,Y1038=TODAY(),Y1038)</f>
        <v>0</v>
      </c>
      <c r="AD1038" s="298">
        <f t="shared" si="302"/>
        <v>0</v>
      </c>
      <c r="AE1038" s="299" t="str">
        <f t="shared" si="303"/>
        <v>Complete</v>
      </c>
      <c r="AI1038" s="301">
        <f t="shared" ca="1" si="300"/>
        <v>0</v>
      </c>
      <c r="AJ1038" s="302">
        <f t="shared" ca="1" si="301"/>
        <v>0</v>
      </c>
      <c r="AL1038" s="303">
        <f t="shared" si="304"/>
        <v>0</v>
      </c>
      <c r="AM1038" s="303">
        <f t="shared" si="305"/>
        <v>-104076</v>
      </c>
      <c r="AN1038" s="303">
        <f t="shared" si="306"/>
        <v>104076</v>
      </c>
      <c r="AO1038" s="304">
        <f t="shared" si="307"/>
        <v>0</v>
      </c>
      <c r="AP1038" s="273">
        <f t="shared" si="309"/>
        <v>1</v>
      </c>
      <c r="AQ1038" s="273" t="str">
        <f t="shared" ca="1" si="308"/>
        <v>11900</v>
      </c>
    </row>
    <row r="1039" spans="2:43" ht="16.5">
      <c r="B1039" s="273" t="s">
        <v>2540</v>
      </c>
      <c r="G1039" s="306">
        <v>180000</v>
      </c>
      <c r="H1039" s="307">
        <v>32400</v>
      </c>
      <c r="I1039" s="308">
        <v>212400</v>
      </c>
      <c r="O1039" s="960" t="s">
        <v>2560</v>
      </c>
      <c r="Q1039" s="273" t="s">
        <v>2557</v>
      </c>
      <c r="R1039" s="314">
        <v>191160</v>
      </c>
      <c r="V1039" s="340">
        <f t="shared" ca="1" si="297"/>
        <v>1</v>
      </c>
      <c r="W1039" s="594">
        <f t="shared" ca="1" si="298"/>
        <v>1900</v>
      </c>
      <c r="X1039" s="340" t="str">
        <f t="shared" ca="1" si="310"/>
        <v>0 WEEK</v>
      </c>
      <c r="Y1039" s="794">
        <f t="shared" si="299"/>
        <v>0</v>
      </c>
      <c r="Z1039" s="541" cm="1">
        <f t="array" aca="1" ref="Z1039" ca="1">_xlfn.IFS(AD1039&lt;100,Y1039,Y1039&lt;TODAY(),TODAY(),Y1039&gt;TODAY(),Y1039,Y1039=TODAY(),Y1039)</f>
        <v>0</v>
      </c>
      <c r="AD1039" s="298">
        <f t="shared" si="302"/>
        <v>0</v>
      </c>
      <c r="AE1039" s="299" t="str">
        <f t="shared" si="303"/>
        <v>Complete</v>
      </c>
      <c r="AI1039" s="301">
        <f t="shared" ca="1" si="300"/>
        <v>0</v>
      </c>
      <c r="AJ1039" s="302">
        <f t="shared" ca="1" si="301"/>
        <v>0</v>
      </c>
      <c r="AL1039" s="303">
        <f t="shared" si="304"/>
        <v>212400</v>
      </c>
      <c r="AM1039" s="303">
        <f t="shared" si="305"/>
        <v>21240</v>
      </c>
      <c r="AN1039" s="303">
        <f t="shared" si="306"/>
        <v>191160</v>
      </c>
      <c r="AO1039" s="304">
        <f t="shared" si="307"/>
        <v>0</v>
      </c>
      <c r="AP1039" s="273">
        <f t="shared" si="309"/>
        <v>1</v>
      </c>
      <c r="AQ1039" s="273" t="str">
        <f t="shared" ca="1" si="308"/>
        <v>11900</v>
      </c>
    </row>
    <row r="1040" spans="2:43">
      <c r="B1040" s="273" t="s">
        <v>2540</v>
      </c>
      <c r="O1040" s="966"/>
      <c r="Q1040" s="273" t="s">
        <v>2558</v>
      </c>
      <c r="R1040" s="314">
        <v>21240</v>
      </c>
      <c r="V1040" s="340">
        <f t="shared" ca="1" si="297"/>
        <v>1</v>
      </c>
      <c r="W1040" s="594">
        <f t="shared" ca="1" si="298"/>
        <v>1900</v>
      </c>
      <c r="X1040" s="340" t="str">
        <f t="shared" ca="1" si="310"/>
        <v>0 WEEK</v>
      </c>
      <c r="Y1040" s="794">
        <f t="shared" si="299"/>
        <v>0</v>
      </c>
      <c r="Z1040" s="541" cm="1">
        <f t="array" aca="1" ref="Z1040" ca="1">_xlfn.IFS(AD1040&lt;100,Y1040,Y1040&lt;TODAY(),TODAY(),Y1040&gt;TODAY(),Y1040,Y1040=TODAY(),Y1040)</f>
        <v>0</v>
      </c>
      <c r="AD1040" s="298">
        <f t="shared" si="302"/>
        <v>0</v>
      </c>
      <c r="AE1040" s="299" t="str">
        <f t="shared" si="303"/>
        <v>Complete</v>
      </c>
      <c r="AI1040" s="301">
        <f t="shared" ca="1" si="300"/>
        <v>0</v>
      </c>
      <c r="AJ1040" s="302">
        <f t="shared" ca="1" si="301"/>
        <v>0</v>
      </c>
      <c r="AL1040" s="303">
        <f t="shared" si="304"/>
        <v>0</v>
      </c>
      <c r="AM1040" s="303">
        <f t="shared" si="305"/>
        <v>-21240</v>
      </c>
      <c r="AN1040" s="303">
        <f t="shared" si="306"/>
        <v>21240</v>
      </c>
      <c r="AO1040" s="304">
        <f t="shared" si="307"/>
        <v>0</v>
      </c>
      <c r="AP1040" s="273">
        <f t="shared" si="309"/>
        <v>1</v>
      </c>
      <c r="AQ1040" s="273" t="str">
        <f t="shared" ca="1" si="308"/>
        <v>11900</v>
      </c>
    </row>
    <row r="1041" spans="2:43" ht="16.5">
      <c r="B1041" s="273" t="s">
        <v>2540</v>
      </c>
      <c r="G1041" s="306">
        <v>54000</v>
      </c>
      <c r="H1041" s="307">
        <v>9720</v>
      </c>
      <c r="I1041" s="308">
        <v>63720</v>
      </c>
      <c r="O1041" s="959" t="s">
        <v>2547</v>
      </c>
      <c r="Q1041" s="273" t="s">
        <v>2558</v>
      </c>
      <c r="R1041" s="314">
        <v>63720</v>
      </c>
      <c r="V1041" s="340">
        <f t="shared" ca="1" si="297"/>
        <v>1</v>
      </c>
      <c r="W1041" s="594">
        <f t="shared" ca="1" si="298"/>
        <v>1900</v>
      </c>
      <c r="X1041" s="340" t="str">
        <f t="shared" ca="1" si="310"/>
        <v>0 WEEK</v>
      </c>
      <c r="Y1041" s="794">
        <f t="shared" si="299"/>
        <v>0</v>
      </c>
      <c r="Z1041" s="541" cm="1">
        <f t="array" aca="1" ref="Z1041" ca="1">_xlfn.IFS(AD1041&lt;100,Y1041,Y1041&lt;TODAY(),TODAY(),Y1041&gt;TODAY(),Y1041,Y1041=TODAY(),Y1041)</f>
        <v>0</v>
      </c>
      <c r="AD1041" s="298">
        <f t="shared" si="302"/>
        <v>0</v>
      </c>
      <c r="AE1041" s="299" t="str">
        <f t="shared" si="303"/>
        <v>Complete</v>
      </c>
      <c r="AI1041" s="301">
        <f t="shared" ca="1" si="300"/>
        <v>0</v>
      </c>
      <c r="AJ1041" s="302">
        <f t="shared" ca="1" si="301"/>
        <v>0</v>
      </c>
      <c r="AL1041" s="303">
        <f t="shared" si="304"/>
        <v>63720</v>
      </c>
      <c r="AM1041" s="303">
        <f t="shared" si="305"/>
        <v>0</v>
      </c>
      <c r="AN1041" s="303">
        <f t="shared" si="306"/>
        <v>63720</v>
      </c>
      <c r="AO1041" s="304">
        <f t="shared" si="307"/>
        <v>0</v>
      </c>
      <c r="AP1041" s="273">
        <f t="shared" si="309"/>
        <v>1</v>
      </c>
      <c r="AQ1041" s="273" t="str">
        <f t="shared" ca="1" si="308"/>
        <v>11900</v>
      </c>
    </row>
    <row r="1042" spans="2:43" ht="16.5">
      <c r="B1042" s="273" t="s">
        <v>2540</v>
      </c>
      <c r="G1042" s="306">
        <v>36000</v>
      </c>
      <c r="H1042" s="307">
        <v>6480</v>
      </c>
      <c r="I1042" s="308">
        <v>42480</v>
      </c>
      <c r="O1042" s="960" t="s">
        <v>1835</v>
      </c>
      <c r="Q1042" s="273" t="s">
        <v>2557</v>
      </c>
      <c r="R1042" s="314">
        <v>38232</v>
      </c>
      <c r="V1042" s="340">
        <f t="shared" ca="1" si="297"/>
        <v>1</v>
      </c>
      <c r="W1042" s="594">
        <f t="shared" ca="1" si="298"/>
        <v>1900</v>
      </c>
      <c r="X1042" s="340" t="str">
        <f t="shared" ca="1" si="310"/>
        <v>0 WEEK</v>
      </c>
      <c r="Y1042" s="794">
        <f t="shared" si="299"/>
        <v>0</v>
      </c>
      <c r="Z1042" s="541" cm="1">
        <f t="array" aca="1" ref="Z1042" ca="1">_xlfn.IFS(AD1042&lt;100,Y1042,Y1042&lt;TODAY(),TODAY(),Y1042&gt;TODAY(),Y1042,Y1042=TODAY(),Y1042)</f>
        <v>0</v>
      </c>
      <c r="AD1042" s="298">
        <f t="shared" si="302"/>
        <v>0</v>
      </c>
      <c r="AE1042" s="299" t="str">
        <f t="shared" si="303"/>
        <v>Complete</v>
      </c>
      <c r="AI1042" s="301">
        <f t="shared" ca="1" si="300"/>
        <v>0</v>
      </c>
      <c r="AJ1042" s="302">
        <f t="shared" ca="1" si="301"/>
        <v>0</v>
      </c>
      <c r="AL1042" s="303">
        <f t="shared" si="304"/>
        <v>42480</v>
      </c>
      <c r="AM1042" s="303">
        <f t="shared" si="305"/>
        <v>4248</v>
      </c>
      <c r="AN1042" s="303">
        <f t="shared" si="306"/>
        <v>38232</v>
      </c>
      <c r="AO1042" s="304">
        <f t="shared" si="307"/>
        <v>0</v>
      </c>
      <c r="AP1042" s="273">
        <f t="shared" si="309"/>
        <v>1</v>
      </c>
      <c r="AQ1042" s="273" t="str">
        <f t="shared" ca="1" si="308"/>
        <v>11900</v>
      </c>
    </row>
    <row r="1043" spans="2:43">
      <c r="B1043" s="273" t="s">
        <v>2540</v>
      </c>
      <c r="O1043" s="966"/>
      <c r="Q1043" s="273" t="s">
        <v>2558</v>
      </c>
      <c r="R1043" s="314">
        <v>4248</v>
      </c>
      <c r="V1043" s="340">
        <f t="shared" ca="1" si="297"/>
        <v>1</v>
      </c>
      <c r="W1043" s="594">
        <f t="shared" ca="1" si="298"/>
        <v>1900</v>
      </c>
      <c r="X1043" s="340" t="str">
        <f t="shared" ca="1" si="310"/>
        <v>0 WEEK</v>
      </c>
      <c r="Y1043" s="794">
        <f t="shared" si="299"/>
        <v>0</v>
      </c>
      <c r="Z1043" s="541" cm="1">
        <f t="array" aca="1" ref="Z1043" ca="1">_xlfn.IFS(AD1043&lt;100,Y1043,Y1043&lt;TODAY(),TODAY(),Y1043&gt;TODAY(),Y1043,Y1043=TODAY(),Y1043)</f>
        <v>0</v>
      </c>
      <c r="AD1043" s="298">
        <f t="shared" si="302"/>
        <v>0</v>
      </c>
      <c r="AE1043" s="299" t="str">
        <f t="shared" si="303"/>
        <v>Complete</v>
      </c>
      <c r="AI1043" s="301">
        <f t="shared" ca="1" si="300"/>
        <v>0</v>
      </c>
      <c r="AJ1043" s="302">
        <f t="shared" ca="1" si="301"/>
        <v>0</v>
      </c>
      <c r="AL1043" s="303">
        <f t="shared" si="304"/>
        <v>0</v>
      </c>
      <c r="AM1043" s="303">
        <f t="shared" si="305"/>
        <v>-4248</v>
      </c>
      <c r="AN1043" s="303">
        <f t="shared" si="306"/>
        <v>4248</v>
      </c>
      <c r="AO1043" s="304">
        <f t="shared" si="307"/>
        <v>0</v>
      </c>
      <c r="AP1043" s="273">
        <f t="shared" si="309"/>
        <v>1</v>
      </c>
      <c r="AQ1043" s="273" t="str">
        <f t="shared" ca="1" si="308"/>
        <v>11900</v>
      </c>
    </row>
    <row r="1044" spans="2:43" ht="16.5">
      <c r="B1044" s="273" t="s">
        <v>2540</v>
      </c>
      <c r="G1044" s="306">
        <v>14400</v>
      </c>
      <c r="H1044" s="307">
        <v>2592</v>
      </c>
      <c r="I1044" s="308">
        <v>16992</v>
      </c>
      <c r="O1044" s="960" t="s">
        <v>2549</v>
      </c>
      <c r="Q1044" s="273" t="s">
        <v>2557</v>
      </c>
      <c r="R1044" s="314">
        <v>13593.6</v>
      </c>
      <c r="V1044" s="340">
        <f t="shared" ca="1" si="297"/>
        <v>1</v>
      </c>
      <c r="W1044" s="594">
        <f t="shared" ca="1" si="298"/>
        <v>1900</v>
      </c>
      <c r="X1044" s="340" t="str">
        <f t="shared" ca="1" si="310"/>
        <v>0 WEEK</v>
      </c>
      <c r="Y1044" s="794">
        <f t="shared" si="299"/>
        <v>0</v>
      </c>
      <c r="Z1044" s="541" cm="1">
        <f t="array" aca="1" ref="Z1044" ca="1">_xlfn.IFS(AD1044&lt;100,Y1044,Y1044&lt;TODAY(),TODAY(),Y1044&gt;TODAY(),Y1044,Y1044=TODAY(),Y1044)</f>
        <v>0</v>
      </c>
      <c r="AD1044" s="298">
        <f t="shared" si="302"/>
        <v>0</v>
      </c>
      <c r="AE1044" s="299" t="str">
        <f t="shared" si="303"/>
        <v>Complete</v>
      </c>
      <c r="AI1044" s="301">
        <f t="shared" ca="1" si="300"/>
        <v>0</v>
      </c>
      <c r="AJ1044" s="302">
        <f t="shared" ca="1" si="301"/>
        <v>0</v>
      </c>
      <c r="AL1044" s="303">
        <f t="shared" si="304"/>
        <v>16992</v>
      </c>
      <c r="AM1044" s="303">
        <f t="shared" si="305"/>
        <v>3398.3999999999996</v>
      </c>
      <c r="AN1044" s="303">
        <f t="shared" si="306"/>
        <v>13593.6</v>
      </c>
      <c r="AO1044" s="304">
        <f t="shared" si="307"/>
        <v>0</v>
      </c>
      <c r="AP1044" s="273">
        <f t="shared" si="309"/>
        <v>1</v>
      </c>
      <c r="AQ1044" s="273" t="str">
        <f t="shared" ca="1" si="308"/>
        <v>11900</v>
      </c>
    </row>
    <row r="1045" spans="2:43">
      <c r="B1045" s="273" t="s">
        <v>2540</v>
      </c>
      <c r="O1045" s="966"/>
      <c r="Q1045" s="273" t="s">
        <v>2558</v>
      </c>
      <c r="R1045" s="314">
        <v>3398.4</v>
      </c>
      <c r="V1045" s="340">
        <f t="shared" ca="1" si="297"/>
        <v>1</v>
      </c>
      <c r="W1045" s="594">
        <f t="shared" ca="1" si="298"/>
        <v>1900</v>
      </c>
      <c r="X1045" s="340" t="str">
        <f t="shared" ca="1" si="310"/>
        <v>0 WEEK</v>
      </c>
      <c r="Y1045" s="794">
        <f t="shared" si="299"/>
        <v>0</v>
      </c>
      <c r="Z1045" s="541" cm="1">
        <f t="array" aca="1" ref="Z1045" ca="1">_xlfn.IFS(AD1045&lt;100,Y1045,Y1045&lt;TODAY(),TODAY(),Y1045&gt;TODAY(),Y1045,Y1045=TODAY(),Y1045)</f>
        <v>0</v>
      </c>
      <c r="AD1045" s="298">
        <f t="shared" si="302"/>
        <v>0</v>
      </c>
      <c r="AE1045" s="299" t="str">
        <f t="shared" si="303"/>
        <v>Complete</v>
      </c>
      <c r="AI1045" s="301">
        <f t="shared" ca="1" si="300"/>
        <v>0</v>
      </c>
      <c r="AJ1045" s="302">
        <f t="shared" ca="1" si="301"/>
        <v>0</v>
      </c>
      <c r="AL1045" s="303">
        <f t="shared" si="304"/>
        <v>0</v>
      </c>
      <c r="AM1045" s="303">
        <f t="shared" si="305"/>
        <v>-3398.4</v>
      </c>
      <c r="AN1045" s="303">
        <f t="shared" si="306"/>
        <v>3398.4</v>
      </c>
      <c r="AO1045" s="304">
        <f t="shared" si="307"/>
        <v>0</v>
      </c>
      <c r="AP1045" s="273">
        <f t="shared" si="309"/>
        <v>1</v>
      </c>
      <c r="AQ1045" s="273" t="str">
        <f t="shared" ca="1" si="308"/>
        <v>11900</v>
      </c>
    </row>
    <row r="1046" spans="2:43" ht="16.5">
      <c r="B1046" s="273" t="s">
        <v>2540</v>
      </c>
      <c r="G1046" s="306">
        <v>14400</v>
      </c>
      <c r="H1046" s="307">
        <v>2592</v>
      </c>
      <c r="I1046" s="308">
        <v>16992</v>
      </c>
      <c r="O1046" s="960" t="s">
        <v>2550</v>
      </c>
      <c r="Q1046" s="273" t="s">
        <v>2557</v>
      </c>
      <c r="R1046" s="314">
        <v>15292.8</v>
      </c>
      <c r="V1046" s="340">
        <f t="shared" ca="1" si="297"/>
        <v>1</v>
      </c>
      <c r="W1046" s="594">
        <f t="shared" ca="1" si="298"/>
        <v>1900</v>
      </c>
      <c r="X1046" s="340" t="str">
        <f t="shared" ca="1" si="310"/>
        <v>0 WEEK</v>
      </c>
      <c r="Y1046" s="794">
        <f t="shared" si="299"/>
        <v>0</v>
      </c>
      <c r="Z1046" s="541" cm="1">
        <f t="array" aca="1" ref="Z1046" ca="1">_xlfn.IFS(AD1046&lt;100,Y1046,Y1046&lt;TODAY(),TODAY(),Y1046&gt;TODAY(),Y1046,Y1046=TODAY(),Y1046)</f>
        <v>0</v>
      </c>
      <c r="AD1046" s="298">
        <f t="shared" si="302"/>
        <v>0</v>
      </c>
      <c r="AE1046" s="299" t="str">
        <f t="shared" si="303"/>
        <v>Complete</v>
      </c>
      <c r="AI1046" s="301">
        <f t="shared" ca="1" si="300"/>
        <v>0</v>
      </c>
      <c r="AJ1046" s="302">
        <f t="shared" ca="1" si="301"/>
        <v>0</v>
      </c>
      <c r="AL1046" s="303">
        <f t="shared" si="304"/>
        <v>16992</v>
      </c>
      <c r="AM1046" s="303">
        <f t="shared" si="305"/>
        <v>1699.2000000000007</v>
      </c>
      <c r="AN1046" s="303">
        <f t="shared" si="306"/>
        <v>15292.8</v>
      </c>
      <c r="AO1046" s="304">
        <f t="shared" si="307"/>
        <v>0</v>
      </c>
      <c r="AP1046" s="273">
        <f t="shared" si="309"/>
        <v>1</v>
      </c>
      <c r="AQ1046" s="273" t="str">
        <f t="shared" ca="1" si="308"/>
        <v>11900</v>
      </c>
    </row>
    <row r="1047" spans="2:43">
      <c r="B1047" s="273" t="s">
        <v>2540</v>
      </c>
      <c r="O1047" s="966"/>
      <c r="Q1047" s="273" t="s">
        <v>2558</v>
      </c>
      <c r="R1047" s="314">
        <v>1699.2</v>
      </c>
      <c r="V1047" s="340">
        <f t="shared" ca="1" si="297"/>
        <v>1</v>
      </c>
      <c r="W1047" s="594">
        <f t="shared" ca="1" si="298"/>
        <v>1900</v>
      </c>
      <c r="X1047" s="340" t="str">
        <f t="shared" ca="1" si="310"/>
        <v>0 WEEK</v>
      </c>
      <c r="Y1047" s="794">
        <f t="shared" si="299"/>
        <v>0</v>
      </c>
      <c r="Z1047" s="541" cm="1">
        <f t="array" aca="1" ref="Z1047" ca="1">_xlfn.IFS(AD1047&lt;100,Y1047,Y1047&lt;TODAY(),TODAY(),Y1047&gt;TODAY(),Y1047,Y1047=TODAY(),Y1047)</f>
        <v>0</v>
      </c>
      <c r="AD1047" s="298">
        <f t="shared" si="302"/>
        <v>0</v>
      </c>
      <c r="AE1047" s="299" t="str">
        <f t="shared" si="303"/>
        <v>Complete</v>
      </c>
      <c r="AI1047" s="301">
        <f t="shared" ca="1" si="300"/>
        <v>0</v>
      </c>
      <c r="AJ1047" s="302">
        <f t="shared" ca="1" si="301"/>
        <v>0</v>
      </c>
      <c r="AL1047" s="303">
        <f t="shared" si="304"/>
        <v>0</v>
      </c>
      <c r="AM1047" s="303">
        <f t="shared" si="305"/>
        <v>-1699.2</v>
      </c>
      <c r="AN1047" s="303">
        <f t="shared" si="306"/>
        <v>1699.2</v>
      </c>
      <c r="AO1047" s="304">
        <f t="shared" si="307"/>
        <v>0</v>
      </c>
      <c r="AP1047" s="273">
        <f t="shared" si="309"/>
        <v>1</v>
      </c>
      <c r="AQ1047" s="273" t="str">
        <f t="shared" ca="1" si="308"/>
        <v>11900</v>
      </c>
    </row>
    <row r="1048" spans="2:43" ht="16.5">
      <c r="B1048" s="273" t="s">
        <v>2540</v>
      </c>
      <c r="G1048" s="306">
        <v>14400</v>
      </c>
      <c r="H1048" s="307">
        <v>2592</v>
      </c>
      <c r="I1048" s="308">
        <v>16992</v>
      </c>
      <c r="O1048" s="959" t="s">
        <v>2551</v>
      </c>
      <c r="Q1048" s="273" t="s">
        <v>2558</v>
      </c>
      <c r="R1048" s="314">
        <v>16992</v>
      </c>
      <c r="V1048" s="340">
        <f t="shared" ca="1" si="297"/>
        <v>1</v>
      </c>
      <c r="W1048" s="594">
        <f t="shared" ca="1" si="298"/>
        <v>1900</v>
      </c>
      <c r="X1048" s="340" t="str">
        <f t="shared" ca="1" si="310"/>
        <v>0 WEEK</v>
      </c>
      <c r="Y1048" s="794">
        <f t="shared" si="299"/>
        <v>0</v>
      </c>
      <c r="Z1048" s="541" cm="1">
        <f t="array" aca="1" ref="Z1048" ca="1">_xlfn.IFS(AD1048&lt;100,Y1048,Y1048&lt;TODAY(),TODAY(),Y1048&gt;TODAY(),Y1048,Y1048=TODAY(),Y1048)</f>
        <v>0</v>
      </c>
      <c r="AD1048" s="298">
        <f t="shared" si="302"/>
        <v>0</v>
      </c>
      <c r="AE1048" s="299" t="str">
        <f t="shared" si="303"/>
        <v>Complete</v>
      </c>
      <c r="AI1048" s="301">
        <f t="shared" ca="1" si="300"/>
        <v>0</v>
      </c>
      <c r="AJ1048" s="302">
        <f t="shared" ca="1" si="301"/>
        <v>0</v>
      </c>
      <c r="AL1048" s="303">
        <f t="shared" si="304"/>
        <v>16992</v>
      </c>
      <c r="AM1048" s="303">
        <f t="shared" si="305"/>
        <v>0</v>
      </c>
      <c r="AN1048" s="303">
        <f t="shared" si="306"/>
        <v>16992</v>
      </c>
      <c r="AO1048" s="304">
        <f t="shared" si="307"/>
        <v>0</v>
      </c>
      <c r="AP1048" s="273">
        <f t="shared" si="309"/>
        <v>1</v>
      </c>
      <c r="AQ1048" s="273" t="str">
        <f t="shared" ca="1" si="308"/>
        <v>11900</v>
      </c>
    </row>
    <row r="1049" spans="2:43" ht="16.5">
      <c r="B1049" s="273" t="s">
        <v>2540</v>
      </c>
      <c r="G1049" s="306">
        <v>14400</v>
      </c>
      <c r="H1049" s="307">
        <v>2592</v>
      </c>
      <c r="I1049" s="308">
        <v>16992</v>
      </c>
      <c r="O1049" s="959" t="s">
        <v>2552</v>
      </c>
      <c r="Q1049" s="273" t="s">
        <v>2558</v>
      </c>
      <c r="R1049" s="314">
        <v>16992</v>
      </c>
      <c r="V1049" s="340">
        <f t="shared" ca="1" si="297"/>
        <v>1</v>
      </c>
      <c r="W1049" s="594">
        <f t="shared" ca="1" si="298"/>
        <v>1900</v>
      </c>
      <c r="X1049" s="340" t="str">
        <f t="shared" ca="1" si="310"/>
        <v>0 WEEK</v>
      </c>
      <c r="Y1049" s="794">
        <f t="shared" si="299"/>
        <v>0</v>
      </c>
      <c r="Z1049" s="541" cm="1">
        <f t="array" aca="1" ref="Z1049" ca="1">_xlfn.IFS(AD1049&lt;100,Y1049,Y1049&lt;TODAY(),TODAY(),Y1049&gt;TODAY(),Y1049,Y1049=TODAY(),Y1049)</f>
        <v>0</v>
      </c>
      <c r="AD1049" s="298">
        <f t="shared" si="302"/>
        <v>0</v>
      </c>
      <c r="AE1049" s="299" t="str">
        <f t="shared" si="303"/>
        <v>Complete</v>
      </c>
      <c r="AI1049" s="301">
        <f t="shared" ca="1" si="300"/>
        <v>0</v>
      </c>
      <c r="AJ1049" s="302">
        <f t="shared" ca="1" si="301"/>
        <v>0</v>
      </c>
      <c r="AL1049" s="303">
        <f t="shared" si="304"/>
        <v>16992</v>
      </c>
      <c r="AM1049" s="303">
        <f t="shared" si="305"/>
        <v>0</v>
      </c>
      <c r="AN1049" s="303">
        <f t="shared" si="306"/>
        <v>16992</v>
      </c>
      <c r="AO1049" s="304">
        <f t="shared" si="307"/>
        <v>0</v>
      </c>
      <c r="AP1049" s="273">
        <f t="shared" si="309"/>
        <v>1</v>
      </c>
      <c r="AQ1049" s="273" t="str">
        <f t="shared" ca="1" si="308"/>
        <v>11900</v>
      </c>
    </row>
    <row r="1050" spans="2:43" ht="16.5">
      <c r="B1050" s="273" t="s">
        <v>2540</v>
      </c>
      <c r="G1050" s="306">
        <v>14400</v>
      </c>
      <c r="H1050" s="307">
        <v>2592</v>
      </c>
      <c r="I1050" s="308">
        <v>16992</v>
      </c>
      <c r="O1050" s="959" t="s">
        <v>2553</v>
      </c>
      <c r="Q1050" s="273" t="s">
        <v>2558</v>
      </c>
      <c r="R1050" s="314">
        <v>16992</v>
      </c>
      <c r="V1050" s="340">
        <f t="shared" ca="1" si="297"/>
        <v>1</v>
      </c>
      <c r="W1050" s="594">
        <f t="shared" ca="1" si="298"/>
        <v>1900</v>
      </c>
      <c r="X1050" s="340" t="str">
        <f t="shared" ca="1" si="310"/>
        <v>0 WEEK</v>
      </c>
      <c r="Y1050" s="794">
        <f t="shared" si="299"/>
        <v>0</v>
      </c>
      <c r="Z1050" s="541" cm="1">
        <f t="array" aca="1" ref="Z1050" ca="1">_xlfn.IFS(AD1050&lt;100,Y1050,Y1050&lt;TODAY(),TODAY(),Y1050&gt;TODAY(),Y1050,Y1050=TODAY(),Y1050)</f>
        <v>0</v>
      </c>
      <c r="AD1050" s="298">
        <f t="shared" si="302"/>
        <v>0</v>
      </c>
      <c r="AE1050" s="299" t="str">
        <f t="shared" si="303"/>
        <v>Complete</v>
      </c>
      <c r="AI1050" s="301">
        <f t="shared" ca="1" si="300"/>
        <v>0</v>
      </c>
      <c r="AJ1050" s="302">
        <f t="shared" ca="1" si="301"/>
        <v>0</v>
      </c>
      <c r="AL1050" s="303">
        <f t="shared" si="304"/>
        <v>16992</v>
      </c>
      <c r="AM1050" s="303">
        <f t="shared" si="305"/>
        <v>0</v>
      </c>
      <c r="AN1050" s="303">
        <f t="shared" si="306"/>
        <v>16992</v>
      </c>
      <c r="AO1050" s="304">
        <f t="shared" si="307"/>
        <v>0</v>
      </c>
      <c r="AP1050" s="273">
        <f t="shared" si="309"/>
        <v>1</v>
      </c>
      <c r="AQ1050" s="273" t="str">
        <f t="shared" ca="1" si="308"/>
        <v>11900</v>
      </c>
    </row>
    <row r="1051" spans="2:43" ht="16.5">
      <c r="B1051" s="273" t="s">
        <v>2540</v>
      </c>
      <c r="G1051" s="306">
        <v>14400</v>
      </c>
      <c r="H1051" s="307">
        <v>2592</v>
      </c>
      <c r="I1051" s="308">
        <v>16992</v>
      </c>
      <c r="O1051" s="960" t="s">
        <v>2554</v>
      </c>
      <c r="Q1051" s="273" t="s">
        <v>2557</v>
      </c>
      <c r="R1051" s="314">
        <v>15292.8</v>
      </c>
      <c r="V1051" s="340">
        <f t="shared" ca="1" si="297"/>
        <v>1</v>
      </c>
      <c r="W1051" s="594">
        <f t="shared" ca="1" si="298"/>
        <v>1900</v>
      </c>
      <c r="X1051" s="340" t="str">
        <f t="shared" ca="1" si="310"/>
        <v>0 WEEK</v>
      </c>
      <c r="Y1051" s="794">
        <f t="shared" si="299"/>
        <v>0</v>
      </c>
      <c r="Z1051" s="541" cm="1">
        <f t="array" aca="1" ref="Z1051" ca="1">_xlfn.IFS(AD1051&lt;100,Y1051,Y1051&lt;TODAY(),TODAY(),Y1051&gt;TODAY(),Y1051,Y1051=TODAY(),Y1051)</f>
        <v>0</v>
      </c>
      <c r="AD1051" s="298">
        <f t="shared" si="302"/>
        <v>0</v>
      </c>
      <c r="AE1051" s="299" t="str">
        <f t="shared" si="303"/>
        <v>Complete</v>
      </c>
      <c r="AI1051" s="301">
        <f t="shared" ca="1" si="300"/>
        <v>0</v>
      </c>
      <c r="AJ1051" s="302">
        <f t="shared" ca="1" si="301"/>
        <v>0</v>
      </c>
      <c r="AL1051" s="303">
        <f t="shared" si="304"/>
        <v>16992</v>
      </c>
      <c r="AM1051" s="303">
        <f t="shared" si="305"/>
        <v>1699.2000000000007</v>
      </c>
      <c r="AN1051" s="303">
        <f t="shared" si="306"/>
        <v>15292.8</v>
      </c>
      <c r="AO1051" s="304">
        <f t="shared" si="307"/>
        <v>0</v>
      </c>
      <c r="AP1051" s="273">
        <f t="shared" si="309"/>
        <v>1</v>
      </c>
      <c r="AQ1051" s="273" t="str">
        <f t="shared" ca="1" si="308"/>
        <v>11900</v>
      </c>
    </row>
    <row r="1052" spans="2:43">
      <c r="B1052" s="273" t="s">
        <v>2540</v>
      </c>
      <c r="O1052" s="966"/>
      <c r="Q1052" s="273" t="s">
        <v>2558</v>
      </c>
      <c r="R1052" s="314">
        <v>1699.2</v>
      </c>
      <c r="V1052" s="340">
        <f t="shared" ca="1" si="297"/>
        <v>1</v>
      </c>
      <c r="W1052" s="594">
        <f t="shared" ca="1" si="298"/>
        <v>1900</v>
      </c>
      <c r="X1052" s="340" t="str">
        <f t="shared" ca="1" si="310"/>
        <v>0 WEEK</v>
      </c>
      <c r="Y1052" s="794">
        <f t="shared" si="299"/>
        <v>0</v>
      </c>
      <c r="Z1052" s="541" cm="1">
        <f t="array" aca="1" ref="Z1052" ca="1">_xlfn.IFS(AD1052&lt;100,Y1052,Y1052&lt;TODAY(),TODAY(),Y1052&gt;TODAY(),Y1052,Y1052=TODAY(),Y1052)</f>
        <v>0</v>
      </c>
      <c r="AD1052" s="298">
        <f t="shared" si="302"/>
        <v>0</v>
      </c>
      <c r="AE1052" s="299" t="str">
        <f t="shared" si="303"/>
        <v>Complete</v>
      </c>
      <c r="AI1052" s="301">
        <f t="shared" ca="1" si="300"/>
        <v>0</v>
      </c>
      <c r="AJ1052" s="302">
        <f t="shared" ca="1" si="301"/>
        <v>0</v>
      </c>
      <c r="AL1052" s="303">
        <f t="shared" si="304"/>
        <v>0</v>
      </c>
      <c r="AM1052" s="303">
        <f t="shared" si="305"/>
        <v>-1699.2</v>
      </c>
      <c r="AN1052" s="303">
        <f t="shared" si="306"/>
        <v>1699.2</v>
      </c>
      <c r="AO1052" s="304">
        <f t="shared" si="307"/>
        <v>0</v>
      </c>
      <c r="AP1052" s="273">
        <f t="shared" si="309"/>
        <v>1</v>
      </c>
      <c r="AQ1052" s="273" t="str">
        <f t="shared" ca="1" si="308"/>
        <v>11900</v>
      </c>
    </row>
    <row r="1053" spans="2:43" ht="16.5">
      <c r="B1053" s="273" t="s">
        <v>2540</v>
      </c>
      <c r="G1053" s="306">
        <v>36000</v>
      </c>
      <c r="H1053" s="307">
        <v>6480</v>
      </c>
      <c r="I1053" s="308">
        <v>42480</v>
      </c>
      <c r="O1053" s="959" t="s">
        <v>2556</v>
      </c>
      <c r="Q1053" s="273" t="s">
        <v>2558</v>
      </c>
      <c r="R1053" s="314">
        <v>42480</v>
      </c>
      <c r="V1053" s="340">
        <f t="shared" ca="1" si="297"/>
        <v>1</v>
      </c>
      <c r="W1053" s="594">
        <f t="shared" ca="1" si="298"/>
        <v>1900</v>
      </c>
      <c r="X1053" s="340" t="str">
        <f t="shared" ca="1" si="310"/>
        <v>0 WEEK</v>
      </c>
      <c r="Y1053" s="794">
        <f t="shared" si="299"/>
        <v>0</v>
      </c>
      <c r="Z1053" s="541" cm="1">
        <f t="array" aca="1" ref="Z1053" ca="1">_xlfn.IFS(AD1053&lt;100,Y1053,Y1053&lt;TODAY(),TODAY(),Y1053&gt;TODAY(),Y1053,Y1053=TODAY(),Y1053)</f>
        <v>0</v>
      </c>
      <c r="AD1053" s="298">
        <f t="shared" si="302"/>
        <v>0</v>
      </c>
      <c r="AE1053" s="299" t="str">
        <f t="shared" si="303"/>
        <v>Complete</v>
      </c>
      <c r="AI1053" s="301">
        <f t="shared" ca="1" si="300"/>
        <v>0</v>
      </c>
      <c r="AJ1053" s="302">
        <f t="shared" ca="1" si="301"/>
        <v>0</v>
      </c>
      <c r="AL1053" s="303">
        <f t="shared" si="304"/>
        <v>42480</v>
      </c>
      <c r="AM1053" s="303">
        <f t="shared" si="305"/>
        <v>0</v>
      </c>
      <c r="AN1053" s="303">
        <f t="shared" si="306"/>
        <v>42480</v>
      </c>
      <c r="AO1053" s="304">
        <f t="shared" si="307"/>
        <v>0</v>
      </c>
      <c r="AP1053" s="273">
        <f t="shared" si="309"/>
        <v>1</v>
      </c>
      <c r="AQ1053" s="273" t="str">
        <f t="shared" ca="1" si="308"/>
        <v>11900</v>
      </c>
    </row>
    <row r="1054" spans="2:43" ht="16.5">
      <c r="B1054" s="273" t="s">
        <v>2540</v>
      </c>
      <c r="G1054" s="306">
        <v>3600</v>
      </c>
      <c r="H1054" s="307">
        <v>648</v>
      </c>
      <c r="I1054" s="308">
        <v>4248</v>
      </c>
      <c r="O1054" s="960" t="s">
        <v>2559</v>
      </c>
      <c r="Q1054" s="273" t="s">
        <v>2557</v>
      </c>
      <c r="R1054" s="314">
        <v>2124</v>
      </c>
      <c r="V1054" s="340">
        <f t="shared" ca="1" si="297"/>
        <v>1</v>
      </c>
      <c r="W1054" s="594">
        <f t="shared" ca="1" si="298"/>
        <v>1900</v>
      </c>
      <c r="X1054" s="340" t="str">
        <f t="shared" ca="1" si="310"/>
        <v>0 WEEK</v>
      </c>
      <c r="Y1054" s="794">
        <f t="shared" si="299"/>
        <v>0</v>
      </c>
      <c r="Z1054" s="541" cm="1">
        <f t="array" aca="1" ref="Z1054" ca="1">_xlfn.IFS(AD1054&lt;100,Y1054,Y1054&lt;TODAY(),TODAY(),Y1054&gt;TODAY(),Y1054,Y1054=TODAY(),Y1054)</f>
        <v>0</v>
      </c>
      <c r="AD1054" s="298">
        <f t="shared" si="302"/>
        <v>0</v>
      </c>
      <c r="AE1054" s="299" t="str">
        <f t="shared" si="303"/>
        <v>Complete</v>
      </c>
      <c r="AI1054" s="301">
        <f t="shared" ca="1" si="300"/>
        <v>0</v>
      </c>
      <c r="AJ1054" s="302">
        <f t="shared" ca="1" si="301"/>
        <v>0</v>
      </c>
      <c r="AL1054" s="303">
        <f t="shared" si="304"/>
        <v>4248</v>
      </c>
      <c r="AM1054" s="303">
        <f t="shared" si="305"/>
        <v>2124</v>
      </c>
      <c r="AN1054" s="303">
        <f t="shared" si="306"/>
        <v>2124</v>
      </c>
      <c r="AO1054" s="304">
        <f t="shared" si="307"/>
        <v>0</v>
      </c>
      <c r="AP1054" s="273">
        <f t="shared" si="309"/>
        <v>1</v>
      </c>
      <c r="AQ1054" s="273" t="str">
        <f t="shared" ca="1" si="308"/>
        <v>11900</v>
      </c>
    </row>
    <row r="1055" spans="2:43">
      <c r="B1055" s="273" t="s">
        <v>2540</v>
      </c>
      <c r="O1055" s="970"/>
      <c r="Q1055" s="273" t="s">
        <v>2558</v>
      </c>
      <c r="R1055" s="314">
        <v>2124</v>
      </c>
      <c r="V1055" s="340">
        <f t="shared" ref="V1055:V1104" ca="1" si="311">MONTH(Z1055)</f>
        <v>1</v>
      </c>
      <c r="W1055" s="594">
        <f t="shared" ref="W1055:W1104" ca="1" si="312">YEAR(Z1055)</f>
        <v>1900</v>
      </c>
      <c r="X1055" s="340" t="str">
        <f t="shared" ca="1" si="310"/>
        <v>0 WEEK</v>
      </c>
      <c r="Y1055" s="794">
        <f t="shared" si="299"/>
        <v>0</v>
      </c>
      <c r="Z1055" s="541" cm="1">
        <f t="array" aca="1" ref="Z1055" ca="1">_xlfn.IFS(AD1055&lt;100,Y1055,Y1055&lt;TODAY(),TODAY(),Y1055&gt;TODAY(),Y1055,Y1055=TODAY(),Y1055)</f>
        <v>0</v>
      </c>
      <c r="AD1055" s="298">
        <f t="shared" si="302"/>
        <v>0</v>
      </c>
      <c r="AE1055" s="299" t="str">
        <f t="shared" si="303"/>
        <v>Complete</v>
      </c>
      <c r="AI1055" s="301">
        <f t="shared" ca="1" si="300"/>
        <v>0</v>
      </c>
      <c r="AJ1055" s="302">
        <f t="shared" ca="1" si="301"/>
        <v>0</v>
      </c>
      <c r="AL1055" s="303">
        <f t="shared" si="304"/>
        <v>0</v>
      </c>
      <c r="AM1055" s="303">
        <f t="shared" si="305"/>
        <v>-2124</v>
      </c>
      <c r="AN1055" s="303">
        <f t="shared" si="306"/>
        <v>2124</v>
      </c>
      <c r="AO1055" s="304">
        <f t="shared" si="307"/>
        <v>0</v>
      </c>
      <c r="AP1055" s="273">
        <f t="shared" si="309"/>
        <v>1</v>
      </c>
      <c r="AQ1055" s="273" t="str">
        <f t="shared" ca="1" si="308"/>
        <v>11900</v>
      </c>
    </row>
    <row r="1056" spans="2:43" ht="15.75" thickBot="1">
      <c r="O1056" s="970"/>
      <c r="V1056" s="340">
        <f t="shared" ca="1" si="311"/>
        <v>1</v>
      </c>
      <c r="W1056" s="594">
        <f t="shared" ca="1" si="312"/>
        <v>1900</v>
      </c>
      <c r="X1056" s="340" t="str">
        <f t="shared" ca="1" si="310"/>
        <v>0 WEEK</v>
      </c>
      <c r="Y1056" s="794">
        <f t="shared" si="299"/>
        <v>0</v>
      </c>
      <c r="Z1056" s="541" cm="1">
        <f t="array" aca="1" ref="Z1056" ca="1">_xlfn.IFS(AD1056&lt;100,Y1056,Y1056&lt;TODAY(),TODAY(),Y1056&gt;TODAY(),Y1056,Y1056=TODAY(),Y1056)</f>
        <v>0</v>
      </c>
      <c r="AD1056" s="298">
        <f t="shared" si="302"/>
        <v>0</v>
      </c>
      <c r="AE1056" s="299" t="str">
        <f t="shared" si="303"/>
        <v>Complete</v>
      </c>
      <c r="AI1056" s="301">
        <f t="shared" ca="1" si="300"/>
        <v>0</v>
      </c>
      <c r="AJ1056" s="302">
        <f t="shared" ca="1" si="301"/>
        <v>0</v>
      </c>
      <c r="AL1056" s="303">
        <f t="shared" si="304"/>
        <v>0</v>
      </c>
      <c r="AM1056" s="303">
        <f t="shared" si="305"/>
        <v>0</v>
      </c>
      <c r="AN1056" s="303">
        <f t="shared" si="306"/>
        <v>0</v>
      </c>
      <c r="AO1056" s="304">
        <f t="shared" si="307"/>
        <v>0</v>
      </c>
      <c r="AP1056" s="273">
        <f t="shared" si="309"/>
        <v>1</v>
      </c>
      <c r="AQ1056" s="273" t="str">
        <f t="shared" ca="1" si="308"/>
        <v>11900</v>
      </c>
    </row>
    <row r="1057" spans="2:43" ht="17.25" thickBot="1">
      <c r="B1057" s="273" t="s">
        <v>2540</v>
      </c>
      <c r="D1057" s="971"/>
      <c r="G1057" s="306">
        <v>1764000</v>
      </c>
      <c r="H1057" s="307">
        <v>317520</v>
      </c>
      <c r="I1057" s="308">
        <v>2081520</v>
      </c>
      <c r="O1057" s="972" t="s">
        <v>2543</v>
      </c>
      <c r="Q1057" s="668" t="s">
        <v>2558</v>
      </c>
      <c r="R1057" s="314">
        <v>2081520</v>
      </c>
      <c r="V1057" s="340">
        <f t="shared" ca="1" si="311"/>
        <v>1</v>
      </c>
      <c r="W1057" s="594">
        <f t="shared" ca="1" si="312"/>
        <v>1900</v>
      </c>
      <c r="X1057" s="340" t="str">
        <f t="shared" ca="1" si="310"/>
        <v>0 WEEK</v>
      </c>
      <c r="Y1057" s="794">
        <f t="shared" si="299"/>
        <v>0</v>
      </c>
      <c r="Z1057" s="541" cm="1">
        <f t="array" aca="1" ref="Z1057" ca="1">_xlfn.IFS(AD1057&lt;100,Y1057,Y1057&lt;TODAY(),TODAY(),Y1057&gt;TODAY(),Y1057,Y1057=TODAY(),Y1057)</f>
        <v>0</v>
      </c>
      <c r="AD1057" s="298">
        <f t="shared" si="302"/>
        <v>0</v>
      </c>
      <c r="AE1057" s="299" t="str">
        <f t="shared" si="303"/>
        <v>Complete</v>
      </c>
      <c r="AI1057" s="301">
        <f t="shared" ca="1" si="300"/>
        <v>0</v>
      </c>
      <c r="AJ1057" s="302">
        <f t="shared" ca="1" si="301"/>
        <v>0</v>
      </c>
      <c r="AL1057" s="303">
        <f t="shared" si="304"/>
        <v>2081520</v>
      </c>
      <c r="AM1057" s="303">
        <f t="shared" si="305"/>
        <v>0</v>
      </c>
      <c r="AN1057" s="303">
        <f t="shared" si="306"/>
        <v>2081520</v>
      </c>
      <c r="AO1057" s="304">
        <f t="shared" si="307"/>
        <v>0</v>
      </c>
      <c r="AP1057" s="273">
        <f t="shared" si="309"/>
        <v>1</v>
      </c>
      <c r="AQ1057" s="273" t="str">
        <f t="shared" ca="1" si="308"/>
        <v>11900</v>
      </c>
    </row>
    <row r="1058" spans="2:43" ht="16.5">
      <c r="B1058" s="273" t="s">
        <v>2540</v>
      </c>
      <c r="G1058" s="306">
        <v>180000</v>
      </c>
      <c r="H1058" s="307">
        <v>32400</v>
      </c>
      <c r="I1058" s="308">
        <v>212400</v>
      </c>
      <c r="O1058" s="972" t="s">
        <v>2560</v>
      </c>
      <c r="Q1058" s="668" t="s">
        <v>2558</v>
      </c>
      <c r="R1058" s="314">
        <v>212400</v>
      </c>
      <c r="V1058" s="340">
        <f t="shared" ca="1" si="311"/>
        <v>1</v>
      </c>
      <c r="W1058" s="594">
        <f t="shared" ca="1" si="312"/>
        <v>1900</v>
      </c>
      <c r="X1058" s="340" t="str">
        <f t="shared" ca="1" si="310"/>
        <v>0 WEEK</v>
      </c>
      <c r="Y1058" s="794">
        <f t="shared" si="299"/>
        <v>0</v>
      </c>
      <c r="Z1058" s="541" cm="1">
        <f t="array" aca="1" ref="Z1058" ca="1">_xlfn.IFS(AD1058&lt;100,Y1058,Y1058&lt;TODAY(),TODAY(),Y1058&gt;TODAY(),Y1058,Y1058=TODAY(),Y1058)</f>
        <v>0</v>
      </c>
      <c r="AD1058" s="298">
        <f t="shared" si="302"/>
        <v>0</v>
      </c>
      <c r="AE1058" s="299" t="str">
        <f t="shared" si="303"/>
        <v>Complete</v>
      </c>
      <c r="AI1058" s="301">
        <f t="shared" ca="1" si="300"/>
        <v>0</v>
      </c>
      <c r="AJ1058" s="302">
        <f t="shared" ca="1" si="301"/>
        <v>0</v>
      </c>
      <c r="AL1058" s="303">
        <f t="shared" si="304"/>
        <v>212400</v>
      </c>
      <c r="AM1058" s="303">
        <f t="shared" si="305"/>
        <v>0</v>
      </c>
      <c r="AN1058" s="303">
        <f t="shared" si="306"/>
        <v>212400</v>
      </c>
      <c r="AO1058" s="304">
        <f t="shared" si="307"/>
        <v>0</v>
      </c>
      <c r="AP1058" s="273">
        <f t="shared" si="309"/>
        <v>1</v>
      </c>
      <c r="AQ1058" s="273" t="str">
        <f t="shared" ca="1" si="308"/>
        <v>11900</v>
      </c>
    </row>
    <row r="1059" spans="2:43" ht="16.5">
      <c r="B1059" s="273" t="s">
        <v>2540</v>
      </c>
      <c r="G1059" s="306">
        <v>54000</v>
      </c>
      <c r="H1059" s="307">
        <v>9720</v>
      </c>
      <c r="I1059" s="308">
        <v>63720</v>
      </c>
      <c r="O1059" s="972" t="s">
        <v>2547</v>
      </c>
      <c r="Q1059" s="668" t="s">
        <v>2558</v>
      </c>
      <c r="R1059" s="314">
        <v>63720</v>
      </c>
      <c r="V1059" s="340">
        <f t="shared" ca="1" si="311"/>
        <v>1</v>
      </c>
      <c r="W1059" s="594">
        <f t="shared" ca="1" si="312"/>
        <v>1900</v>
      </c>
      <c r="X1059" s="340" t="str">
        <f t="shared" ca="1" si="310"/>
        <v>0 WEEK</v>
      </c>
      <c r="Y1059" s="794">
        <f t="shared" si="299"/>
        <v>0</v>
      </c>
      <c r="Z1059" s="541" cm="1">
        <f t="array" aca="1" ref="Z1059" ca="1">_xlfn.IFS(AD1059&lt;100,Y1059,Y1059&lt;TODAY(),TODAY(),Y1059&gt;TODAY(),Y1059,Y1059=TODAY(),Y1059)</f>
        <v>0</v>
      </c>
      <c r="AD1059" s="298">
        <f t="shared" si="302"/>
        <v>0</v>
      </c>
      <c r="AE1059" s="299" t="str">
        <f t="shared" si="303"/>
        <v>Complete</v>
      </c>
      <c r="AI1059" s="301">
        <f t="shared" ca="1" si="300"/>
        <v>0</v>
      </c>
      <c r="AJ1059" s="302">
        <f t="shared" ca="1" si="301"/>
        <v>0</v>
      </c>
      <c r="AL1059" s="303">
        <f t="shared" si="304"/>
        <v>63720</v>
      </c>
      <c r="AM1059" s="303">
        <f t="shared" si="305"/>
        <v>0</v>
      </c>
      <c r="AN1059" s="303">
        <f t="shared" si="306"/>
        <v>63720</v>
      </c>
      <c r="AO1059" s="304">
        <f t="shared" si="307"/>
        <v>0</v>
      </c>
      <c r="AP1059" s="273">
        <f t="shared" si="309"/>
        <v>1</v>
      </c>
      <c r="AQ1059" s="273" t="str">
        <f t="shared" ca="1" si="308"/>
        <v>11900</v>
      </c>
    </row>
    <row r="1060" spans="2:43" ht="16.5">
      <c r="B1060" s="273" t="s">
        <v>2540</v>
      </c>
      <c r="G1060" s="306">
        <v>36000</v>
      </c>
      <c r="H1060" s="307">
        <v>6480</v>
      </c>
      <c r="I1060" s="308">
        <v>42480</v>
      </c>
      <c r="O1060" s="972" t="s">
        <v>1835</v>
      </c>
      <c r="Q1060" s="668" t="s">
        <v>2558</v>
      </c>
      <c r="R1060" s="314">
        <v>42480</v>
      </c>
      <c r="V1060" s="340">
        <f t="shared" ca="1" si="311"/>
        <v>1</v>
      </c>
      <c r="W1060" s="594">
        <f t="shared" ca="1" si="312"/>
        <v>1900</v>
      </c>
      <c r="X1060" s="340" t="str">
        <f t="shared" ca="1" si="310"/>
        <v>0 WEEK</v>
      </c>
      <c r="Y1060" s="794">
        <f t="shared" si="299"/>
        <v>0</v>
      </c>
      <c r="Z1060" s="541" cm="1">
        <f t="array" aca="1" ref="Z1060" ca="1">_xlfn.IFS(AD1060&lt;100,Y1060,Y1060&lt;TODAY(),TODAY(),Y1060&gt;TODAY(),Y1060,Y1060=TODAY(),Y1060)</f>
        <v>0</v>
      </c>
      <c r="AD1060" s="298">
        <f t="shared" si="302"/>
        <v>0</v>
      </c>
      <c r="AE1060" s="299" t="str">
        <f t="shared" si="303"/>
        <v>Complete</v>
      </c>
      <c r="AI1060" s="301">
        <f t="shared" ca="1" si="300"/>
        <v>0</v>
      </c>
      <c r="AJ1060" s="302">
        <f t="shared" ca="1" si="301"/>
        <v>0</v>
      </c>
      <c r="AL1060" s="303">
        <f t="shared" si="304"/>
        <v>42480</v>
      </c>
      <c r="AM1060" s="303">
        <f t="shared" si="305"/>
        <v>0</v>
      </c>
      <c r="AN1060" s="303">
        <f t="shared" si="306"/>
        <v>42480</v>
      </c>
      <c r="AO1060" s="304">
        <f t="shared" si="307"/>
        <v>0</v>
      </c>
      <c r="AP1060" s="273">
        <f t="shared" si="309"/>
        <v>1</v>
      </c>
      <c r="AQ1060" s="273" t="str">
        <f t="shared" ca="1" si="308"/>
        <v>11900</v>
      </c>
    </row>
    <row r="1061" spans="2:43" ht="16.5">
      <c r="B1061" s="273" t="s">
        <v>2540</v>
      </c>
      <c r="G1061" s="306">
        <v>14400</v>
      </c>
      <c r="H1061" s="307">
        <v>2592</v>
      </c>
      <c r="I1061" s="308">
        <v>16992</v>
      </c>
      <c r="O1061" s="972" t="s">
        <v>2549</v>
      </c>
      <c r="Q1061" s="668" t="s">
        <v>2558</v>
      </c>
      <c r="R1061" s="314">
        <v>16992</v>
      </c>
      <c r="V1061" s="340">
        <f t="shared" ca="1" si="311"/>
        <v>1</v>
      </c>
      <c r="W1061" s="594">
        <f t="shared" ca="1" si="312"/>
        <v>1900</v>
      </c>
      <c r="X1061" s="340" t="str">
        <f t="shared" ca="1" si="310"/>
        <v>0 WEEK</v>
      </c>
      <c r="Y1061" s="794">
        <f t="shared" si="299"/>
        <v>0</v>
      </c>
      <c r="Z1061" s="541" cm="1">
        <f t="array" aca="1" ref="Z1061" ca="1">_xlfn.IFS(AD1061&lt;100,Y1061,Y1061&lt;TODAY(),TODAY(),Y1061&gt;TODAY(),Y1061,Y1061=TODAY(),Y1061)</f>
        <v>0</v>
      </c>
      <c r="AD1061" s="298">
        <f t="shared" si="302"/>
        <v>0</v>
      </c>
      <c r="AE1061" s="299" t="str">
        <f t="shared" si="303"/>
        <v>Complete</v>
      </c>
      <c r="AI1061" s="301">
        <f t="shared" ca="1" si="300"/>
        <v>0</v>
      </c>
      <c r="AJ1061" s="302">
        <f t="shared" ca="1" si="301"/>
        <v>0</v>
      </c>
      <c r="AL1061" s="303">
        <f t="shared" si="304"/>
        <v>16992</v>
      </c>
      <c r="AM1061" s="303">
        <f t="shared" si="305"/>
        <v>0</v>
      </c>
      <c r="AN1061" s="303">
        <f t="shared" si="306"/>
        <v>16992</v>
      </c>
      <c r="AO1061" s="304">
        <f t="shared" si="307"/>
        <v>0</v>
      </c>
      <c r="AP1061" s="273">
        <f t="shared" si="309"/>
        <v>1</v>
      </c>
      <c r="AQ1061" s="273" t="str">
        <f t="shared" ca="1" si="308"/>
        <v>11900</v>
      </c>
    </row>
    <row r="1062" spans="2:43" ht="16.5">
      <c r="B1062" s="273" t="s">
        <v>2540</v>
      </c>
      <c r="G1062" s="306">
        <v>14400</v>
      </c>
      <c r="H1062" s="307">
        <v>2592</v>
      </c>
      <c r="I1062" s="308">
        <v>16992</v>
      </c>
      <c r="O1062" s="972" t="s">
        <v>2550</v>
      </c>
      <c r="Q1062" s="668" t="s">
        <v>2558</v>
      </c>
      <c r="R1062" s="314">
        <v>16992</v>
      </c>
      <c r="V1062" s="340">
        <f t="shared" ca="1" si="311"/>
        <v>1</v>
      </c>
      <c r="W1062" s="594">
        <f t="shared" ca="1" si="312"/>
        <v>1900</v>
      </c>
      <c r="X1062" s="340" t="str">
        <f t="shared" ca="1" si="310"/>
        <v>0 WEEK</v>
      </c>
      <c r="Y1062" s="794">
        <f t="shared" si="299"/>
        <v>0</v>
      </c>
      <c r="Z1062" s="541" cm="1">
        <f t="array" aca="1" ref="Z1062" ca="1">_xlfn.IFS(AD1062&lt;100,Y1062,Y1062&lt;TODAY(),TODAY(),Y1062&gt;TODAY(),Y1062,Y1062=TODAY(),Y1062)</f>
        <v>0</v>
      </c>
      <c r="AD1062" s="298">
        <f t="shared" si="302"/>
        <v>0</v>
      </c>
      <c r="AE1062" s="299" t="str">
        <f t="shared" si="303"/>
        <v>Complete</v>
      </c>
      <c r="AI1062" s="301">
        <f t="shared" ca="1" si="300"/>
        <v>0</v>
      </c>
      <c r="AJ1062" s="302">
        <f t="shared" ca="1" si="301"/>
        <v>0</v>
      </c>
      <c r="AL1062" s="303">
        <f t="shared" si="304"/>
        <v>16992</v>
      </c>
      <c r="AM1062" s="303">
        <f t="shared" si="305"/>
        <v>0</v>
      </c>
      <c r="AN1062" s="303">
        <f t="shared" si="306"/>
        <v>16992</v>
      </c>
      <c r="AO1062" s="304">
        <f t="shared" si="307"/>
        <v>0</v>
      </c>
      <c r="AP1062" s="273">
        <f t="shared" si="309"/>
        <v>1</v>
      </c>
      <c r="AQ1062" s="273" t="str">
        <f t="shared" ca="1" si="308"/>
        <v>11900</v>
      </c>
    </row>
    <row r="1063" spans="2:43" ht="16.5">
      <c r="B1063" s="273" t="s">
        <v>2540</v>
      </c>
      <c r="G1063" s="306">
        <v>14400</v>
      </c>
      <c r="H1063" s="307">
        <v>2592</v>
      </c>
      <c r="I1063" s="308">
        <v>16992</v>
      </c>
      <c r="O1063" s="972" t="s">
        <v>2551</v>
      </c>
      <c r="Q1063" s="668" t="s">
        <v>2558</v>
      </c>
      <c r="R1063" s="314">
        <v>16992</v>
      </c>
      <c r="V1063" s="340">
        <f t="shared" ca="1" si="311"/>
        <v>1</v>
      </c>
      <c r="W1063" s="594">
        <f t="shared" ca="1" si="312"/>
        <v>1900</v>
      </c>
      <c r="X1063" s="340" t="str">
        <f t="shared" ca="1" si="310"/>
        <v>0 WEEK</v>
      </c>
      <c r="Y1063" s="794">
        <f t="shared" si="299"/>
        <v>0</v>
      </c>
      <c r="Z1063" s="541" cm="1">
        <f t="array" aca="1" ref="Z1063" ca="1">_xlfn.IFS(AD1063&lt;100,Y1063,Y1063&lt;TODAY(),TODAY(),Y1063&gt;TODAY(),Y1063,Y1063=TODAY(),Y1063)</f>
        <v>0</v>
      </c>
      <c r="AD1063" s="298">
        <f t="shared" si="302"/>
        <v>0</v>
      </c>
      <c r="AE1063" s="299" t="str">
        <f t="shared" si="303"/>
        <v>Complete</v>
      </c>
      <c r="AI1063" s="301">
        <f t="shared" ca="1" si="300"/>
        <v>0</v>
      </c>
      <c r="AJ1063" s="302">
        <f t="shared" ca="1" si="301"/>
        <v>0</v>
      </c>
      <c r="AL1063" s="303">
        <f t="shared" si="304"/>
        <v>16992</v>
      </c>
      <c r="AM1063" s="303">
        <f t="shared" si="305"/>
        <v>0</v>
      </c>
      <c r="AN1063" s="303">
        <f t="shared" si="306"/>
        <v>16992</v>
      </c>
      <c r="AO1063" s="304">
        <f t="shared" si="307"/>
        <v>0</v>
      </c>
      <c r="AP1063" s="273">
        <f t="shared" si="309"/>
        <v>1</v>
      </c>
      <c r="AQ1063" s="273" t="str">
        <f t="shared" ca="1" si="308"/>
        <v>11900</v>
      </c>
    </row>
    <row r="1064" spans="2:43" ht="16.5">
      <c r="B1064" s="273" t="s">
        <v>2540</v>
      </c>
      <c r="G1064" s="306">
        <v>14400</v>
      </c>
      <c r="H1064" s="307">
        <v>2592</v>
      </c>
      <c r="I1064" s="308">
        <v>16992</v>
      </c>
      <c r="O1064" s="972" t="s">
        <v>2552</v>
      </c>
      <c r="Q1064" s="668" t="s">
        <v>2558</v>
      </c>
      <c r="R1064" s="314">
        <v>16992</v>
      </c>
      <c r="V1064" s="340">
        <f t="shared" ca="1" si="311"/>
        <v>1</v>
      </c>
      <c r="W1064" s="594">
        <f t="shared" ca="1" si="312"/>
        <v>1900</v>
      </c>
      <c r="X1064" s="340" t="str">
        <f t="shared" ca="1" si="310"/>
        <v>0 WEEK</v>
      </c>
      <c r="Y1064" s="794">
        <f t="shared" si="299"/>
        <v>0</v>
      </c>
      <c r="Z1064" s="541" cm="1">
        <f t="array" aca="1" ref="Z1064" ca="1">_xlfn.IFS(AD1064&lt;100,Y1064,Y1064&lt;TODAY(),TODAY(),Y1064&gt;TODAY(),Y1064,Y1064=TODAY(),Y1064)</f>
        <v>0</v>
      </c>
      <c r="AD1064" s="298">
        <f t="shared" si="302"/>
        <v>0</v>
      </c>
      <c r="AE1064" s="299" t="str">
        <f t="shared" si="303"/>
        <v>Complete</v>
      </c>
      <c r="AI1064" s="301">
        <f t="shared" ca="1" si="300"/>
        <v>0</v>
      </c>
      <c r="AJ1064" s="302">
        <f t="shared" ca="1" si="301"/>
        <v>0</v>
      </c>
      <c r="AL1064" s="303">
        <f t="shared" si="304"/>
        <v>16992</v>
      </c>
      <c r="AM1064" s="303">
        <f t="shared" si="305"/>
        <v>0</v>
      </c>
      <c r="AN1064" s="303">
        <f t="shared" si="306"/>
        <v>16992</v>
      </c>
      <c r="AO1064" s="304">
        <f t="shared" si="307"/>
        <v>0</v>
      </c>
      <c r="AP1064" s="273">
        <f t="shared" si="309"/>
        <v>1</v>
      </c>
      <c r="AQ1064" s="273" t="str">
        <f t="shared" ca="1" si="308"/>
        <v>11900</v>
      </c>
    </row>
    <row r="1065" spans="2:43" ht="16.5">
      <c r="B1065" s="273" t="s">
        <v>2540</v>
      </c>
      <c r="G1065" s="306">
        <v>14400</v>
      </c>
      <c r="H1065" s="307">
        <v>2592</v>
      </c>
      <c r="I1065" s="308">
        <v>16992</v>
      </c>
      <c r="O1065" s="972" t="s">
        <v>2553</v>
      </c>
      <c r="Q1065" s="668" t="s">
        <v>2558</v>
      </c>
      <c r="R1065" s="314">
        <v>16992</v>
      </c>
      <c r="V1065" s="340">
        <f t="shared" ca="1" si="311"/>
        <v>1</v>
      </c>
      <c r="W1065" s="594">
        <f t="shared" ca="1" si="312"/>
        <v>1900</v>
      </c>
      <c r="X1065" s="340" t="str">
        <f t="shared" ca="1" si="310"/>
        <v>0 WEEK</v>
      </c>
      <c r="Y1065" s="794">
        <f t="shared" ref="Y1065:Y1128" si="313">P1065+T1065</f>
        <v>0</v>
      </c>
      <c r="Z1065" s="541" cm="1">
        <f t="array" aca="1" ref="Z1065" ca="1">_xlfn.IFS(AD1065&lt;100,Y1065,Y1065&lt;TODAY(),TODAY(),Y1065&gt;TODAY(),Y1065,Y1065=TODAY(),Y1065)</f>
        <v>0</v>
      </c>
      <c r="AD1065" s="298">
        <f t="shared" si="302"/>
        <v>0</v>
      </c>
      <c r="AE1065" s="299" t="str">
        <f t="shared" si="303"/>
        <v>Complete</v>
      </c>
      <c r="AI1065" s="301">
        <f t="shared" ca="1" si="300"/>
        <v>0</v>
      </c>
      <c r="AJ1065" s="302">
        <f t="shared" ca="1" si="301"/>
        <v>0</v>
      </c>
      <c r="AL1065" s="303">
        <f t="shared" si="304"/>
        <v>16992</v>
      </c>
      <c r="AM1065" s="303">
        <f t="shared" si="305"/>
        <v>0</v>
      </c>
      <c r="AN1065" s="303">
        <f t="shared" si="306"/>
        <v>16992</v>
      </c>
      <c r="AO1065" s="304">
        <f t="shared" si="307"/>
        <v>0</v>
      </c>
      <c r="AP1065" s="273">
        <f t="shared" si="309"/>
        <v>1</v>
      </c>
      <c r="AQ1065" s="273" t="str">
        <f t="shared" ca="1" si="308"/>
        <v>11900</v>
      </c>
    </row>
    <row r="1066" spans="2:43" ht="16.5">
      <c r="B1066" s="273" t="s">
        <v>2540</v>
      </c>
      <c r="G1066" s="306">
        <v>14400</v>
      </c>
      <c r="H1066" s="307">
        <v>2592</v>
      </c>
      <c r="I1066" s="308">
        <v>16992</v>
      </c>
      <c r="O1066" s="972" t="s">
        <v>2554</v>
      </c>
      <c r="Q1066" s="668" t="s">
        <v>2558</v>
      </c>
      <c r="R1066" s="314">
        <v>16992</v>
      </c>
      <c r="V1066" s="340">
        <f t="shared" ca="1" si="311"/>
        <v>1</v>
      </c>
      <c r="W1066" s="594">
        <f t="shared" ca="1" si="312"/>
        <v>1900</v>
      </c>
      <c r="X1066" s="340" t="str">
        <f t="shared" ca="1" si="310"/>
        <v>0 WEEK</v>
      </c>
      <c r="Y1066" s="794">
        <f t="shared" si="313"/>
        <v>0</v>
      </c>
      <c r="Z1066" s="541" cm="1">
        <f t="array" aca="1" ref="Z1066" ca="1">_xlfn.IFS(AD1066&lt;100,Y1066,Y1066&lt;TODAY(),TODAY(),Y1066&gt;TODAY(),Y1066,Y1066=TODAY(),Y1066)</f>
        <v>0</v>
      </c>
      <c r="AD1066" s="298">
        <f t="shared" si="302"/>
        <v>0</v>
      </c>
      <c r="AE1066" s="299" t="str">
        <f t="shared" si="303"/>
        <v>Complete</v>
      </c>
      <c r="AI1066" s="301">
        <f t="shared" ca="1" si="300"/>
        <v>0</v>
      </c>
      <c r="AJ1066" s="302">
        <f t="shared" ca="1" si="301"/>
        <v>0</v>
      </c>
      <c r="AL1066" s="303">
        <f t="shared" si="304"/>
        <v>16992</v>
      </c>
      <c r="AM1066" s="303">
        <f t="shared" si="305"/>
        <v>0</v>
      </c>
      <c r="AN1066" s="303">
        <f t="shared" si="306"/>
        <v>16992</v>
      </c>
      <c r="AO1066" s="304">
        <f t="shared" si="307"/>
        <v>0</v>
      </c>
      <c r="AP1066" s="273">
        <f t="shared" si="309"/>
        <v>1</v>
      </c>
      <c r="AQ1066" s="273" t="str">
        <f t="shared" ca="1" si="308"/>
        <v>11900</v>
      </c>
    </row>
    <row r="1067" spans="2:43" ht="16.5">
      <c r="B1067" s="273" t="s">
        <v>2540</v>
      </c>
      <c r="G1067" s="306">
        <v>36000</v>
      </c>
      <c r="H1067" s="307">
        <v>6480</v>
      </c>
      <c r="I1067" s="308">
        <v>42480</v>
      </c>
      <c r="O1067" s="972" t="s">
        <v>2556</v>
      </c>
      <c r="Q1067" s="668" t="s">
        <v>2558</v>
      </c>
      <c r="R1067" s="314">
        <v>42480</v>
      </c>
      <c r="V1067" s="340">
        <f t="shared" ca="1" si="311"/>
        <v>1</v>
      </c>
      <c r="W1067" s="594">
        <f t="shared" ca="1" si="312"/>
        <v>1900</v>
      </c>
      <c r="X1067" s="340" t="str">
        <f t="shared" ca="1" si="310"/>
        <v>0 WEEK</v>
      </c>
      <c r="Y1067" s="794">
        <f t="shared" si="313"/>
        <v>0</v>
      </c>
      <c r="Z1067" s="541" cm="1">
        <f t="array" aca="1" ref="Z1067" ca="1">_xlfn.IFS(AD1067&lt;100,Y1067,Y1067&lt;TODAY(),TODAY(),Y1067&gt;TODAY(),Y1067,Y1067=TODAY(),Y1067)</f>
        <v>0</v>
      </c>
      <c r="AD1067" s="298">
        <f t="shared" si="302"/>
        <v>0</v>
      </c>
      <c r="AE1067" s="299" t="str">
        <f t="shared" si="303"/>
        <v>Complete</v>
      </c>
      <c r="AI1067" s="301">
        <f t="shared" ca="1" si="300"/>
        <v>0</v>
      </c>
      <c r="AJ1067" s="302">
        <f t="shared" ca="1" si="301"/>
        <v>0</v>
      </c>
      <c r="AL1067" s="303">
        <f t="shared" si="304"/>
        <v>42480</v>
      </c>
      <c r="AM1067" s="303">
        <f t="shared" si="305"/>
        <v>0</v>
      </c>
      <c r="AN1067" s="303">
        <f t="shared" si="306"/>
        <v>42480</v>
      </c>
      <c r="AO1067" s="304">
        <f t="shared" si="307"/>
        <v>0</v>
      </c>
      <c r="AP1067" s="273">
        <f t="shared" si="309"/>
        <v>1</v>
      </c>
      <c r="AQ1067" s="273" t="str">
        <f t="shared" ca="1" si="308"/>
        <v>11900</v>
      </c>
    </row>
    <row r="1068" spans="2:43" ht="16.5">
      <c r="B1068" s="273" t="s">
        <v>2540</v>
      </c>
      <c r="G1068" s="306">
        <v>3600</v>
      </c>
      <c r="H1068" s="307">
        <v>648</v>
      </c>
      <c r="I1068" s="308">
        <v>4248</v>
      </c>
      <c r="O1068" s="972" t="s">
        <v>2559</v>
      </c>
      <c r="Q1068" s="668" t="s">
        <v>2558</v>
      </c>
      <c r="R1068" s="314">
        <v>4248</v>
      </c>
      <c r="V1068" s="340">
        <f t="shared" ca="1" si="311"/>
        <v>1</v>
      </c>
      <c r="W1068" s="594">
        <f t="shared" ca="1" si="312"/>
        <v>1900</v>
      </c>
      <c r="X1068" s="340" t="str">
        <f t="shared" ca="1" si="310"/>
        <v>0 WEEK</v>
      </c>
      <c r="Y1068" s="794">
        <f t="shared" si="313"/>
        <v>0</v>
      </c>
      <c r="Z1068" s="541" cm="1">
        <f t="array" aca="1" ref="Z1068" ca="1">_xlfn.IFS(AD1068&lt;100,Y1068,Y1068&lt;TODAY(),TODAY(),Y1068&gt;TODAY(),Y1068,Y1068=TODAY(),Y1068)</f>
        <v>0</v>
      </c>
      <c r="AD1068" s="298">
        <f t="shared" si="302"/>
        <v>0</v>
      </c>
      <c r="AE1068" s="299" t="str">
        <f t="shared" si="303"/>
        <v>Complete</v>
      </c>
      <c r="AI1068" s="301">
        <f t="shared" ca="1" si="300"/>
        <v>0</v>
      </c>
      <c r="AJ1068" s="302">
        <f t="shared" ca="1" si="301"/>
        <v>0</v>
      </c>
      <c r="AL1068" s="303">
        <f t="shared" si="304"/>
        <v>4248</v>
      </c>
      <c r="AM1068" s="303">
        <f t="shared" si="305"/>
        <v>0</v>
      </c>
      <c r="AN1068" s="303">
        <f t="shared" si="306"/>
        <v>4248</v>
      </c>
      <c r="AO1068" s="304">
        <f t="shared" si="307"/>
        <v>0</v>
      </c>
      <c r="AP1068" s="273">
        <f t="shared" si="309"/>
        <v>1</v>
      </c>
      <c r="AQ1068" s="273" t="str">
        <f t="shared" ca="1" si="308"/>
        <v>11900</v>
      </c>
    </row>
    <row r="1069" spans="2:43">
      <c r="V1069" s="340">
        <f t="shared" ca="1" si="311"/>
        <v>1</v>
      </c>
      <c r="W1069" s="594">
        <f t="shared" ca="1" si="312"/>
        <v>1900</v>
      </c>
      <c r="X1069" s="340" t="str">
        <f t="shared" ca="1" si="310"/>
        <v>0 WEEK</v>
      </c>
      <c r="Y1069" s="794">
        <f t="shared" si="313"/>
        <v>0</v>
      </c>
      <c r="Z1069" s="541" cm="1">
        <f t="array" aca="1" ref="Z1069" ca="1">_xlfn.IFS(AD1069&lt;100,Y1069,Y1069&lt;TODAY(),TODAY(),Y1069&gt;TODAY(),Y1069,Y1069=TODAY(),Y1069)</f>
        <v>0</v>
      </c>
      <c r="AD1069" s="298">
        <f t="shared" si="302"/>
        <v>0</v>
      </c>
      <c r="AE1069" s="299" t="str">
        <f t="shared" si="303"/>
        <v>Complete</v>
      </c>
      <c r="AI1069" s="301">
        <f t="shared" ca="1" si="300"/>
        <v>0</v>
      </c>
      <c r="AJ1069" s="302">
        <f t="shared" ca="1" si="301"/>
        <v>0</v>
      </c>
      <c r="AL1069" s="303">
        <f t="shared" si="304"/>
        <v>0</v>
      </c>
      <c r="AM1069" s="303">
        <f t="shared" si="305"/>
        <v>0</v>
      </c>
      <c r="AN1069" s="303">
        <f t="shared" si="306"/>
        <v>0</v>
      </c>
      <c r="AO1069" s="304">
        <f t="shared" si="307"/>
        <v>0</v>
      </c>
      <c r="AP1069" s="273">
        <f t="shared" si="309"/>
        <v>1</v>
      </c>
      <c r="AQ1069" s="273" t="str">
        <f t="shared" ca="1" si="308"/>
        <v>11900</v>
      </c>
    </row>
    <row r="1070" spans="2:43">
      <c r="V1070" s="340">
        <f t="shared" ca="1" si="311"/>
        <v>1</v>
      </c>
      <c r="W1070" s="594">
        <f t="shared" ca="1" si="312"/>
        <v>1900</v>
      </c>
      <c r="X1070" s="340" t="str">
        <f t="shared" ca="1" si="310"/>
        <v>0 WEEK</v>
      </c>
      <c r="Y1070" s="794">
        <f t="shared" si="313"/>
        <v>0</v>
      </c>
      <c r="Z1070" s="541" cm="1">
        <f t="array" aca="1" ref="Z1070" ca="1">_xlfn.IFS(AD1070&lt;100,Y1070,Y1070&lt;TODAY(),TODAY(),Y1070&gt;TODAY(),Y1070,Y1070=TODAY(),Y1070)</f>
        <v>0</v>
      </c>
      <c r="AD1070" s="298">
        <f t="shared" si="302"/>
        <v>0</v>
      </c>
      <c r="AE1070" s="299" t="str">
        <f t="shared" si="303"/>
        <v>Complete</v>
      </c>
      <c r="AI1070" s="301">
        <f t="shared" ca="1" si="300"/>
        <v>0</v>
      </c>
      <c r="AJ1070" s="302">
        <f t="shared" ca="1" si="301"/>
        <v>0</v>
      </c>
      <c r="AL1070" s="303">
        <f t="shared" si="304"/>
        <v>0</v>
      </c>
      <c r="AM1070" s="303">
        <f t="shared" si="305"/>
        <v>0</v>
      </c>
      <c r="AN1070" s="303">
        <f t="shared" si="306"/>
        <v>0</v>
      </c>
      <c r="AO1070" s="304">
        <f t="shared" si="307"/>
        <v>0</v>
      </c>
      <c r="AP1070" s="273">
        <f t="shared" si="309"/>
        <v>1</v>
      </c>
      <c r="AQ1070" s="273" t="str">
        <f t="shared" ca="1" si="308"/>
        <v>11900</v>
      </c>
    </row>
    <row r="1071" spans="2:43" ht="18">
      <c r="B1071" s="711" t="s">
        <v>2561</v>
      </c>
      <c r="R1071" s="741" t="e">
        <v>#VALUE!</v>
      </c>
      <c r="V1071" s="340">
        <f t="shared" ca="1" si="311"/>
        <v>10</v>
      </c>
      <c r="W1071" s="594">
        <f t="shared" ca="1" si="312"/>
        <v>2025</v>
      </c>
      <c r="X1071" s="340" t="str">
        <f t="shared" ca="1" si="310"/>
        <v>1 WEEK</v>
      </c>
      <c r="Y1071" s="794">
        <f t="shared" si="313"/>
        <v>0</v>
      </c>
      <c r="Z1071" s="541" cm="1">
        <f t="array" aca="1" ref="Z1071" ca="1">_xlfn.IFS(AD1071&lt;100,Y1071,Y1071&lt;TODAY(),TODAY(),Y1071&gt;TODAY(),Y1071,Y1071=TODAY(),Y1071)</f>
        <v>45935</v>
      </c>
      <c r="AB1071" s="307">
        <v>-51721025</v>
      </c>
      <c r="AD1071" s="298">
        <f t="shared" si="302"/>
        <v>51721025</v>
      </c>
      <c r="AE1071" s="299" t="str">
        <f t="shared" si="303"/>
        <v>Incomplete</v>
      </c>
      <c r="AI1071" s="301">
        <f t="shared" ca="1" si="300"/>
        <v>45935</v>
      </c>
      <c r="AJ1071" s="302" t="str">
        <f t="shared" ca="1" si="301"/>
        <v>Delayed</v>
      </c>
      <c r="AL1071" s="303">
        <f t="shared" si="304"/>
        <v>0</v>
      </c>
      <c r="AM1071" s="303">
        <f t="shared" si="305"/>
        <v>0</v>
      </c>
      <c r="AN1071" s="303">
        <f t="shared" si="306"/>
        <v>0</v>
      </c>
      <c r="AO1071" s="304">
        <f t="shared" si="307"/>
        <v>0</v>
      </c>
      <c r="AP1071" s="273">
        <f t="shared" si="309"/>
        <v>1</v>
      </c>
      <c r="AQ1071" s="273" t="str">
        <f t="shared" ca="1" si="308"/>
        <v>12025</v>
      </c>
    </row>
    <row r="1072" spans="2:43" ht="16.5">
      <c r="B1072" s="711" t="s">
        <v>2561</v>
      </c>
      <c r="O1072" s="973"/>
      <c r="P1072" s="688">
        <v>45520</v>
      </c>
      <c r="Q1072" s="974" t="s">
        <v>3803</v>
      </c>
      <c r="R1072" s="313">
        <v>22176000</v>
      </c>
      <c r="V1072" s="340">
        <f t="shared" ca="1" si="311"/>
        <v>8</v>
      </c>
      <c r="W1072" s="594">
        <f t="shared" ca="1" si="312"/>
        <v>2024</v>
      </c>
      <c r="X1072" s="340" t="str">
        <f t="shared" ca="1" si="310"/>
        <v>3 WEEK</v>
      </c>
      <c r="Y1072" s="794">
        <f t="shared" si="313"/>
        <v>45520</v>
      </c>
      <c r="Z1072" s="541" cm="1">
        <f t="array" aca="1" ref="Z1072" ca="1">_xlfn.IFS(AD1072&lt;100,Y1072,Y1072&lt;TODAY(),TODAY(),Y1072&gt;TODAY(),Y1072,Y1072=TODAY(),Y1072)</f>
        <v>45520</v>
      </c>
      <c r="AD1072" s="298">
        <f t="shared" si="302"/>
        <v>0</v>
      </c>
      <c r="AE1072" s="299" t="str">
        <f t="shared" si="303"/>
        <v>Complete</v>
      </c>
      <c r="AI1072" s="301">
        <f t="shared" ca="1" si="300"/>
        <v>0</v>
      </c>
      <c r="AJ1072" s="302">
        <f t="shared" ca="1" si="301"/>
        <v>0</v>
      </c>
      <c r="AL1072" s="303">
        <f t="shared" si="304"/>
        <v>0</v>
      </c>
      <c r="AM1072" s="303">
        <f t="shared" si="305"/>
        <v>-22176000</v>
      </c>
      <c r="AN1072" s="303">
        <f t="shared" si="306"/>
        <v>22176000</v>
      </c>
      <c r="AO1072" s="304">
        <f t="shared" si="307"/>
        <v>0</v>
      </c>
      <c r="AP1072" s="273">
        <f t="shared" si="309"/>
        <v>8</v>
      </c>
      <c r="AQ1072" s="273" t="str">
        <f t="shared" ca="1" si="308"/>
        <v>82024</v>
      </c>
    </row>
    <row r="1073" spans="2:43" ht="16.5">
      <c r="B1073" s="711" t="s">
        <v>2561</v>
      </c>
      <c r="O1073" s="973"/>
      <c r="P1073" s="688">
        <v>45526</v>
      </c>
      <c r="Q1073" s="975" t="s">
        <v>3804</v>
      </c>
      <c r="R1073" s="314">
        <v>5174400</v>
      </c>
      <c r="V1073" s="340">
        <f t="shared" ca="1" si="311"/>
        <v>8</v>
      </c>
      <c r="W1073" s="594">
        <f t="shared" ca="1" si="312"/>
        <v>2024</v>
      </c>
      <c r="X1073" s="340" t="str">
        <f t="shared" ca="1" si="310"/>
        <v>4 WEEK</v>
      </c>
      <c r="Y1073" s="794">
        <f t="shared" si="313"/>
        <v>45526</v>
      </c>
      <c r="Z1073" s="541" cm="1">
        <f t="array" aca="1" ref="Z1073" ca="1">_xlfn.IFS(AD1073&lt;100,Y1073,Y1073&lt;TODAY(),TODAY(),Y1073&gt;TODAY(),Y1073,Y1073=TODAY(),Y1073)</f>
        <v>45526</v>
      </c>
      <c r="AD1073" s="298">
        <f t="shared" si="302"/>
        <v>0</v>
      </c>
      <c r="AE1073" s="299" t="str">
        <f t="shared" si="303"/>
        <v>Complete</v>
      </c>
      <c r="AI1073" s="301">
        <f t="shared" ca="1" si="300"/>
        <v>0</v>
      </c>
      <c r="AJ1073" s="302">
        <f t="shared" ca="1" si="301"/>
        <v>0</v>
      </c>
      <c r="AL1073" s="303">
        <f t="shared" si="304"/>
        <v>0</v>
      </c>
      <c r="AM1073" s="303">
        <f t="shared" si="305"/>
        <v>-5174400</v>
      </c>
      <c r="AN1073" s="303">
        <f t="shared" si="306"/>
        <v>5174400</v>
      </c>
      <c r="AO1073" s="304">
        <f t="shared" si="307"/>
        <v>0</v>
      </c>
      <c r="AP1073" s="273">
        <f t="shared" si="309"/>
        <v>8</v>
      </c>
      <c r="AQ1073" s="273" t="str">
        <f t="shared" ca="1" si="308"/>
        <v>82024</v>
      </c>
    </row>
    <row r="1074" spans="2:43" ht="16.5">
      <c r="B1074" s="711" t="s">
        <v>2561</v>
      </c>
      <c r="O1074" s="973"/>
      <c r="P1074" s="688">
        <v>45535</v>
      </c>
      <c r="Q1074" s="975" t="s">
        <v>3805</v>
      </c>
      <c r="R1074" s="314">
        <v>65934</v>
      </c>
      <c r="V1074" s="340">
        <f t="shared" ca="1" si="311"/>
        <v>8</v>
      </c>
      <c r="W1074" s="594">
        <f t="shared" ca="1" si="312"/>
        <v>2024</v>
      </c>
      <c r="X1074" s="340" t="str">
        <f t="shared" ca="1" si="310"/>
        <v>5 WEEK</v>
      </c>
      <c r="Y1074" s="794">
        <f t="shared" si="313"/>
        <v>45535</v>
      </c>
      <c r="Z1074" s="541" cm="1">
        <f t="array" aca="1" ref="Z1074" ca="1">_xlfn.IFS(AD1074&lt;100,Y1074,Y1074&lt;TODAY(),TODAY(),Y1074&gt;TODAY(),Y1074,Y1074=TODAY(),Y1074)</f>
        <v>45535</v>
      </c>
      <c r="AD1074" s="298">
        <f t="shared" si="302"/>
        <v>0</v>
      </c>
      <c r="AE1074" s="299" t="str">
        <f t="shared" si="303"/>
        <v>Complete</v>
      </c>
      <c r="AI1074" s="301">
        <f t="shared" ca="1" si="300"/>
        <v>0</v>
      </c>
      <c r="AJ1074" s="302">
        <f t="shared" ca="1" si="301"/>
        <v>0</v>
      </c>
      <c r="AL1074" s="303">
        <f t="shared" si="304"/>
        <v>0</v>
      </c>
      <c r="AM1074" s="303">
        <f t="shared" si="305"/>
        <v>-65934</v>
      </c>
      <c r="AN1074" s="303">
        <f t="shared" si="306"/>
        <v>65934</v>
      </c>
      <c r="AO1074" s="304">
        <f t="shared" si="307"/>
        <v>0</v>
      </c>
      <c r="AP1074" s="273">
        <f t="shared" si="309"/>
        <v>8</v>
      </c>
      <c r="AQ1074" s="273" t="str">
        <f t="shared" ca="1" si="308"/>
        <v>82024</v>
      </c>
    </row>
    <row r="1075" spans="2:43">
      <c r="B1075" s="711" t="s">
        <v>2561</v>
      </c>
      <c r="P1075" s="688">
        <v>45544</v>
      </c>
      <c r="Q1075" s="975" t="s">
        <v>3806</v>
      </c>
      <c r="R1075" s="314">
        <v>7468535</v>
      </c>
      <c r="V1075" s="340">
        <f t="shared" ca="1" si="311"/>
        <v>9</v>
      </c>
      <c r="W1075" s="594">
        <f t="shared" ca="1" si="312"/>
        <v>2024</v>
      </c>
      <c r="X1075" s="340" t="str">
        <f t="shared" ca="1" si="310"/>
        <v>2 WEEK</v>
      </c>
      <c r="Y1075" s="794">
        <f t="shared" si="313"/>
        <v>45544</v>
      </c>
      <c r="Z1075" s="541" cm="1">
        <f t="array" aca="1" ref="Z1075" ca="1">_xlfn.IFS(AD1075&lt;100,Y1075,Y1075&lt;TODAY(),TODAY(),Y1075&gt;TODAY(),Y1075,Y1075=TODAY(),Y1075)</f>
        <v>45544</v>
      </c>
      <c r="AD1075" s="298">
        <f t="shared" si="302"/>
        <v>0</v>
      </c>
      <c r="AE1075" s="299" t="str">
        <f t="shared" si="303"/>
        <v>Complete</v>
      </c>
      <c r="AI1075" s="301">
        <f t="shared" ca="1" si="300"/>
        <v>0</v>
      </c>
      <c r="AJ1075" s="302">
        <f t="shared" ca="1" si="301"/>
        <v>0</v>
      </c>
      <c r="AL1075" s="303">
        <f t="shared" si="304"/>
        <v>0</v>
      </c>
      <c r="AM1075" s="303">
        <f t="shared" si="305"/>
        <v>-7468535</v>
      </c>
      <c r="AN1075" s="303">
        <f t="shared" si="306"/>
        <v>7468535</v>
      </c>
      <c r="AO1075" s="304">
        <f t="shared" si="307"/>
        <v>0</v>
      </c>
      <c r="AP1075" s="273">
        <f t="shared" si="309"/>
        <v>9</v>
      </c>
      <c r="AQ1075" s="273" t="str">
        <f t="shared" ca="1" si="308"/>
        <v>92024</v>
      </c>
    </row>
    <row r="1076" spans="2:43">
      <c r="B1076" s="711" t="s">
        <v>2561</v>
      </c>
      <c r="P1076" s="688">
        <v>45623</v>
      </c>
      <c r="Q1076" s="975" t="s">
        <v>3807</v>
      </c>
      <c r="R1076" s="314">
        <v>44781</v>
      </c>
      <c r="V1076" s="340">
        <f t="shared" ca="1" si="311"/>
        <v>11</v>
      </c>
      <c r="W1076" s="594">
        <f t="shared" ca="1" si="312"/>
        <v>2024</v>
      </c>
      <c r="X1076" s="340" t="str">
        <f t="shared" ca="1" si="310"/>
        <v>4 WEEK</v>
      </c>
      <c r="Y1076" s="794">
        <f t="shared" si="313"/>
        <v>45623</v>
      </c>
      <c r="Z1076" s="541" cm="1">
        <f t="array" aca="1" ref="Z1076" ca="1">_xlfn.IFS(AD1076&lt;100,Y1076,Y1076&lt;TODAY(),TODAY(),Y1076&gt;TODAY(),Y1076,Y1076=TODAY(),Y1076)</f>
        <v>45623</v>
      </c>
      <c r="AD1076" s="298">
        <f t="shared" si="302"/>
        <v>0</v>
      </c>
      <c r="AE1076" s="299" t="str">
        <f t="shared" si="303"/>
        <v>Complete</v>
      </c>
      <c r="AI1076" s="301">
        <f t="shared" ca="1" si="300"/>
        <v>0</v>
      </c>
      <c r="AJ1076" s="302">
        <f t="shared" ca="1" si="301"/>
        <v>0</v>
      </c>
      <c r="AL1076" s="303">
        <f t="shared" si="304"/>
        <v>0</v>
      </c>
      <c r="AM1076" s="303">
        <f t="shared" si="305"/>
        <v>-44781</v>
      </c>
      <c r="AN1076" s="303">
        <f t="shared" si="306"/>
        <v>44781</v>
      </c>
      <c r="AO1076" s="304">
        <f t="shared" si="307"/>
        <v>0</v>
      </c>
      <c r="AP1076" s="273">
        <f t="shared" si="309"/>
        <v>11</v>
      </c>
      <c r="AQ1076" s="273" t="str">
        <f t="shared" ca="1" si="308"/>
        <v>112024</v>
      </c>
    </row>
    <row r="1077" spans="2:43">
      <c r="B1077" s="711" t="s">
        <v>2561</v>
      </c>
      <c r="P1077" s="688">
        <v>45623</v>
      </c>
      <c r="Q1077" s="975" t="s">
        <v>3808</v>
      </c>
      <c r="R1077" s="314">
        <v>76305</v>
      </c>
      <c r="V1077" s="340">
        <f t="shared" ca="1" si="311"/>
        <v>11</v>
      </c>
      <c r="W1077" s="594">
        <f t="shared" ca="1" si="312"/>
        <v>2024</v>
      </c>
      <c r="X1077" s="340" t="str">
        <f t="shared" ca="1" si="310"/>
        <v>4 WEEK</v>
      </c>
      <c r="Y1077" s="794">
        <f t="shared" si="313"/>
        <v>45623</v>
      </c>
      <c r="Z1077" s="541" cm="1">
        <f t="array" aca="1" ref="Z1077" ca="1">_xlfn.IFS(AD1077&lt;100,Y1077,Y1077&lt;TODAY(),TODAY(),Y1077&gt;TODAY(),Y1077,Y1077=TODAY(),Y1077)</f>
        <v>45623</v>
      </c>
      <c r="AD1077" s="298">
        <f t="shared" si="302"/>
        <v>0</v>
      </c>
      <c r="AE1077" s="299" t="str">
        <f t="shared" si="303"/>
        <v>Complete</v>
      </c>
      <c r="AI1077" s="301">
        <f t="shared" ca="1" si="300"/>
        <v>0</v>
      </c>
      <c r="AJ1077" s="302">
        <f t="shared" ca="1" si="301"/>
        <v>0</v>
      </c>
      <c r="AL1077" s="303">
        <f t="shared" si="304"/>
        <v>0</v>
      </c>
      <c r="AM1077" s="303">
        <f t="shared" si="305"/>
        <v>-76305</v>
      </c>
      <c r="AN1077" s="303">
        <f t="shared" si="306"/>
        <v>76305</v>
      </c>
      <c r="AO1077" s="304">
        <f t="shared" si="307"/>
        <v>0</v>
      </c>
      <c r="AP1077" s="273">
        <f t="shared" si="309"/>
        <v>11</v>
      </c>
      <c r="AQ1077" s="273" t="str">
        <f t="shared" ca="1" si="308"/>
        <v>112024</v>
      </c>
    </row>
    <row r="1078" spans="2:43">
      <c r="B1078" s="711" t="s">
        <v>2561</v>
      </c>
      <c r="P1078" s="688">
        <v>45638</v>
      </c>
      <c r="Q1078" s="975" t="s">
        <v>3809</v>
      </c>
      <c r="R1078" s="314">
        <v>6115771</v>
      </c>
      <c r="V1078" s="340">
        <f t="shared" ca="1" si="311"/>
        <v>12</v>
      </c>
      <c r="W1078" s="594">
        <f t="shared" ca="1" si="312"/>
        <v>2024</v>
      </c>
      <c r="X1078" s="340" t="str">
        <f t="shared" ca="1" si="310"/>
        <v>2 WEEK</v>
      </c>
      <c r="Y1078" s="794">
        <f t="shared" si="313"/>
        <v>45638</v>
      </c>
      <c r="Z1078" s="541" cm="1">
        <f t="array" aca="1" ref="Z1078" ca="1">_xlfn.IFS(AD1078&lt;100,Y1078,Y1078&lt;TODAY(),TODAY(),Y1078&gt;TODAY(),Y1078,Y1078=TODAY(),Y1078)</f>
        <v>45638</v>
      </c>
      <c r="AD1078" s="298">
        <f t="shared" si="302"/>
        <v>0</v>
      </c>
      <c r="AE1078" s="299" t="str">
        <f t="shared" si="303"/>
        <v>Complete</v>
      </c>
      <c r="AI1078" s="301">
        <f t="shared" ca="1" si="300"/>
        <v>0</v>
      </c>
      <c r="AJ1078" s="302">
        <f t="shared" ca="1" si="301"/>
        <v>0</v>
      </c>
      <c r="AL1078" s="303">
        <f t="shared" si="304"/>
        <v>0</v>
      </c>
      <c r="AM1078" s="303">
        <f t="shared" si="305"/>
        <v>-6115771</v>
      </c>
      <c r="AN1078" s="303">
        <f t="shared" si="306"/>
        <v>6115771</v>
      </c>
      <c r="AO1078" s="304">
        <f t="shared" si="307"/>
        <v>0</v>
      </c>
      <c r="AP1078" s="273">
        <f t="shared" si="309"/>
        <v>12</v>
      </c>
      <c r="AQ1078" s="273" t="str">
        <f t="shared" ca="1" si="308"/>
        <v>122024</v>
      </c>
    </row>
    <row r="1079" spans="2:43">
      <c r="B1079" s="711" t="s">
        <v>2561</v>
      </c>
      <c r="P1079" s="688">
        <v>45639</v>
      </c>
      <c r="Q1079" s="975" t="s">
        <v>3810</v>
      </c>
      <c r="R1079" s="314">
        <v>23917040</v>
      </c>
      <c r="V1079" s="340">
        <f t="shared" ca="1" si="311"/>
        <v>12</v>
      </c>
      <c r="W1079" s="594">
        <f t="shared" ca="1" si="312"/>
        <v>2024</v>
      </c>
      <c r="X1079" s="340" t="str">
        <f t="shared" ca="1" si="310"/>
        <v>2 WEEK</v>
      </c>
      <c r="Y1079" s="794">
        <f t="shared" si="313"/>
        <v>45639</v>
      </c>
      <c r="Z1079" s="541" cm="1">
        <f t="array" aca="1" ref="Z1079" ca="1">_xlfn.IFS(AD1079&lt;100,Y1079,Y1079&lt;TODAY(),TODAY(),Y1079&gt;TODAY(),Y1079,Y1079=TODAY(),Y1079)</f>
        <v>45639</v>
      </c>
      <c r="AD1079" s="298">
        <f t="shared" si="302"/>
        <v>0</v>
      </c>
      <c r="AE1079" s="299" t="str">
        <f t="shared" si="303"/>
        <v>Complete</v>
      </c>
      <c r="AI1079" s="301">
        <f t="shared" ca="1" si="300"/>
        <v>0</v>
      </c>
      <c r="AJ1079" s="302">
        <f t="shared" ca="1" si="301"/>
        <v>0</v>
      </c>
      <c r="AL1079" s="303">
        <f t="shared" si="304"/>
        <v>0</v>
      </c>
      <c r="AM1079" s="303">
        <f t="shared" si="305"/>
        <v>-23917040</v>
      </c>
      <c r="AN1079" s="303">
        <f t="shared" si="306"/>
        <v>23917040</v>
      </c>
      <c r="AO1079" s="304">
        <f t="shared" si="307"/>
        <v>0</v>
      </c>
      <c r="AP1079" s="273">
        <f t="shared" si="309"/>
        <v>12</v>
      </c>
      <c r="AQ1079" s="273" t="str">
        <f t="shared" ca="1" si="308"/>
        <v>122024</v>
      </c>
    </row>
    <row r="1080" spans="2:43">
      <c r="B1080" s="711" t="s">
        <v>2561</v>
      </c>
      <c r="P1080" s="688">
        <v>45639</v>
      </c>
      <c r="Q1080" s="975" t="s">
        <v>3811</v>
      </c>
      <c r="R1080" s="314">
        <v>16400256</v>
      </c>
      <c r="V1080" s="340">
        <f t="shared" ca="1" si="311"/>
        <v>12</v>
      </c>
      <c r="W1080" s="594">
        <f t="shared" ca="1" si="312"/>
        <v>2024</v>
      </c>
      <c r="X1080" s="340" t="str">
        <f t="shared" ca="1" si="310"/>
        <v>2 WEEK</v>
      </c>
      <c r="Y1080" s="794">
        <f t="shared" si="313"/>
        <v>45639</v>
      </c>
      <c r="Z1080" s="541" cm="1">
        <f t="array" aca="1" ref="Z1080" ca="1">_xlfn.IFS(AD1080&lt;100,Y1080,Y1080&lt;TODAY(),TODAY(),Y1080&gt;TODAY(),Y1080,Y1080=TODAY(),Y1080)</f>
        <v>45639</v>
      </c>
      <c r="AD1080" s="298">
        <f t="shared" si="302"/>
        <v>0</v>
      </c>
      <c r="AE1080" s="299" t="str">
        <f t="shared" si="303"/>
        <v>Complete</v>
      </c>
      <c r="AI1080" s="301">
        <f t="shared" ca="1" si="300"/>
        <v>0</v>
      </c>
      <c r="AJ1080" s="302">
        <f t="shared" ca="1" si="301"/>
        <v>0</v>
      </c>
      <c r="AL1080" s="303">
        <f t="shared" si="304"/>
        <v>0</v>
      </c>
      <c r="AM1080" s="303">
        <f t="shared" si="305"/>
        <v>-16400256</v>
      </c>
      <c r="AN1080" s="303">
        <f t="shared" si="306"/>
        <v>16400256</v>
      </c>
      <c r="AO1080" s="304">
        <f t="shared" si="307"/>
        <v>0</v>
      </c>
      <c r="AP1080" s="273">
        <f t="shared" si="309"/>
        <v>12</v>
      </c>
      <c r="AQ1080" s="273" t="str">
        <f t="shared" ca="1" si="308"/>
        <v>122024</v>
      </c>
    </row>
    <row r="1081" spans="2:43">
      <c r="B1081" s="711" t="s">
        <v>2561</v>
      </c>
      <c r="P1081" s="688">
        <v>45639</v>
      </c>
      <c r="Q1081" s="975" t="s">
        <v>3812</v>
      </c>
      <c r="R1081" s="314">
        <v>12554564</v>
      </c>
      <c r="V1081" s="340">
        <f t="shared" ca="1" si="311"/>
        <v>12</v>
      </c>
      <c r="W1081" s="594">
        <f t="shared" ca="1" si="312"/>
        <v>2024</v>
      </c>
      <c r="X1081" s="340" t="str">
        <f t="shared" ca="1" si="310"/>
        <v>2 WEEK</v>
      </c>
      <c r="Y1081" s="794">
        <f t="shared" si="313"/>
        <v>45639</v>
      </c>
      <c r="Z1081" s="541" cm="1">
        <f t="array" aca="1" ref="Z1081" ca="1">_xlfn.IFS(AD1081&lt;100,Y1081,Y1081&lt;TODAY(),TODAY(),Y1081&gt;TODAY(),Y1081,Y1081=TODAY(),Y1081)</f>
        <v>45639</v>
      </c>
      <c r="AD1081" s="298">
        <f t="shared" si="302"/>
        <v>0</v>
      </c>
      <c r="AE1081" s="299" t="str">
        <f t="shared" si="303"/>
        <v>Complete</v>
      </c>
      <c r="AI1081" s="301">
        <f t="shared" ca="1" si="300"/>
        <v>0</v>
      </c>
      <c r="AJ1081" s="302">
        <f t="shared" ca="1" si="301"/>
        <v>0</v>
      </c>
      <c r="AL1081" s="303">
        <f t="shared" si="304"/>
        <v>0</v>
      </c>
      <c r="AM1081" s="303">
        <f t="shared" si="305"/>
        <v>-12554564</v>
      </c>
      <c r="AN1081" s="303">
        <f t="shared" si="306"/>
        <v>12554564</v>
      </c>
      <c r="AO1081" s="304">
        <f t="shared" si="307"/>
        <v>0</v>
      </c>
      <c r="AP1081" s="273">
        <f t="shared" si="309"/>
        <v>12</v>
      </c>
      <c r="AQ1081" s="273" t="str">
        <f t="shared" ca="1" si="308"/>
        <v>122024</v>
      </c>
    </row>
    <row r="1082" spans="2:43">
      <c r="B1082" s="711" t="s">
        <v>2561</v>
      </c>
      <c r="P1082" s="688">
        <v>45639</v>
      </c>
      <c r="Q1082" s="975" t="s">
        <v>3813</v>
      </c>
      <c r="R1082" s="314">
        <v>7858456</v>
      </c>
      <c r="V1082" s="340">
        <f t="shared" ca="1" si="311"/>
        <v>12</v>
      </c>
      <c r="W1082" s="594">
        <f t="shared" ca="1" si="312"/>
        <v>2024</v>
      </c>
      <c r="X1082" s="340" t="str">
        <f t="shared" ca="1" si="310"/>
        <v>2 WEEK</v>
      </c>
      <c r="Y1082" s="794">
        <f t="shared" si="313"/>
        <v>45639</v>
      </c>
      <c r="Z1082" s="541" cm="1">
        <f t="array" aca="1" ref="Z1082" ca="1">_xlfn.IFS(AD1082&lt;100,Y1082,Y1082&lt;TODAY(),TODAY(),Y1082&gt;TODAY(),Y1082,Y1082=TODAY(),Y1082)</f>
        <v>45639</v>
      </c>
      <c r="AD1082" s="298">
        <f t="shared" si="302"/>
        <v>0</v>
      </c>
      <c r="AE1082" s="299" t="str">
        <f t="shared" si="303"/>
        <v>Complete</v>
      </c>
      <c r="AI1082" s="301">
        <f t="shared" ca="1" si="300"/>
        <v>0</v>
      </c>
      <c r="AJ1082" s="302">
        <f t="shared" ca="1" si="301"/>
        <v>0</v>
      </c>
      <c r="AL1082" s="303">
        <f t="shared" si="304"/>
        <v>0</v>
      </c>
      <c r="AM1082" s="303">
        <f t="shared" si="305"/>
        <v>-7858456</v>
      </c>
      <c r="AN1082" s="303">
        <f t="shared" si="306"/>
        <v>7858456</v>
      </c>
      <c r="AO1082" s="304">
        <f t="shared" si="307"/>
        <v>0</v>
      </c>
      <c r="AP1082" s="273">
        <f t="shared" si="309"/>
        <v>12</v>
      </c>
      <c r="AQ1082" s="273" t="str">
        <f t="shared" ca="1" si="308"/>
        <v>122024</v>
      </c>
    </row>
    <row r="1083" spans="2:43">
      <c r="B1083" s="711" t="s">
        <v>2561</v>
      </c>
      <c r="P1083" s="688">
        <v>45639</v>
      </c>
      <c r="Q1083" s="975" t="s">
        <v>3814</v>
      </c>
      <c r="R1083" s="314">
        <v>4138922</v>
      </c>
      <c r="V1083" s="340">
        <f t="shared" ca="1" si="311"/>
        <v>12</v>
      </c>
      <c r="W1083" s="594">
        <f t="shared" ca="1" si="312"/>
        <v>2024</v>
      </c>
      <c r="X1083" s="340" t="str">
        <f t="shared" ca="1" si="310"/>
        <v>2 WEEK</v>
      </c>
      <c r="Y1083" s="794">
        <f t="shared" si="313"/>
        <v>45639</v>
      </c>
      <c r="Z1083" s="541" cm="1">
        <f t="array" aca="1" ref="Z1083" ca="1">_xlfn.IFS(AD1083&lt;100,Y1083,Y1083&lt;TODAY(),TODAY(),Y1083&gt;TODAY(),Y1083,Y1083=TODAY(),Y1083)</f>
        <v>45639</v>
      </c>
      <c r="AD1083" s="298">
        <f t="shared" si="302"/>
        <v>0</v>
      </c>
      <c r="AE1083" s="299" t="str">
        <f t="shared" si="303"/>
        <v>Complete</v>
      </c>
      <c r="AI1083" s="301">
        <f t="shared" ca="1" si="300"/>
        <v>0</v>
      </c>
      <c r="AJ1083" s="302">
        <f t="shared" ca="1" si="301"/>
        <v>0</v>
      </c>
      <c r="AL1083" s="303">
        <f t="shared" si="304"/>
        <v>0</v>
      </c>
      <c r="AM1083" s="303">
        <f t="shared" si="305"/>
        <v>-4138922</v>
      </c>
      <c r="AN1083" s="303">
        <f t="shared" si="306"/>
        <v>4138922</v>
      </c>
      <c r="AO1083" s="304">
        <f t="shared" si="307"/>
        <v>0</v>
      </c>
      <c r="AP1083" s="273">
        <f t="shared" si="309"/>
        <v>12</v>
      </c>
      <c r="AQ1083" s="273" t="str">
        <f t="shared" ca="1" si="308"/>
        <v>122024</v>
      </c>
    </row>
    <row r="1084" spans="2:43">
      <c r="B1084" s="711" t="s">
        <v>2561</v>
      </c>
      <c r="P1084" s="688">
        <v>45639</v>
      </c>
      <c r="Q1084" s="975" t="s">
        <v>3815</v>
      </c>
      <c r="R1084" s="314">
        <v>3496671</v>
      </c>
      <c r="V1084" s="340">
        <f t="shared" ca="1" si="311"/>
        <v>12</v>
      </c>
      <c r="W1084" s="594">
        <f t="shared" ca="1" si="312"/>
        <v>2024</v>
      </c>
      <c r="X1084" s="340" t="str">
        <f t="shared" ca="1" si="310"/>
        <v>2 WEEK</v>
      </c>
      <c r="Y1084" s="794">
        <f t="shared" si="313"/>
        <v>45639</v>
      </c>
      <c r="Z1084" s="541" cm="1">
        <f t="array" aca="1" ref="Z1084" ca="1">_xlfn.IFS(AD1084&lt;100,Y1084,Y1084&lt;TODAY(),TODAY(),Y1084&gt;TODAY(),Y1084,Y1084=TODAY(),Y1084)</f>
        <v>45639</v>
      </c>
      <c r="AD1084" s="298">
        <f t="shared" si="302"/>
        <v>0</v>
      </c>
      <c r="AE1084" s="299" t="str">
        <f t="shared" si="303"/>
        <v>Complete</v>
      </c>
      <c r="AI1084" s="301">
        <f t="shared" ca="1" si="300"/>
        <v>0</v>
      </c>
      <c r="AJ1084" s="302">
        <f t="shared" ca="1" si="301"/>
        <v>0</v>
      </c>
      <c r="AL1084" s="303">
        <f t="shared" si="304"/>
        <v>0</v>
      </c>
      <c r="AM1084" s="303">
        <f t="shared" si="305"/>
        <v>-3496671</v>
      </c>
      <c r="AN1084" s="303">
        <f t="shared" si="306"/>
        <v>3496671</v>
      </c>
      <c r="AO1084" s="304">
        <f t="shared" si="307"/>
        <v>0</v>
      </c>
      <c r="AP1084" s="273">
        <f t="shared" si="309"/>
        <v>12</v>
      </c>
      <c r="AQ1084" s="273" t="str">
        <f t="shared" ca="1" si="308"/>
        <v>122024</v>
      </c>
    </row>
    <row r="1085" spans="2:43">
      <c r="B1085" s="711" t="s">
        <v>2561</v>
      </c>
      <c r="P1085" s="688">
        <v>45652</v>
      </c>
      <c r="Q1085" s="975" t="s">
        <v>3816</v>
      </c>
      <c r="R1085" s="314">
        <v>-6115771</v>
      </c>
      <c r="V1085" s="340">
        <f t="shared" ca="1" si="311"/>
        <v>12</v>
      </c>
      <c r="W1085" s="594">
        <f t="shared" ca="1" si="312"/>
        <v>2024</v>
      </c>
      <c r="X1085" s="340" t="str">
        <f t="shared" ca="1" si="310"/>
        <v>4 WEEK</v>
      </c>
      <c r="Y1085" s="794">
        <f t="shared" si="313"/>
        <v>45652</v>
      </c>
      <c r="Z1085" s="541" cm="1">
        <f t="array" aca="1" ref="Z1085" ca="1">_xlfn.IFS(AD1085&lt;100,Y1085,Y1085&lt;TODAY(),TODAY(),Y1085&gt;TODAY(),Y1085,Y1085=TODAY(),Y1085)</f>
        <v>45652</v>
      </c>
      <c r="AD1085" s="298">
        <f t="shared" si="302"/>
        <v>0</v>
      </c>
      <c r="AE1085" s="299" t="str">
        <f t="shared" si="303"/>
        <v>Complete</v>
      </c>
      <c r="AI1085" s="301">
        <f t="shared" ca="1" si="300"/>
        <v>0</v>
      </c>
      <c r="AJ1085" s="302">
        <f t="shared" ca="1" si="301"/>
        <v>0</v>
      </c>
      <c r="AL1085" s="303">
        <f t="shared" si="304"/>
        <v>0</v>
      </c>
      <c r="AM1085" s="303">
        <f t="shared" si="305"/>
        <v>6115771</v>
      </c>
      <c r="AN1085" s="303">
        <f t="shared" si="306"/>
        <v>-6115771</v>
      </c>
      <c r="AO1085" s="304">
        <f t="shared" si="307"/>
        <v>0</v>
      </c>
      <c r="AP1085" s="273">
        <f t="shared" si="309"/>
        <v>12</v>
      </c>
      <c r="AQ1085" s="273" t="str">
        <f t="shared" ca="1" si="308"/>
        <v>122024</v>
      </c>
    </row>
    <row r="1086" spans="2:43">
      <c r="B1086" s="711" t="s">
        <v>2561</v>
      </c>
      <c r="P1086" s="688">
        <v>45652</v>
      </c>
      <c r="Q1086" s="975" t="s">
        <v>3817</v>
      </c>
      <c r="R1086" s="314">
        <v>-23917040</v>
      </c>
      <c r="V1086" s="340">
        <f t="shared" ca="1" si="311"/>
        <v>12</v>
      </c>
      <c r="W1086" s="594">
        <f t="shared" ca="1" si="312"/>
        <v>2024</v>
      </c>
      <c r="X1086" s="340" t="str">
        <f t="shared" ca="1" si="310"/>
        <v>4 WEEK</v>
      </c>
      <c r="Y1086" s="794">
        <f t="shared" si="313"/>
        <v>45652</v>
      </c>
      <c r="Z1086" s="541" cm="1">
        <f t="array" aca="1" ref="Z1086" ca="1">_xlfn.IFS(AD1086&lt;100,Y1086,Y1086&lt;TODAY(),TODAY(),Y1086&gt;TODAY(),Y1086,Y1086=TODAY(),Y1086)</f>
        <v>45652</v>
      </c>
      <c r="AD1086" s="298">
        <f t="shared" si="302"/>
        <v>0</v>
      </c>
      <c r="AE1086" s="299" t="str">
        <f t="shared" si="303"/>
        <v>Complete</v>
      </c>
      <c r="AI1086" s="301">
        <f t="shared" ca="1" si="300"/>
        <v>0</v>
      </c>
      <c r="AJ1086" s="302">
        <f t="shared" ca="1" si="301"/>
        <v>0</v>
      </c>
      <c r="AL1086" s="303">
        <f t="shared" si="304"/>
        <v>0</v>
      </c>
      <c r="AM1086" s="303">
        <f t="shared" si="305"/>
        <v>23917040</v>
      </c>
      <c r="AN1086" s="303">
        <f t="shared" si="306"/>
        <v>-23917040</v>
      </c>
      <c r="AO1086" s="304">
        <f t="shared" si="307"/>
        <v>0</v>
      </c>
      <c r="AP1086" s="273">
        <f t="shared" si="309"/>
        <v>12</v>
      </c>
      <c r="AQ1086" s="273" t="str">
        <f t="shared" ca="1" si="308"/>
        <v>122024</v>
      </c>
    </row>
    <row r="1087" spans="2:43">
      <c r="B1087" s="711" t="s">
        <v>2561</v>
      </c>
      <c r="P1087" s="688">
        <v>45652</v>
      </c>
      <c r="Q1087" s="975" t="s">
        <v>3818</v>
      </c>
      <c r="R1087" s="314">
        <v>6115771</v>
      </c>
      <c r="V1087" s="340">
        <f t="shared" ca="1" si="311"/>
        <v>12</v>
      </c>
      <c r="W1087" s="594">
        <f t="shared" ca="1" si="312"/>
        <v>2024</v>
      </c>
      <c r="X1087" s="340" t="str">
        <f t="shared" ca="1" si="310"/>
        <v>4 WEEK</v>
      </c>
      <c r="Y1087" s="794">
        <f t="shared" si="313"/>
        <v>45652</v>
      </c>
      <c r="Z1087" s="541" cm="1">
        <f t="array" aca="1" ref="Z1087" ca="1">_xlfn.IFS(AD1087&lt;100,Y1087,Y1087&lt;TODAY(),TODAY(),Y1087&gt;TODAY(),Y1087,Y1087=TODAY(),Y1087)</f>
        <v>45652</v>
      </c>
      <c r="AD1087" s="298">
        <f t="shared" si="302"/>
        <v>0</v>
      </c>
      <c r="AE1087" s="299" t="str">
        <f t="shared" si="303"/>
        <v>Complete</v>
      </c>
      <c r="AI1087" s="301">
        <f t="shared" ca="1" si="300"/>
        <v>0</v>
      </c>
      <c r="AJ1087" s="302">
        <f t="shared" ca="1" si="301"/>
        <v>0</v>
      </c>
      <c r="AL1087" s="303">
        <f t="shared" si="304"/>
        <v>0</v>
      </c>
      <c r="AM1087" s="303">
        <f t="shared" si="305"/>
        <v>-6115771</v>
      </c>
      <c r="AN1087" s="303">
        <f t="shared" si="306"/>
        <v>6115771</v>
      </c>
      <c r="AO1087" s="304">
        <f t="shared" si="307"/>
        <v>0</v>
      </c>
      <c r="AP1087" s="273">
        <f t="shared" si="309"/>
        <v>12</v>
      </c>
      <c r="AQ1087" s="273" t="str">
        <f t="shared" ca="1" si="308"/>
        <v>122024</v>
      </c>
    </row>
    <row r="1088" spans="2:43">
      <c r="B1088" s="711" t="s">
        <v>2561</v>
      </c>
      <c r="P1088" s="688">
        <v>45652</v>
      </c>
      <c r="Q1088" s="975" t="s">
        <v>3819</v>
      </c>
      <c r="R1088" s="314">
        <v>23917040</v>
      </c>
      <c r="V1088" s="340">
        <f t="shared" ca="1" si="311"/>
        <v>12</v>
      </c>
      <c r="W1088" s="594">
        <f t="shared" ca="1" si="312"/>
        <v>2024</v>
      </c>
      <c r="X1088" s="340" t="str">
        <f t="shared" ca="1" si="310"/>
        <v>4 WEEK</v>
      </c>
      <c r="Y1088" s="794">
        <f t="shared" si="313"/>
        <v>45652</v>
      </c>
      <c r="Z1088" s="541" cm="1">
        <f t="array" aca="1" ref="Z1088" ca="1">_xlfn.IFS(AD1088&lt;100,Y1088,Y1088&lt;TODAY(),TODAY(),Y1088&gt;TODAY(),Y1088,Y1088=TODAY(),Y1088)</f>
        <v>45652</v>
      </c>
      <c r="AD1088" s="298">
        <f t="shared" si="302"/>
        <v>0</v>
      </c>
      <c r="AE1088" s="299" t="str">
        <f t="shared" si="303"/>
        <v>Complete</v>
      </c>
      <c r="AI1088" s="301">
        <f t="shared" ca="1" si="300"/>
        <v>0</v>
      </c>
      <c r="AJ1088" s="302">
        <f t="shared" ca="1" si="301"/>
        <v>0</v>
      </c>
      <c r="AL1088" s="303">
        <f t="shared" si="304"/>
        <v>0</v>
      </c>
      <c r="AM1088" s="303">
        <f t="shared" si="305"/>
        <v>-23917040</v>
      </c>
      <c r="AN1088" s="303">
        <f t="shared" si="306"/>
        <v>23917040</v>
      </c>
      <c r="AO1088" s="304">
        <f t="shared" si="307"/>
        <v>0</v>
      </c>
      <c r="AP1088" s="273">
        <f t="shared" si="309"/>
        <v>12</v>
      </c>
      <c r="AQ1088" s="273" t="str">
        <f t="shared" ca="1" si="308"/>
        <v>122024</v>
      </c>
    </row>
    <row r="1089" spans="2:43">
      <c r="B1089" s="711" t="s">
        <v>2561</v>
      </c>
      <c r="P1089" s="688">
        <v>45653</v>
      </c>
      <c r="Q1089" s="975" t="s">
        <v>3820</v>
      </c>
      <c r="R1089" s="314">
        <v>-16400256</v>
      </c>
      <c r="V1089" s="340">
        <f t="shared" ca="1" si="311"/>
        <v>12</v>
      </c>
      <c r="W1089" s="594">
        <f t="shared" ca="1" si="312"/>
        <v>2024</v>
      </c>
      <c r="X1089" s="340" t="str">
        <f t="shared" ca="1" si="310"/>
        <v>4 WEEK</v>
      </c>
      <c r="Y1089" s="794">
        <f t="shared" si="313"/>
        <v>45653</v>
      </c>
      <c r="Z1089" s="541" cm="1">
        <f t="array" aca="1" ref="Z1089" ca="1">_xlfn.IFS(AD1089&lt;100,Y1089,Y1089&lt;TODAY(),TODAY(),Y1089&gt;TODAY(),Y1089,Y1089=TODAY(),Y1089)</f>
        <v>45653</v>
      </c>
      <c r="AD1089" s="298">
        <f t="shared" si="302"/>
        <v>0</v>
      </c>
      <c r="AE1089" s="299" t="str">
        <f t="shared" si="303"/>
        <v>Complete</v>
      </c>
      <c r="AI1089" s="301">
        <f t="shared" ca="1" si="300"/>
        <v>0</v>
      </c>
      <c r="AJ1089" s="302">
        <f t="shared" ca="1" si="301"/>
        <v>0</v>
      </c>
      <c r="AL1089" s="303">
        <f t="shared" si="304"/>
        <v>0</v>
      </c>
      <c r="AM1089" s="303">
        <f t="shared" si="305"/>
        <v>16400256</v>
      </c>
      <c r="AN1089" s="303">
        <f t="shared" si="306"/>
        <v>-16400256</v>
      </c>
      <c r="AO1089" s="304">
        <f t="shared" si="307"/>
        <v>0</v>
      </c>
      <c r="AP1089" s="273">
        <f t="shared" si="309"/>
        <v>12</v>
      </c>
      <c r="AQ1089" s="273" t="str">
        <f t="shared" ca="1" si="308"/>
        <v>122024</v>
      </c>
    </row>
    <row r="1090" spans="2:43">
      <c r="B1090" s="711" t="s">
        <v>2561</v>
      </c>
      <c r="P1090" s="688">
        <v>45653</v>
      </c>
      <c r="Q1090" s="975" t="s">
        <v>3821</v>
      </c>
      <c r="R1090" s="314">
        <v>-7858456</v>
      </c>
      <c r="V1090" s="340">
        <f t="shared" ca="1" si="311"/>
        <v>12</v>
      </c>
      <c r="W1090" s="594">
        <f t="shared" ca="1" si="312"/>
        <v>2024</v>
      </c>
      <c r="X1090" s="340" t="str">
        <f t="shared" ca="1" si="310"/>
        <v>4 WEEK</v>
      </c>
      <c r="Y1090" s="794">
        <f t="shared" si="313"/>
        <v>45653</v>
      </c>
      <c r="Z1090" s="541" cm="1">
        <f t="array" aca="1" ref="Z1090" ca="1">_xlfn.IFS(AD1090&lt;100,Y1090,Y1090&lt;TODAY(),TODAY(),Y1090&gt;TODAY(),Y1090,Y1090=TODAY(),Y1090)</f>
        <v>45653</v>
      </c>
      <c r="AD1090" s="298">
        <f t="shared" si="302"/>
        <v>0</v>
      </c>
      <c r="AE1090" s="299" t="str">
        <f t="shared" si="303"/>
        <v>Complete</v>
      </c>
      <c r="AI1090" s="301">
        <f t="shared" ref="AI1090:AI1153" ca="1" si="314">Z1090-Y1090</f>
        <v>0</v>
      </c>
      <c r="AJ1090" s="302">
        <f t="shared" ref="AJ1090:AJ1153" ca="1" si="315">IF(AI1090&gt;1,"Delayed",0)</f>
        <v>0</v>
      </c>
      <c r="AL1090" s="303">
        <f t="shared" si="304"/>
        <v>0</v>
      </c>
      <c r="AM1090" s="303">
        <f t="shared" si="305"/>
        <v>7858456</v>
      </c>
      <c r="AN1090" s="303">
        <f t="shared" si="306"/>
        <v>-7858456</v>
      </c>
      <c r="AO1090" s="304">
        <f t="shared" si="307"/>
        <v>0</v>
      </c>
      <c r="AP1090" s="273">
        <f t="shared" si="309"/>
        <v>12</v>
      </c>
      <c r="AQ1090" s="273" t="str">
        <f t="shared" ca="1" si="308"/>
        <v>122024</v>
      </c>
    </row>
    <row r="1091" spans="2:43">
      <c r="B1091" s="711" t="s">
        <v>2561</v>
      </c>
      <c r="P1091" s="688">
        <v>45653</v>
      </c>
      <c r="Q1091" s="975" t="s">
        <v>3822</v>
      </c>
      <c r="R1091" s="314">
        <v>-3496671</v>
      </c>
      <c r="V1091" s="340">
        <f t="shared" ca="1" si="311"/>
        <v>12</v>
      </c>
      <c r="W1091" s="594">
        <f t="shared" ca="1" si="312"/>
        <v>2024</v>
      </c>
      <c r="X1091" s="340" t="str">
        <f t="shared" ca="1" si="310"/>
        <v>4 WEEK</v>
      </c>
      <c r="Y1091" s="794">
        <f t="shared" si="313"/>
        <v>45653</v>
      </c>
      <c r="Z1091" s="541" cm="1">
        <f t="array" aca="1" ref="Z1091" ca="1">_xlfn.IFS(AD1091&lt;100,Y1091,Y1091&lt;TODAY(),TODAY(),Y1091&gt;TODAY(),Y1091,Y1091=TODAY(),Y1091)</f>
        <v>45653</v>
      </c>
      <c r="AD1091" s="298">
        <f t="shared" ref="AD1091:AD1154" si="316">ROUND(AA1091-AB1091-AC1091,0)</f>
        <v>0</v>
      </c>
      <c r="AE1091" s="299" t="str">
        <f t="shared" ref="AE1091:AE1154" si="317">IF(AD1091&lt;100,"Complete","Incomplete")</f>
        <v>Complete</v>
      </c>
      <c r="AI1091" s="301">
        <f t="shared" ca="1" si="314"/>
        <v>0</v>
      </c>
      <c r="AJ1091" s="302">
        <f t="shared" ca="1" si="315"/>
        <v>0</v>
      </c>
      <c r="AL1091" s="303">
        <f t="shared" ref="AL1091:AL1154" si="318">I1091-J1091</f>
        <v>0</v>
      </c>
      <c r="AM1091" s="303">
        <f t="shared" ref="AM1091:AM1154" si="319">IFERROR(I1091-R1091,0)</f>
        <v>3496671</v>
      </c>
      <c r="AN1091" s="303">
        <f t="shared" ref="AN1091:AN1154" si="320">IFERROR(R1091-J1091,0)</f>
        <v>-3496671</v>
      </c>
      <c r="AO1091" s="304">
        <f t="shared" ref="AO1091:AO1154" si="321">IFERROR(P1091/J1091,0)</f>
        <v>0</v>
      </c>
      <c r="AP1091" s="273">
        <f t="shared" si="309"/>
        <v>12</v>
      </c>
      <c r="AQ1091" s="273" t="str">
        <f t="shared" ref="AQ1091:AQ1154" ca="1" si="322">AP1091&amp;W1091</f>
        <v>122024</v>
      </c>
    </row>
    <row r="1092" spans="2:43">
      <c r="B1092" s="711" t="s">
        <v>2561</v>
      </c>
      <c r="P1092" s="688">
        <v>45653</v>
      </c>
      <c r="Q1092" s="975" t="s">
        <v>3823</v>
      </c>
      <c r="R1092" s="314">
        <v>-3100640</v>
      </c>
      <c r="V1092" s="340">
        <f t="shared" ca="1" si="311"/>
        <v>12</v>
      </c>
      <c r="W1092" s="594">
        <f t="shared" ca="1" si="312"/>
        <v>2024</v>
      </c>
      <c r="X1092" s="340" t="str">
        <f t="shared" ca="1" si="310"/>
        <v>4 WEEK</v>
      </c>
      <c r="Y1092" s="794">
        <f t="shared" si="313"/>
        <v>45653</v>
      </c>
      <c r="Z1092" s="541" cm="1">
        <f t="array" aca="1" ref="Z1092" ca="1">_xlfn.IFS(AD1092&lt;100,Y1092,Y1092&lt;TODAY(),TODAY(),Y1092&gt;TODAY(),Y1092,Y1092=TODAY(),Y1092)</f>
        <v>45653</v>
      </c>
      <c r="AD1092" s="298">
        <f t="shared" si="316"/>
        <v>0</v>
      </c>
      <c r="AE1092" s="299" t="str">
        <f t="shared" si="317"/>
        <v>Complete</v>
      </c>
      <c r="AI1092" s="301">
        <f t="shared" ca="1" si="314"/>
        <v>0</v>
      </c>
      <c r="AJ1092" s="302">
        <f t="shared" ca="1" si="315"/>
        <v>0</v>
      </c>
      <c r="AL1092" s="303">
        <f t="shared" si="318"/>
        <v>0</v>
      </c>
      <c r="AM1092" s="303">
        <f t="shared" si="319"/>
        <v>3100640</v>
      </c>
      <c r="AN1092" s="303">
        <f t="shared" si="320"/>
        <v>-3100640</v>
      </c>
      <c r="AO1092" s="304">
        <f t="shared" si="321"/>
        <v>0</v>
      </c>
      <c r="AP1092" s="273">
        <f t="shared" si="309"/>
        <v>12</v>
      </c>
      <c r="AQ1092" s="273" t="str">
        <f t="shared" ca="1" si="322"/>
        <v>122024</v>
      </c>
    </row>
    <row r="1093" spans="2:43">
      <c r="B1093" s="711" t="s">
        <v>2561</v>
      </c>
      <c r="P1093" s="688">
        <v>45653</v>
      </c>
      <c r="Q1093" s="975" t="s">
        <v>3824</v>
      </c>
      <c r="R1093" s="314">
        <v>-76305</v>
      </c>
      <c r="V1093" s="340">
        <f t="shared" ca="1" si="311"/>
        <v>12</v>
      </c>
      <c r="W1093" s="594">
        <f t="shared" ca="1" si="312"/>
        <v>2024</v>
      </c>
      <c r="X1093" s="340" t="str">
        <f t="shared" ca="1" si="310"/>
        <v>4 WEEK</v>
      </c>
      <c r="Y1093" s="794">
        <f t="shared" si="313"/>
        <v>45653</v>
      </c>
      <c r="Z1093" s="541" cm="1">
        <f t="array" aca="1" ref="Z1093" ca="1">_xlfn.IFS(AD1093&lt;100,Y1093,Y1093&lt;TODAY(),TODAY(),Y1093&gt;TODAY(),Y1093,Y1093=TODAY(),Y1093)</f>
        <v>45653</v>
      </c>
      <c r="AD1093" s="298">
        <f t="shared" si="316"/>
        <v>0</v>
      </c>
      <c r="AE1093" s="299" t="str">
        <f t="shared" si="317"/>
        <v>Complete</v>
      </c>
      <c r="AI1093" s="301">
        <f t="shared" ca="1" si="314"/>
        <v>0</v>
      </c>
      <c r="AJ1093" s="302">
        <f t="shared" ca="1" si="315"/>
        <v>0</v>
      </c>
      <c r="AL1093" s="303">
        <f t="shared" si="318"/>
        <v>0</v>
      </c>
      <c r="AM1093" s="303">
        <f t="shared" si="319"/>
        <v>76305</v>
      </c>
      <c r="AN1093" s="303">
        <f t="shared" si="320"/>
        <v>-76305</v>
      </c>
      <c r="AO1093" s="304">
        <f t="shared" si="321"/>
        <v>0</v>
      </c>
      <c r="AP1093" s="273">
        <f t="shared" ref="AP1093:AP1156" si="323">MONTH(P1093)</f>
        <v>12</v>
      </c>
      <c r="AQ1093" s="273" t="str">
        <f t="shared" ca="1" si="322"/>
        <v>122024</v>
      </c>
    </row>
    <row r="1094" spans="2:43">
      <c r="B1094" s="711" t="s">
        <v>2561</v>
      </c>
      <c r="P1094" s="688">
        <v>45653</v>
      </c>
      <c r="Q1094" s="975" t="s">
        <v>3825</v>
      </c>
      <c r="R1094" s="314">
        <v>-3060871</v>
      </c>
      <c r="V1094" s="340">
        <f t="shared" ca="1" si="311"/>
        <v>12</v>
      </c>
      <c r="W1094" s="594">
        <f t="shared" ca="1" si="312"/>
        <v>2024</v>
      </c>
      <c r="X1094" s="340" t="str">
        <f t="shared" ca="1" si="310"/>
        <v>4 WEEK</v>
      </c>
      <c r="Y1094" s="794">
        <f t="shared" si="313"/>
        <v>45653</v>
      </c>
      <c r="Z1094" s="541" cm="1">
        <f t="array" aca="1" ref="Z1094" ca="1">_xlfn.IFS(AD1094&lt;100,Y1094,Y1094&lt;TODAY(),TODAY(),Y1094&gt;TODAY(),Y1094,Y1094=TODAY(),Y1094)</f>
        <v>45653</v>
      </c>
      <c r="AD1094" s="298">
        <f t="shared" si="316"/>
        <v>0</v>
      </c>
      <c r="AE1094" s="299" t="str">
        <f t="shared" si="317"/>
        <v>Complete</v>
      </c>
      <c r="AI1094" s="301">
        <f t="shared" ca="1" si="314"/>
        <v>0</v>
      </c>
      <c r="AJ1094" s="302">
        <f t="shared" ca="1" si="315"/>
        <v>0</v>
      </c>
      <c r="AL1094" s="303">
        <f t="shared" si="318"/>
        <v>0</v>
      </c>
      <c r="AM1094" s="303">
        <f t="shared" si="319"/>
        <v>3060871</v>
      </c>
      <c r="AN1094" s="303">
        <f t="shared" si="320"/>
        <v>-3060871</v>
      </c>
      <c r="AO1094" s="304">
        <f t="shared" si="321"/>
        <v>0</v>
      </c>
      <c r="AP1094" s="273">
        <f t="shared" si="323"/>
        <v>12</v>
      </c>
      <c r="AQ1094" s="273" t="str">
        <f t="shared" ca="1" si="322"/>
        <v>122024</v>
      </c>
    </row>
    <row r="1095" spans="2:43">
      <c r="B1095" s="711" t="s">
        <v>2561</v>
      </c>
      <c r="P1095" s="688">
        <v>45653</v>
      </c>
      <c r="Q1095" s="975" t="s">
        <v>3826</v>
      </c>
      <c r="R1095" s="314">
        <v>-1030093</v>
      </c>
      <c r="V1095" s="340">
        <f t="shared" ca="1" si="311"/>
        <v>12</v>
      </c>
      <c r="W1095" s="594">
        <f t="shared" ca="1" si="312"/>
        <v>2024</v>
      </c>
      <c r="X1095" s="340" t="str">
        <f t="shared" ref="X1095:X1158" ca="1" si="324">INT((DAY(Z1095)-1)/7)+1&amp;" WEEK"</f>
        <v>4 WEEK</v>
      </c>
      <c r="Y1095" s="794">
        <f t="shared" si="313"/>
        <v>45653</v>
      </c>
      <c r="Z1095" s="541" cm="1">
        <f t="array" aca="1" ref="Z1095" ca="1">_xlfn.IFS(AD1095&lt;100,Y1095,Y1095&lt;TODAY(),TODAY(),Y1095&gt;TODAY(),Y1095,Y1095=TODAY(),Y1095)</f>
        <v>45653</v>
      </c>
      <c r="AD1095" s="298">
        <f t="shared" si="316"/>
        <v>0</v>
      </c>
      <c r="AE1095" s="299" t="str">
        <f t="shared" si="317"/>
        <v>Complete</v>
      </c>
      <c r="AI1095" s="301">
        <f t="shared" ca="1" si="314"/>
        <v>0</v>
      </c>
      <c r="AJ1095" s="302">
        <f t="shared" ca="1" si="315"/>
        <v>0</v>
      </c>
      <c r="AL1095" s="303">
        <f t="shared" si="318"/>
        <v>0</v>
      </c>
      <c r="AM1095" s="303">
        <f t="shared" si="319"/>
        <v>1030093</v>
      </c>
      <c r="AN1095" s="303">
        <f t="shared" si="320"/>
        <v>-1030093</v>
      </c>
      <c r="AO1095" s="304">
        <f t="shared" si="321"/>
        <v>0</v>
      </c>
      <c r="AP1095" s="273">
        <f t="shared" si="323"/>
        <v>12</v>
      </c>
      <c r="AQ1095" s="273" t="str">
        <f t="shared" ca="1" si="322"/>
        <v>122024</v>
      </c>
    </row>
    <row r="1096" spans="2:43">
      <c r="B1096" s="711" t="s">
        <v>2561</v>
      </c>
      <c r="P1096" s="688">
        <v>45653</v>
      </c>
      <c r="Q1096" s="975" t="s">
        <v>3827</v>
      </c>
      <c r="R1096" s="314">
        <v>16400256</v>
      </c>
      <c r="V1096" s="340">
        <f t="shared" ca="1" si="311"/>
        <v>12</v>
      </c>
      <c r="W1096" s="594">
        <f t="shared" ca="1" si="312"/>
        <v>2024</v>
      </c>
      <c r="X1096" s="340" t="str">
        <f t="shared" ca="1" si="324"/>
        <v>4 WEEK</v>
      </c>
      <c r="Y1096" s="794">
        <f t="shared" si="313"/>
        <v>45653</v>
      </c>
      <c r="Z1096" s="541" cm="1">
        <f t="array" aca="1" ref="Z1096" ca="1">_xlfn.IFS(AD1096&lt;100,Y1096,Y1096&lt;TODAY(),TODAY(),Y1096&gt;TODAY(),Y1096,Y1096=TODAY(),Y1096)</f>
        <v>45653</v>
      </c>
      <c r="AD1096" s="298">
        <f t="shared" si="316"/>
        <v>0</v>
      </c>
      <c r="AE1096" s="299" t="str">
        <f t="shared" si="317"/>
        <v>Complete</v>
      </c>
      <c r="AI1096" s="301">
        <f t="shared" ca="1" si="314"/>
        <v>0</v>
      </c>
      <c r="AJ1096" s="302">
        <f t="shared" ca="1" si="315"/>
        <v>0</v>
      </c>
      <c r="AL1096" s="303">
        <f t="shared" si="318"/>
        <v>0</v>
      </c>
      <c r="AM1096" s="303">
        <f t="shared" si="319"/>
        <v>-16400256</v>
      </c>
      <c r="AN1096" s="303">
        <f t="shared" si="320"/>
        <v>16400256</v>
      </c>
      <c r="AO1096" s="304">
        <f t="shared" si="321"/>
        <v>0</v>
      </c>
      <c r="AP1096" s="273">
        <f t="shared" si="323"/>
        <v>12</v>
      </c>
      <c r="AQ1096" s="273" t="str">
        <f t="shared" ca="1" si="322"/>
        <v>122024</v>
      </c>
    </row>
    <row r="1097" spans="2:43">
      <c r="B1097" s="711" t="s">
        <v>2561</v>
      </c>
      <c r="P1097" s="688">
        <v>45653</v>
      </c>
      <c r="Q1097" s="975" t="s">
        <v>3828</v>
      </c>
      <c r="R1097" s="314">
        <v>7858456</v>
      </c>
      <c r="V1097" s="340">
        <f t="shared" ca="1" si="311"/>
        <v>12</v>
      </c>
      <c r="W1097" s="594">
        <f t="shared" ca="1" si="312"/>
        <v>2024</v>
      </c>
      <c r="X1097" s="340" t="str">
        <f t="shared" ca="1" si="324"/>
        <v>4 WEEK</v>
      </c>
      <c r="Y1097" s="794">
        <f t="shared" si="313"/>
        <v>45653</v>
      </c>
      <c r="Z1097" s="541" cm="1">
        <f t="array" aca="1" ref="Z1097" ca="1">_xlfn.IFS(AD1097&lt;100,Y1097,Y1097&lt;TODAY(),TODAY(),Y1097&gt;TODAY(),Y1097,Y1097=TODAY(),Y1097)</f>
        <v>45653</v>
      </c>
      <c r="AD1097" s="298">
        <f t="shared" si="316"/>
        <v>0</v>
      </c>
      <c r="AE1097" s="299" t="str">
        <f t="shared" si="317"/>
        <v>Complete</v>
      </c>
      <c r="AI1097" s="301">
        <f t="shared" ca="1" si="314"/>
        <v>0</v>
      </c>
      <c r="AJ1097" s="302">
        <f t="shared" ca="1" si="315"/>
        <v>0</v>
      </c>
      <c r="AL1097" s="303">
        <f t="shared" si="318"/>
        <v>0</v>
      </c>
      <c r="AM1097" s="303">
        <f t="shared" si="319"/>
        <v>-7858456</v>
      </c>
      <c r="AN1097" s="303">
        <f t="shared" si="320"/>
        <v>7858456</v>
      </c>
      <c r="AO1097" s="304">
        <f t="shared" si="321"/>
        <v>0</v>
      </c>
      <c r="AP1097" s="273">
        <f t="shared" si="323"/>
        <v>12</v>
      </c>
      <c r="AQ1097" s="273" t="str">
        <f t="shared" ca="1" si="322"/>
        <v>122024</v>
      </c>
    </row>
    <row r="1098" spans="2:43">
      <c r="B1098" s="711" t="s">
        <v>2561</v>
      </c>
      <c r="P1098" s="688">
        <v>45653</v>
      </c>
      <c r="Q1098" s="975" t="s">
        <v>3829</v>
      </c>
      <c r="R1098" s="314">
        <v>3496671</v>
      </c>
      <c r="V1098" s="340">
        <f t="shared" ca="1" si="311"/>
        <v>12</v>
      </c>
      <c r="W1098" s="594">
        <f t="shared" ca="1" si="312"/>
        <v>2024</v>
      </c>
      <c r="X1098" s="340" t="str">
        <f t="shared" ca="1" si="324"/>
        <v>4 WEEK</v>
      </c>
      <c r="Y1098" s="794">
        <f t="shared" si="313"/>
        <v>45653</v>
      </c>
      <c r="Z1098" s="541" cm="1">
        <f t="array" aca="1" ref="Z1098" ca="1">_xlfn.IFS(AD1098&lt;100,Y1098,Y1098&lt;TODAY(),TODAY(),Y1098&gt;TODAY(),Y1098,Y1098=TODAY(),Y1098)</f>
        <v>45653</v>
      </c>
      <c r="AD1098" s="298">
        <f t="shared" si="316"/>
        <v>0</v>
      </c>
      <c r="AE1098" s="299" t="str">
        <f t="shared" si="317"/>
        <v>Complete</v>
      </c>
      <c r="AI1098" s="301">
        <f t="shared" ca="1" si="314"/>
        <v>0</v>
      </c>
      <c r="AJ1098" s="302">
        <f t="shared" ca="1" si="315"/>
        <v>0</v>
      </c>
      <c r="AL1098" s="303">
        <f t="shared" si="318"/>
        <v>0</v>
      </c>
      <c r="AM1098" s="303">
        <f t="shared" si="319"/>
        <v>-3496671</v>
      </c>
      <c r="AN1098" s="303">
        <f t="shared" si="320"/>
        <v>3496671</v>
      </c>
      <c r="AO1098" s="304">
        <f t="shared" si="321"/>
        <v>0</v>
      </c>
      <c r="AP1098" s="273">
        <f t="shared" si="323"/>
        <v>12</v>
      </c>
      <c r="AQ1098" s="273" t="str">
        <f t="shared" ca="1" si="322"/>
        <v>122024</v>
      </c>
    </row>
    <row r="1099" spans="2:43">
      <c r="B1099" s="711" t="s">
        <v>2561</v>
      </c>
      <c r="P1099" s="688">
        <v>45679</v>
      </c>
      <c r="Q1099" s="975" t="s">
        <v>3830</v>
      </c>
      <c r="R1099" s="314">
        <v>491264</v>
      </c>
      <c r="V1099" s="340">
        <f t="shared" ca="1" si="311"/>
        <v>1</v>
      </c>
      <c r="W1099" s="594">
        <f t="shared" ca="1" si="312"/>
        <v>2025</v>
      </c>
      <c r="X1099" s="340" t="str">
        <f t="shared" ca="1" si="324"/>
        <v>4 WEEK</v>
      </c>
      <c r="Y1099" s="794">
        <f t="shared" si="313"/>
        <v>45679</v>
      </c>
      <c r="Z1099" s="541" cm="1">
        <f t="array" aca="1" ref="Z1099" ca="1">_xlfn.IFS(AD1099&lt;100,Y1099,Y1099&lt;TODAY(),TODAY(),Y1099&gt;TODAY(),Y1099,Y1099=TODAY(),Y1099)</f>
        <v>45679</v>
      </c>
      <c r="AD1099" s="298">
        <f t="shared" si="316"/>
        <v>0</v>
      </c>
      <c r="AE1099" s="299" t="str">
        <f t="shared" si="317"/>
        <v>Complete</v>
      </c>
      <c r="AI1099" s="301">
        <f t="shared" ca="1" si="314"/>
        <v>0</v>
      </c>
      <c r="AJ1099" s="302">
        <f t="shared" ca="1" si="315"/>
        <v>0</v>
      </c>
      <c r="AL1099" s="303">
        <f t="shared" si="318"/>
        <v>0</v>
      </c>
      <c r="AM1099" s="303">
        <f t="shared" si="319"/>
        <v>-491264</v>
      </c>
      <c r="AN1099" s="303">
        <f t="shared" si="320"/>
        <v>491264</v>
      </c>
      <c r="AO1099" s="304">
        <f t="shared" si="321"/>
        <v>0</v>
      </c>
      <c r="AP1099" s="273">
        <f t="shared" si="323"/>
        <v>1</v>
      </c>
      <c r="AQ1099" s="273" t="str">
        <f t="shared" ca="1" si="322"/>
        <v>12025</v>
      </c>
    </row>
    <row r="1100" spans="2:43">
      <c r="B1100" s="711" t="s">
        <v>2561</v>
      </c>
      <c r="P1100" s="688">
        <v>45679</v>
      </c>
      <c r="Q1100" s="975" t="s">
        <v>3831</v>
      </c>
      <c r="R1100" s="314">
        <v>1089011</v>
      </c>
      <c r="V1100" s="340">
        <f t="shared" ca="1" si="311"/>
        <v>1</v>
      </c>
      <c r="W1100" s="594">
        <f t="shared" ca="1" si="312"/>
        <v>2025</v>
      </c>
      <c r="X1100" s="340" t="str">
        <f t="shared" ca="1" si="324"/>
        <v>4 WEEK</v>
      </c>
      <c r="Y1100" s="794">
        <f t="shared" si="313"/>
        <v>45679</v>
      </c>
      <c r="Z1100" s="541" cm="1">
        <f t="array" aca="1" ref="Z1100" ca="1">_xlfn.IFS(AD1100&lt;100,Y1100,Y1100&lt;TODAY(),TODAY(),Y1100&gt;TODAY(),Y1100,Y1100=TODAY(),Y1100)</f>
        <v>45679</v>
      </c>
      <c r="AD1100" s="298">
        <f t="shared" si="316"/>
        <v>0</v>
      </c>
      <c r="AE1100" s="299" t="str">
        <f t="shared" si="317"/>
        <v>Complete</v>
      </c>
      <c r="AI1100" s="301">
        <f t="shared" ca="1" si="314"/>
        <v>0</v>
      </c>
      <c r="AJ1100" s="302">
        <f t="shared" ca="1" si="315"/>
        <v>0</v>
      </c>
      <c r="AL1100" s="303">
        <f t="shared" si="318"/>
        <v>0</v>
      </c>
      <c r="AM1100" s="303">
        <f t="shared" si="319"/>
        <v>-1089011</v>
      </c>
      <c r="AN1100" s="303">
        <f t="shared" si="320"/>
        <v>1089011</v>
      </c>
      <c r="AO1100" s="304">
        <f t="shared" si="321"/>
        <v>0</v>
      </c>
      <c r="AP1100" s="273">
        <f t="shared" si="323"/>
        <v>1</v>
      </c>
      <c r="AQ1100" s="273" t="str">
        <f t="shared" ca="1" si="322"/>
        <v>12025</v>
      </c>
    </row>
    <row r="1101" spans="2:43" ht="16.5">
      <c r="B1101" s="711" t="s">
        <v>2561</v>
      </c>
      <c r="P1101" s="688">
        <v>45854</v>
      </c>
      <c r="Q1101" s="976" t="s">
        <v>3832</v>
      </c>
      <c r="R1101" s="314">
        <v>-324118</v>
      </c>
      <c r="V1101" s="340">
        <f t="shared" ca="1" si="311"/>
        <v>7</v>
      </c>
      <c r="W1101" s="594">
        <f t="shared" ca="1" si="312"/>
        <v>2025</v>
      </c>
      <c r="X1101" s="340" t="str">
        <f t="shared" ca="1" si="324"/>
        <v>3 WEEK</v>
      </c>
      <c r="Y1101" s="794">
        <f t="shared" si="313"/>
        <v>45854</v>
      </c>
      <c r="Z1101" s="541" cm="1">
        <f t="array" aca="1" ref="Z1101" ca="1">_xlfn.IFS(AD1101&lt;100,Y1101,Y1101&lt;TODAY(),TODAY(),Y1101&gt;TODAY(),Y1101,Y1101=TODAY(),Y1101)</f>
        <v>45854</v>
      </c>
      <c r="AD1101" s="298">
        <f t="shared" si="316"/>
        <v>0</v>
      </c>
      <c r="AE1101" s="299" t="str">
        <f t="shared" si="317"/>
        <v>Complete</v>
      </c>
      <c r="AI1101" s="301">
        <f t="shared" ca="1" si="314"/>
        <v>0</v>
      </c>
      <c r="AJ1101" s="302">
        <f t="shared" ca="1" si="315"/>
        <v>0</v>
      </c>
      <c r="AL1101" s="303">
        <f t="shared" si="318"/>
        <v>0</v>
      </c>
      <c r="AM1101" s="303">
        <f t="shared" si="319"/>
        <v>324118</v>
      </c>
      <c r="AN1101" s="303">
        <f t="shared" si="320"/>
        <v>-324118</v>
      </c>
      <c r="AO1101" s="304">
        <f t="shared" si="321"/>
        <v>0</v>
      </c>
      <c r="AP1101" s="273">
        <f t="shared" si="323"/>
        <v>7</v>
      </c>
      <c r="AQ1101" s="273" t="str">
        <f t="shared" ca="1" si="322"/>
        <v>72025</v>
      </c>
    </row>
    <row r="1102" spans="2:43" ht="16.5">
      <c r="B1102" s="711" t="s">
        <v>2561</v>
      </c>
      <c r="P1102" s="688">
        <v>45854</v>
      </c>
      <c r="Q1102" s="976" t="s">
        <v>3833</v>
      </c>
      <c r="R1102" s="314">
        <v>-367345</v>
      </c>
      <c r="V1102" s="340">
        <f t="shared" ca="1" si="311"/>
        <v>7</v>
      </c>
      <c r="W1102" s="594">
        <f t="shared" ca="1" si="312"/>
        <v>2025</v>
      </c>
      <c r="X1102" s="340" t="str">
        <f t="shared" ca="1" si="324"/>
        <v>3 WEEK</v>
      </c>
      <c r="Y1102" s="794">
        <f t="shared" si="313"/>
        <v>45854</v>
      </c>
      <c r="Z1102" s="541" cm="1">
        <f t="array" aca="1" ref="Z1102" ca="1">_xlfn.IFS(AD1102&lt;100,Y1102,Y1102&lt;TODAY(),TODAY(),Y1102&gt;TODAY(),Y1102,Y1102=TODAY(),Y1102)</f>
        <v>45854</v>
      </c>
      <c r="AD1102" s="298">
        <f t="shared" si="316"/>
        <v>0</v>
      </c>
      <c r="AE1102" s="299" t="str">
        <f t="shared" si="317"/>
        <v>Complete</v>
      </c>
      <c r="AI1102" s="301">
        <f t="shared" ca="1" si="314"/>
        <v>0</v>
      </c>
      <c r="AJ1102" s="302">
        <f t="shared" ca="1" si="315"/>
        <v>0</v>
      </c>
      <c r="AL1102" s="303">
        <f t="shared" si="318"/>
        <v>0</v>
      </c>
      <c r="AM1102" s="303">
        <f t="shared" si="319"/>
        <v>367345</v>
      </c>
      <c r="AN1102" s="303">
        <f t="shared" si="320"/>
        <v>-367345</v>
      </c>
      <c r="AO1102" s="304">
        <f t="shared" si="321"/>
        <v>0</v>
      </c>
      <c r="AP1102" s="273">
        <f t="shared" si="323"/>
        <v>7</v>
      </c>
      <c r="AQ1102" s="273" t="str">
        <f t="shared" ca="1" si="322"/>
        <v>72025</v>
      </c>
    </row>
    <row r="1103" spans="2:43">
      <c r="B1103" s="711" t="s">
        <v>2561</v>
      </c>
      <c r="P1103" s="688">
        <v>45864</v>
      </c>
      <c r="Q1103" s="273" t="s">
        <v>3834</v>
      </c>
      <c r="R1103" s="314">
        <v>324118</v>
      </c>
      <c r="V1103" s="340">
        <f t="shared" ca="1" si="311"/>
        <v>7</v>
      </c>
      <c r="W1103" s="594">
        <f t="shared" ca="1" si="312"/>
        <v>2025</v>
      </c>
      <c r="X1103" s="340" t="str">
        <f t="shared" ca="1" si="324"/>
        <v>4 WEEK</v>
      </c>
      <c r="Y1103" s="794">
        <f t="shared" si="313"/>
        <v>45864</v>
      </c>
      <c r="Z1103" s="541" cm="1">
        <f t="array" aca="1" ref="Z1103" ca="1">_xlfn.IFS(AD1103&lt;100,Y1103,Y1103&lt;TODAY(),TODAY(),Y1103&gt;TODAY(),Y1103,Y1103=TODAY(),Y1103)</f>
        <v>45864</v>
      </c>
      <c r="AD1103" s="298">
        <f t="shared" si="316"/>
        <v>0</v>
      </c>
      <c r="AE1103" s="299" t="str">
        <f t="shared" si="317"/>
        <v>Complete</v>
      </c>
      <c r="AI1103" s="301">
        <f t="shared" ca="1" si="314"/>
        <v>0</v>
      </c>
      <c r="AJ1103" s="302">
        <f t="shared" ca="1" si="315"/>
        <v>0</v>
      </c>
      <c r="AL1103" s="303">
        <f t="shared" si="318"/>
        <v>0</v>
      </c>
      <c r="AM1103" s="303">
        <f t="shared" si="319"/>
        <v>-324118</v>
      </c>
      <c r="AN1103" s="303">
        <f t="shared" si="320"/>
        <v>324118</v>
      </c>
      <c r="AO1103" s="304">
        <f t="shared" si="321"/>
        <v>0</v>
      </c>
      <c r="AP1103" s="273">
        <f t="shared" si="323"/>
        <v>7</v>
      </c>
      <c r="AQ1103" s="273" t="str">
        <f t="shared" ca="1" si="322"/>
        <v>72025</v>
      </c>
    </row>
    <row r="1104" spans="2:43">
      <c r="B1104" s="711" t="s">
        <v>2561</v>
      </c>
      <c r="P1104" s="688">
        <v>45864</v>
      </c>
      <c r="Q1104" s="273" t="s">
        <v>3835</v>
      </c>
      <c r="R1104" s="314">
        <v>367345</v>
      </c>
      <c r="V1104" s="340">
        <f t="shared" ca="1" si="311"/>
        <v>7</v>
      </c>
      <c r="W1104" s="594">
        <f t="shared" ca="1" si="312"/>
        <v>2025</v>
      </c>
      <c r="X1104" s="340" t="str">
        <f t="shared" ca="1" si="324"/>
        <v>4 WEEK</v>
      </c>
      <c r="Y1104" s="794">
        <f t="shared" si="313"/>
        <v>45864</v>
      </c>
      <c r="Z1104" s="541" cm="1">
        <f t="array" aca="1" ref="Z1104" ca="1">_xlfn.IFS(AD1104&lt;100,Y1104,Y1104&lt;TODAY(),TODAY(),Y1104&gt;TODAY(),Y1104,Y1104=TODAY(),Y1104)</f>
        <v>45864</v>
      </c>
      <c r="AD1104" s="298">
        <f t="shared" si="316"/>
        <v>0</v>
      </c>
      <c r="AE1104" s="299" t="str">
        <f t="shared" si="317"/>
        <v>Complete</v>
      </c>
      <c r="AI1104" s="301">
        <f t="shared" ca="1" si="314"/>
        <v>0</v>
      </c>
      <c r="AJ1104" s="302">
        <f t="shared" ca="1" si="315"/>
        <v>0</v>
      </c>
      <c r="AL1104" s="303">
        <f t="shared" si="318"/>
        <v>0</v>
      </c>
      <c r="AM1104" s="303">
        <f t="shared" si="319"/>
        <v>-367345</v>
      </c>
      <c r="AN1104" s="303">
        <f t="shared" si="320"/>
        <v>367345</v>
      </c>
      <c r="AO1104" s="304">
        <f t="shared" si="321"/>
        <v>0</v>
      </c>
      <c r="AP1104" s="273">
        <f t="shared" si="323"/>
        <v>7</v>
      </c>
      <c r="AQ1104" s="273" t="str">
        <f t="shared" ca="1" si="322"/>
        <v>72025</v>
      </c>
    </row>
    <row r="1105" spans="2:43">
      <c r="V1105" s="340"/>
      <c r="W1105" s="594"/>
      <c r="X1105" s="340" t="str">
        <f t="shared" ca="1" si="324"/>
        <v>0 WEEK</v>
      </c>
      <c r="Y1105" s="794">
        <f t="shared" si="313"/>
        <v>0</v>
      </c>
      <c r="Z1105" s="541" cm="1">
        <f t="array" aca="1" ref="Z1105" ca="1">_xlfn.IFS(AD1105&lt;100,Y1105,Y1105&lt;TODAY(),TODAY(),Y1105&gt;TODAY(),Y1105,Y1105=TODAY(),Y1105)</f>
        <v>0</v>
      </c>
      <c r="AD1105" s="298">
        <f t="shared" si="316"/>
        <v>0</v>
      </c>
      <c r="AE1105" s="299" t="str">
        <f t="shared" si="317"/>
        <v>Complete</v>
      </c>
      <c r="AI1105" s="301">
        <f t="shared" ca="1" si="314"/>
        <v>0</v>
      </c>
      <c r="AJ1105" s="302">
        <f t="shared" ca="1" si="315"/>
        <v>0</v>
      </c>
      <c r="AL1105" s="303">
        <f t="shared" si="318"/>
        <v>0</v>
      </c>
      <c r="AM1105" s="303">
        <f t="shared" si="319"/>
        <v>0</v>
      </c>
      <c r="AN1105" s="303">
        <f t="shared" si="320"/>
        <v>0</v>
      </c>
      <c r="AO1105" s="304">
        <f t="shared" si="321"/>
        <v>0</v>
      </c>
      <c r="AP1105" s="273">
        <f t="shared" si="323"/>
        <v>1</v>
      </c>
      <c r="AQ1105" s="273" t="str">
        <f t="shared" si="322"/>
        <v>1</v>
      </c>
    </row>
    <row r="1106" spans="2:43" ht="18">
      <c r="B1106" s="711" t="s">
        <v>2562</v>
      </c>
      <c r="E1106" s="440">
        <v>45327</v>
      </c>
      <c r="G1106" s="306">
        <v>11602500</v>
      </c>
      <c r="H1106" s="308">
        <v>1392300</v>
      </c>
      <c r="I1106" s="308">
        <f>G1106+H1106</f>
        <v>12994800</v>
      </c>
      <c r="K1106" s="273" t="s">
        <v>2563</v>
      </c>
      <c r="M1106" s="665">
        <v>0.2</v>
      </c>
      <c r="N1106" s="273" t="s">
        <v>1592</v>
      </c>
      <c r="R1106" s="741" t="e">
        <v>#VALUE!</v>
      </c>
      <c r="V1106" s="340">
        <f t="shared" ref="V1106:V1115" ca="1" si="325">MONTH(Z1106)</f>
        <v>1</v>
      </c>
      <c r="W1106" s="594">
        <f t="shared" ref="W1106:W1115" ca="1" si="326">YEAR(Z1106)</f>
        <v>1900</v>
      </c>
      <c r="X1106" s="340" t="str">
        <f t="shared" ca="1" si="324"/>
        <v>0 WEEK</v>
      </c>
      <c r="Y1106" s="794">
        <f t="shared" si="313"/>
        <v>0</v>
      </c>
      <c r="Z1106" s="541" cm="1">
        <f t="array" aca="1" ref="Z1106" ca="1">_xlfn.IFS(AD1106&lt;100,Y1106,Y1106&lt;TODAY(),TODAY(),Y1106&gt;TODAY(),Y1106,Y1106=TODAY(),Y1106)</f>
        <v>0</v>
      </c>
      <c r="AA1106" s="891">
        <f>SUM(G1106:G1113)*M1106</f>
        <v>3412500</v>
      </c>
      <c r="AB1106" s="307">
        <v>19663439</v>
      </c>
      <c r="AD1106" s="298">
        <f t="shared" si="316"/>
        <v>-16250939</v>
      </c>
      <c r="AE1106" s="299" t="str">
        <f t="shared" si="317"/>
        <v>Complete</v>
      </c>
      <c r="AI1106" s="301">
        <f t="shared" ca="1" si="314"/>
        <v>0</v>
      </c>
      <c r="AJ1106" s="302">
        <f t="shared" ca="1" si="315"/>
        <v>0</v>
      </c>
      <c r="AL1106" s="303">
        <f t="shared" si="318"/>
        <v>12994800</v>
      </c>
      <c r="AM1106" s="303">
        <f t="shared" si="319"/>
        <v>0</v>
      </c>
      <c r="AN1106" s="303">
        <f t="shared" si="320"/>
        <v>0</v>
      </c>
      <c r="AO1106" s="304">
        <f t="shared" si="321"/>
        <v>0</v>
      </c>
      <c r="AP1106" s="273">
        <f t="shared" si="323"/>
        <v>1</v>
      </c>
      <c r="AQ1106" s="273" t="str">
        <f t="shared" ca="1" si="322"/>
        <v>11900</v>
      </c>
    </row>
    <row r="1107" spans="2:43">
      <c r="B1107" s="711" t="s">
        <v>2562</v>
      </c>
      <c r="E1107" s="440">
        <v>45327</v>
      </c>
      <c r="G1107" s="306">
        <v>1202500</v>
      </c>
      <c r="H1107" s="308">
        <v>144300</v>
      </c>
      <c r="I1107" s="308">
        <f t="shared" ref="I1107:I1109" si="327">G1107+H1107</f>
        <v>1346800</v>
      </c>
      <c r="K1107" s="273" t="s">
        <v>2564</v>
      </c>
      <c r="M1107" s="665">
        <v>0.6</v>
      </c>
      <c r="N1107" s="273" t="s">
        <v>1595</v>
      </c>
      <c r="P1107" s="688">
        <v>45391</v>
      </c>
      <c r="Q1107" s="273" t="s">
        <v>3836</v>
      </c>
      <c r="R1107" s="313">
        <v>12994800</v>
      </c>
      <c r="V1107" s="340">
        <f t="shared" ca="1" si="325"/>
        <v>10</v>
      </c>
      <c r="W1107" s="594">
        <f t="shared" ca="1" si="326"/>
        <v>2025</v>
      </c>
      <c r="X1107" s="340" t="str">
        <f t="shared" ca="1" si="324"/>
        <v>1 WEEK</v>
      </c>
      <c r="Y1107" s="794">
        <f t="shared" si="313"/>
        <v>45391</v>
      </c>
      <c r="Z1107" s="541" cm="1">
        <f t="array" aca="1" ref="Z1107" ca="1">_xlfn.IFS(AD1107&lt;100,Y1107,Y1107&lt;TODAY(),TODAY(),Y1107&gt;TODAY(),Y1107,Y1107=TODAY(),Y1107)</f>
        <v>45935</v>
      </c>
      <c r="AA1107" s="891">
        <f>SUM(I1106:I1113)*M1107</f>
        <v>11619270</v>
      </c>
      <c r="AD1107" s="298">
        <f t="shared" si="316"/>
        <v>11619270</v>
      </c>
      <c r="AE1107" s="299" t="str">
        <f t="shared" si="317"/>
        <v>Incomplete</v>
      </c>
      <c r="AI1107" s="301">
        <f t="shared" ca="1" si="314"/>
        <v>544</v>
      </c>
      <c r="AJ1107" s="302" t="str">
        <f t="shared" ca="1" si="315"/>
        <v>Delayed</v>
      </c>
      <c r="AL1107" s="303">
        <f t="shared" si="318"/>
        <v>1346800</v>
      </c>
      <c r="AM1107" s="303">
        <f t="shared" si="319"/>
        <v>-11648000</v>
      </c>
      <c r="AN1107" s="303">
        <f t="shared" si="320"/>
        <v>12994800</v>
      </c>
      <c r="AO1107" s="304">
        <f t="shared" si="321"/>
        <v>0</v>
      </c>
      <c r="AP1107" s="273">
        <f t="shared" si="323"/>
        <v>4</v>
      </c>
      <c r="AQ1107" s="273" t="str">
        <f t="shared" ca="1" si="322"/>
        <v>42025</v>
      </c>
    </row>
    <row r="1108" spans="2:43">
      <c r="B1108" s="711" t="s">
        <v>2562</v>
      </c>
      <c r="E1108" s="440">
        <v>45327</v>
      </c>
      <c r="G1108" s="306">
        <v>3412500</v>
      </c>
      <c r="H1108" s="308">
        <v>614250</v>
      </c>
      <c r="I1108" s="308">
        <f t="shared" si="327"/>
        <v>4026750</v>
      </c>
      <c r="K1108" s="273" t="s">
        <v>2565</v>
      </c>
      <c r="M1108" s="665">
        <v>0.2</v>
      </c>
      <c r="N1108" s="273" t="s">
        <v>1617</v>
      </c>
      <c r="P1108" s="688">
        <v>45453</v>
      </c>
      <c r="Q1108" s="693" t="s">
        <v>3837</v>
      </c>
      <c r="R1108" s="314">
        <v>-12994800</v>
      </c>
      <c r="V1108" s="340">
        <f t="shared" ca="1" si="325"/>
        <v>10</v>
      </c>
      <c r="W1108" s="594">
        <f t="shared" ca="1" si="326"/>
        <v>2025</v>
      </c>
      <c r="X1108" s="340" t="str">
        <f t="shared" ca="1" si="324"/>
        <v>1 WEEK</v>
      </c>
      <c r="Y1108" s="794">
        <f t="shared" si="313"/>
        <v>45453</v>
      </c>
      <c r="Z1108" s="541" cm="1">
        <f t="array" aca="1" ref="Z1108" ca="1">_xlfn.IFS(AD1108&lt;100,Y1108,Y1108&lt;TODAY(),TODAY(),Y1108&gt;TODAY(),Y1108,Y1108=TODAY(),Y1108)</f>
        <v>45935</v>
      </c>
      <c r="AA1108" s="891">
        <f>SUM(I1106:I1113)*M1108+SUM(H1106:H1113)*M1106</f>
        <v>4333680</v>
      </c>
      <c r="AD1108" s="298">
        <f t="shared" si="316"/>
        <v>4333680</v>
      </c>
      <c r="AE1108" s="299" t="str">
        <f t="shared" si="317"/>
        <v>Incomplete</v>
      </c>
      <c r="AI1108" s="301">
        <f t="shared" ca="1" si="314"/>
        <v>482</v>
      </c>
      <c r="AJ1108" s="302" t="str">
        <f t="shared" ca="1" si="315"/>
        <v>Delayed</v>
      </c>
      <c r="AL1108" s="303">
        <f t="shared" si="318"/>
        <v>4026750</v>
      </c>
      <c r="AM1108" s="303">
        <f t="shared" si="319"/>
        <v>17021550</v>
      </c>
      <c r="AN1108" s="303">
        <f t="shared" si="320"/>
        <v>-12994800</v>
      </c>
      <c r="AO1108" s="304">
        <f t="shared" si="321"/>
        <v>0</v>
      </c>
      <c r="AP1108" s="273">
        <f t="shared" si="323"/>
        <v>6</v>
      </c>
      <c r="AQ1108" s="273" t="str">
        <f t="shared" ca="1" si="322"/>
        <v>62025</v>
      </c>
    </row>
    <row r="1109" spans="2:43">
      <c r="B1109" s="711" t="s">
        <v>2562</v>
      </c>
      <c r="E1109" s="440">
        <v>45327</v>
      </c>
      <c r="G1109" s="306">
        <v>845000</v>
      </c>
      <c r="H1109" s="308">
        <v>152100</v>
      </c>
      <c r="I1109" s="308">
        <f t="shared" si="327"/>
        <v>997100</v>
      </c>
      <c r="P1109" s="688">
        <v>45463</v>
      </c>
      <c r="Q1109" s="693" t="s">
        <v>3838</v>
      </c>
      <c r="R1109" s="314">
        <v>1005256</v>
      </c>
      <c r="V1109" s="340">
        <f t="shared" ca="1" si="325"/>
        <v>6</v>
      </c>
      <c r="W1109" s="594">
        <f t="shared" ca="1" si="326"/>
        <v>2024</v>
      </c>
      <c r="X1109" s="340" t="str">
        <f t="shared" ca="1" si="324"/>
        <v>3 WEEK</v>
      </c>
      <c r="Y1109" s="794">
        <f t="shared" si="313"/>
        <v>45463</v>
      </c>
      <c r="Z1109" s="541" cm="1">
        <f t="array" aca="1" ref="Z1109" ca="1">_xlfn.IFS(AD1109&lt;100,Y1109,Y1109&lt;TODAY(),TODAY(),Y1109&gt;TODAY(),Y1109,Y1109=TODAY(),Y1109)</f>
        <v>45463</v>
      </c>
      <c r="AD1109" s="298">
        <f t="shared" si="316"/>
        <v>0</v>
      </c>
      <c r="AE1109" s="299" t="str">
        <f t="shared" si="317"/>
        <v>Complete</v>
      </c>
      <c r="AI1109" s="301">
        <f t="shared" ca="1" si="314"/>
        <v>0</v>
      </c>
      <c r="AJ1109" s="302">
        <f t="shared" ca="1" si="315"/>
        <v>0</v>
      </c>
      <c r="AL1109" s="303">
        <f t="shared" si="318"/>
        <v>997100</v>
      </c>
      <c r="AM1109" s="303">
        <f t="shared" si="319"/>
        <v>-8156</v>
      </c>
      <c r="AN1109" s="303">
        <f t="shared" si="320"/>
        <v>1005256</v>
      </c>
      <c r="AO1109" s="304">
        <f t="shared" si="321"/>
        <v>0</v>
      </c>
      <c r="AP1109" s="273">
        <f t="shared" si="323"/>
        <v>6</v>
      </c>
      <c r="AQ1109" s="273" t="str">
        <f t="shared" ca="1" si="322"/>
        <v>62024</v>
      </c>
    </row>
    <row r="1110" spans="2:43">
      <c r="B1110" s="711" t="s">
        <v>2562</v>
      </c>
      <c r="E1110" s="440">
        <v>45327</v>
      </c>
      <c r="P1110" s="688">
        <v>45482</v>
      </c>
      <c r="Q1110" s="693" t="s">
        <v>2124</v>
      </c>
      <c r="R1110" s="314">
        <v>16770070</v>
      </c>
      <c r="V1110" s="340">
        <f t="shared" ca="1" si="325"/>
        <v>7</v>
      </c>
      <c r="W1110" s="594">
        <f t="shared" ca="1" si="326"/>
        <v>2024</v>
      </c>
      <c r="X1110" s="340" t="str">
        <f t="shared" ca="1" si="324"/>
        <v>2 WEEK</v>
      </c>
      <c r="Y1110" s="794">
        <f t="shared" si="313"/>
        <v>45482</v>
      </c>
      <c r="Z1110" s="541" cm="1">
        <f t="array" aca="1" ref="Z1110" ca="1">_xlfn.IFS(AD1110&lt;100,Y1110,Y1110&lt;TODAY(),TODAY(),Y1110&gt;TODAY(),Y1110,Y1110=TODAY(),Y1110)</f>
        <v>45482</v>
      </c>
      <c r="AD1110" s="298">
        <f t="shared" si="316"/>
        <v>0</v>
      </c>
      <c r="AE1110" s="299" t="str">
        <f t="shared" si="317"/>
        <v>Complete</v>
      </c>
      <c r="AI1110" s="301">
        <f t="shared" ca="1" si="314"/>
        <v>0</v>
      </c>
      <c r="AJ1110" s="302">
        <f t="shared" ca="1" si="315"/>
        <v>0</v>
      </c>
      <c r="AL1110" s="303">
        <f t="shared" si="318"/>
        <v>0</v>
      </c>
      <c r="AM1110" s="303">
        <f t="shared" si="319"/>
        <v>-16770070</v>
      </c>
      <c r="AN1110" s="303">
        <f t="shared" si="320"/>
        <v>16770070</v>
      </c>
      <c r="AO1110" s="304">
        <f t="shared" si="321"/>
        <v>0</v>
      </c>
      <c r="AP1110" s="273">
        <f t="shared" si="323"/>
        <v>7</v>
      </c>
      <c r="AQ1110" s="273" t="str">
        <f t="shared" ca="1" si="322"/>
        <v>72024</v>
      </c>
    </row>
    <row r="1111" spans="2:43">
      <c r="B1111" s="711" t="s">
        <v>2562</v>
      </c>
      <c r="E1111" s="440">
        <v>45327</v>
      </c>
      <c r="P1111" s="688">
        <v>45528</v>
      </c>
      <c r="Q1111" s="693" t="s">
        <v>3839</v>
      </c>
      <c r="R1111" s="314">
        <v>89998</v>
      </c>
      <c r="V1111" s="340">
        <f t="shared" ca="1" si="325"/>
        <v>8</v>
      </c>
      <c r="W1111" s="594">
        <f t="shared" ca="1" si="326"/>
        <v>2024</v>
      </c>
      <c r="X1111" s="340" t="str">
        <f t="shared" ca="1" si="324"/>
        <v>4 WEEK</v>
      </c>
      <c r="Y1111" s="794">
        <f t="shared" si="313"/>
        <v>45528</v>
      </c>
      <c r="Z1111" s="541" cm="1">
        <f t="array" aca="1" ref="Z1111" ca="1">_xlfn.IFS(AD1111&lt;100,Y1111,Y1111&lt;TODAY(),TODAY(),Y1111&gt;TODAY(),Y1111,Y1111=TODAY(),Y1111)</f>
        <v>45528</v>
      </c>
      <c r="AD1111" s="298">
        <f t="shared" si="316"/>
        <v>0</v>
      </c>
      <c r="AE1111" s="299" t="str">
        <f t="shared" si="317"/>
        <v>Complete</v>
      </c>
      <c r="AI1111" s="301">
        <f t="shared" ca="1" si="314"/>
        <v>0</v>
      </c>
      <c r="AJ1111" s="302">
        <f t="shared" ca="1" si="315"/>
        <v>0</v>
      </c>
      <c r="AL1111" s="303">
        <f t="shared" si="318"/>
        <v>0</v>
      </c>
      <c r="AM1111" s="303">
        <f t="shared" si="319"/>
        <v>-89998</v>
      </c>
      <c r="AN1111" s="303">
        <f t="shared" si="320"/>
        <v>89998</v>
      </c>
      <c r="AO1111" s="304">
        <f t="shared" si="321"/>
        <v>0</v>
      </c>
      <c r="AP1111" s="273">
        <f t="shared" si="323"/>
        <v>8</v>
      </c>
      <c r="AQ1111" s="273" t="str">
        <f t="shared" ca="1" si="322"/>
        <v>82024</v>
      </c>
    </row>
    <row r="1112" spans="2:43">
      <c r="B1112" s="711" t="s">
        <v>2562</v>
      </c>
      <c r="E1112" s="440">
        <v>45327</v>
      </c>
      <c r="P1112" s="688">
        <v>45535</v>
      </c>
      <c r="Q1112" s="693" t="s">
        <v>3840</v>
      </c>
      <c r="R1112" s="314">
        <v>22256</v>
      </c>
      <c r="V1112" s="340">
        <f t="shared" ca="1" si="325"/>
        <v>8</v>
      </c>
      <c r="W1112" s="594">
        <f t="shared" ca="1" si="326"/>
        <v>2024</v>
      </c>
      <c r="X1112" s="340" t="str">
        <f t="shared" ca="1" si="324"/>
        <v>5 WEEK</v>
      </c>
      <c r="Y1112" s="794">
        <f t="shared" si="313"/>
        <v>45535</v>
      </c>
      <c r="Z1112" s="541" cm="1">
        <f t="array" aca="1" ref="Z1112" ca="1">_xlfn.IFS(AD1112&lt;100,Y1112,Y1112&lt;TODAY(),TODAY(),Y1112&gt;TODAY(),Y1112,Y1112=TODAY(),Y1112)</f>
        <v>45535</v>
      </c>
      <c r="AD1112" s="298">
        <f t="shared" si="316"/>
        <v>0</v>
      </c>
      <c r="AE1112" s="299" t="str">
        <f t="shared" si="317"/>
        <v>Complete</v>
      </c>
      <c r="AI1112" s="301">
        <f t="shared" ca="1" si="314"/>
        <v>0</v>
      </c>
      <c r="AJ1112" s="302">
        <f t="shared" ca="1" si="315"/>
        <v>0</v>
      </c>
      <c r="AL1112" s="303">
        <f t="shared" si="318"/>
        <v>0</v>
      </c>
      <c r="AM1112" s="303">
        <f t="shared" si="319"/>
        <v>-22256</v>
      </c>
      <c r="AN1112" s="303">
        <f t="shared" si="320"/>
        <v>22256</v>
      </c>
      <c r="AO1112" s="304">
        <f t="shared" si="321"/>
        <v>0</v>
      </c>
      <c r="AP1112" s="273">
        <f t="shared" si="323"/>
        <v>8</v>
      </c>
      <c r="AQ1112" s="273" t="str">
        <f t="shared" ca="1" si="322"/>
        <v>82024</v>
      </c>
    </row>
    <row r="1113" spans="2:43">
      <c r="B1113" s="711" t="s">
        <v>2562</v>
      </c>
      <c r="E1113" s="440">
        <v>45327</v>
      </c>
      <c r="P1113" s="688">
        <v>45544</v>
      </c>
      <c r="Q1113" s="693" t="s">
        <v>3841</v>
      </c>
      <c r="R1113" s="314">
        <v>1567868</v>
      </c>
      <c r="V1113" s="340">
        <f t="shared" ca="1" si="325"/>
        <v>9</v>
      </c>
      <c r="W1113" s="594">
        <f t="shared" ca="1" si="326"/>
        <v>2024</v>
      </c>
      <c r="X1113" s="340" t="str">
        <f t="shared" ca="1" si="324"/>
        <v>2 WEEK</v>
      </c>
      <c r="Y1113" s="794">
        <f t="shared" si="313"/>
        <v>45544</v>
      </c>
      <c r="Z1113" s="541" cm="1">
        <f t="array" aca="1" ref="Z1113" ca="1">_xlfn.IFS(AD1113&lt;100,Y1113,Y1113&lt;TODAY(),TODAY(),Y1113&gt;TODAY(),Y1113,Y1113=TODAY(),Y1113)</f>
        <v>45544</v>
      </c>
      <c r="AD1113" s="298">
        <f t="shared" si="316"/>
        <v>0</v>
      </c>
      <c r="AE1113" s="299" t="str">
        <f t="shared" si="317"/>
        <v>Complete</v>
      </c>
      <c r="AI1113" s="301">
        <f t="shared" ca="1" si="314"/>
        <v>0</v>
      </c>
      <c r="AJ1113" s="302">
        <f t="shared" ca="1" si="315"/>
        <v>0</v>
      </c>
      <c r="AL1113" s="303">
        <f t="shared" si="318"/>
        <v>0</v>
      </c>
      <c r="AM1113" s="303">
        <f t="shared" si="319"/>
        <v>-1567868</v>
      </c>
      <c r="AN1113" s="303">
        <f t="shared" si="320"/>
        <v>1567868</v>
      </c>
      <c r="AO1113" s="304">
        <f t="shared" si="321"/>
        <v>0</v>
      </c>
      <c r="AP1113" s="273">
        <f t="shared" si="323"/>
        <v>9</v>
      </c>
      <c r="AQ1113" s="273" t="str">
        <f t="shared" ca="1" si="322"/>
        <v>92024</v>
      </c>
    </row>
    <row r="1114" spans="2:43">
      <c r="P1114" s="688">
        <v>45769</v>
      </c>
      <c r="Q1114" s="273" t="s">
        <v>3842</v>
      </c>
      <c r="R1114" s="314">
        <v>471382</v>
      </c>
      <c r="V1114" s="340">
        <f t="shared" ca="1" si="325"/>
        <v>4</v>
      </c>
      <c r="W1114" s="594">
        <f t="shared" ca="1" si="326"/>
        <v>2025</v>
      </c>
      <c r="X1114" s="340" t="str">
        <f t="shared" ca="1" si="324"/>
        <v>4 WEEK</v>
      </c>
      <c r="Y1114" s="794">
        <f t="shared" si="313"/>
        <v>45769</v>
      </c>
      <c r="Z1114" s="541" cm="1">
        <f t="array" aca="1" ref="Z1114" ca="1">_xlfn.IFS(AD1114&lt;100,Y1114,Y1114&lt;TODAY(),TODAY(),Y1114&gt;TODAY(),Y1114,Y1114=TODAY(),Y1114)</f>
        <v>45769</v>
      </c>
      <c r="AD1114" s="298">
        <f t="shared" si="316"/>
        <v>0</v>
      </c>
      <c r="AE1114" s="299" t="str">
        <f t="shared" si="317"/>
        <v>Complete</v>
      </c>
      <c r="AI1114" s="301">
        <f t="shared" ca="1" si="314"/>
        <v>0</v>
      </c>
      <c r="AJ1114" s="302">
        <f t="shared" ca="1" si="315"/>
        <v>0</v>
      </c>
      <c r="AL1114" s="303">
        <f t="shared" si="318"/>
        <v>0</v>
      </c>
      <c r="AM1114" s="303">
        <f t="shared" si="319"/>
        <v>-471382</v>
      </c>
      <c r="AN1114" s="303">
        <f t="shared" si="320"/>
        <v>471382</v>
      </c>
      <c r="AO1114" s="304">
        <f t="shared" si="321"/>
        <v>0</v>
      </c>
      <c r="AP1114" s="273">
        <f t="shared" si="323"/>
        <v>4</v>
      </c>
      <c r="AQ1114" s="273" t="str">
        <f t="shared" ca="1" si="322"/>
        <v>42025</v>
      </c>
    </row>
    <row r="1115" spans="2:43">
      <c r="V1115" s="340">
        <f t="shared" ca="1" si="325"/>
        <v>1</v>
      </c>
      <c r="W1115" s="594">
        <f t="shared" ca="1" si="326"/>
        <v>1900</v>
      </c>
      <c r="X1115" s="340" t="str">
        <f t="shared" ca="1" si="324"/>
        <v>0 WEEK</v>
      </c>
      <c r="Y1115" s="794">
        <f t="shared" si="313"/>
        <v>0</v>
      </c>
      <c r="Z1115" s="541" cm="1">
        <f t="array" aca="1" ref="Z1115" ca="1">_xlfn.IFS(AD1115&lt;100,Y1115,Y1115&lt;TODAY(),TODAY(),Y1115&gt;TODAY(),Y1115,Y1115=TODAY(),Y1115)</f>
        <v>0</v>
      </c>
      <c r="AD1115" s="298">
        <f t="shared" si="316"/>
        <v>0</v>
      </c>
      <c r="AE1115" s="299" t="str">
        <f t="shared" si="317"/>
        <v>Complete</v>
      </c>
      <c r="AI1115" s="301">
        <f t="shared" ca="1" si="314"/>
        <v>0</v>
      </c>
      <c r="AJ1115" s="302">
        <f t="shared" ca="1" si="315"/>
        <v>0</v>
      </c>
      <c r="AL1115" s="303">
        <f t="shared" si="318"/>
        <v>0</v>
      </c>
      <c r="AM1115" s="303">
        <f t="shared" si="319"/>
        <v>0</v>
      </c>
      <c r="AN1115" s="303">
        <f t="shared" si="320"/>
        <v>0</v>
      </c>
      <c r="AO1115" s="304">
        <f t="shared" si="321"/>
        <v>0</v>
      </c>
      <c r="AP1115" s="273">
        <f t="shared" si="323"/>
        <v>1</v>
      </c>
      <c r="AQ1115" s="273" t="str">
        <f t="shared" ca="1" si="322"/>
        <v>11900</v>
      </c>
    </row>
    <row r="1116" spans="2:43" ht="18">
      <c r="B1116" s="711" t="s">
        <v>2566</v>
      </c>
      <c r="R1116" s="741" t="e">
        <v>#VALUE!</v>
      </c>
      <c r="V1116" s="340"/>
      <c r="W1116" s="594"/>
      <c r="X1116" s="340" t="str">
        <f t="shared" ca="1" si="324"/>
        <v>0 WEEK</v>
      </c>
      <c r="Y1116" s="794">
        <f t="shared" si="313"/>
        <v>0</v>
      </c>
      <c r="Z1116" s="541" cm="1">
        <f t="array" aca="1" ref="Z1116" ca="1">_xlfn.IFS(AD1116&lt;100,Y1116,Y1116&lt;TODAY(),TODAY(),Y1116&gt;TODAY(),Y1116,Y1116=TODAY(),Y1116)</f>
        <v>0</v>
      </c>
      <c r="AD1116" s="298">
        <f t="shared" si="316"/>
        <v>0</v>
      </c>
      <c r="AE1116" s="299" t="str">
        <f t="shared" si="317"/>
        <v>Complete</v>
      </c>
      <c r="AI1116" s="301">
        <f t="shared" ca="1" si="314"/>
        <v>0</v>
      </c>
      <c r="AJ1116" s="302">
        <f t="shared" ca="1" si="315"/>
        <v>0</v>
      </c>
      <c r="AL1116" s="303">
        <f t="shared" si="318"/>
        <v>0</v>
      </c>
      <c r="AM1116" s="303">
        <f t="shared" si="319"/>
        <v>0</v>
      </c>
      <c r="AN1116" s="303">
        <f t="shared" si="320"/>
        <v>0</v>
      </c>
      <c r="AO1116" s="304">
        <f t="shared" si="321"/>
        <v>0</v>
      </c>
      <c r="AP1116" s="273">
        <f t="shared" si="323"/>
        <v>1</v>
      </c>
      <c r="AQ1116" s="273" t="str">
        <f t="shared" si="322"/>
        <v>1</v>
      </c>
    </row>
    <row r="1117" spans="2:43">
      <c r="B1117" s="711" t="s">
        <v>2566</v>
      </c>
      <c r="P1117" s="688">
        <v>44680</v>
      </c>
      <c r="Q1117" s="273" t="s">
        <v>3859</v>
      </c>
      <c r="R1117" s="313">
        <v>-16503200</v>
      </c>
      <c r="V1117" s="340">
        <f t="shared" ref="V1117:V1123" ca="1" si="328">MONTH(Z1117)</f>
        <v>4</v>
      </c>
      <c r="W1117" s="594">
        <f t="shared" ref="W1117:W1123" ca="1" si="329">YEAR(Z1117)</f>
        <v>2022</v>
      </c>
      <c r="X1117" s="340" t="str">
        <f t="shared" ca="1" si="324"/>
        <v>5 WEEK</v>
      </c>
      <c r="Y1117" s="794">
        <f t="shared" si="313"/>
        <v>44680</v>
      </c>
      <c r="Z1117" s="541" cm="1">
        <f t="array" aca="1" ref="Z1117" ca="1">_xlfn.IFS(AD1117&lt;100,Y1117,Y1117&lt;TODAY(),TODAY(),Y1117&gt;TODAY(),Y1117,Y1117=TODAY(),Y1117)</f>
        <v>44680</v>
      </c>
      <c r="AB1117" s="307">
        <v>0</v>
      </c>
      <c r="AD1117" s="298">
        <f t="shared" si="316"/>
        <v>0</v>
      </c>
      <c r="AE1117" s="299" t="str">
        <f t="shared" si="317"/>
        <v>Complete</v>
      </c>
      <c r="AI1117" s="301">
        <f t="shared" ca="1" si="314"/>
        <v>0</v>
      </c>
      <c r="AJ1117" s="302">
        <f t="shared" ca="1" si="315"/>
        <v>0</v>
      </c>
      <c r="AL1117" s="303">
        <f t="shared" si="318"/>
        <v>0</v>
      </c>
      <c r="AM1117" s="303">
        <f t="shared" si="319"/>
        <v>16503200</v>
      </c>
      <c r="AN1117" s="303">
        <f t="shared" si="320"/>
        <v>-16503200</v>
      </c>
      <c r="AO1117" s="304">
        <f t="shared" si="321"/>
        <v>0</v>
      </c>
      <c r="AP1117" s="273">
        <f t="shared" si="323"/>
        <v>4</v>
      </c>
      <c r="AQ1117" s="273" t="str">
        <f t="shared" ca="1" si="322"/>
        <v>42022</v>
      </c>
    </row>
    <row r="1118" spans="2:43">
      <c r="B1118" s="711" t="s">
        <v>2566</v>
      </c>
      <c r="P1118" s="688">
        <v>44742</v>
      </c>
      <c r="Q1118" s="693" t="s">
        <v>3860</v>
      </c>
      <c r="R1118" s="314">
        <v>8560203</v>
      </c>
      <c r="V1118" s="340">
        <f t="shared" ca="1" si="328"/>
        <v>6</v>
      </c>
      <c r="W1118" s="594">
        <f t="shared" ca="1" si="329"/>
        <v>2022</v>
      </c>
      <c r="X1118" s="340" t="str">
        <f t="shared" ca="1" si="324"/>
        <v>5 WEEK</v>
      </c>
      <c r="Y1118" s="794">
        <f t="shared" si="313"/>
        <v>44742</v>
      </c>
      <c r="Z1118" s="541" cm="1">
        <f t="array" aca="1" ref="Z1118" ca="1">_xlfn.IFS(AD1118&lt;100,Y1118,Y1118&lt;TODAY(),TODAY(),Y1118&gt;TODAY(),Y1118,Y1118=TODAY(),Y1118)</f>
        <v>44742</v>
      </c>
      <c r="AD1118" s="298">
        <f t="shared" si="316"/>
        <v>0</v>
      </c>
      <c r="AE1118" s="299" t="str">
        <f t="shared" si="317"/>
        <v>Complete</v>
      </c>
      <c r="AI1118" s="301">
        <f t="shared" ca="1" si="314"/>
        <v>0</v>
      </c>
      <c r="AJ1118" s="302">
        <f t="shared" ca="1" si="315"/>
        <v>0</v>
      </c>
      <c r="AL1118" s="303">
        <f t="shared" si="318"/>
        <v>0</v>
      </c>
      <c r="AM1118" s="303">
        <f t="shared" si="319"/>
        <v>-8560203</v>
      </c>
      <c r="AN1118" s="303">
        <f t="shared" si="320"/>
        <v>8560203</v>
      </c>
      <c r="AO1118" s="304">
        <f t="shared" si="321"/>
        <v>0</v>
      </c>
      <c r="AP1118" s="273">
        <f t="shared" si="323"/>
        <v>6</v>
      </c>
      <c r="AQ1118" s="273" t="str">
        <f t="shared" ca="1" si="322"/>
        <v>62022</v>
      </c>
    </row>
    <row r="1119" spans="2:43">
      <c r="B1119" s="711" t="s">
        <v>2566</v>
      </c>
      <c r="P1119" s="688">
        <v>44750</v>
      </c>
      <c r="Q1119" s="693" t="s">
        <v>3861</v>
      </c>
      <c r="R1119" s="314">
        <v>1203727</v>
      </c>
      <c r="V1119" s="340">
        <f t="shared" ca="1" si="328"/>
        <v>7</v>
      </c>
      <c r="W1119" s="594">
        <f t="shared" ca="1" si="329"/>
        <v>2022</v>
      </c>
      <c r="X1119" s="340" t="str">
        <f t="shared" ca="1" si="324"/>
        <v>2 WEEK</v>
      </c>
      <c r="Y1119" s="794">
        <f t="shared" si="313"/>
        <v>44750</v>
      </c>
      <c r="Z1119" s="541" cm="1">
        <f t="array" aca="1" ref="Z1119" ca="1">_xlfn.IFS(AD1119&lt;100,Y1119,Y1119&lt;TODAY(),TODAY(),Y1119&gt;TODAY(),Y1119,Y1119=TODAY(),Y1119)</f>
        <v>44750</v>
      </c>
      <c r="AD1119" s="298">
        <f t="shared" si="316"/>
        <v>0</v>
      </c>
      <c r="AE1119" s="299" t="str">
        <f t="shared" si="317"/>
        <v>Complete</v>
      </c>
      <c r="AI1119" s="301">
        <f t="shared" ca="1" si="314"/>
        <v>0</v>
      </c>
      <c r="AJ1119" s="302">
        <f t="shared" ca="1" si="315"/>
        <v>0</v>
      </c>
      <c r="AL1119" s="303">
        <f t="shared" si="318"/>
        <v>0</v>
      </c>
      <c r="AM1119" s="303">
        <f t="shared" si="319"/>
        <v>-1203727</v>
      </c>
      <c r="AN1119" s="303">
        <f t="shared" si="320"/>
        <v>1203727</v>
      </c>
      <c r="AO1119" s="304">
        <f t="shared" si="321"/>
        <v>0</v>
      </c>
      <c r="AP1119" s="273">
        <f t="shared" si="323"/>
        <v>7</v>
      </c>
      <c r="AQ1119" s="273" t="str">
        <f t="shared" ca="1" si="322"/>
        <v>72022</v>
      </c>
    </row>
    <row r="1120" spans="2:43">
      <c r="B1120" s="711" t="s">
        <v>2566</v>
      </c>
      <c r="P1120" s="688">
        <v>44907</v>
      </c>
      <c r="Q1120" s="693" t="s">
        <v>3862</v>
      </c>
      <c r="R1120" s="314">
        <v>669235</v>
      </c>
      <c r="V1120" s="340">
        <f t="shared" ca="1" si="328"/>
        <v>12</v>
      </c>
      <c r="W1120" s="594">
        <f t="shared" ca="1" si="329"/>
        <v>2022</v>
      </c>
      <c r="X1120" s="340" t="str">
        <f t="shared" ca="1" si="324"/>
        <v>2 WEEK</v>
      </c>
      <c r="Y1120" s="794">
        <f t="shared" si="313"/>
        <v>44907</v>
      </c>
      <c r="Z1120" s="541" cm="1">
        <f t="array" aca="1" ref="Z1120" ca="1">_xlfn.IFS(AD1120&lt;100,Y1120,Y1120&lt;TODAY(),TODAY(),Y1120&gt;TODAY(),Y1120,Y1120=TODAY(),Y1120)</f>
        <v>44907</v>
      </c>
      <c r="AD1120" s="298">
        <f t="shared" si="316"/>
        <v>0</v>
      </c>
      <c r="AE1120" s="299" t="str">
        <f t="shared" si="317"/>
        <v>Complete</v>
      </c>
      <c r="AI1120" s="301">
        <f t="shared" ca="1" si="314"/>
        <v>0</v>
      </c>
      <c r="AJ1120" s="302">
        <f t="shared" ca="1" si="315"/>
        <v>0</v>
      </c>
      <c r="AL1120" s="303">
        <f t="shared" si="318"/>
        <v>0</v>
      </c>
      <c r="AM1120" s="303">
        <f t="shared" si="319"/>
        <v>-669235</v>
      </c>
      <c r="AN1120" s="303">
        <f t="shared" si="320"/>
        <v>669235</v>
      </c>
      <c r="AO1120" s="304">
        <f t="shared" si="321"/>
        <v>0</v>
      </c>
      <c r="AP1120" s="273">
        <f t="shared" si="323"/>
        <v>12</v>
      </c>
      <c r="AQ1120" s="273" t="str">
        <f t="shared" ca="1" si="322"/>
        <v>122022</v>
      </c>
    </row>
    <row r="1121" spans="2:43">
      <c r="B1121" s="711" t="s">
        <v>2566</v>
      </c>
      <c r="P1121" s="688">
        <v>45011</v>
      </c>
      <c r="Q1121" s="693" t="s">
        <v>3863</v>
      </c>
      <c r="R1121" s="314">
        <v>-608957</v>
      </c>
      <c r="V1121" s="340">
        <f t="shared" ca="1" si="328"/>
        <v>3</v>
      </c>
      <c r="W1121" s="594">
        <f t="shared" ca="1" si="329"/>
        <v>2023</v>
      </c>
      <c r="X1121" s="340" t="str">
        <f t="shared" ca="1" si="324"/>
        <v>4 WEEK</v>
      </c>
      <c r="Y1121" s="794">
        <f t="shared" si="313"/>
        <v>45011</v>
      </c>
      <c r="Z1121" s="541" cm="1">
        <f t="array" aca="1" ref="Z1121" ca="1">_xlfn.IFS(AD1121&lt;100,Y1121,Y1121&lt;TODAY(),TODAY(),Y1121&gt;TODAY(),Y1121,Y1121=TODAY(),Y1121)</f>
        <v>45011</v>
      </c>
      <c r="AD1121" s="298">
        <f t="shared" si="316"/>
        <v>0</v>
      </c>
      <c r="AE1121" s="299" t="str">
        <f t="shared" si="317"/>
        <v>Complete</v>
      </c>
      <c r="AI1121" s="301">
        <f t="shared" ca="1" si="314"/>
        <v>0</v>
      </c>
      <c r="AJ1121" s="302">
        <f t="shared" ca="1" si="315"/>
        <v>0</v>
      </c>
      <c r="AL1121" s="303">
        <f t="shared" si="318"/>
        <v>0</v>
      </c>
      <c r="AM1121" s="303">
        <f t="shared" si="319"/>
        <v>608957</v>
      </c>
      <c r="AN1121" s="303">
        <f t="shared" si="320"/>
        <v>-608957</v>
      </c>
      <c r="AO1121" s="304">
        <f t="shared" si="321"/>
        <v>0</v>
      </c>
      <c r="AP1121" s="273">
        <f t="shared" si="323"/>
        <v>3</v>
      </c>
      <c r="AQ1121" s="273" t="str">
        <f t="shared" ca="1" si="322"/>
        <v>32023</v>
      </c>
    </row>
    <row r="1122" spans="2:43">
      <c r="B1122" s="711" t="s">
        <v>2566</v>
      </c>
      <c r="P1122" s="688">
        <v>45838</v>
      </c>
      <c r="Q1122" s="693" t="s">
        <v>3864</v>
      </c>
      <c r="R1122" s="314">
        <v>35472730</v>
      </c>
      <c r="V1122" s="340">
        <f t="shared" ca="1" si="328"/>
        <v>6</v>
      </c>
      <c r="W1122" s="594">
        <f t="shared" ca="1" si="329"/>
        <v>2025</v>
      </c>
      <c r="X1122" s="340" t="str">
        <f t="shared" ca="1" si="324"/>
        <v>5 WEEK</v>
      </c>
      <c r="Y1122" s="794">
        <f t="shared" si="313"/>
        <v>45838</v>
      </c>
      <c r="Z1122" s="541" cm="1">
        <f t="array" aca="1" ref="Z1122" ca="1">_xlfn.IFS(AD1122&lt;100,Y1122,Y1122&lt;TODAY(),TODAY(),Y1122&gt;TODAY(),Y1122,Y1122=TODAY(),Y1122)</f>
        <v>45838</v>
      </c>
      <c r="AD1122" s="298">
        <f t="shared" si="316"/>
        <v>0</v>
      </c>
      <c r="AE1122" s="299" t="str">
        <f t="shared" si="317"/>
        <v>Complete</v>
      </c>
      <c r="AI1122" s="301">
        <f t="shared" ca="1" si="314"/>
        <v>0</v>
      </c>
      <c r="AJ1122" s="302">
        <f t="shared" ca="1" si="315"/>
        <v>0</v>
      </c>
      <c r="AL1122" s="303">
        <f t="shared" si="318"/>
        <v>0</v>
      </c>
      <c r="AM1122" s="303">
        <f t="shared" si="319"/>
        <v>-35472730</v>
      </c>
      <c r="AN1122" s="303">
        <f t="shared" si="320"/>
        <v>35472730</v>
      </c>
      <c r="AO1122" s="304">
        <f t="shared" si="321"/>
        <v>0</v>
      </c>
      <c r="AP1122" s="273">
        <f t="shared" si="323"/>
        <v>6</v>
      </c>
      <c r="AQ1122" s="273" t="str">
        <f t="shared" ca="1" si="322"/>
        <v>62025</v>
      </c>
    </row>
    <row r="1123" spans="2:43">
      <c r="B1123" s="711" t="s">
        <v>2566</v>
      </c>
      <c r="P1123" s="688">
        <v>45838</v>
      </c>
      <c r="Q1123" s="977" t="s">
        <v>3865</v>
      </c>
      <c r="R1123" s="314">
        <v>82311990</v>
      </c>
      <c r="V1123" s="340">
        <f t="shared" ca="1" si="328"/>
        <v>6</v>
      </c>
      <c r="W1123" s="594">
        <f t="shared" ca="1" si="329"/>
        <v>2025</v>
      </c>
      <c r="X1123" s="340" t="str">
        <f t="shared" ca="1" si="324"/>
        <v>5 WEEK</v>
      </c>
      <c r="Y1123" s="794">
        <f t="shared" si="313"/>
        <v>45838</v>
      </c>
      <c r="Z1123" s="541" cm="1">
        <f t="array" aca="1" ref="Z1123" ca="1">_xlfn.IFS(AD1123&lt;100,Y1123,Y1123&lt;TODAY(),TODAY(),Y1123&gt;TODAY(),Y1123,Y1123=TODAY(),Y1123)</f>
        <v>45838</v>
      </c>
      <c r="AD1123" s="298">
        <f t="shared" si="316"/>
        <v>0</v>
      </c>
      <c r="AE1123" s="299" t="str">
        <f t="shared" si="317"/>
        <v>Complete</v>
      </c>
      <c r="AI1123" s="301">
        <f t="shared" ca="1" si="314"/>
        <v>0</v>
      </c>
      <c r="AJ1123" s="302">
        <f t="shared" ca="1" si="315"/>
        <v>0</v>
      </c>
      <c r="AL1123" s="303">
        <f t="shared" si="318"/>
        <v>0</v>
      </c>
      <c r="AM1123" s="303">
        <f t="shared" si="319"/>
        <v>-82311990</v>
      </c>
      <c r="AN1123" s="303">
        <f t="shared" si="320"/>
        <v>82311990</v>
      </c>
      <c r="AO1123" s="304">
        <f t="shared" si="321"/>
        <v>0</v>
      </c>
      <c r="AP1123" s="273">
        <f t="shared" si="323"/>
        <v>6</v>
      </c>
      <c r="AQ1123" s="273" t="str">
        <f t="shared" ca="1" si="322"/>
        <v>62025</v>
      </c>
    </row>
    <row r="1124" spans="2:43">
      <c r="B1124" s="711" t="s">
        <v>2566</v>
      </c>
      <c r="P1124" s="688">
        <v>45838</v>
      </c>
      <c r="Q1124" s="977" t="s">
        <v>3866</v>
      </c>
      <c r="R1124" s="314">
        <v>59121216</v>
      </c>
      <c r="V1124" s="340"/>
      <c r="W1124" s="594"/>
      <c r="X1124" s="340" t="str">
        <f t="shared" ca="1" si="324"/>
        <v>5 WEEK</v>
      </c>
      <c r="Y1124" s="794">
        <f t="shared" si="313"/>
        <v>45838</v>
      </c>
      <c r="Z1124" s="541" cm="1">
        <f t="array" aca="1" ref="Z1124" ca="1">_xlfn.IFS(AD1124&lt;100,Y1124,Y1124&lt;TODAY(),TODAY(),Y1124&gt;TODAY(),Y1124,Y1124=TODAY(),Y1124)</f>
        <v>45838</v>
      </c>
      <c r="AD1124" s="298">
        <f t="shared" si="316"/>
        <v>0</v>
      </c>
      <c r="AE1124" s="299" t="str">
        <f t="shared" si="317"/>
        <v>Complete</v>
      </c>
      <c r="AI1124" s="301">
        <f t="shared" ca="1" si="314"/>
        <v>0</v>
      </c>
      <c r="AJ1124" s="302">
        <f t="shared" ca="1" si="315"/>
        <v>0</v>
      </c>
      <c r="AL1124" s="303">
        <f t="shared" si="318"/>
        <v>0</v>
      </c>
      <c r="AM1124" s="303">
        <f t="shared" si="319"/>
        <v>-59121216</v>
      </c>
      <c r="AN1124" s="303">
        <f t="shared" si="320"/>
        <v>59121216</v>
      </c>
      <c r="AO1124" s="304">
        <f t="shared" si="321"/>
        <v>0</v>
      </c>
      <c r="AP1124" s="273">
        <f t="shared" si="323"/>
        <v>6</v>
      </c>
      <c r="AQ1124" s="273" t="str">
        <f t="shared" si="322"/>
        <v>6</v>
      </c>
    </row>
    <row r="1125" spans="2:43">
      <c r="B1125" s="711" t="s">
        <v>2566</v>
      </c>
      <c r="P1125" s="688">
        <v>45864</v>
      </c>
      <c r="Q1125" s="977" t="s">
        <v>3867</v>
      </c>
      <c r="R1125" s="314">
        <v>11213960</v>
      </c>
      <c r="V1125" s="340"/>
      <c r="W1125" s="594"/>
      <c r="X1125" s="340" t="str">
        <f t="shared" ca="1" si="324"/>
        <v>4 WEEK</v>
      </c>
      <c r="Y1125" s="794">
        <f t="shared" si="313"/>
        <v>45864</v>
      </c>
      <c r="Z1125" s="541" cm="1">
        <f t="array" aca="1" ref="Z1125" ca="1">_xlfn.IFS(AD1125&lt;100,Y1125,Y1125&lt;TODAY(),TODAY(),Y1125&gt;TODAY(),Y1125,Y1125=TODAY(),Y1125)</f>
        <v>45864</v>
      </c>
      <c r="AD1125" s="298">
        <f t="shared" si="316"/>
        <v>0</v>
      </c>
      <c r="AE1125" s="299" t="str">
        <f t="shared" si="317"/>
        <v>Complete</v>
      </c>
      <c r="AI1125" s="301">
        <f t="shared" ca="1" si="314"/>
        <v>0</v>
      </c>
      <c r="AJ1125" s="302">
        <f t="shared" ca="1" si="315"/>
        <v>0</v>
      </c>
      <c r="AL1125" s="303">
        <f t="shared" si="318"/>
        <v>0</v>
      </c>
      <c r="AM1125" s="303">
        <f t="shared" si="319"/>
        <v>-11213960</v>
      </c>
      <c r="AN1125" s="303">
        <f t="shared" si="320"/>
        <v>11213960</v>
      </c>
      <c r="AO1125" s="304">
        <f t="shared" si="321"/>
        <v>0</v>
      </c>
      <c r="AP1125" s="273">
        <f t="shared" si="323"/>
        <v>7</v>
      </c>
      <c r="AQ1125" s="273" t="str">
        <f t="shared" si="322"/>
        <v>7</v>
      </c>
    </row>
    <row r="1126" spans="2:43">
      <c r="B1126" s="711" t="s">
        <v>2566</v>
      </c>
      <c r="P1126" s="688">
        <v>45864</v>
      </c>
      <c r="Q1126" s="977" t="s">
        <v>3868</v>
      </c>
      <c r="R1126" s="314">
        <v>47296973</v>
      </c>
      <c r="V1126" s="340"/>
      <c r="W1126" s="594"/>
      <c r="X1126" s="340" t="str">
        <f t="shared" ca="1" si="324"/>
        <v>4 WEEK</v>
      </c>
      <c r="Y1126" s="794">
        <f t="shared" si="313"/>
        <v>45864</v>
      </c>
      <c r="Z1126" s="541" cm="1">
        <f t="array" aca="1" ref="Z1126" ca="1">_xlfn.IFS(AD1126&lt;100,Y1126,Y1126&lt;TODAY(),TODAY(),Y1126&gt;TODAY(),Y1126,Y1126=TODAY(),Y1126)</f>
        <v>45864</v>
      </c>
      <c r="AD1126" s="298">
        <f t="shared" si="316"/>
        <v>0</v>
      </c>
      <c r="AE1126" s="299" t="str">
        <f t="shared" si="317"/>
        <v>Complete</v>
      </c>
      <c r="AI1126" s="301">
        <f t="shared" ca="1" si="314"/>
        <v>0</v>
      </c>
      <c r="AJ1126" s="302">
        <f t="shared" ca="1" si="315"/>
        <v>0</v>
      </c>
      <c r="AL1126" s="303">
        <f t="shared" si="318"/>
        <v>0</v>
      </c>
      <c r="AM1126" s="303">
        <f t="shared" si="319"/>
        <v>-47296973</v>
      </c>
      <c r="AN1126" s="303">
        <f t="shared" si="320"/>
        <v>47296973</v>
      </c>
      <c r="AO1126" s="304">
        <f t="shared" si="321"/>
        <v>0</v>
      </c>
      <c r="AP1126" s="273">
        <f t="shared" si="323"/>
        <v>7</v>
      </c>
      <c r="AQ1126" s="273" t="str">
        <f t="shared" si="322"/>
        <v>7</v>
      </c>
    </row>
    <row r="1127" spans="2:43">
      <c r="B1127" s="711" t="s">
        <v>2566</v>
      </c>
      <c r="P1127" s="688">
        <v>45869</v>
      </c>
      <c r="Q1127" s="977" t="s">
        <v>3869</v>
      </c>
      <c r="R1127" s="314">
        <v>8868182</v>
      </c>
      <c r="V1127" s="340"/>
      <c r="W1127" s="594"/>
      <c r="X1127" s="340" t="str">
        <f t="shared" ca="1" si="324"/>
        <v>5 WEEK</v>
      </c>
      <c r="Y1127" s="794">
        <f t="shared" si="313"/>
        <v>45869</v>
      </c>
      <c r="Z1127" s="541" cm="1">
        <f t="array" aca="1" ref="Z1127" ca="1">_xlfn.IFS(AD1127&lt;100,Y1127,Y1127&lt;TODAY(),TODAY(),Y1127&gt;TODAY(),Y1127,Y1127=TODAY(),Y1127)</f>
        <v>45869</v>
      </c>
      <c r="AD1127" s="298">
        <f t="shared" si="316"/>
        <v>0</v>
      </c>
      <c r="AE1127" s="299" t="str">
        <f t="shared" si="317"/>
        <v>Complete</v>
      </c>
      <c r="AI1127" s="301">
        <f t="shared" ca="1" si="314"/>
        <v>0</v>
      </c>
      <c r="AJ1127" s="302">
        <f t="shared" ca="1" si="315"/>
        <v>0</v>
      </c>
      <c r="AL1127" s="303">
        <f t="shared" si="318"/>
        <v>0</v>
      </c>
      <c r="AM1127" s="303">
        <f t="shared" si="319"/>
        <v>-8868182</v>
      </c>
      <c r="AN1127" s="303">
        <f t="shared" si="320"/>
        <v>8868182</v>
      </c>
      <c r="AO1127" s="304">
        <f t="shared" si="321"/>
        <v>0</v>
      </c>
      <c r="AP1127" s="273">
        <f t="shared" si="323"/>
        <v>7</v>
      </c>
      <c r="AQ1127" s="273" t="str">
        <f t="shared" si="322"/>
        <v>7</v>
      </c>
    </row>
    <row r="1128" spans="2:43">
      <c r="B1128" s="702"/>
      <c r="Q1128" s="977"/>
      <c r="V1128" s="340"/>
      <c r="W1128" s="594"/>
      <c r="X1128" s="340" t="str">
        <f t="shared" ca="1" si="324"/>
        <v>0 WEEK</v>
      </c>
      <c r="Y1128" s="794">
        <f t="shared" si="313"/>
        <v>0</v>
      </c>
      <c r="Z1128" s="541" cm="1">
        <f t="array" aca="1" ref="Z1128" ca="1">_xlfn.IFS(AD1128&lt;100,Y1128,Y1128&lt;TODAY(),TODAY(),Y1128&gt;TODAY(),Y1128,Y1128=TODAY(),Y1128)</f>
        <v>0</v>
      </c>
      <c r="AD1128" s="298">
        <f t="shared" si="316"/>
        <v>0</v>
      </c>
      <c r="AE1128" s="299" t="str">
        <f t="shared" si="317"/>
        <v>Complete</v>
      </c>
      <c r="AI1128" s="301">
        <f t="shared" ca="1" si="314"/>
        <v>0</v>
      </c>
      <c r="AJ1128" s="302">
        <f t="shared" ca="1" si="315"/>
        <v>0</v>
      </c>
      <c r="AL1128" s="303">
        <f t="shared" si="318"/>
        <v>0</v>
      </c>
      <c r="AM1128" s="303">
        <f t="shared" si="319"/>
        <v>0</v>
      </c>
      <c r="AN1128" s="303">
        <f t="shared" si="320"/>
        <v>0</v>
      </c>
      <c r="AO1128" s="304">
        <f t="shared" si="321"/>
        <v>0</v>
      </c>
      <c r="AP1128" s="273">
        <f t="shared" si="323"/>
        <v>1</v>
      </c>
      <c r="AQ1128" s="273" t="str">
        <f t="shared" si="322"/>
        <v>1</v>
      </c>
    </row>
    <row r="1129" spans="2:43">
      <c r="B1129" s="702"/>
      <c r="Q1129" s="977"/>
      <c r="V1129" s="340"/>
      <c r="W1129" s="594"/>
      <c r="X1129" s="340" t="str">
        <f t="shared" ca="1" si="324"/>
        <v>0 WEEK</v>
      </c>
      <c r="Y1129" s="794">
        <f t="shared" ref="Y1129:Y1153" si="330">P1129+T1129</f>
        <v>0</v>
      </c>
      <c r="Z1129" s="541" cm="1">
        <f t="array" aca="1" ref="Z1129" ca="1">_xlfn.IFS(AD1129&lt;100,Y1129,Y1129&lt;TODAY(),TODAY(),Y1129&gt;TODAY(),Y1129,Y1129=TODAY(),Y1129)</f>
        <v>0</v>
      </c>
      <c r="AD1129" s="298">
        <f t="shared" si="316"/>
        <v>0</v>
      </c>
      <c r="AE1129" s="299" t="str">
        <f t="shared" si="317"/>
        <v>Complete</v>
      </c>
      <c r="AI1129" s="301">
        <f t="shared" ca="1" si="314"/>
        <v>0</v>
      </c>
      <c r="AJ1129" s="302">
        <f t="shared" ca="1" si="315"/>
        <v>0</v>
      </c>
      <c r="AL1129" s="303">
        <f t="shared" si="318"/>
        <v>0</v>
      </c>
      <c r="AM1129" s="303">
        <f t="shared" si="319"/>
        <v>0</v>
      </c>
      <c r="AN1129" s="303">
        <f t="shared" si="320"/>
        <v>0</v>
      </c>
      <c r="AO1129" s="304">
        <f t="shared" si="321"/>
        <v>0</v>
      </c>
      <c r="AP1129" s="273">
        <f t="shared" si="323"/>
        <v>1</v>
      </c>
      <c r="AQ1129" s="273" t="str">
        <f t="shared" si="322"/>
        <v>1</v>
      </c>
    </row>
    <row r="1130" spans="2:43" ht="18">
      <c r="B1130" s="702" t="s">
        <v>2567</v>
      </c>
      <c r="R1130" s="741" t="e">
        <v>#VALUE!</v>
      </c>
      <c r="V1130" s="340">
        <f t="shared" ref="V1130:V1154" ca="1" si="331">MONTH(Z1130)</f>
        <v>1</v>
      </c>
      <c r="W1130" s="594">
        <f t="shared" ref="W1130:W1154" ca="1" si="332">YEAR(Z1130)</f>
        <v>1900</v>
      </c>
      <c r="X1130" s="340" t="str">
        <f t="shared" ca="1" si="324"/>
        <v>0 WEEK</v>
      </c>
      <c r="Y1130" s="794">
        <f t="shared" si="330"/>
        <v>0</v>
      </c>
      <c r="Z1130" s="541" cm="1">
        <f t="array" aca="1" ref="Z1130" ca="1">_xlfn.IFS(AD1130&lt;100,Y1130,Y1130&lt;TODAY(),TODAY(),Y1130&gt;TODAY(),Y1130,Y1130=TODAY(),Y1130)</f>
        <v>0</v>
      </c>
      <c r="AB1130" s="307">
        <v>0</v>
      </c>
      <c r="AD1130" s="298">
        <f t="shared" si="316"/>
        <v>0</v>
      </c>
      <c r="AE1130" s="299" t="str">
        <f t="shared" si="317"/>
        <v>Complete</v>
      </c>
      <c r="AI1130" s="301">
        <f t="shared" ca="1" si="314"/>
        <v>0</v>
      </c>
      <c r="AJ1130" s="302">
        <f t="shared" ca="1" si="315"/>
        <v>0</v>
      </c>
      <c r="AL1130" s="303">
        <f t="shared" si="318"/>
        <v>0</v>
      </c>
      <c r="AM1130" s="303">
        <f t="shared" si="319"/>
        <v>0</v>
      </c>
      <c r="AN1130" s="303">
        <f t="shared" si="320"/>
        <v>0</v>
      </c>
      <c r="AO1130" s="304">
        <f t="shared" si="321"/>
        <v>0</v>
      </c>
      <c r="AP1130" s="273">
        <f t="shared" si="323"/>
        <v>1</v>
      </c>
      <c r="AQ1130" s="273" t="str">
        <f t="shared" ca="1" si="322"/>
        <v>11900</v>
      </c>
    </row>
    <row r="1131" spans="2:43">
      <c r="B1131" s="702" t="s">
        <v>2567</v>
      </c>
      <c r="P1131" s="688">
        <v>45747</v>
      </c>
      <c r="Q1131" s="273" t="s">
        <v>3763</v>
      </c>
      <c r="R1131" s="313">
        <v>256526971</v>
      </c>
      <c r="V1131" s="340">
        <f t="shared" ca="1" si="331"/>
        <v>3</v>
      </c>
      <c r="W1131" s="594">
        <f t="shared" ca="1" si="332"/>
        <v>2025</v>
      </c>
      <c r="X1131" s="340" t="str">
        <f t="shared" ca="1" si="324"/>
        <v>5 WEEK</v>
      </c>
      <c r="Y1131" s="794">
        <f t="shared" si="330"/>
        <v>45747</v>
      </c>
      <c r="Z1131" s="541" cm="1">
        <f t="array" aca="1" ref="Z1131" ca="1">_xlfn.IFS(AD1131&lt;100,Y1131,Y1131&lt;TODAY(),TODAY(),Y1131&gt;TODAY(),Y1131,Y1131=TODAY(),Y1131)</f>
        <v>45747</v>
      </c>
      <c r="AD1131" s="298">
        <f t="shared" si="316"/>
        <v>0</v>
      </c>
      <c r="AE1131" s="299" t="str">
        <f t="shared" si="317"/>
        <v>Complete</v>
      </c>
      <c r="AI1131" s="301">
        <f t="shared" ca="1" si="314"/>
        <v>0</v>
      </c>
      <c r="AJ1131" s="302">
        <f t="shared" ca="1" si="315"/>
        <v>0</v>
      </c>
      <c r="AL1131" s="303">
        <f t="shared" si="318"/>
        <v>0</v>
      </c>
      <c r="AM1131" s="303">
        <f t="shared" si="319"/>
        <v>-256526971</v>
      </c>
      <c r="AN1131" s="303">
        <f t="shared" si="320"/>
        <v>256526971</v>
      </c>
      <c r="AO1131" s="304">
        <f t="shared" si="321"/>
        <v>0</v>
      </c>
      <c r="AP1131" s="273">
        <f t="shared" si="323"/>
        <v>3</v>
      </c>
      <c r="AQ1131" s="273" t="str">
        <f t="shared" ca="1" si="322"/>
        <v>32025</v>
      </c>
    </row>
    <row r="1132" spans="2:43">
      <c r="B1132" s="702" t="s">
        <v>2567</v>
      </c>
      <c r="P1132" s="688">
        <v>45747</v>
      </c>
      <c r="Q1132" s="693" t="s">
        <v>3764</v>
      </c>
      <c r="R1132" s="978">
        <v>277348834</v>
      </c>
      <c r="V1132" s="340">
        <f t="shared" ca="1" si="331"/>
        <v>3</v>
      </c>
      <c r="W1132" s="594">
        <f t="shared" ca="1" si="332"/>
        <v>2025</v>
      </c>
      <c r="X1132" s="340" t="str">
        <f t="shared" ca="1" si="324"/>
        <v>5 WEEK</v>
      </c>
      <c r="Y1132" s="794">
        <f t="shared" si="330"/>
        <v>45747</v>
      </c>
      <c r="Z1132" s="541" cm="1">
        <f t="array" aca="1" ref="Z1132" ca="1">_xlfn.IFS(AD1132&lt;100,Y1132,Y1132&lt;TODAY(),TODAY(),Y1132&gt;TODAY(),Y1132,Y1132=TODAY(),Y1132)</f>
        <v>45747</v>
      </c>
      <c r="AD1132" s="298">
        <f t="shared" si="316"/>
        <v>0</v>
      </c>
      <c r="AE1132" s="299" t="str">
        <f t="shared" si="317"/>
        <v>Complete</v>
      </c>
      <c r="AI1132" s="301">
        <f t="shared" ca="1" si="314"/>
        <v>0</v>
      </c>
      <c r="AJ1132" s="302">
        <f t="shared" ca="1" si="315"/>
        <v>0</v>
      </c>
      <c r="AL1132" s="303">
        <f t="shared" si="318"/>
        <v>0</v>
      </c>
      <c r="AM1132" s="303">
        <f t="shared" si="319"/>
        <v>-277348834</v>
      </c>
      <c r="AN1132" s="303">
        <f t="shared" si="320"/>
        <v>277348834</v>
      </c>
      <c r="AO1132" s="304">
        <f t="shared" si="321"/>
        <v>0</v>
      </c>
      <c r="AP1132" s="273">
        <f t="shared" si="323"/>
        <v>3</v>
      </c>
      <c r="AQ1132" s="273" t="str">
        <f t="shared" ca="1" si="322"/>
        <v>32025</v>
      </c>
    </row>
    <row r="1133" spans="2:43">
      <c r="V1133" s="340">
        <f t="shared" ca="1" si="331"/>
        <v>1</v>
      </c>
      <c r="W1133" s="594">
        <f t="shared" ca="1" si="332"/>
        <v>1900</v>
      </c>
      <c r="X1133" s="340" t="str">
        <f t="shared" ca="1" si="324"/>
        <v>0 WEEK</v>
      </c>
      <c r="Y1133" s="794">
        <f t="shared" si="330"/>
        <v>0</v>
      </c>
      <c r="Z1133" s="541" cm="1">
        <f t="array" aca="1" ref="Z1133" ca="1">_xlfn.IFS(AD1133&lt;100,Y1133,Y1133&lt;TODAY(),TODAY(),Y1133&gt;TODAY(),Y1133,Y1133=TODAY(),Y1133)</f>
        <v>0</v>
      </c>
      <c r="AD1133" s="298">
        <f t="shared" si="316"/>
        <v>0</v>
      </c>
      <c r="AE1133" s="299" t="str">
        <f t="shared" si="317"/>
        <v>Complete</v>
      </c>
      <c r="AI1133" s="301">
        <f t="shared" ca="1" si="314"/>
        <v>0</v>
      </c>
      <c r="AJ1133" s="302">
        <f t="shared" ca="1" si="315"/>
        <v>0</v>
      </c>
      <c r="AL1133" s="303">
        <f t="shared" si="318"/>
        <v>0</v>
      </c>
      <c r="AM1133" s="303">
        <f t="shared" si="319"/>
        <v>0</v>
      </c>
      <c r="AN1133" s="303">
        <f t="shared" si="320"/>
        <v>0</v>
      </c>
      <c r="AO1133" s="304">
        <f t="shared" si="321"/>
        <v>0</v>
      </c>
      <c r="AP1133" s="273">
        <f t="shared" si="323"/>
        <v>1</v>
      </c>
      <c r="AQ1133" s="273" t="str">
        <f t="shared" ca="1" si="322"/>
        <v>11900</v>
      </c>
    </row>
    <row r="1134" spans="2:43" ht="18">
      <c r="B1134" s="702" t="s">
        <v>2568</v>
      </c>
      <c r="R1134" s="741" t="e">
        <v>#VALUE!</v>
      </c>
      <c r="V1134" s="340">
        <f t="shared" ca="1" si="331"/>
        <v>1</v>
      </c>
      <c r="W1134" s="594">
        <f t="shared" ca="1" si="332"/>
        <v>1900</v>
      </c>
      <c r="X1134" s="340" t="str">
        <f t="shared" ca="1" si="324"/>
        <v>0 WEEK</v>
      </c>
      <c r="Y1134" s="794">
        <f t="shared" si="330"/>
        <v>0</v>
      </c>
      <c r="Z1134" s="541" cm="1">
        <f t="array" aca="1" ref="Z1134" ca="1">_xlfn.IFS(AD1134&lt;100,Y1134,Y1134&lt;TODAY(),TODAY(),Y1134&gt;TODAY(),Y1134,Y1134=TODAY(),Y1134)</f>
        <v>0</v>
      </c>
      <c r="AB1134" s="307">
        <v>0</v>
      </c>
      <c r="AD1134" s="298">
        <f t="shared" si="316"/>
        <v>0</v>
      </c>
      <c r="AE1134" s="299" t="str">
        <f t="shared" si="317"/>
        <v>Complete</v>
      </c>
      <c r="AI1134" s="301">
        <f t="shared" ca="1" si="314"/>
        <v>0</v>
      </c>
      <c r="AJ1134" s="302">
        <f t="shared" ca="1" si="315"/>
        <v>0</v>
      </c>
      <c r="AL1134" s="303">
        <f t="shared" si="318"/>
        <v>0</v>
      </c>
      <c r="AM1134" s="303">
        <f t="shared" si="319"/>
        <v>0</v>
      </c>
      <c r="AN1134" s="303">
        <f t="shared" si="320"/>
        <v>0</v>
      </c>
      <c r="AO1134" s="304">
        <f t="shared" si="321"/>
        <v>0</v>
      </c>
      <c r="AP1134" s="273">
        <f t="shared" si="323"/>
        <v>1</v>
      </c>
      <c r="AQ1134" s="273" t="str">
        <f t="shared" ca="1" si="322"/>
        <v>11900</v>
      </c>
    </row>
    <row r="1135" spans="2:43">
      <c r="B1135" s="702" t="s">
        <v>2568</v>
      </c>
      <c r="P1135" s="688">
        <v>45178</v>
      </c>
      <c r="Q1135" s="273" t="s">
        <v>3845</v>
      </c>
      <c r="R1135" s="313">
        <v>8295186</v>
      </c>
      <c r="V1135" s="340">
        <f t="shared" ca="1" si="331"/>
        <v>9</v>
      </c>
      <c r="W1135" s="594">
        <f t="shared" ca="1" si="332"/>
        <v>2023</v>
      </c>
      <c r="X1135" s="340" t="str">
        <f t="shared" ca="1" si="324"/>
        <v>2 WEEK</v>
      </c>
      <c r="Y1135" s="794">
        <f t="shared" si="330"/>
        <v>45178</v>
      </c>
      <c r="Z1135" s="541" cm="1">
        <f t="array" aca="1" ref="Z1135" ca="1">_xlfn.IFS(AD1135&lt;100,Y1135,Y1135&lt;TODAY(),TODAY(),Y1135&gt;TODAY(),Y1135,Y1135=TODAY(),Y1135)</f>
        <v>45178</v>
      </c>
      <c r="AD1135" s="298">
        <f t="shared" si="316"/>
        <v>0</v>
      </c>
      <c r="AE1135" s="299" t="str">
        <f t="shared" si="317"/>
        <v>Complete</v>
      </c>
      <c r="AI1135" s="301">
        <f t="shared" ca="1" si="314"/>
        <v>0</v>
      </c>
      <c r="AJ1135" s="302">
        <f t="shared" ca="1" si="315"/>
        <v>0</v>
      </c>
      <c r="AL1135" s="303">
        <f t="shared" si="318"/>
        <v>0</v>
      </c>
      <c r="AM1135" s="303">
        <f t="shared" si="319"/>
        <v>-8295186</v>
      </c>
      <c r="AN1135" s="303">
        <f t="shared" si="320"/>
        <v>8295186</v>
      </c>
      <c r="AO1135" s="304">
        <f t="shared" si="321"/>
        <v>0</v>
      </c>
      <c r="AP1135" s="273">
        <f t="shared" si="323"/>
        <v>9</v>
      </c>
      <c r="AQ1135" s="273" t="str">
        <f t="shared" ca="1" si="322"/>
        <v>92023</v>
      </c>
    </row>
    <row r="1136" spans="2:43">
      <c r="B1136" s="702" t="s">
        <v>2568</v>
      </c>
      <c r="P1136" s="688">
        <v>45183</v>
      </c>
      <c r="Q1136" s="273" t="s">
        <v>3846</v>
      </c>
      <c r="R1136" s="314">
        <v>8138507</v>
      </c>
      <c r="V1136" s="340">
        <f t="shared" ca="1" si="331"/>
        <v>9</v>
      </c>
      <c r="W1136" s="594">
        <f t="shared" ca="1" si="332"/>
        <v>2023</v>
      </c>
      <c r="X1136" s="340" t="str">
        <f t="shared" ca="1" si="324"/>
        <v>2 WEEK</v>
      </c>
      <c r="Y1136" s="794">
        <f t="shared" si="330"/>
        <v>45183</v>
      </c>
      <c r="Z1136" s="541" cm="1">
        <f t="array" aca="1" ref="Z1136" ca="1">_xlfn.IFS(AD1136&lt;100,Y1136,Y1136&lt;TODAY(),TODAY(),Y1136&gt;TODAY(),Y1136,Y1136=TODAY(),Y1136)</f>
        <v>45183</v>
      </c>
      <c r="AD1136" s="298">
        <f t="shared" si="316"/>
        <v>0</v>
      </c>
      <c r="AE1136" s="299" t="str">
        <f t="shared" si="317"/>
        <v>Complete</v>
      </c>
      <c r="AI1136" s="301">
        <f t="shared" ca="1" si="314"/>
        <v>0</v>
      </c>
      <c r="AJ1136" s="302">
        <f t="shared" ca="1" si="315"/>
        <v>0</v>
      </c>
      <c r="AL1136" s="303">
        <f t="shared" si="318"/>
        <v>0</v>
      </c>
      <c r="AM1136" s="303">
        <f t="shared" si="319"/>
        <v>-8138507</v>
      </c>
      <c r="AN1136" s="303">
        <f t="shared" si="320"/>
        <v>8138507</v>
      </c>
      <c r="AO1136" s="304">
        <f t="shared" si="321"/>
        <v>0</v>
      </c>
      <c r="AP1136" s="273">
        <f t="shared" si="323"/>
        <v>9</v>
      </c>
      <c r="AQ1136" s="273" t="str">
        <f t="shared" ca="1" si="322"/>
        <v>92023</v>
      </c>
    </row>
    <row r="1137" spans="2:43">
      <c r="B1137" s="702" t="s">
        <v>2568</v>
      </c>
      <c r="P1137" s="688">
        <v>45192</v>
      </c>
      <c r="Q1137" s="273" t="s">
        <v>3847</v>
      </c>
      <c r="R1137" s="314">
        <v>3808856</v>
      </c>
      <c r="V1137" s="340">
        <f t="shared" ca="1" si="331"/>
        <v>9</v>
      </c>
      <c r="W1137" s="594">
        <f t="shared" ca="1" si="332"/>
        <v>2023</v>
      </c>
      <c r="X1137" s="340" t="str">
        <f t="shared" ca="1" si="324"/>
        <v>4 WEEK</v>
      </c>
      <c r="Y1137" s="794">
        <f t="shared" si="330"/>
        <v>45192</v>
      </c>
      <c r="Z1137" s="541" cm="1">
        <f t="array" aca="1" ref="Z1137" ca="1">_xlfn.IFS(AD1137&lt;100,Y1137,Y1137&lt;TODAY(),TODAY(),Y1137&gt;TODAY(),Y1137,Y1137=TODAY(),Y1137)</f>
        <v>45192</v>
      </c>
      <c r="AD1137" s="298">
        <f t="shared" si="316"/>
        <v>0</v>
      </c>
      <c r="AE1137" s="299" t="str">
        <f t="shared" si="317"/>
        <v>Complete</v>
      </c>
      <c r="AI1137" s="301">
        <f t="shared" ca="1" si="314"/>
        <v>0</v>
      </c>
      <c r="AJ1137" s="302">
        <f t="shared" ca="1" si="315"/>
        <v>0</v>
      </c>
      <c r="AL1137" s="303">
        <f t="shared" si="318"/>
        <v>0</v>
      </c>
      <c r="AM1137" s="303">
        <f t="shared" si="319"/>
        <v>-3808856</v>
      </c>
      <c r="AN1137" s="303">
        <f t="shared" si="320"/>
        <v>3808856</v>
      </c>
      <c r="AO1137" s="304">
        <f t="shared" si="321"/>
        <v>0</v>
      </c>
      <c r="AP1137" s="273">
        <f t="shared" si="323"/>
        <v>9</v>
      </c>
      <c r="AQ1137" s="273" t="str">
        <f t="shared" ca="1" si="322"/>
        <v>92023</v>
      </c>
    </row>
    <row r="1138" spans="2:43">
      <c r="B1138" s="702" t="s">
        <v>2568</v>
      </c>
      <c r="P1138" s="688">
        <v>45199</v>
      </c>
      <c r="Q1138" s="273" t="s">
        <v>3848</v>
      </c>
      <c r="R1138" s="314">
        <v>23463998</v>
      </c>
      <c r="V1138" s="340">
        <f t="shared" ca="1" si="331"/>
        <v>9</v>
      </c>
      <c r="W1138" s="594">
        <f t="shared" ca="1" si="332"/>
        <v>2023</v>
      </c>
      <c r="X1138" s="340" t="str">
        <f t="shared" ca="1" si="324"/>
        <v>5 WEEK</v>
      </c>
      <c r="Y1138" s="794">
        <f t="shared" si="330"/>
        <v>45199</v>
      </c>
      <c r="Z1138" s="541" cm="1">
        <f t="array" aca="1" ref="Z1138" ca="1">_xlfn.IFS(AD1138&lt;100,Y1138,Y1138&lt;TODAY(),TODAY(),Y1138&gt;TODAY(),Y1138,Y1138=TODAY(),Y1138)</f>
        <v>45199</v>
      </c>
      <c r="AD1138" s="298">
        <f t="shared" si="316"/>
        <v>0</v>
      </c>
      <c r="AE1138" s="299" t="str">
        <f t="shared" si="317"/>
        <v>Complete</v>
      </c>
      <c r="AI1138" s="301">
        <f t="shared" ca="1" si="314"/>
        <v>0</v>
      </c>
      <c r="AJ1138" s="302">
        <f t="shared" ca="1" si="315"/>
        <v>0</v>
      </c>
      <c r="AL1138" s="303">
        <f t="shared" si="318"/>
        <v>0</v>
      </c>
      <c r="AM1138" s="303">
        <f t="shared" si="319"/>
        <v>-23463998</v>
      </c>
      <c r="AN1138" s="303">
        <f t="shared" si="320"/>
        <v>23463998</v>
      </c>
      <c r="AO1138" s="304">
        <f t="shared" si="321"/>
        <v>0</v>
      </c>
      <c r="AP1138" s="273">
        <f t="shared" si="323"/>
        <v>9</v>
      </c>
      <c r="AQ1138" s="273" t="str">
        <f t="shared" ca="1" si="322"/>
        <v>92023</v>
      </c>
    </row>
    <row r="1139" spans="2:43">
      <c r="B1139" s="702" t="s">
        <v>2568</v>
      </c>
      <c r="P1139" s="688">
        <v>45260</v>
      </c>
      <c r="Q1139" s="273" t="s">
        <v>3849</v>
      </c>
      <c r="R1139" s="314">
        <v>13741453</v>
      </c>
      <c r="V1139" s="340">
        <f t="shared" ca="1" si="331"/>
        <v>11</v>
      </c>
      <c r="W1139" s="594">
        <f t="shared" ca="1" si="332"/>
        <v>2023</v>
      </c>
      <c r="X1139" s="340" t="str">
        <f t="shared" ca="1" si="324"/>
        <v>5 WEEK</v>
      </c>
      <c r="Y1139" s="794">
        <f t="shared" si="330"/>
        <v>45260</v>
      </c>
      <c r="Z1139" s="541" cm="1">
        <f t="array" aca="1" ref="Z1139" ca="1">_xlfn.IFS(AD1139&lt;100,Y1139,Y1139&lt;TODAY(),TODAY(),Y1139&gt;TODAY(),Y1139,Y1139=TODAY(),Y1139)</f>
        <v>45260</v>
      </c>
      <c r="AD1139" s="298">
        <f t="shared" si="316"/>
        <v>0</v>
      </c>
      <c r="AE1139" s="299" t="str">
        <f t="shared" si="317"/>
        <v>Complete</v>
      </c>
      <c r="AI1139" s="301">
        <f t="shared" ca="1" si="314"/>
        <v>0</v>
      </c>
      <c r="AJ1139" s="302">
        <f t="shared" ca="1" si="315"/>
        <v>0</v>
      </c>
      <c r="AL1139" s="303">
        <f t="shared" si="318"/>
        <v>0</v>
      </c>
      <c r="AM1139" s="303">
        <f t="shared" si="319"/>
        <v>-13741453</v>
      </c>
      <c r="AN1139" s="303">
        <f t="shared" si="320"/>
        <v>13741453</v>
      </c>
      <c r="AO1139" s="304">
        <f t="shared" si="321"/>
        <v>0</v>
      </c>
      <c r="AP1139" s="273">
        <f t="shared" si="323"/>
        <v>11</v>
      </c>
      <c r="AQ1139" s="273" t="str">
        <f t="shared" ca="1" si="322"/>
        <v>112023</v>
      </c>
    </row>
    <row r="1140" spans="2:43">
      <c r="B1140" s="702" t="s">
        <v>2568</v>
      </c>
      <c r="P1140" s="688">
        <v>45290</v>
      </c>
      <c r="Q1140" s="273" t="s">
        <v>3850</v>
      </c>
      <c r="R1140" s="314">
        <v>12154000</v>
      </c>
      <c r="V1140" s="340">
        <f t="shared" ca="1" si="331"/>
        <v>12</v>
      </c>
      <c r="W1140" s="594">
        <f t="shared" ca="1" si="332"/>
        <v>2023</v>
      </c>
      <c r="X1140" s="340" t="str">
        <f t="shared" ca="1" si="324"/>
        <v>5 WEEK</v>
      </c>
      <c r="Y1140" s="794">
        <f t="shared" si="330"/>
        <v>45290</v>
      </c>
      <c r="Z1140" s="541" cm="1">
        <f t="array" aca="1" ref="Z1140" ca="1">_xlfn.IFS(AD1140&lt;100,Y1140,Y1140&lt;TODAY(),TODAY(),Y1140&gt;TODAY(),Y1140,Y1140=TODAY(),Y1140)</f>
        <v>45290</v>
      </c>
      <c r="AD1140" s="298">
        <f t="shared" si="316"/>
        <v>0</v>
      </c>
      <c r="AE1140" s="299" t="str">
        <f t="shared" si="317"/>
        <v>Complete</v>
      </c>
      <c r="AI1140" s="301">
        <f t="shared" ca="1" si="314"/>
        <v>0</v>
      </c>
      <c r="AJ1140" s="302">
        <f t="shared" ca="1" si="315"/>
        <v>0</v>
      </c>
      <c r="AL1140" s="303">
        <f t="shared" si="318"/>
        <v>0</v>
      </c>
      <c r="AM1140" s="303">
        <f t="shared" si="319"/>
        <v>-12154000</v>
      </c>
      <c r="AN1140" s="303">
        <f t="shared" si="320"/>
        <v>12154000</v>
      </c>
      <c r="AO1140" s="304">
        <f t="shared" si="321"/>
        <v>0</v>
      </c>
      <c r="AP1140" s="273">
        <f t="shared" si="323"/>
        <v>12</v>
      </c>
      <c r="AQ1140" s="273" t="str">
        <f t="shared" ca="1" si="322"/>
        <v>122023</v>
      </c>
    </row>
    <row r="1141" spans="2:43">
      <c r="B1141" s="702" t="s">
        <v>2568</v>
      </c>
      <c r="P1141" s="688">
        <v>45290</v>
      </c>
      <c r="Q1141" s="273" t="s">
        <v>3851</v>
      </c>
      <c r="R1141" s="314">
        <v>204963360</v>
      </c>
      <c r="V1141" s="340">
        <f t="shared" ca="1" si="331"/>
        <v>12</v>
      </c>
      <c r="W1141" s="594">
        <f t="shared" ca="1" si="332"/>
        <v>2023</v>
      </c>
      <c r="X1141" s="340" t="str">
        <f t="shared" ca="1" si="324"/>
        <v>5 WEEK</v>
      </c>
      <c r="Y1141" s="794">
        <f t="shared" si="330"/>
        <v>45290</v>
      </c>
      <c r="Z1141" s="541" cm="1">
        <f t="array" aca="1" ref="Z1141" ca="1">_xlfn.IFS(AD1141&lt;100,Y1141,Y1141&lt;TODAY(),TODAY(),Y1141&gt;TODAY(),Y1141,Y1141=TODAY(),Y1141)</f>
        <v>45290</v>
      </c>
      <c r="AD1141" s="298">
        <f t="shared" si="316"/>
        <v>0</v>
      </c>
      <c r="AE1141" s="299" t="str">
        <f t="shared" si="317"/>
        <v>Complete</v>
      </c>
      <c r="AI1141" s="301">
        <f t="shared" ca="1" si="314"/>
        <v>0</v>
      </c>
      <c r="AJ1141" s="302">
        <f t="shared" ca="1" si="315"/>
        <v>0</v>
      </c>
      <c r="AL1141" s="303">
        <f t="shared" si="318"/>
        <v>0</v>
      </c>
      <c r="AM1141" s="303">
        <f t="shared" si="319"/>
        <v>-204963360</v>
      </c>
      <c r="AN1141" s="303">
        <f t="shared" si="320"/>
        <v>204963360</v>
      </c>
      <c r="AO1141" s="304">
        <f t="shared" si="321"/>
        <v>0</v>
      </c>
      <c r="AP1141" s="273">
        <f t="shared" si="323"/>
        <v>12</v>
      </c>
      <c r="AQ1141" s="273" t="str">
        <f t="shared" ca="1" si="322"/>
        <v>122023</v>
      </c>
    </row>
    <row r="1142" spans="2:43">
      <c r="B1142" s="702" t="s">
        <v>2568</v>
      </c>
      <c r="P1142" s="688">
        <v>45318</v>
      </c>
      <c r="Q1142" s="273" t="s">
        <v>3852</v>
      </c>
      <c r="R1142" s="314">
        <v>17700000</v>
      </c>
      <c r="V1142" s="340">
        <f t="shared" ca="1" si="331"/>
        <v>1</v>
      </c>
      <c r="W1142" s="594">
        <f t="shared" ca="1" si="332"/>
        <v>2024</v>
      </c>
      <c r="X1142" s="340" t="str">
        <f t="shared" ca="1" si="324"/>
        <v>4 WEEK</v>
      </c>
      <c r="Y1142" s="794">
        <f t="shared" si="330"/>
        <v>45318</v>
      </c>
      <c r="Z1142" s="541" cm="1">
        <f t="array" aca="1" ref="Z1142" ca="1">_xlfn.IFS(AD1142&lt;100,Y1142,Y1142&lt;TODAY(),TODAY(),Y1142&gt;TODAY(),Y1142,Y1142=TODAY(),Y1142)</f>
        <v>45318</v>
      </c>
      <c r="AD1142" s="298">
        <f t="shared" si="316"/>
        <v>0</v>
      </c>
      <c r="AE1142" s="299" t="str">
        <f t="shared" si="317"/>
        <v>Complete</v>
      </c>
      <c r="AI1142" s="301">
        <f t="shared" ca="1" si="314"/>
        <v>0</v>
      </c>
      <c r="AJ1142" s="302">
        <f t="shared" ca="1" si="315"/>
        <v>0</v>
      </c>
      <c r="AL1142" s="303">
        <f t="shared" si="318"/>
        <v>0</v>
      </c>
      <c r="AM1142" s="303">
        <f t="shared" si="319"/>
        <v>-17700000</v>
      </c>
      <c r="AN1142" s="303">
        <f t="shared" si="320"/>
        <v>17700000</v>
      </c>
      <c r="AO1142" s="304">
        <f t="shared" si="321"/>
        <v>0</v>
      </c>
      <c r="AP1142" s="273">
        <f t="shared" si="323"/>
        <v>1</v>
      </c>
      <c r="AQ1142" s="273" t="str">
        <f t="shared" ca="1" si="322"/>
        <v>12024</v>
      </c>
    </row>
    <row r="1143" spans="2:43">
      <c r="B1143" s="702" t="s">
        <v>2568</v>
      </c>
      <c r="P1143" s="688">
        <v>45322</v>
      </c>
      <c r="Q1143" s="273" t="s">
        <v>3853</v>
      </c>
      <c r="R1143" s="314">
        <v>6490000</v>
      </c>
      <c r="V1143" s="340">
        <f t="shared" ca="1" si="331"/>
        <v>1</v>
      </c>
      <c r="W1143" s="594">
        <f t="shared" ca="1" si="332"/>
        <v>2024</v>
      </c>
      <c r="X1143" s="340" t="str">
        <f t="shared" ca="1" si="324"/>
        <v>5 WEEK</v>
      </c>
      <c r="Y1143" s="794">
        <f t="shared" si="330"/>
        <v>45322</v>
      </c>
      <c r="Z1143" s="541" cm="1">
        <f t="array" aca="1" ref="Z1143" ca="1">_xlfn.IFS(AD1143&lt;100,Y1143,Y1143&lt;TODAY(),TODAY(),Y1143&gt;TODAY(),Y1143,Y1143=TODAY(),Y1143)</f>
        <v>45322</v>
      </c>
      <c r="AD1143" s="298">
        <f t="shared" si="316"/>
        <v>0</v>
      </c>
      <c r="AE1143" s="299" t="str">
        <f t="shared" si="317"/>
        <v>Complete</v>
      </c>
      <c r="AI1143" s="301">
        <f t="shared" ca="1" si="314"/>
        <v>0</v>
      </c>
      <c r="AJ1143" s="302">
        <f t="shared" ca="1" si="315"/>
        <v>0</v>
      </c>
      <c r="AL1143" s="303">
        <f t="shared" si="318"/>
        <v>0</v>
      </c>
      <c r="AM1143" s="303">
        <f t="shared" si="319"/>
        <v>-6490000</v>
      </c>
      <c r="AN1143" s="303">
        <f t="shared" si="320"/>
        <v>6490000</v>
      </c>
      <c r="AO1143" s="304">
        <f t="shared" si="321"/>
        <v>0</v>
      </c>
      <c r="AP1143" s="273">
        <f t="shared" si="323"/>
        <v>1</v>
      </c>
      <c r="AQ1143" s="273" t="str">
        <f t="shared" ca="1" si="322"/>
        <v>12024</v>
      </c>
    </row>
    <row r="1144" spans="2:43">
      <c r="B1144" s="702" t="s">
        <v>2568</v>
      </c>
      <c r="P1144" s="688">
        <v>45349</v>
      </c>
      <c r="Q1144" s="273" t="s">
        <v>3854</v>
      </c>
      <c r="R1144" s="314">
        <v>35927460</v>
      </c>
      <c r="V1144" s="340">
        <f t="shared" ca="1" si="331"/>
        <v>2</v>
      </c>
      <c r="W1144" s="594">
        <f t="shared" ca="1" si="332"/>
        <v>2024</v>
      </c>
      <c r="X1144" s="340" t="str">
        <f t="shared" ca="1" si="324"/>
        <v>4 WEEK</v>
      </c>
      <c r="Y1144" s="794">
        <f t="shared" si="330"/>
        <v>45349</v>
      </c>
      <c r="Z1144" s="541" cm="1">
        <f t="array" aca="1" ref="Z1144" ca="1">_xlfn.IFS(AD1144&lt;100,Y1144,Y1144&lt;TODAY(),TODAY(),Y1144&gt;TODAY(),Y1144,Y1144=TODAY(),Y1144)</f>
        <v>45349</v>
      </c>
      <c r="AD1144" s="298">
        <f t="shared" si="316"/>
        <v>0</v>
      </c>
      <c r="AE1144" s="299" t="str">
        <f t="shared" si="317"/>
        <v>Complete</v>
      </c>
      <c r="AI1144" s="301">
        <f t="shared" ca="1" si="314"/>
        <v>0</v>
      </c>
      <c r="AJ1144" s="302">
        <f t="shared" ca="1" si="315"/>
        <v>0</v>
      </c>
      <c r="AL1144" s="303">
        <f t="shared" si="318"/>
        <v>0</v>
      </c>
      <c r="AM1144" s="303">
        <f t="shared" si="319"/>
        <v>-35927460</v>
      </c>
      <c r="AN1144" s="303">
        <f t="shared" si="320"/>
        <v>35927460</v>
      </c>
      <c r="AO1144" s="304">
        <f t="shared" si="321"/>
        <v>0</v>
      </c>
      <c r="AP1144" s="273">
        <f t="shared" si="323"/>
        <v>2</v>
      </c>
      <c r="AQ1144" s="273" t="str">
        <f t="shared" ca="1" si="322"/>
        <v>22024</v>
      </c>
    </row>
    <row r="1145" spans="2:43">
      <c r="B1145" s="702" t="s">
        <v>2568</v>
      </c>
      <c r="P1145" s="688">
        <v>45349</v>
      </c>
      <c r="Q1145" s="273" t="s">
        <v>3855</v>
      </c>
      <c r="R1145" s="314">
        <v>12980000</v>
      </c>
      <c r="V1145" s="340">
        <f t="shared" ca="1" si="331"/>
        <v>2</v>
      </c>
      <c r="W1145" s="594">
        <f t="shared" ca="1" si="332"/>
        <v>2024</v>
      </c>
      <c r="X1145" s="340" t="str">
        <f t="shared" ca="1" si="324"/>
        <v>4 WEEK</v>
      </c>
      <c r="Y1145" s="794">
        <f t="shared" si="330"/>
        <v>45349</v>
      </c>
      <c r="Z1145" s="541" cm="1">
        <f t="array" aca="1" ref="Z1145" ca="1">_xlfn.IFS(AD1145&lt;100,Y1145,Y1145&lt;TODAY(),TODAY(),Y1145&gt;TODAY(),Y1145,Y1145=TODAY(),Y1145)</f>
        <v>45349</v>
      </c>
      <c r="AD1145" s="298">
        <f t="shared" si="316"/>
        <v>0</v>
      </c>
      <c r="AE1145" s="299" t="str">
        <f t="shared" si="317"/>
        <v>Complete</v>
      </c>
      <c r="AI1145" s="301">
        <f t="shared" ca="1" si="314"/>
        <v>0</v>
      </c>
      <c r="AJ1145" s="302">
        <f t="shared" ca="1" si="315"/>
        <v>0</v>
      </c>
      <c r="AL1145" s="303">
        <f t="shared" si="318"/>
        <v>0</v>
      </c>
      <c r="AM1145" s="303">
        <f t="shared" si="319"/>
        <v>-12980000</v>
      </c>
      <c r="AN1145" s="303">
        <f t="shared" si="320"/>
        <v>12980000</v>
      </c>
      <c r="AO1145" s="304">
        <f t="shared" si="321"/>
        <v>0</v>
      </c>
      <c r="AP1145" s="273">
        <f t="shared" si="323"/>
        <v>2</v>
      </c>
      <c r="AQ1145" s="273" t="str">
        <f t="shared" ca="1" si="322"/>
        <v>22024</v>
      </c>
    </row>
    <row r="1146" spans="2:43">
      <c r="B1146" s="702" t="s">
        <v>2568</v>
      </c>
      <c r="P1146" s="688">
        <v>45432</v>
      </c>
      <c r="Q1146" s="273" t="s">
        <v>3856</v>
      </c>
      <c r="R1146" s="314">
        <v>269091</v>
      </c>
      <c r="V1146" s="340">
        <f t="shared" ca="1" si="331"/>
        <v>5</v>
      </c>
      <c r="W1146" s="594">
        <f t="shared" ca="1" si="332"/>
        <v>2024</v>
      </c>
      <c r="X1146" s="340" t="str">
        <f t="shared" ca="1" si="324"/>
        <v>3 WEEK</v>
      </c>
      <c r="Y1146" s="794">
        <f t="shared" si="330"/>
        <v>45432</v>
      </c>
      <c r="Z1146" s="541" cm="1">
        <f t="array" aca="1" ref="Z1146" ca="1">_xlfn.IFS(AD1146&lt;100,Y1146,Y1146&lt;TODAY(),TODAY(),Y1146&gt;TODAY(),Y1146,Y1146=TODAY(),Y1146)</f>
        <v>45432</v>
      </c>
      <c r="AD1146" s="298">
        <f t="shared" si="316"/>
        <v>0</v>
      </c>
      <c r="AE1146" s="299" t="str">
        <f t="shared" si="317"/>
        <v>Complete</v>
      </c>
      <c r="AI1146" s="301">
        <f t="shared" ca="1" si="314"/>
        <v>0</v>
      </c>
      <c r="AJ1146" s="302">
        <f t="shared" ca="1" si="315"/>
        <v>0</v>
      </c>
      <c r="AL1146" s="303">
        <f t="shared" si="318"/>
        <v>0</v>
      </c>
      <c r="AM1146" s="303">
        <f t="shared" si="319"/>
        <v>-269091</v>
      </c>
      <c r="AN1146" s="303">
        <f t="shared" si="320"/>
        <v>269091</v>
      </c>
      <c r="AO1146" s="304">
        <f t="shared" si="321"/>
        <v>0</v>
      </c>
      <c r="AP1146" s="273">
        <f t="shared" si="323"/>
        <v>5</v>
      </c>
      <c r="AQ1146" s="273" t="str">
        <f t="shared" ca="1" si="322"/>
        <v>52024</v>
      </c>
    </row>
    <row r="1147" spans="2:43">
      <c r="B1147" s="702" t="s">
        <v>2568</v>
      </c>
      <c r="P1147" s="688">
        <v>45521</v>
      </c>
      <c r="Q1147" s="273" t="s">
        <v>3857</v>
      </c>
      <c r="R1147" s="314">
        <v>1296113</v>
      </c>
      <c r="V1147" s="340">
        <f t="shared" ca="1" si="331"/>
        <v>8</v>
      </c>
      <c r="W1147" s="594">
        <f t="shared" ca="1" si="332"/>
        <v>2024</v>
      </c>
      <c r="X1147" s="340" t="str">
        <f t="shared" ca="1" si="324"/>
        <v>3 WEEK</v>
      </c>
      <c r="Y1147" s="794">
        <f t="shared" si="330"/>
        <v>45521</v>
      </c>
      <c r="Z1147" s="541" cm="1">
        <f t="array" aca="1" ref="Z1147" ca="1">_xlfn.IFS(AD1147&lt;100,Y1147,Y1147&lt;TODAY(),TODAY(),Y1147&gt;TODAY(),Y1147,Y1147=TODAY(),Y1147)</f>
        <v>45521</v>
      </c>
      <c r="AD1147" s="298">
        <f t="shared" si="316"/>
        <v>0</v>
      </c>
      <c r="AE1147" s="299" t="str">
        <f t="shared" si="317"/>
        <v>Complete</v>
      </c>
      <c r="AI1147" s="301">
        <f t="shared" ca="1" si="314"/>
        <v>0</v>
      </c>
      <c r="AJ1147" s="302">
        <f t="shared" ca="1" si="315"/>
        <v>0</v>
      </c>
      <c r="AL1147" s="303">
        <f t="shared" si="318"/>
        <v>0</v>
      </c>
      <c r="AM1147" s="303">
        <f t="shared" si="319"/>
        <v>-1296113</v>
      </c>
      <c r="AN1147" s="303">
        <f t="shared" si="320"/>
        <v>1296113</v>
      </c>
      <c r="AO1147" s="304">
        <f t="shared" si="321"/>
        <v>0</v>
      </c>
      <c r="AP1147" s="273">
        <f t="shared" si="323"/>
        <v>8</v>
      </c>
      <c r="AQ1147" s="273" t="str">
        <f t="shared" ca="1" si="322"/>
        <v>82024</v>
      </c>
    </row>
    <row r="1148" spans="2:43">
      <c r="B1148" s="702" t="s">
        <v>2568</v>
      </c>
      <c r="P1148" s="688">
        <v>45582</v>
      </c>
      <c r="Q1148" s="273" t="s">
        <v>3858</v>
      </c>
      <c r="R1148" s="314">
        <v>-39654</v>
      </c>
      <c r="V1148" s="340">
        <f t="shared" ca="1" si="331"/>
        <v>10</v>
      </c>
      <c r="W1148" s="594">
        <f t="shared" ca="1" si="332"/>
        <v>2024</v>
      </c>
      <c r="X1148" s="340" t="str">
        <f t="shared" ca="1" si="324"/>
        <v>3 WEEK</v>
      </c>
      <c r="Y1148" s="794">
        <f t="shared" si="330"/>
        <v>45582</v>
      </c>
      <c r="Z1148" s="541" cm="1">
        <f t="array" aca="1" ref="Z1148" ca="1">_xlfn.IFS(AD1148&lt;100,Y1148,Y1148&lt;TODAY(),TODAY(),Y1148&gt;TODAY(),Y1148,Y1148=TODAY(),Y1148)</f>
        <v>45582</v>
      </c>
      <c r="AD1148" s="298">
        <f t="shared" si="316"/>
        <v>0</v>
      </c>
      <c r="AE1148" s="299" t="str">
        <f t="shared" si="317"/>
        <v>Complete</v>
      </c>
      <c r="AI1148" s="301">
        <f t="shared" ca="1" si="314"/>
        <v>0</v>
      </c>
      <c r="AJ1148" s="302">
        <f t="shared" ca="1" si="315"/>
        <v>0</v>
      </c>
      <c r="AL1148" s="303">
        <f t="shared" si="318"/>
        <v>0</v>
      </c>
      <c r="AM1148" s="303">
        <f t="shared" si="319"/>
        <v>39654</v>
      </c>
      <c r="AN1148" s="303">
        <f t="shared" si="320"/>
        <v>-39654</v>
      </c>
      <c r="AO1148" s="304">
        <f t="shared" si="321"/>
        <v>0</v>
      </c>
      <c r="AP1148" s="273">
        <f t="shared" si="323"/>
        <v>10</v>
      </c>
      <c r="AQ1148" s="273" t="str">
        <f t="shared" ca="1" si="322"/>
        <v>102024</v>
      </c>
    </row>
    <row r="1149" spans="2:43">
      <c r="V1149" s="340">
        <f t="shared" ca="1" si="331"/>
        <v>1</v>
      </c>
      <c r="W1149" s="594">
        <f t="shared" ca="1" si="332"/>
        <v>1900</v>
      </c>
      <c r="X1149" s="340" t="str">
        <f t="shared" ca="1" si="324"/>
        <v>0 WEEK</v>
      </c>
      <c r="Y1149" s="794">
        <f t="shared" si="330"/>
        <v>0</v>
      </c>
      <c r="Z1149" s="541" cm="1">
        <f t="array" aca="1" ref="Z1149" ca="1">_xlfn.IFS(AD1149&lt;100,Y1149,Y1149&lt;TODAY(),TODAY(),Y1149&gt;TODAY(),Y1149,Y1149=TODAY(),Y1149)</f>
        <v>0</v>
      </c>
      <c r="AD1149" s="298">
        <f t="shared" si="316"/>
        <v>0</v>
      </c>
      <c r="AE1149" s="299" t="str">
        <f t="shared" si="317"/>
        <v>Complete</v>
      </c>
      <c r="AI1149" s="301">
        <f t="shared" ca="1" si="314"/>
        <v>0</v>
      </c>
      <c r="AJ1149" s="302">
        <f t="shared" ca="1" si="315"/>
        <v>0</v>
      </c>
      <c r="AL1149" s="303">
        <f t="shared" si="318"/>
        <v>0</v>
      </c>
      <c r="AM1149" s="303">
        <f t="shared" si="319"/>
        <v>0</v>
      </c>
      <c r="AN1149" s="303">
        <f t="shared" si="320"/>
        <v>0</v>
      </c>
      <c r="AO1149" s="304">
        <f t="shared" si="321"/>
        <v>0</v>
      </c>
      <c r="AP1149" s="273">
        <f t="shared" si="323"/>
        <v>1</v>
      </c>
      <c r="AQ1149" s="273" t="str">
        <f t="shared" ca="1" si="322"/>
        <v>11900</v>
      </c>
    </row>
    <row r="1150" spans="2:43" ht="18">
      <c r="B1150" s="702" t="s">
        <v>2569</v>
      </c>
      <c r="R1150" s="741" t="e">
        <v>#VALUE!</v>
      </c>
      <c r="V1150" s="340">
        <f t="shared" ca="1" si="331"/>
        <v>1</v>
      </c>
      <c r="W1150" s="594">
        <f t="shared" ca="1" si="332"/>
        <v>1900</v>
      </c>
      <c r="X1150" s="340" t="str">
        <f t="shared" ca="1" si="324"/>
        <v>0 WEEK</v>
      </c>
      <c r="Y1150" s="794">
        <f t="shared" si="330"/>
        <v>0</v>
      </c>
      <c r="Z1150" s="541" cm="1">
        <f t="array" aca="1" ref="Z1150" ca="1">_xlfn.IFS(AD1150&lt;100,Y1150,Y1150&lt;TODAY(),TODAY(),Y1150&gt;TODAY(),Y1150,Y1150=TODAY(),Y1150)</f>
        <v>0</v>
      </c>
      <c r="AD1150" s="298">
        <f t="shared" si="316"/>
        <v>0</v>
      </c>
      <c r="AE1150" s="299" t="str">
        <f t="shared" si="317"/>
        <v>Complete</v>
      </c>
      <c r="AI1150" s="301">
        <f t="shared" ca="1" si="314"/>
        <v>0</v>
      </c>
      <c r="AJ1150" s="302">
        <f t="shared" ca="1" si="315"/>
        <v>0</v>
      </c>
      <c r="AL1150" s="303">
        <f t="shared" si="318"/>
        <v>0</v>
      </c>
      <c r="AM1150" s="303">
        <f t="shared" si="319"/>
        <v>0</v>
      </c>
      <c r="AN1150" s="303">
        <f t="shared" si="320"/>
        <v>0</v>
      </c>
      <c r="AO1150" s="304">
        <f t="shared" si="321"/>
        <v>0</v>
      </c>
      <c r="AP1150" s="273">
        <f t="shared" si="323"/>
        <v>1</v>
      </c>
      <c r="AQ1150" s="273" t="str">
        <f t="shared" ca="1" si="322"/>
        <v>11900</v>
      </c>
    </row>
    <row r="1151" spans="2:43">
      <c r="B1151" s="702" t="s">
        <v>2569</v>
      </c>
      <c r="P1151" s="688">
        <v>45000</v>
      </c>
      <c r="Q1151" s="273" t="s">
        <v>3843</v>
      </c>
      <c r="R1151" s="313">
        <v>3964400</v>
      </c>
      <c r="V1151" s="340">
        <f t="shared" ca="1" si="331"/>
        <v>3</v>
      </c>
      <c r="W1151" s="594">
        <f t="shared" ca="1" si="332"/>
        <v>2023</v>
      </c>
      <c r="X1151" s="340" t="str">
        <f t="shared" ca="1" si="324"/>
        <v>3 WEEK</v>
      </c>
      <c r="Y1151" s="794">
        <f t="shared" si="330"/>
        <v>45000</v>
      </c>
      <c r="Z1151" s="541" cm="1">
        <f t="array" aca="1" ref="Z1151" ca="1">_xlfn.IFS(AD1151&lt;100,Y1151,Y1151&lt;TODAY(),TODAY(),Y1151&gt;TODAY(),Y1151,Y1151=TODAY(),Y1151)</f>
        <v>45000</v>
      </c>
      <c r="AB1151" s="307">
        <v>0</v>
      </c>
      <c r="AD1151" s="298">
        <f t="shared" si="316"/>
        <v>0</v>
      </c>
      <c r="AE1151" s="299" t="str">
        <f t="shared" si="317"/>
        <v>Complete</v>
      </c>
      <c r="AI1151" s="301">
        <f t="shared" ca="1" si="314"/>
        <v>0</v>
      </c>
      <c r="AJ1151" s="302">
        <f t="shared" ca="1" si="315"/>
        <v>0</v>
      </c>
      <c r="AL1151" s="303">
        <f t="shared" si="318"/>
        <v>0</v>
      </c>
      <c r="AM1151" s="303">
        <f t="shared" si="319"/>
        <v>-3964400</v>
      </c>
      <c r="AN1151" s="303">
        <f t="shared" si="320"/>
        <v>3964400</v>
      </c>
      <c r="AO1151" s="304">
        <f t="shared" si="321"/>
        <v>0</v>
      </c>
      <c r="AP1151" s="273">
        <f t="shared" si="323"/>
        <v>3</v>
      </c>
      <c r="AQ1151" s="273" t="str">
        <f t="shared" ca="1" si="322"/>
        <v>32023</v>
      </c>
    </row>
    <row r="1152" spans="2:43">
      <c r="B1152" s="702" t="s">
        <v>2569</v>
      </c>
      <c r="P1152" s="688">
        <v>45000</v>
      </c>
      <c r="Q1152" s="273" t="s">
        <v>3844</v>
      </c>
      <c r="R1152" s="314">
        <v>1121000</v>
      </c>
      <c r="V1152" s="340">
        <f t="shared" ca="1" si="331"/>
        <v>3</v>
      </c>
      <c r="W1152" s="594">
        <f t="shared" ca="1" si="332"/>
        <v>2023</v>
      </c>
      <c r="X1152" s="340" t="str">
        <f t="shared" ca="1" si="324"/>
        <v>3 WEEK</v>
      </c>
      <c r="Y1152" s="794">
        <f t="shared" si="330"/>
        <v>45000</v>
      </c>
      <c r="Z1152" s="541" cm="1">
        <f t="array" aca="1" ref="Z1152" ca="1">_xlfn.IFS(AD1152&lt;100,Y1152,Y1152&lt;TODAY(),TODAY(),Y1152&gt;TODAY(),Y1152,Y1152=TODAY(),Y1152)</f>
        <v>45000</v>
      </c>
      <c r="AD1152" s="298">
        <f t="shared" si="316"/>
        <v>0</v>
      </c>
      <c r="AE1152" s="299" t="str">
        <f t="shared" si="317"/>
        <v>Complete</v>
      </c>
      <c r="AI1152" s="301">
        <f t="shared" ca="1" si="314"/>
        <v>0</v>
      </c>
      <c r="AJ1152" s="302">
        <f t="shared" ca="1" si="315"/>
        <v>0</v>
      </c>
      <c r="AL1152" s="303">
        <f t="shared" si="318"/>
        <v>0</v>
      </c>
      <c r="AM1152" s="303">
        <f t="shared" si="319"/>
        <v>-1121000</v>
      </c>
      <c r="AN1152" s="303">
        <f t="shared" si="320"/>
        <v>1121000</v>
      </c>
      <c r="AO1152" s="304">
        <f t="shared" si="321"/>
        <v>0</v>
      </c>
      <c r="AP1152" s="273">
        <f t="shared" si="323"/>
        <v>3</v>
      </c>
      <c r="AQ1152" s="273" t="str">
        <f t="shared" ca="1" si="322"/>
        <v>32023</v>
      </c>
    </row>
    <row r="1153" spans="1:43">
      <c r="P1153" s="688"/>
      <c r="V1153" s="340">
        <f t="shared" ca="1" si="331"/>
        <v>1</v>
      </c>
      <c r="W1153" s="594">
        <f t="shared" ca="1" si="332"/>
        <v>1900</v>
      </c>
      <c r="X1153" s="340" t="str">
        <f t="shared" ca="1" si="324"/>
        <v>0 WEEK</v>
      </c>
      <c r="Y1153" s="794">
        <f t="shared" si="330"/>
        <v>0</v>
      </c>
      <c r="Z1153" s="541" cm="1">
        <f t="array" aca="1" ref="Z1153" ca="1">_xlfn.IFS(AD1153&lt;100,Y1153,Y1153&lt;TODAY(),TODAY(),Y1153&gt;TODAY(),Y1153,Y1153=TODAY(),Y1153)</f>
        <v>0</v>
      </c>
      <c r="AD1153" s="298">
        <f t="shared" si="316"/>
        <v>0</v>
      </c>
      <c r="AE1153" s="299" t="str">
        <f t="shared" si="317"/>
        <v>Complete</v>
      </c>
      <c r="AI1153" s="301">
        <f t="shared" ca="1" si="314"/>
        <v>0</v>
      </c>
      <c r="AJ1153" s="302">
        <f t="shared" ca="1" si="315"/>
        <v>0</v>
      </c>
      <c r="AL1153" s="303">
        <f t="shared" si="318"/>
        <v>0</v>
      </c>
      <c r="AM1153" s="303">
        <f t="shared" si="319"/>
        <v>0</v>
      </c>
      <c r="AN1153" s="303">
        <f t="shared" si="320"/>
        <v>0</v>
      </c>
      <c r="AO1153" s="304">
        <f t="shared" si="321"/>
        <v>0</v>
      </c>
      <c r="AP1153" s="273">
        <f t="shared" si="323"/>
        <v>1</v>
      </c>
      <c r="AQ1153" s="273" t="str">
        <f t="shared" ca="1" si="322"/>
        <v>11900</v>
      </c>
    </row>
    <row r="1154" spans="1:43" ht="18">
      <c r="B1154" s="702" t="s">
        <v>2570</v>
      </c>
      <c r="R1154" s="741" t="e">
        <v>#VALUE!</v>
      </c>
      <c r="V1154" s="340">
        <f t="shared" ca="1" si="331"/>
        <v>1</v>
      </c>
      <c r="W1154" s="594">
        <f t="shared" ca="1" si="332"/>
        <v>1900</v>
      </c>
      <c r="X1154" s="340" t="str">
        <f t="shared" ca="1" si="324"/>
        <v>0 WEEK</v>
      </c>
      <c r="Y1154" s="794">
        <f>P1155+T1154</f>
        <v>0</v>
      </c>
      <c r="Z1154" s="541" cm="1">
        <f t="array" aca="1" ref="Z1154" ca="1">_xlfn.IFS(AD1154&lt;100,Y1154,Y1154&lt;TODAY(),TODAY(),Y1154&gt;TODAY(),Y1154,Y1154=TODAY(),Y1154)</f>
        <v>0</v>
      </c>
      <c r="AB1154" s="307">
        <v>0</v>
      </c>
      <c r="AD1154" s="298">
        <f t="shared" si="316"/>
        <v>0</v>
      </c>
      <c r="AE1154" s="299" t="str">
        <f t="shared" si="317"/>
        <v>Complete</v>
      </c>
      <c r="AI1154" s="301">
        <f t="shared" ref="AI1154:AI1202" ca="1" si="333">Z1154-Y1154</f>
        <v>0</v>
      </c>
      <c r="AJ1154" s="302">
        <f t="shared" ref="AJ1154:AJ1202" ca="1" si="334">IF(AI1154&gt;1,"Delayed",0)</f>
        <v>0</v>
      </c>
      <c r="AL1154" s="303">
        <f t="shared" si="318"/>
        <v>0</v>
      </c>
      <c r="AM1154" s="303">
        <f t="shared" si="319"/>
        <v>0</v>
      </c>
      <c r="AN1154" s="303">
        <f t="shared" si="320"/>
        <v>0</v>
      </c>
      <c r="AO1154" s="304">
        <f t="shared" si="321"/>
        <v>0</v>
      </c>
      <c r="AP1154" s="273">
        <f t="shared" si="323"/>
        <v>1</v>
      </c>
      <c r="AQ1154" s="273" t="str">
        <f t="shared" ca="1" si="322"/>
        <v>11900</v>
      </c>
    </row>
    <row r="1155" spans="1:43">
      <c r="B1155" s="702" t="s">
        <v>2570</v>
      </c>
      <c r="P1155" s="447">
        <v>0</v>
      </c>
      <c r="Q1155" s="304">
        <v>0</v>
      </c>
      <c r="R1155" s="313">
        <v>0</v>
      </c>
      <c r="V1155" s="340"/>
      <c r="W1155" s="594"/>
      <c r="X1155" s="340" t="str">
        <f t="shared" ca="1" si="324"/>
        <v>0 WEEK</v>
      </c>
      <c r="Y1155" s="794">
        <f t="shared" ref="Y1155:Y1167" si="335">P1156+T1155</f>
        <v>0</v>
      </c>
      <c r="Z1155" s="541" cm="1">
        <f t="array" aca="1" ref="Z1155" ca="1">_xlfn.IFS(AD1155&lt;100,Y1155,Y1155&lt;TODAY(),TODAY(),Y1155&gt;TODAY(),Y1155,Y1155=TODAY(),Y1155)</f>
        <v>0</v>
      </c>
      <c r="AD1155" s="298">
        <f t="shared" ref="AD1155:AD1202" si="336">ROUND(AA1155-AB1155-AC1155,0)</f>
        <v>0</v>
      </c>
      <c r="AE1155" s="299" t="str">
        <f t="shared" ref="AE1155:AE1202" si="337">IF(AD1155&lt;100,"Complete","Incomplete")</f>
        <v>Complete</v>
      </c>
      <c r="AI1155" s="301">
        <f t="shared" ca="1" si="333"/>
        <v>0</v>
      </c>
      <c r="AJ1155" s="302">
        <f t="shared" ca="1" si="334"/>
        <v>0</v>
      </c>
      <c r="AL1155" s="303">
        <f t="shared" ref="AL1155:AL1202" si="338">I1155-J1155</f>
        <v>0</v>
      </c>
      <c r="AM1155" s="303">
        <f t="shared" ref="AM1155:AM1202" si="339">IFERROR(I1155-R1155,0)</f>
        <v>0</v>
      </c>
      <c r="AN1155" s="303">
        <f t="shared" ref="AN1155:AN1202" si="340">IFERROR(R1155-J1155,0)</f>
        <v>0</v>
      </c>
      <c r="AO1155" s="304">
        <f t="shared" ref="AO1155:AO1218" si="341">IFERROR(P1155/J1155,0)</f>
        <v>0</v>
      </c>
      <c r="AP1155" s="273">
        <f t="shared" si="323"/>
        <v>1</v>
      </c>
      <c r="AQ1155" s="273" t="str">
        <f t="shared" ref="AQ1155:AQ1218" si="342">AP1155&amp;W1155</f>
        <v>1</v>
      </c>
    </row>
    <row r="1156" spans="1:43">
      <c r="V1156" s="340">
        <f t="shared" ref="V1156" ca="1" si="343">MONTH(Z1156)</f>
        <v>1</v>
      </c>
      <c r="W1156" s="594">
        <f t="shared" ref="W1156" ca="1" si="344">YEAR(Z1156)</f>
        <v>1900</v>
      </c>
      <c r="X1156" s="340" t="str">
        <f t="shared" ca="1" si="324"/>
        <v>0 WEEK</v>
      </c>
      <c r="Y1156" s="794">
        <f t="shared" si="335"/>
        <v>0</v>
      </c>
      <c r="Z1156" s="541" cm="1">
        <f t="array" aca="1" ref="Z1156" ca="1">_xlfn.IFS(AD1156&lt;100,Y1156,Y1156&lt;TODAY(),TODAY(),Y1156&gt;TODAY(),Y1156,Y1156=TODAY(),Y1156)</f>
        <v>0</v>
      </c>
      <c r="AD1156" s="298">
        <f t="shared" si="336"/>
        <v>0</v>
      </c>
      <c r="AE1156" s="299" t="str">
        <f t="shared" si="337"/>
        <v>Complete</v>
      </c>
      <c r="AI1156" s="301">
        <f t="shared" ca="1" si="333"/>
        <v>0</v>
      </c>
      <c r="AJ1156" s="302">
        <f t="shared" ca="1" si="334"/>
        <v>0</v>
      </c>
      <c r="AL1156" s="303">
        <f t="shared" si="338"/>
        <v>0</v>
      </c>
      <c r="AM1156" s="303">
        <f t="shared" si="339"/>
        <v>0</v>
      </c>
      <c r="AN1156" s="303">
        <f t="shared" si="340"/>
        <v>0</v>
      </c>
      <c r="AO1156" s="304">
        <f t="shared" si="341"/>
        <v>0</v>
      </c>
      <c r="AP1156" s="273">
        <f t="shared" si="323"/>
        <v>1</v>
      </c>
      <c r="AQ1156" s="273" t="str">
        <f t="shared" ca="1" si="342"/>
        <v>11900</v>
      </c>
    </row>
    <row r="1157" spans="1:43" ht="18">
      <c r="A1157" s="312" t="s">
        <v>560</v>
      </c>
      <c r="B1157" s="702" t="s">
        <v>2571</v>
      </c>
      <c r="R1157" s="741" t="e">
        <v>#VALUE!</v>
      </c>
      <c r="V1157" s="340"/>
      <c r="W1157" s="594"/>
      <c r="X1157" s="340" t="str">
        <f t="shared" ca="1" si="324"/>
        <v>0 WEEK</v>
      </c>
      <c r="Y1157" s="794">
        <f t="shared" si="335"/>
        <v>0</v>
      </c>
      <c r="Z1157" s="541" cm="1">
        <f t="array" aca="1" ref="Z1157" ca="1">_xlfn.IFS(AD1157&lt;100,Y1157,Y1157&lt;TODAY(),TODAY(),Y1157&gt;TODAY(),Y1157,Y1157=TODAY(),Y1157)</f>
        <v>0</v>
      </c>
      <c r="AD1157" s="298">
        <f t="shared" si="336"/>
        <v>0</v>
      </c>
      <c r="AE1157" s="299" t="str">
        <f t="shared" si="337"/>
        <v>Complete</v>
      </c>
      <c r="AI1157" s="301">
        <f t="shared" ca="1" si="333"/>
        <v>0</v>
      </c>
      <c r="AJ1157" s="302">
        <f t="shared" ca="1" si="334"/>
        <v>0</v>
      </c>
      <c r="AL1157" s="303">
        <f t="shared" si="338"/>
        <v>0</v>
      </c>
      <c r="AM1157" s="303">
        <f t="shared" si="339"/>
        <v>0</v>
      </c>
      <c r="AN1157" s="303">
        <f t="shared" si="340"/>
        <v>0</v>
      </c>
      <c r="AO1157" s="304">
        <f t="shared" si="341"/>
        <v>0</v>
      </c>
      <c r="AP1157" s="273">
        <f t="shared" ref="AP1157:AP1220" si="345">MONTH(P1157)</f>
        <v>1</v>
      </c>
      <c r="AQ1157" s="273" t="str">
        <f t="shared" si="342"/>
        <v>1</v>
      </c>
    </row>
    <row r="1158" spans="1:43">
      <c r="B1158" s="702" t="s">
        <v>2571</v>
      </c>
      <c r="P1158" s="447">
        <v>0</v>
      </c>
      <c r="Q1158" s="304">
        <v>0</v>
      </c>
      <c r="R1158" s="313">
        <v>0</v>
      </c>
      <c r="V1158" s="340">
        <f t="shared" ref="V1158:V1159" ca="1" si="346">MONTH(Z1158)</f>
        <v>1</v>
      </c>
      <c r="W1158" s="594">
        <f t="shared" ref="W1158:W1159" ca="1" si="347">YEAR(Z1158)</f>
        <v>1900</v>
      </c>
      <c r="X1158" s="340" t="str">
        <f t="shared" ca="1" si="324"/>
        <v>0 WEEK</v>
      </c>
      <c r="Y1158" s="794">
        <f t="shared" si="335"/>
        <v>0</v>
      </c>
      <c r="Z1158" s="541" cm="1">
        <f t="array" aca="1" ref="Z1158" ca="1">_xlfn.IFS(AD1158&lt;100,Y1158,Y1158&lt;TODAY(),TODAY(),Y1158&gt;TODAY(),Y1158,Y1158=TODAY(),Y1158)</f>
        <v>0</v>
      </c>
      <c r="AB1158" s="307">
        <v>0</v>
      </c>
      <c r="AD1158" s="298">
        <f t="shared" si="336"/>
        <v>0</v>
      </c>
      <c r="AE1158" s="299" t="str">
        <f t="shared" si="337"/>
        <v>Complete</v>
      </c>
      <c r="AI1158" s="301">
        <f t="shared" ca="1" si="333"/>
        <v>0</v>
      </c>
      <c r="AJ1158" s="302">
        <f t="shared" ca="1" si="334"/>
        <v>0</v>
      </c>
      <c r="AL1158" s="303">
        <f t="shared" si="338"/>
        <v>0</v>
      </c>
      <c r="AM1158" s="303">
        <f t="shared" si="339"/>
        <v>0</v>
      </c>
      <c r="AN1158" s="303">
        <f t="shared" si="340"/>
        <v>0</v>
      </c>
      <c r="AO1158" s="304">
        <f t="shared" si="341"/>
        <v>0</v>
      </c>
      <c r="AP1158" s="273">
        <f t="shared" si="345"/>
        <v>1</v>
      </c>
      <c r="AQ1158" s="273" t="str">
        <f t="shared" ca="1" si="342"/>
        <v>11900</v>
      </c>
    </row>
    <row r="1159" spans="1:43">
      <c r="V1159" s="340">
        <f t="shared" ca="1" si="346"/>
        <v>1</v>
      </c>
      <c r="W1159" s="594">
        <f t="shared" ca="1" si="347"/>
        <v>1900</v>
      </c>
      <c r="X1159" s="340" t="str">
        <f t="shared" ref="X1159:X1202" ca="1" si="348">INT((DAY(Z1159)-1)/7)+1&amp;" WEEK"</f>
        <v>0 WEEK</v>
      </c>
      <c r="Y1159" s="794">
        <f t="shared" si="335"/>
        <v>0</v>
      </c>
      <c r="Z1159" s="541" cm="1">
        <f t="array" aca="1" ref="Z1159" ca="1">_xlfn.IFS(AD1159&lt;100,Y1159,Y1159&lt;TODAY(),TODAY(),Y1159&gt;TODAY(),Y1159,Y1159=TODAY(),Y1159)</f>
        <v>0</v>
      </c>
      <c r="AD1159" s="298">
        <f t="shared" si="336"/>
        <v>0</v>
      </c>
      <c r="AE1159" s="299" t="str">
        <f t="shared" si="337"/>
        <v>Complete</v>
      </c>
      <c r="AI1159" s="301">
        <f t="shared" ca="1" si="333"/>
        <v>0</v>
      </c>
      <c r="AJ1159" s="302">
        <f t="shared" ca="1" si="334"/>
        <v>0</v>
      </c>
      <c r="AL1159" s="303">
        <f t="shared" si="338"/>
        <v>0</v>
      </c>
      <c r="AM1159" s="303">
        <f t="shared" si="339"/>
        <v>0</v>
      </c>
      <c r="AN1159" s="303">
        <f t="shared" si="340"/>
        <v>0</v>
      </c>
      <c r="AO1159" s="304">
        <f t="shared" si="341"/>
        <v>0</v>
      </c>
      <c r="AP1159" s="273">
        <f t="shared" si="345"/>
        <v>1</v>
      </c>
      <c r="AQ1159" s="273" t="str">
        <f t="shared" ca="1" si="342"/>
        <v>11900</v>
      </c>
    </row>
    <row r="1160" spans="1:43" ht="18">
      <c r="B1160" s="702" t="s">
        <v>2572</v>
      </c>
      <c r="R1160" s="741" t="e">
        <v>#VALUE!</v>
      </c>
      <c r="V1160" s="340"/>
      <c r="W1160" s="594"/>
      <c r="X1160" s="340" t="str">
        <f t="shared" ca="1" si="348"/>
        <v>2 WEEK</v>
      </c>
      <c r="Y1160" s="794">
        <f t="shared" si="335"/>
        <v>45665</v>
      </c>
      <c r="Z1160" s="541" cm="1">
        <f t="array" aca="1" ref="Z1160" ca="1">_xlfn.IFS(AD1160&lt;100,Y1160,Y1160&lt;TODAY(),TODAY(),Y1160&gt;TODAY(),Y1160,Y1160=TODAY(),Y1160)</f>
        <v>45665</v>
      </c>
      <c r="AD1160" s="298">
        <f t="shared" si="336"/>
        <v>0</v>
      </c>
      <c r="AE1160" s="299" t="str">
        <f t="shared" si="337"/>
        <v>Complete</v>
      </c>
      <c r="AI1160" s="301">
        <f t="shared" ca="1" si="333"/>
        <v>0</v>
      </c>
      <c r="AJ1160" s="302">
        <f t="shared" ca="1" si="334"/>
        <v>0</v>
      </c>
      <c r="AL1160" s="303">
        <f t="shared" si="338"/>
        <v>0</v>
      </c>
      <c r="AM1160" s="303">
        <f t="shared" si="339"/>
        <v>0</v>
      </c>
      <c r="AN1160" s="303">
        <f t="shared" si="340"/>
        <v>0</v>
      </c>
      <c r="AO1160" s="304">
        <f t="shared" si="341"/>
        <v>0</v>
      </c>
      <c r="AP1160" s="273">
        <f t="shared" si="345"/>
        <v>1</v>
      </c>
      <c r="AQ1160" s="273" t="str">
        <f t="shared" si="342"/>
        <v>1</v>
      </c>
    </row>
    <row r="1161" spans="1:43">
      <c r="B1161" s="702" t="s">
        <v>2572</v>
      </c>
      <c r="P1161" s="794">
        <v>45665</v>
      </c>
      <c r="Q1161" s="304" t="s">
        <v>3874</v>
      </c>
      <c r="R1161" s="313">
        <v>2448618</v>
      </c>
      <c r="V1161" s="340">
        <f t="shared" ref="V1161" ca="1" si="349">MONTH(Z1161)</f>
        <v>1</v>
      </c>
      <c r="W1161" s="594">
        <f t="shared" ref="W1161" ca="1" si="350">YEAR(Z1161)</f>
        <v>1900</v>
      </c>
      <c r="X1161" s="340" t="str">
        <f t="shared" ca="1" si="348"/>
        <v>0 WEEK</v>
      </c>
      <c r="Y1161" s="794">
        <f t="shared" si="335"/>
        <v>0</v>
      </c>
      <c r="Z1161" s="541" cm="1">
        <f t="array" aca="1" ref="Z1161" ca="1">_xlfn.IFS(AD1161&lt;100,Y1161,Y1161&lt;TODAY(),TODAY(),Y1161&gt;TODAY(),Y1161,Y1161=TODAY(),Y1161)</f>
        <v>0</v>
      </c>
      <c r="AB1161" s="307">
        <v>0</v>
      </c>
      <c r="AD1161" s="298">
        <f t="shared" si="336"/>
        <v>0</v>
      </c>
      <c r="AE1161" s="299" t="str">
        <f t="shared" si="337"/>
        <v>Complete</v>
      </c>
      <c r="AI1161" s="301">
        <f t="shared" ca="1" si="333"/>
        <v>0</v>
      </c>
      <c r="AJ1161" s="302">
        <f t="shared" ca="1" si="334"/>
        <v>0</v>
      </c>
      <c r="AL1161" s="303">
        <f t="shared" si="338"/>
        <v>0</v>
      </c>
      <c r="AM1161" s="303">
        <f t="shared" si="339"/>
        <v>-2448618</v>
      </c>
      <c r="AN1161" s="303">
        <f t="shared" si="340"/>
        <v>2448618</v>
      </c>
      <c r="AO1161" s="304">
        <f t="shared" si="341"/>
        <v>0</v>
      </c>
      <c r="AP1161" s="273">
        <f t="shared" si="345"/>
        <v>1</v>
      </c>
      <c r="AQ1161" s="273" t="str">
        <f t="shared" ca="1" si="342"/>
        <v>11900</v>
      </c>
    </row>
    <row r="1162" spans="1:43">
      <c r="B1162" s="702"/>
      <c r="P1162" s="794"/>
      <c r="Q1162" s="304"/>
      <c r="R1162" s="313"/>
      <c r="V1162" s="340"/>
      <c r="W1162" s="594"/>
      <c r="X1162" s="340" t="str">
        <f t="shared" ca="1" si="348"/>
        <v>0 WEEK</v>
      </c>
      <c r="Y1162" s="794">
        <f t="shared" si="335"/>
        <v>0</v>
      </c>
      <c r="Z1162" s="541" cm="1">
        <f t="array" aca="1" ref="Z1162" ca="1">_xlfn.IFS(AD1162&lt;100,Y1162,Y1162&lt;TODAY(),TODAY(),Y1162&gt;TODAY(),Y1162,Y1162=TODAY(),Y1162)</f>
        <v>0</v>
      </c>
      <c r="AD1162" s="298">
        <f t="shared" si="336"/>
        <v>0</v>
      </c>
      <c r="AE1162" s="299" t="str">
        <f t="shared" si="337"/>
        <v>Complete</v>
      </c>
      <c r="AI1162" s="301">
        <f t="shared" ca="1" si="333"/>
        <v>0</v>
      </c>
      <c r="AJ1162" s="302">
        <f t="shared" ca="1" si="334"/>
        <v>0</v>
      </c>
      <c r="AL1162" s="303">
        <f t="shared" si="338"/>
        <v>0</v>
      </c>
      <c r="AM1162" s="303">
        <f t="shared" si="339"/>
        <v>0</v>
      </c>
      <c r="AN1162" s="303">
        <f t="shared" si="340"/>
        <v>0</v>
      </c>
      <c r="AO1162" s="304">
        <f t="shared" si="341"/>
        <v>0</v>
      </c>
      <c r="AP1162" s="273">
        <f t="shared" si="345"/>
        <v>1</v>
      </c>
      <c r="AQ1162" s="273" t="str">
        <f t="shared" si="342"/>
        <v>1</v>
      </c>
    </row>
    <row r="1163" spans="1:43" ht="18">
      <c r="B1163" s="702" t="s">
        <v>2573</v>
      </c>
      <c r="P1163" s="794"/>
      <c r="Q1163" s="304"/>
      <c r="R1163" s="741" t="e">
        <v>#VALUE!</v>
      </c>
      <c r="V1163" s="340"/>
      <c r="W1163" s="594"/>
      <c r="X1163" s="340" t="str">
        <f t="shared" ca="1" si="348"/>
        <v>5 WEEK</v>
      </c>
      <c r="Y1163" s="794">
        <f t="shared" si="335"/>
        <v>45199</v>
      </c>
      <c r="Z1163" s="541" cm="1">
        <f t="array" aca="1" ref="Z1163" ca="1">_xlfn.IFS(AD1163&lt;100,Y1163,Y1163&lt;TODAY(),TODAY(),Y1163&gt;TODAY(),Y1163,Y1163=TODAY(),Y1163)</f>
        <v>45199</v>
      </c>
      <c r="AD1163" s="298">
        <f t="shared" si="336"/>
        <v>0</v>
      </c>
      <c r="AE1163" s="299" t="str">
        <f t="shared" si="337"/>
        <v>Complete</v>
      </c>
      <c r="AI1163" s="301">
        <f t="shared" ca="1" si="333"/>
        <v>0</v>
      </c>
      <c r="AJ1163" s="302">
        <f t="shared" ca="1" si="334"/>
        <v>0</v>
      </c>
      <c r="AL1163" s="303">
        <f t="shared" si="338"/>
        <v>0</v>
      </c>
      <c r="AM1163" s="303">
        <f t="shared" si="339"/>
        <v>0</v>
      </c>
      <c r="AN1163" s="303">
        <f t="shared" si="340"/>
        <v>0</v>
      </c>
      <c r="AO1163" s="304">
        <f t="shared" si="341"/>
        <v>0</v>
      </c>
      <c r="AP1163" s="273">
        <f t="shared" si="345"/>
        <v>1</v>
      </c>
      <c r="AQ1163" s="273" t="str">
        <f t="shared" si="342"/>
        <v>1</v>
      </c>
    </row>
    <row r="1164" spans="1:43">
      <c r="B1164" s="702" t="s">
        <v>2573</v>
      </c>
      <c r="P1164" s="794">
        <v>45199</v>
      </c>
      <c r="Q1164" s="304" t="s">
        <v>3873</v>
      </c>
      <c r="R1164" s="313">
        <v>7667640</v>
      </c>
      <c r="V1164" s="340">
        <f t="shared" ref="V1164" ca="1" si="351">MONTH(Z1164)</f>
        <v>10</v>
      </c>
      <c r="W1164" s="594">
        <f t="shared" ref="W1164" ca="1" si="352">YEAR(Z1164)</f>
        <v>2025</v>
      </c>
      <c r="X1164" s="340" t="str">
        <f t="shared" ca="1" si="348"/>
        <v>1 WEEK</v>
      </c>
      <c r="Y1164" s="794">
        <f t="shared" si="335"/>
        <v>0</v>
      </c>
      <c r="Z1164" s="541" cm="1">
        <f t="array" aca="1" ref="Z1164" ca="1">_xlfn.IFS(AD1164&lt;100,Y1164,Y1164&lt;TODAY(),TODAY(),Y1164&gt;TODAY(),Y1164,Y1164=TODAY(),Y1164)</f>
        <v>45935</v>
      </c>
      <c r="AA1164" s="910">
        <f>R1164</f>
        <v>7667640</v>
      </c>
      <c r="AB1164" s="307">
        <v>7537680</v>
      </c>
      <c r="AD1164" s="530">
        <f t="shared" si="336"/>
        <v>129960</v>
      </c>
      <c r="AE1164" s="299" t="str">
        <f t="shared" si="337"/>
        <v>Incomplete</v>
      </c>
      <c r="AI1164" s="301">
        <f t="shared" ca="1" si="333"/>
        <v>45935</v>
      </c>
      <c r="AJ1164" s="302" t="str">
        <f t="shared" ca="1" si="334"/>
        <v>Delayed</v>
      </c>
      <c r="AL1164" s="303">
        <f t="shared" si="338"/>
        <v>0</v>
      </c>
      <c r="AM1164" s="303">
        <f t="shared" si="339"/>
        <v>-7667640</v>
      </c>
      <c r="AN1164" s="303">
        <f t="shared" si="340"/>
        <v>7667640</v>
      </c>
      <c r="AO1164" s="304">
        <f t="shared" si="341"/>
        <v>0</v>
      </c>
      <c r="AP1164" s="273">
        <f t="shared" si="345"/>
        <v>9</v>
      </c>
      <c r="AQ1164" s="273" t="str">
        <f t="shared" ca="1" si="342"/>
        <v>92025</v>
      </c>
    </row>
    <row r="1165" spans="1:43">
      <c r="B1165" s="702"/>
      <c r="P1165" s="794"/>
      <c r="Q1165" s="304"/>
      <c r="R1165" s="313"/>
      <c r="V1165" s="340"/>
      <c r="W1165" s="594"/>
      <c r="X1165" s="340" t="str">
        <f t="shared" ca="1" si="348"/>
        <v>0 WEEK</v>
      </c>
      <c r="Y1165" s="794">
        <f t="shared" si="335"/>
        <v>0</v>
      </c>
      <c r="Z1165" s="541" cm="1">
        <f t="array" aca="1" ref="Z1165" ca="1">_xlfn.IFS(AD1165&lt;100,Y1165,Y1165&lt;TODAY(),TODAY(),Y1165&gt;TODAY(),Y1165,Y1165=TODAY(),Y1165)</f>
        <v>0</v>
      </c>
      <c r="AD1165" s="298">
        <f t="shared" si="336"/>
        <v>0</v>
      </c>
      <c r="AE1165" s="299" t="str">
        <f t="shared" si="337"/>
        <v>Complete</v>
      </c>
      <c r="AI1165" s="301">
        <f t="shared" ca="1" si="333"/>
        <v>0</v>
      </c>
      <c r="AJ1165" s="302">
        <f t="shared" ca="1" si="334"/>
        <v>0</v>
      </c>
      <c r="AL1165" s="303">
        <f t="shared" si="338"/>
        <v>0</v>
      </c>
      <c r="AM1165" s="303">
        <f t="shared" si="339"/>
        <v>0</v>
      </c>
      <c r="AN1165" s="303">
        <f t="shared" si="340"/>
        <v>0</v>
      </c>
      <c r="AO1165" s="304">
        <f t="shared" si="341"/>
        <v>0</v>
      </c>
      <c r="AP1165" s="273">
        <f t="shared" si="345"/>
        <v>1</v>
      </c>
      <c r="AQ1165" s="273" t="str">
        <f t="shared" si="342"/>
        <v>1</v>
      </c>
    </row>
    <row r="1166" spans="1:43" ht="18">
      <c r="B1166" s="702" t="s">
        <v>2574</v>
      </c>
      <c r="P1166" s="794"/>
      <c r="Q1166" s="304"/>
      <c r="R1166" s="741" t="e">
        <v>#VALUE!</v>
      </c>
      <c r="V1166" s="340"/>
      <c r="W1166" s="594"/>
      <c r="X1166" s="340" t="str">
        <f t="shared" ca="1" si="348"/>
        <v>3 WEEK</v>
      </c>
      <c r="Y1166" s="794">
        <f t="shared" si="335"/>
        <v>45854</v>
      </c>
      <c r="Z1166" s="541" cm="1">
        <f t="array" aca="1" ref="Z1166" ca="1">_xlfn.IFS(AD1166&lt;100,Y1166,Y1166&lt;TODAY(),TODAY(),Y1166&gt;TODAY(),Y1166,Y1166=TODAY(),Y1166)</f>
        <v>45854</v>
      </c>
      <c r="AD1166" s="298">
        <f t="shared" si="336"/>
        <v>0</v>
      </c>
      <c r="AE1166" s="299" t="str">
        <f t="shared" si="337"/>
        <v>Complete</v>
      </c>
      <c r="AI1166" s="301">
        <f t="shared" ca="1" si="333"/>
        <v>0</v>
      </c>
      <c r="AJ1166" s="302">
        <f t="shared" ca="1" si="334"/>
        <v>0</v>
      </c>
      <c r="AL1166" s="303">
        <f t="shared" si="338"/>
        <v>0</v>
      </c>
      <c r="AM1166" s="303">
        <f t="shared" si="339"/>
        <v>0</v>
      </c>
      <c r="AN1166" s="303">
        <f t="shared" si="340"/>
        <v>0</v>
      </c>
      <c r="AO1166" s="304">
        <f t="shared" si="341"/>
        <v>0</v>
      </c>
      <c r="AP1166" s="273">
        <f t="shared" si="345"/>
        <v>1</v>
      </c>
      <c r="AQ1166" s="273" t="str">
        <f t="shared" si="342"/>
        <v>1</v>
      </c>
    </row>
    <row r="1167" spans="1:43">
      <c r="B1167" s="702" t="s">
        <v>2574</v>
      </c>
      <c r="P1167" s="794">
        <v>45854</v>
      </c>
      <c r="Q1167" s="304" t="s">
        <v>3870</v>
      </c>
      <c r="R1167" s="313">
        <v>331852</v>
      </c>
      <c r="V1167" s="340">
        <f t="shared" ref="V1167" ca="1" si="353">MONTH(Z1167)</f>
        <v>7</v>
      </c>
      <c r="W1167" s="594">
        <f t="shared" ref="W1167" ca="1" si="354">YEAR(Z1167)</f>
        <v>2025</v>
      </c>
      <c r="X1167" s="340" t="str">
        <f t="shared" ca="1" si="348"/>
        <v>5 WEEK</v>
      </c>
      <c r="Y1167" s="794">
        <f t="shared" si="335"/>
        <v>45867</v>
      </c>
      <c r="Z1167" s="541" cm="1">
        <f t="array" aca="1" ref="Z1167" ca="1">_xlfn.IFS(AD1167&lt;100,Y1167,Y1167&lt;TODAY(),TODAY(),Y1167&gt;TODAY(),Y1167,Y1167=TODAY(),Y1167)</f>
        <v>45867</v>
      </c>
      <c r="AB1167" s="307">
        <v>0</v>
      </c>
      <c r="AD1167" s="298">
        <f t="shared" si="336"/>
        <v>0</v>
      </c>
      <c r="AE1167" s="299" t="str">
        <f t="shared" si="337"/>
        <v>Complete</v>
      </c>
      <c r="AI1167" s="301">
        <f t="shared" ca="1" si="333"/>
        <v>0</v>
      </c>
      <c r="AJ1167" s="302">
        <f t="shared" ca="1" si="334"/>
        <v>0</v>
      </c>
      <c r="AL1167" s="303">
        <f t="shared" si="338"/>
        <v>0</v>
      </c>
      <c r="AM1167" s="303">
        <f t="shared" si="339"/>
        <v>-331852</v>
      </c>
      <c r="AN1167" s="303">
        <f t="shared" si="340"/>
        <v>331852</v>
      </c>
      <c r="AO1167" s="304">
        <f t="shared" si="341"/>
        <v>0</v>
      </c>
      <c r="AP1167" s="273">
        <f t="shared" si="345"/>
        <v>7</v>
      </c>
      <c r="AQ1167" s="273" t="str">
        <f t="shared" ca="1" si="342"/>
        <v>72025</v>
      </c>
    </row>
    <row r="1168" spans="1:43">
      <c r="B1168" s="702" t="s">
        <v>2574</v>
      </c>
      <c r="P1168" s="794">
        <v>45867</v>
      </c>
      <c r="Q1168" s="304" t="s">
        <v>3871</v>
      </c>
      <c r="R1168" s="313">
        <v>25872</v>
      </c>
      <c r="V1168" s="340"/>
      <c r="W1168" s="594"/>
      <c r="X1168" s="340" t="str">
        <f t="shared" ca="1" si="348"/>
        <v>0 WEEK</v>
      </c>
      <c r="Y1168" s="794"/>
      <c r="Z1168" s="541" cm="1">
        <f t="array" aca="1" ref="Z1168" ca="1">_xlfn.IFS(AD1168&lt;100,Y1168,Y1168&lt;TODAY(),TODAY(),Y1168&gt;TODAY(),Y1168,Y1168=TODAY(),Y1168)</f>
        <v>0</v>
      </c>
      <c r="AD1168" s="298">
        <f t="shared" si="336"/>
        <v>0</v>
      </c>
      <c r="AE1168" s="299" t="str">
        <f t="shared" si="337"/>
        <v>Complete</v>
      </c>
      <c r="AI1168" s="301">
        <f t="shared" ca="1" si="333"/>
        <v>0</v>
      </c>
      <c r="AJ1168" s="302">
        <f t="shared" ca="1" si="334"/>
        <v>0</v>
      </c>
      <c r="AL1168" s="303">
        <f t="shared" si="338"/>
        <v>0</v>
      </c>
      <c r="AM1168" s="303">
        <f t="shared" si="339"/>
        <v>-25872</v>
      </c>
      <c r="AN1168" s="303">
        <f t="shared" si="340"/>
        <v>25872</v>
      </c>
      <c r="AO1168" s="304">
        <f t="shared" si="341"/>
        <v>0</v>
      </c>
      <c r="AP1168" s="273">
        <f t="shared" si="345"/>
        <v>7</v>
      </c>
      <c r="AQ1168" s="273" t="str">
        <f t="shared" si="342"/>
        <v>7</v>
      </c>
    </row>
    <row r="1169" spans="2:43">
      <c r="B1169" s="702" t="s">
        <v>2574</v>
      </c>
      <c r="P1169" s="794">
        <v>45877</v>
      </c>
      <c r="Q1169" s="304" t="s">
        <v>3872</v>
      </c>
      <c r="R1169" s="313">
        <v>196040</v>
      </c>
      <c r="V1169" s="340"/>
      <c r="W1169" s="594"/>
      <c r="X1169" s="340" t="str">
        <f t="shared" ca="1" si="348"/>
        <v>0 WEEK</v>
      </c>
      <c r="Y1169" s="794"/>
      <c r="Z1169" s="541" cm="1">
        <f t="array" aca="1" ref="Z1169" ca="1">_xlfn.IFS(AD1169&lt;100,Y1169,Y1169&lt;TODAY(),TODAY(),Y1169&gt;TODAY(),Y1169,Y1169=TODAY(),Y1169)</f>
        <v>0</v>
      </c>
      <c r="AD1169" s="298">
        <f t="shared" si="336"/>
        <v>0</v>
      </c>
      <c r="AE1169" s="299" t="str">
        <f t="shared" si="337"/>
        <v>Complete</v>
      </c>
      <c r="AI1169" s="301">
        <f t="shared" ca="1" si="333"/>
        <v>0</v>
      </c>
      <c r="AJ1169" s="302">
        <f t="shared" ca="1" si="334"/>
        <v>0</v>
      </c>
      <c r="AL1169" s="303">
        <f t="shared" si="338"/>
        <v>0</v>
      </c>
      <c r="AM1169" s="303">
        <f t="shared" si="339"/>
        <v>-196040</v>
      </c>
      <c r="AN1169" s="303">
        <f t="shared" si="340"/>
        <v>196040</v>
      </c>
      <c r="AO1169" s="304">
        <f t="shared" si="341"/>
        <v>0</v>
      </c>
      <c r="AP1169" s="273">
        <f t="shared" si="345"/>
        <v>8</v>
      </c>
      <c r="AQ1169" s="273" t="str">
        <f t="shared" si="342"/>
        <v>8</v>
      </c>
    </row>
    <row r="1170" spans="2:43">
      <c r="B1170" s="702"/>
      <c r="P1170" s="794"/>
      <c r="Q1170" s="304"/>
      <c r="R1170" s="313"/>
      <c r="V1170" s="340">
        <f t="shared" ref="V1170" ca="1" si="355">MONTH(Z1170)</f>
        <v>1</v>
      </c>
      <c r="W1170" s="594">
        <f t="shared" ref="W1170" ca="1" si="356">YEAR(Z1170)</f>
        <v>1900</v>
      </c>
      <c r="X1170" s="340" t="str">
        <f t="shared" ca="1" si="348"/>
        <v>0 WEEK</v>
      </c>
      <c r="Y1170" s="794">
        <f t="shared" ref="Y1170" si="357">P1170+T1170</f>
        <v>0</v>
      </c>
      <c r="Z1170" s="541" cm="1">
        <f t="array" aca="1" ref="Z1170" ca="1">_xlfn.IFS(AD1170&lt;100,Y1170,Y1170&lt;TODAY(),TODAY(),Y1170&gt;TODAY(),Y1170,Y1170=TODAY(),Y1170)</f>
        <v>0</v>
      </c>
      <c r="AD1170" s="298">
        <f t="shared" si="336"/>
        <v>0</v>
      </c>
      <c r="AE1170" s="299" t="str">
        <f t="shared" si="337"/>
        <v>Complete</v>
      </c>
      <c r="AI1170" s="301">
        <f t="shared" ca="1" si="333"/>
        <v>0</v>
      </c>
      <c r="AJ1170" s="302">
        <f t="shared" ca="1" si="334"/>
        <v>0</v>
      </c>
      <c r="AL1170" s="303">
        <f t="shared" si="338"/>
        <v>0</v>
      </c>
      <c r="AM1170" s="303">
        <f t="shared" si="339"/>
        <v>0</v>
      </c>
      <c r="AN1170" s="303">
        <f t="shared" si="340"/>
        <v>0</v>
      </c>
      <c r="AO1170" s="304">
        <f t="shared" si="341"/>
        <v>0</v>
      </c>
      <c r="AP1170" s="273">
        <f t="shared" si="345"/>
        <v>1</v>
      </c>
      <c r="AQ1170" s="273" t="str">
        <f t="shared" ca="1" si="342"/>
        <v>11900</v>
      </c>
    </row>
    <row r="1171" spans="2:43" ht="18">
      <c r="B1171" s="702" t="s">
        <v>2264</v>
      </c>
      <c r="P1171" s="794"/>
      <c r="Q1171" s="304"/>
      <c r="R1171" s="741" t="e">
        <v>#VALUE!</v>
      </c>
      <c r="V1171" s="340"/>
      <c r="W1171" s="594"/>
      <c r="X1171" s="340" t="str">
        <f t="shared" ca="1" si="348"/>
        <v>0 WEEK</v>
      </c>
      <c r="Y1171" s="794"/>
      <c r="Z1171" s="541" cm="1">
        <f t="array" aca="1" ref="Z1171" ca="1">_xlfn.IFS(AD1171&lt;100,Y1171,Y1171&lt;TODAY(),TODAY(),Y1171&gt;TODAY(),Y1171,Y1171=TODAY(),Y1171)</f>
        <v>0</v>
      </c>
      <c r="AD1171" s="298">
        <f t="shared" si="336"/>
        <v>0</v>
      </c>
      <c r="AE1171" s="299" t="str">
        <f t="shared" si="337"/>
        <v>Complete</v>
      </c>
      <c r="AI1171" s="301">
        <f t="shared" ca="1" si="333"/>
        <v>0</v>
      </c>
      <c r="AJ1171" s="302">
        <f t="shared" ca="1" si="334"/>
        <v>0</v>
      </c>
      <c r="AL1171" s="303">
        <f t="shared" si="338"/>
        <v>0</v>
      </c>
      <c r="AM1171" s="303">
        <f t="shared" si="339"/>
        <v>0</v>
      </c>
      <c r="AN1171" s="303">
        <f t="shared" si="340"/>
        <v>0</v>
      </c>
      <c r="AO1171" s="304">
        <f t="shared" si="341"/>
        <v>0</v>
      </c>
      <c r="AP1171" s="273">
        <f t="shared" si="345"/>
        <v>1</v>
      </c>
      <c r="AQ1171" s="273" t="str">
        <f t="shared" si="342"/>
        <v>1</v>
      </c>
    </row>
    <row r="1172" spans="2:43">
      <c r="B1172" s="702" t="s">
        <v>2264</v>
      </c>
      <c r="P1172" s="794">
        <v>45136</v>
      </c>
      <c r="Q1172" s="304" t="s">
        <v>3797</v>
      </c>
      <c r="R1172" s="313">
        <v>16684734</v>
      </c>
      <c r="V1172" s="340">
        <f t="shared" ref="V1172:V1173" ca="1" si="358">MONTH(Z1172)</f>
        <v>7</v>
      </c>
      <c r="W1172" s="594">
        <f t="shared" ref="W1172:W1173" ca="1" si="359">YEAR(Z1172)</f>
        <v>2023</v>
      </c>
      <c r="X1172" s="340" t="str">
        <f t="shared" ca="1" si="348"/>
        <v>5 WEEK</v>
      </c>
      <c r="Y1172" s="794">
        <f t="shared" ref="Y1172:Y1173" si="360">P1172+T1172</f>
        <v>45136</v>
      </c>
      <c r="Z1172" s="541" cm="1">
        <f t="array" aca="1" ref="Z1172" ca="1">_xlfn.IFS(AD1172&lt;100,Y1172,Y1172&lt;TODAY(),TODAY(),Y1172&gt;TODAY(),Y1172,Y1172=TODAY(),Y1172)</f>
        <v>45136</v>
      </c>
      <c r="AB1172" s="307">
        <v>0</v>
      </c>
      <c r="AD1172" s="298">
        <f t="shared" si="336"/>
        <v>0</v>
      </c>
      <c r="AE1172" s="299" t="str">
        <f t="shared" si="337"/>
        <v>Complete</v>
      </c>
      <c r="AI1172" s="301">
        <f t="shared" ca="1" si="333"/>
        <v>0</v>
      </c>
      <c r="AJ1172" s="302">
        <f t="shared" ca="1" si="334"/>
        <v>0</v>
      </c>
      <c r="AL1172" s="303">
        <f t="shared" si="338"/>
        <v>0</v>
      </c>
      <c r="AM1172" s="303">
        <f t="shared" si="339"/>
        <v>-16684734</v>
      </c>
      <c r="AN1172" s="303">
        <f t="shared" si="340"/>
        <v>16684734</v>
      </c>
      <c r="AO1172" s="304">
        <f t="shared" si="341"/>
        <v>0</v>
      </c>
      <c r="AP1172" s="273">
        <f t="shared" si="345"/>
        <v>7</v>
      </c>
      <c r="AQ1172" s="273" t="str">
        <f t="shared" ca="1" si="342"/>
        <v>72023</v>
      </c>
    </row>
    <row r="1173" spans="2:43">
      <c r="B1173" s="702" t="s">
        <v>2264</v>
      </c>
      <c r="P1173" s="688">
        <v>45136</v>
      </c>
      <c r="Q1173" s="273" t="s">
        <v>3798</v>
      </c>
      <c r="R1173" s="313">
        <v>3915520</v>
      </c>
      <c r="V1173" s="340">
        <f t="shared" ca="1" si="358"/>
        <v>7</v>
      </c>
      <c r="W1173" s="594">
        <f t="shared" ca="1" si="359"/>
        <v>2023</v>
      </c>
      <c r="X1173" s="340" t="str">
        <f t="shared" ca="1" si="348"/>
        <v>5 WEEK</v>
      </c>
      <c r="Y1173" s="794">
        <f t="shared" si="360"/>
        <v>45136</v>
      </c>
      <c r="Z1173" s="541" cm="1">
        <f t="array" aca="1" ref="Z1173" ca="1">_xlfn.IFS(AD1173&lt;100,Y1173,Y1173&lt;TODAY(),TODAY(),Y1173&gt;TODAY(),Y1173,Y1173=TODAY(),Y1173)</f>
        <v>45136</v>
      </c>
      <c r="AD1173" s="298">
        <f t="shared" si="336"/>
        <v>0</v>
      </c>
      <c r="AE1173" s="299" t="str">
        <f t="shared" si="337"/>
        <v>Complete</v>
      </c>
      <c r="AI1173" s="301">
        <f t="shared" ca="1" si="333"/>
        <v>0</v>
      </c>
      <c r="AJ1173" s="302">
        <f t="shared" ca="1" si="334"/>
        <v>0</v>
      </c>
      <c r="AL1173" s="303">
        <f t="shared" si="338"/>
        <v>0</v>
      </c>
      <c r="AM1173" s="303">
        <f t="shared" si="339"/>
        <v>-3915520</v>
      </c>
      <c r="AN1173" s="303">
        <f t="shared" si="340"/>
        <v>3915520</v>
      </c>
      <c r="AO1173" s="304">
        <f t="shared" si="341"/>
        <v>0</v>
      </c>
      <c r="AP1173" s="273">
        <f t="shared" si="345"/>
        <v>7</v>
      </c>
      <c r="AQ1173" s="273" t="str">
        <f t="shared" ca="1" si="342"/>
        <v>72023</v>
      </c>
    </row>
    <row r="1174" spans="2:43">
      <c r="B1174" s="702" t="s">
        <v>2264</v>
      </c>
      <c r="P1174" s="688">
        <v>45164</v>
      </c>
      <c r="Q1174" s="273" t="s">
        <v>3799</v>
      </c>
      <c r="R1174" s="313">
        <v>12891500</v>
      </c>
      <c r="V1174" s="340"/>
      <c r="W1174" s="594"/>
      <c r="X1174" s="340" t="str">
        <f t="shared" ca="1" si="348"/>
        <v>0 WEEK</v>
      </c>
      <c r="Y1174" s="794"/>
      <c r="Z1174" s="541" cm="1">
        <f t="array" aca="1" ref="Z1174" ca="1">_xlfn.IFS(AD1174&lt;100,Y1174,Y1174&lt;TODAY(),TODAY(),Y1174&gt;TODAY(),Y1174,Y1174=TODAY(),Y1174)</f>
        <v>0</v>
      </c>
      <c r="AD1174" s="298">
        <f t="shared" si="336"/>
        <v>0</v>
      </c>
      <c r="AE1174" s="299" t="str">
        <f t="shared" si="337"/>
        <v>Complete</v>
      </c>
      <c r="AI1174" s="301">
        <f t="shared" ca="1" si="333"/>
        <v>0</v>
      </c>
      <c r="AJ1174" s="302">
        <f t="shared" ca="1" si="334"/>
        <v>0</v>
      </c>
      <c r="AL1174" s="303">
        <f t="shared" si="338"/>
        <v>0</v>
      </c>
      <c r="AM1174" s="303">
        <f t="shared" si="339"/>
        <v>-12891500</v>
      </c>
      <c r="AN1174" s="303">
        <f t="shared" si="340"/>
        <v>12891500</v>
      </c>
      <c r="AO1174" s="304">
        <f t="shared" si="341"/>
        <v>0</v>
      </c>
      <c r="AP1174" s="273">
        <f t="shared" si="345"/>
        <v>8</v>
      </c>
      <c r="AQ1174" s="273" t="str">
        <f t="shared" si="342"/>
        <v>8</v>
      </c>
    </row>
    <row r="1175" spans="2:43">
      <c r="B1175" s="702" t="s">
        <v>2264</v>
      </c>
      <c r="P1175" s="688">
        <v>45164</v>
      </c>
      <c r="Q1175" s="273" t="s">
        <v>3800</v>
      </c>
      <c r="R1175" s="313">
        <v>7286500</v>
      </c>
      <c r="V1175" s="340"/>
      <c r="W1175" s="594"/>
      <c r="X1175" s="340" t="str">
        <f t="shared" ca="1" si="348"/>
        <v>0 WEEK</v>
      </c>
      <c r="Y1175" s="794"/>
      <c r="Z1175" s="541" cm="1">
        <f t="array" aca="1" ref="Z1175" ca="1">_xlfn.IFS(AD1175&lt;100,Y1175,Y1175&lt;TODAY(),TODAY(),Y1175&gt;TODAY(),Y1175,Y1175=TODAY(),Y1175)</f>
        <v>0</v>
      </c>
      <c r="AD1175" s="298">
        <f t="shared" si="336"/>
        <v>0</v>
      </c>
      <c r="AE1175" s="299" t="str">
        <f t="shared" si="337"/>
        <v>Complete</v>
      </c>
      <c r="AI1175" s="301">
        <f t="shared" ca="1" si="333"/>
        <v>0</v>
      </c>
      <c r="AJ1175" s="302">
        <f t="shared" ca="1" si="334"/>
        <v>0</v>
      </c>
      <c r="AL1175" s="303">
        <f t="shared" si="338"/>
        <v>0</v>
      </c>
      <c r="AM1175" s="303">
        <f t="shared" si="339"/>
        <v>-7286500</v>
      </c>
      <c r="AN1175" s="303">
        <f t="shared" si="340"/>
        <v>7286500</v>
      </c>
      <c r="AO1175" s="304">
        <f t="shared" si="341"/>
        <v>0</v>
      </c>
      <c r="AP1175" s="273">
        <f t="shared" si="345"/>
        <v>8</v>
      </c>
      <c r="AQ1175" s="273" t="str">
        <f t="shared" si="342"/>
        <v>8</v>
      </c>
    </row>
    <row r="1176" spans="2:43">
      <c r="B1176" s="702" t="s">
        <v>2264</v>
      </c>
      <c r="P1176" s="688">
        <v>45675</v>
      </c>
      <c r="Q1176" s="273" t="s">
        <v>3801</v>
      </c>
      <c r="R1176" s="313">
        <v>410460</v>
      </c>
      <c r="V1176" s="340"/>
      <c r="W1176" s="594"/>
      <c r="X1176" s="340" t="str">
        <f t="shared" ca="1" si="348"/>
        <v>0 WEEK</v>
      </c>
      <c r="Y1176" s="794"/>
      <c r="Z1176" s="541" cm="1">
        <f t="array" aca="1" ref="Z1176" ca="1">_xlfn.IFS(AD1176&lt;100,Y1176,Y1176&lt;TODAY(),TODAY(),Y1176&gt;TODAY(),Y1176,Y1176=TODAY(),Y1176)</f>
        <v>0</v>
      </c>
      <c r="AD1176" s="298">
        <f t="shared" si="336"/>
        <v>0</v>
      </c>
      <c r="AE1176" s="299" t="str">
        <f t="shared" si="337"/>
        <v>Complete</v>
      </c>
      <c r="AI1176" s="301">
        <f t="shared" ca="1" si="333"/>
        <v>0</v>
      </c>
      <c r="AJ1176" s="302">
        <f t="shared" ca="1" si="334"/>
        <v>0</v>
      </c>
      <c r="AL1176" s="303">
        <f t="shared" si="338"/>
        <v>0</v>
      </c>
      <c r="AM1176" s="303">
        <f t="shared" si="339"/>
        <v>-410460</v>
      </c>
      <c r="AN1176" s="303">
        <f t="shared" si="340"/>
        <v>410460</v>
      </c>
      <c r="AO1176" s="304">
        <f t="shared" si="341"/>
        <v>0</v>
      </c>
      <c r="AP1176" s="273">
        <f t="shared" si="345"/>
        <v>1</v>
      </c>
      <c r="AQ1176" s="273" t="str">
        <f t="shared" si="342"/>
        <v>1</v>
      </c>
    </row>
    <row r="1177" spans="2:43">
      <c r="B1177" s="702" t="s">
        <v>2264</v>
      </c>
      <c r="P1177" s="688">
        <v>45716</v>
      </c>
      <c r="Q1177" s="273" t="s">
        <v>3802</v>
      </c>
      <c r="R1177" s="313">
        <v>-410460</v>
      </c>
      <c r="V1177" s="340">
        <f t="shared" ref="V1177" ca="1" si="361">MONTH(Z1177)</f>
        <v>2</v>
      </c>
      <c r="W1177" s="594">
        <f t="shared" ref="W1177" ca="1" si="362">YEAR(Z1177)</f>
        <v>2025</v>
      </c>
      <c r="X1177" s="340" t="str">
        <f t="shared" ca="1" si="348"/>
        <v>4 WEEK</v>
      </c>
      <c r="Y1177" s="794">
        <f t="shared" ref="Y1177" si="363">P1177+T1177</f>
        <v>45716</v>
      </c>
      <c r="Z1177" s="541" cm="1">
        <f t="array" aca="1" ref="Z1177" ca="1">_xlfn.IFS(AD1177&lt;100,Y1177,Y1177&lt;TODAY(),TODAY(),Y1177&gt;TODAY(),Y1177,Y1177=TODAY(),Y1177)</f>
        <v>45716</v>
      </c>
      <c r="AD1177" s="298">
        <f t="shared" si="336"/>
        <v>0</v>
      </c>
      <c r="AE1177" s="299" t="str">
        <f t="shared" si="337"/>
        <v>Complete</v>
      </c>
      <c r="AI1177" s="301">
        <f t="shared" ca="1" si="333"/>
        <v>0</v>
      </c>
      <c r="AJ1177" s="302">
        <f t="shared" ca="1" si="334"/>
        <v>0</v>
      </c>
      <c r="AL1177" s="303">
        <f t="shared" si="338"/>
        <v>0</v>
      </c>
      <c r="AM1177" s="303">
        <f t="shared" si="339"/>
        <v>410460</v>
      </c>
      <c r="AN1177" s="303">
        <f t="shared" si="340"/>
        <v>-410460</v>
      </c>
      <c r="AO1177" s="304">
        <f t="shared" si="341"/>
        <v>0</v>
      </c>
      <c r="AP1177" s="273">
        <f t="shared" si="345"/>
        <v>2</v>
      </c>
      <c r="AQ1177" s="273" t="str">
        <f t="shared" ca="1" si="342"/>
        <v>22025</v>
      </c>
    </row>
    <row r="1178" spans="2:43">
      <c r="B1178" s="702"/>
      <c r="P1178" s="688"/>
      <c r="R1178" s="979"/>
      <c r="V1178" s="340"/>
      <c r="W1178" s="594"/>
      <c r="X1178" s="340" t="str">
        <f t="shared" ca="1" si="348"/>
        <v>0 WEEK</v>
      </c>
      <c r="Y1178" s="794"/>
      <c r="Z1178" s="541" cm="1">
        <f t="array" aca="1" ref="Z1178" ca="1">_xlfn.IFS(AD1178&lt;100,Y1178,Y1178&lt;TODAY(),TODAY(),Y1178&gt;TODAY(),Y1178,Y1178=TODAY(),Y1178)</f>
        <v>0</v>
      </c>
      <c r="AD1178" s="298">
        <f t="shared" si="336"/>
        <v>0</v>
      </c>
      <c r="AE1178" s="299" t="str">
        <f t="shared" si="337"/>
        <v>Complete</v>
      </c>
      <c r="AI1178" s="301">
        <f t="shared" ca="1" si="333"/>
        <v>0</v>
      </c>
      <c r="AJ1178" s="302">
        <f t="shared" ca="1" si="334"/>
        <v>0</v>
      </c>
      <c r="AL1178" s="303">
        <f t="shared" si="338"/>
        <v>0</v>
      </c>
      <c r="AM1178" s="303">
        <f t="shared" si="339"/>
        <v>0</v>
      </c>
      <c r="AN1178" s="303">
        <f t="shared" si="340"/>
        <v>0</v>
      </c>
      <c r="AO1178" s="304">
        <f t="shared" si="341"/>
        <v>0</v>
      </c>
      <c r="AP1178" s="273">
        <f t="shared" si="345"/>
        <v>1</v>
      </c>
      <c r="AQ1178" s="273" t="str">
        <f t="shared" si="342"/>
        <v>1</v>
      </c>
    </row>
    <row r="1179" spans="2:43">
      <c r="B1179" s="702"/>
      <c r="P1179" s="794"/>
      <c r="Q1179" s="304"/>
      <c r="R1179" s="313"/>
      <c r="V1179" s="340"/>
      <c r="W1179" s="594"/>
      <c r="X1179" s="340" t="str">
        <f t="shared" ca="1" si="348"/>
        <v>0 WEEK</v>
      </c>
      <c r="Y1179" s="794"/>
      <c r="Z1179" s="541" cm="1">
        <f t="array" aca="1" ref="Z1179" ca="1">_xlfn.IFS(AD1179&lt;100,Y1179,Y1179&lt;TODAY(),TODAY(),Y1179&gt;TODAY(),Y1179,Y1179=TODAY(),Y1179)</f>
        <v>0</v>
      </c>
      <c r="AD1179" s="298">
        <f t="shared" si="336"/>
        <v>0</v>
      </c>
      <c r="AE1179" s="299" t="str">
        <f t="shared" si="337"/>
        <v>Complete</v>
      </c>
      <c r="AI1179" s="301">
        <f t="shared" ca="1" si="333"/>
        <v>0</v>
      </c>
      <c r="AJ1179" s="302">
        <f t="shared" ca="1" si="334"/>
        <v>0</v>
      </c>
      <c r="AL1179" s="303">
        <f t="shared" si="338"/>
        <v>0</v>
      </c>
      <c r="AM1179" s="303">
        <f t="shared" si="339"/>
        <v>0</v>
      </c>
      <c r="AN1179" s="303">
        <f t="shared" si="340"/>
        <v>0</v>
      </c>
      <c r="AO1179" s="304">
        <f t="shared" si="341"/>
        <v>0</v>
      </c>
      <c r="AP1179" s="273">
        <f t="shared" si="345"/>
        <v>1</v>
      </c>
      <c r="AQ1179" s="273" t="str">
        <f t="shared" si="342"/>
        <v>1</v>
      </c>
    </row>
    <row r="1180" spans="2:43" ht="18">
      <c r="B1180" s="702" t="s">
        <v>2575</v>
      </c>
      <c r="E1180" s="440">
        <v>44982</v>
      </c>
      <c r="K1180" s="273" t="s">
        <v>2576</v>
      </c>
      <c r="M1180" s="665">
        <v>0.4</v>
      </c>
      <c r="O1180" s="273" t="s">
        <v>1593</v>
      </c>
      <c r="P1180" s="794"/>
      <c r="Q1180" s="304"/>
      <c r="R1180" s="741" t="e">
        <v>#VALUE!</v>
      </c>
      <c r="V1180" s="340"/>
      <c r="W1180" s="594"/>
      <c r="X1180" s="340" t="str">
        <f t="shared" ca="1" si="348"/>
        <v>0 WEEK</v>
      </c>
      <c r="Y1180" s="794"/>
      <c r="Z1180" s="541" cm="1">
        <f t="array" aca="1" ref="Z1180" ca="1">_xlfn.IFS(AD1180&lt;100,Y1180,Y1180&lt;TODAY(),TODAY(),Y1180&gt;TODAY(),Y1180,Y1180=TODAY(),Y1180)</f>
        <v>0</v>
      </c>
      <c r="AD1180" s="298">
        <f t="shared" si="336"/>
        <v>0</v>
      </c>
      <c r="AE1180" s="299" t="str">
        <f t="shared" si="337"/>
        <v>Complete</v>
      </c>
      <c r="AI1180" s="301">
        <f t="shared" ca="1" si="333"/>
        <v>0</v>
      </c>
      <c r="AJ1180" s="302">
        <f t="shared" ca="1" si="334"/>
        <v>0</v>
      </c>
      <c r="AL1180" s="303">
        <f t="shared" si="338"/>
        <v>0</v>
      </c>
      <c r="AM1180" s="303">
        <f t="shared" si="339"/>
        <v>0</v>
      </c>
      <c r="AN1180" s="303">
        <f t="shared" si="340"/>
        <v>0</v>
      </c>
      <c r="AO1180" s="304">
        <f t="shared" si="341"/>
        <v>0</v>
      </c>
      <c r="AP1180" s="273">
        <f t="shared" si="345"/>
        <v>1</v>
      </c>
      <c r="AQ1180" s="273" t="str">
        <f t="shared" si="342"/>
        <v>1</v>
      </c>
    </row>
    <row r="1181" spans="2:43">
      <c r="B1181" s="702" t="s">
        <v>2575</v>
      </c>
      <c r="E1181" s="440">
        <v>44982</v>
      </c>
      <c r="G1181" s="306">
        <f>500000*37.44</f>
        <v>18720000</v>
      </c>
      <c r="H1181" s="307">
        <f>G1181*12%</f>
        <v>2246400</v>
      </c>
      <c r="I1181" s="308">
        <f>G1181+H1181</f>
        <v>20966400</v>
      </c>
      <c r="K1181" s="273" t="s">
        <v>2577</v>
      </c>
      <c r="M1181" s="665">
        <v>0.3</v>
      </c>
      <c r="O1181" s="273" t="s">
        <v>1593</v>
      </c>
      <c r="P1181" s="794">
        <v>44676</v>
      </c>
      <c r="Q1181" s="304" t="s">
        <v>3877</v>
      </c>
      <c r="R1181" s="313">
        <v>1305453</v>
      </c>
      <c r="V1181" s="340">
        <f t="shared" ref="V1181:V1198" ca="1" si="364">MONTH(Z1181)</f>
        <v>4</v>
      </c>
      <c r="W1181" s="594">
        <f t="shared" ref="W1181:W1198" ca="1" si="365">YEAR(Z1181)</f>
        <v>2022</v>
      </c>
      <c r="X1181" s="340" t="str">
        <f t="shared" ca="1" si="348"/>
        <v>4 WEEK</v>
      </c>
      <c r="Y1181" s="794">
        <f t="shared" ref="Y1181:Y1198" si="366">P1181+T1181</f>
        <v>44676</v>
      </c>
      <c r="Z1181" s="541" cm="1">
        <f t="array" aca="1" ref="Z1181" ca="1">_xlfn.IFS(AD1181&lt;100,Y1181,Y1181&lt;TODAY(),TODAY(),Y1181&gt;TODAY(),Y1181,Y1181=TODAY(),Y1181)</f>
        <v>44676</v>
      </c>
      <c r="AB1181" s="307">
        <v>24458546</v>
      </c>
      <c r="AD1181" s="298">
        <f t="shared" si="336"/>
        <v>-24458546</v>
      </c>
      <c r="AE1181" s="299" t="str">
        <f t="shared" si="337"/>
        <v>Complete</v>
      </c>
      <c r="AI1181" s="301">
        <f t="shared" ca="1" si="333"/>
        <v>0</v>
      </c>
      <c r="AJ1181" s="302">
        <f t="shared" ca="1" si="334"/>
        <v>0</v>
      </c>
      <c r="AL1181" s="303">
        <f t="shared" si="338"/>
        <v>20966400</v>
      </c>
      <c r="AM1181" s="303">
        <f t="shared" si="339"/>
        <v>19660947</v>
      </c>
      <c r="AN1181" s="303">
        <f t="shared" si="340"/>
        <v>1305453</v>
      </c>
      <c r="AO1181" s="304">
        <f t="shared" si="341"/>
        <v>0</v>
      </c>
      <c r="AP1181" s="273">
        <f t="shared" si="345"/>
        <v>4</v>
      </c>
      <c r="AQ1181" s="273" t="str">
        <f t="shared" ca="1" si="342"/>
        <v>42022</v>
      </c>
    </row>
    <row r="1182" spans="2:43">
      <c r="B1182" s="702" t="s">
        <v>2575</v>
      </c>
      <c r="E1182" s="440">
        <v>44982</v>
      </c>
      <c r="K1182" s="273" t="s">
        <v>2578</v>
      </c>
      <c r="M1182" s="665">
        <v>0.2</v>
      </c>
      <c r="O1182" s="273" t="s">
        <v>1593</v>
      </c>
      <c r="P1182" s="794">
        <v>44697</v>
      </c>
      <c r="Q1182" s="304" t="s">
        <v>3878</v>
      </c>
      <c r="R1182" s="313">
        <v>334463</v>
      </c>
      <c r="V1182" s="340">
        <f t="shared" ca="1" si="364"/>
        <v>5</v>
      </c>
      <c r="W1182" s="594">
        <f t="shared" ca="1" si="365"/>
        <v>2022</v>
      </c>
      <c r="X1182" s="340" t="str">
        <f t="shared" ca="1" si="348"/>
        <v>3 WEEK</v>
      </c>
      <c r="Y1182" s="794">
        <f t="shared" si="366"/>
        <v>44697</v>
      </c>
      <c r="Z1182" s="541" cm="1">
        <f t="array" aca="1" ref="Z1182" ca="1">_xlfn.IFS(AD1182&lt;100,Y1182,Y1182&lt;TODAY(),TODAY(),Y1182&gt;TODAY(),Y1182,Y1182=TODAY(),Y1182)</f>
        <v>44697</v>
      </c>
      <c r="AD1182" s="298">
        <f t="shared" si="336"/>
        <v>0</v>
      </c>
      <c r="AE1182" s="299" t="str">
        <f t="shared" si="337"/>
        <v>Complete</v>
      </c>
      <c r="AI1182" s="301">
        <f t="shared" ca="1" si="333"/>
        <v>0</v>
      </c>
      <c r="AJ1182" s="302">
        <f t="shared" ca="1" si="334"/>
        <v>0</v>
      </c>
      <c r="AL1182" s="303">
        <f t="shared" si="338"/>
        <v>0</v>
      </c>
      <c r="AM1182" s="303">
        <f t="shared" si="339"/>
        <v>-334463</v>
      </c>
      <c r="AN1182" s="303">
        <f t="shared" si="340"/>
        <v>334463</v>
      </c>
      <c r="AO1182" s="304">
        <f t="shared" si="341"/>
        <v>0</v>
      </c>
      <c r="AP1182" s="273">
        <f t="shared" si="345"/>
        <v>5</v>
      </c>
      <c r="AQ1182" s="273" t="str">
        <f t="shared" ca="1" si="342"/>
        <v>52022</v>
      </c>
    </row>
    <row r="1183" spans="2:43">
      <c r="B1183" s="702" t="s">
        <v>2575</v>
      </c>
      <c r="E1183" s="440">
        <v>44982</v>
      </c>
      <c r="K1183" s="273" t="s">
        <v>2579</v>
      </c>
      <c r="M1183" s="665">
        <v>0.05</v>
      </c>
      <c r="O1183" s="273" t="s">
        <v>1593</v>
      </c>
      <c r="P1183" s="794">
        <v>44698</v>
      </c>
      <c r="Q1183" s="304" t="s">
        <v>3879</v>
      </c>
      <c r="R1183" s="313">
        <v>-406</v>
      </c>
      <c r="V1183" s="340">
        <f t="shared" ca="1" si="364"/>
        <v>5</v>
      </c>
      <c r="W1183" s="594">
        <f t="shared" ca="1" si="365"/>
        <v>2022</v>
      </c>
      <c r="X1183" s="340" t="str">
        <f t="shared" ca="1" si="348"/>
        <v>3 WEEK</v>
      </c>
      <c r="Y1183" s="794">
        <f t="shared" si="366"/>
        <v>44698</v>
      </c>
      <c r="Z1183" s="541" cm="1">
        <f t="array" aca="1" ref="Z1183" ca="1">_xlfn.IFS(AD1183&lt;100,Y1183,Y1183&lt;TODAY(),TODAY(),Y1183&gt;TODAY(),Y1183,Y1183=TODAY(),Y1183)</f>
        <v>44698</v>
      </c>
      <c r="AD1183" s="298">
        <f t="shared" si="336"/>
        <v>0</v>
      </c>
      <c r="AE1183" s="299" t="str">
        <f t="shared" si="337"/>
        <v>Complete</v>
      </c>
      <c r="AI1183" s="301">
        <f t="shared" ca="1" si="333"/>
        <v>0</v>
      </c>
      <c r="AJ1183" s="302">
        <f t="shared" ca="1" si="334"/>
        <v>0</v>
      </c>
      <c r="AL1183" s="303">
        <f t="shared" si="338"/>
        <v>0</v>
      </c>
      <c r="AM1183" s="303">
        <f t="shared" si="339"/>
        <v>406</v>
      </c>
      <c r="AN1183" s="303">
        <f t="shared" si="340"/>
        <v>-406</v>
      </c>
      <c r="AO1183" s="304">
        <f t="shared" si="341"/>
        <v>0</v>
      </c>
      <c r="AP1183" s="273">
        <f t="shared" si="345"/>
        <v>5</v>
      </c>
      <c r="AQ1183" s="273" t="str">
        <f t="shared" ca="1" si="342"/>
        <v>52022</v>
      </c>
    </row>
    <row r="1184" spans="2:43">
      <c r="B1184" s="702" t="s">
        <v>2575</v>
      </c>
      <c r="E1184" s="440">
        <v>44982</v>
      </c>
      <c r="K1184" s="273" t="s">
        <v>2580</v>
      </c>
      <c r="M1184" s="665">
        <v>0.05</v>
      </c>
      <c r="O1184" s="273" t="s">
        <v>1593</v>
      </c>
      <c r="P1184" s="794">
        <v>44711</v>
      </c>
      <c r="Q1184" s="304" t="s">
        <v>3880</v>
      </c>
      <c r="R1184" s="313">
        <v>109823</v>
      </c>
      <c r="V1184" s="340">
        <f t="shared" ca="1" si="364"/>
        <v>5</v>
      </c>
      <c r="W1184" s="594">
        <f t="shared" ca="1" si="365"/>
        <v>2022</v>
      </c>
      <c r="X1184" s="340" t="str">
        <f t="shared" ca="1" si="348"/>
        <v>5 WEEK</v>
      </c>
      <c r="Y1184" s="794">
        <f t="shared" si="366"/>
        <v>44711</v>
      </c>
      <c r="Z1184" s="541" cm="1">
        <f t="array" aca="1" ref="Z1184" ca="1">_xlfn.IFS(AD1184&lt;100,Y1184,Y1184&lt;TODAY(),TODAY(),Y1184&gt;TODAY(),Y1184,Y1184=TODAY(),Y1184)</f>
        <v>44711</v>
      </c>
      <c r="AD1184" s="298">
        <f t="shared" si="336"/>
        <v>0</v>
      </c>
      <c r="AE1184" s="299" t="str">
        <f t="shared" si="337"/>
        <v>Complete</v>
      </c>
      <c r="AI1184" s="301">
        <f t="shared" ca="1" si="333"/>
        <v>0</v>
      </c>
      <c r="AJ1184" s="302">
        <f t="shared" ca="1" si="334"/>
        <v>0</v>
      </c>
      <c r="AL1184" s="303">
        <f t="shared" si="338"/>
        <v>0</v>
      </c>
      <c r="AM1184" s="303">
        <f t="shared" si="339"/>
        <v>-109823</v>
      </c>
      <c r="AN1184" s="303">
        <f t="shared" si="340"/>
        <v>109823</v>
      </c>
      <c r="AO1184" s="304">
        <f t="shared" si="341"/>
        <v>0</v>
      </c>
      <c r="AP1184" s="273">
        <f t="shared" si="345"/>
        <v>5</v>
      </c>
      <c r="AQ1184" s="273" t="str">
        <f t="shared" ca="1" si="342"/>
        <v>52022</v>
      </c>
    </row>
    <row r="1185" spans="2:43">
      <c r="B1185" s="702" t="s">
        <v>2575</v>
      </c>
      <c r="E1185" s="440"/>
      <c r="O1185" s="273"/>
      <c r="P1185" s="794">
        <v>44740</v>
      </c>
      <c r="Q1185" s="304" t="s">
        <v>3881</v>
      </c>
      <c r="R1185" s="313">
        <v>42847</v>
      </c>
      <c r="V1185" s="340">
        <f t="shared" ca="1" si="364"/>
        <v>6</v>
      </c>
      <c r="W1185" s="594">
        <f t="shared" ca="1" si="365"/>
        <v>2022</v>
      </c>
      <c r="X1185" s="340" t="str">
        <f t="shared" ca="1" si="348"/>
        <v>4 WEEK</v>
      </c>
      <c r="Y1185" s="794">
        <f t="shared" si="366"/>
        <v>44740</v>
      </c>
      <c r="Z1185" s="541" cm="1">
        <f t="array" aca="1" ref="Z1185" ca="1">_xlfn.IFS(AD1185&lt;100,Y1185,Y1185&lt;TODAY(),TODAY(),Y1185&gt;TODAY(),Y1185,Y1185=TODAY(),Y1185)</f>
        <v>44740</v>
      </c>
      <c r="AD1185" s="298">
        <f t="shared" si="336"/>
        <v>0</v>
      </c>
      <c r="AE1185" s="299" t="str">
        <f t="shared" si="337"/>
        <v>Complete</v>
      </c>
      <c r="AI1185" s="301">
        <f t="shared" ca="1" si="333"/>
        <v>0</v>
      </c>
      <c r="AJ1185" s="302">
        <f t="shared" ca="1" si="334"/>
        <v>0</v>
      </c>
      <c r="AL1185" s="303">
        <f t="shared" si="338"/>
        <v>0</v>
      </c>
      <c r="AM1185" s="303">
        <f t="shared" si="339"/>
        <v>-42847</v>
      </c>
      <c r="AN1185" s="303">
        <f t="shared" si="340"/>
        <v>42847</v>
      </c>
      <c r="AO1185" s="304">
        <f t="shared" si="341"/>
        <v>0</v>
      </c>
      <c r="AP1185" s="273">
        <f t="shared" si="345"/>
        <v>6</v>
      </c>
      <c r="AQ1185" s="273" t="str">
        <f t="shared" ca="1" si="342"/>
        <v>62022</v>
      </c>
    </row>
    <row r="1186" spans="2:43">
      <c r="B1186" s="702" t="s">
        <v>2575</v>
      </c>
      <c r="E1186" s="440">
        <v>44982</v>
      </c>
      <c r="K1186" s="273" t="s">
        <v>2581</v>
      </c>
      <c r="M1186" s="665">
        <v>0.4</v>
      </c>
      <c r="O1186" s="273" t="s">
        <v>1618</v>
      </c>
      <c r="P1186" s="794">
        <v>44755</v>
      </c>
      <c r="Q1186" s="304" t="s">
        <v>3882</v>
      </c>
      <c r="R1186" s="313">
        <v>1028694</v>
      </c>
      <c r="V1186" s="340">
        <f t="shared" ca="1" si="364"/>
        <v>7</v>
      </c>
      <c r="W1186" s="594">
        <f t="shared" ca="1" si="365"/>
        <v>2022</v>
      </c>
      <c r="X1186" s="340" t="str">
        <f t="shared" ca="1" si="348"/>
        <v>2 WEEK</v>
      </c>
      <c r="Y1186" s="794">
        <f t="shared" si="366"/>
        <v>44755</v>
      </c>
      <c r="Z1186" s="541" cm="1">
        <f t="array" aca="1" ref="Z1186" ca="1">_xlfn.IFS(AD1186&lt;100,Y1186,Y1186&lt;TODAY(),TODAY(),Y1186&gt;TODAY(),Y1186,Y1186=TODAY(),Y1186)</f>
        <v>44755</v>
      </c>
      <c r="AD1186" s="298">
        <f t="shared" si="336"/>
        <v>0</v>
      </c>
      <c r="AE1186" s="299" t="str">
        <f t="shared" si="337"/>
        <v>Complete</v>
      </c>
      <c r="AI1186" s="301">
        <f t="shared" ca="1" si="333"/>
        <v>0</v>
      </c>
      <c r="AJ1186" s="302">
        <f t="shared" ca="1" si="334"/>
        <v>0</v>
      </c>
      <c r="AL1186" s="303">
        <f t="shared" si="338"/>
        <v>0</v>
      </c>
      <c r="AM1186" s="303">
        <f t="shared" si="339"/>
        <v>-1028694</v>
      </c>
      <c r="AN1186" s="303">
        <f t="shared" si="340"/>
        <v>1028694</v>
      </c>
      <c r="AO1186" s="304">
        <f t="shared" si="341"/>
        <v>0</v>
      </c>
      <c r="AP1186" s="273">
        <f t="shared" si="345"/>
        <v>7</v>
      </c>
      <c r="AQ1186" s="273" t="str">
        <f t="shared" ca="1" si="342"/>
        <v>72022</v>
      </c>
    </row>
    <row r="1187" spans="2:43">
      <c r="B1187" s="702" t="s">
        <v>2575</v>
      </c>
      <c r="E1187" s="440">
        <v>44982</v>
      </c>
      <c r="G1187" s="306">
        <f>500000*4.16</f>
        <v>2080000</v>
      </c>
      <c r="H1187" s="307">
        <f>G1187*18%</f>
        <v>374400</v>
      </c>
      <c r="I1187" s="308">
        <f>G1187+H1187</f>
        <v>2454400</v>
      </c>
      <c r="K1187" s="273" t="s">
        <v>2577</v>
      </c>
      <c r="M1187" s="665">
        <v>0.3</v>
      </c>
      <c r="O1187" s="273" t="s">
        <v>1618</v>
      </c>
      <c r="P1187" s="794">
        <v>44755</v>
      </c>
      <c r="Q1187" s="304" t="s">
        <v>3883</v>
      </c>
      <c r="R1187" s="313">
        <v>1071840</v>
      </c>
      <c r="V1187" s="340">
        <f t="shared" ca="1" si="364"/>
        <v>7</v>
      </c>
      <c r="W1187" s="594">
        <f t="shared" ca="1" si="365"/>
        <v>2022</v>
      </c>
      <c r="X1187" s="340" t="str">
        <f t="shared" ca="1" si="348"/>
        <v>2 WEEK</v>
      </c>
      <c r="Y1187" s="794">
        <f t="shared" si="366"/>
        <v>44755</v>
      </c>
      <c r="Z1187" s="541" cm="1">
        <f t="array" aca="1" ref="Z1187" ca="1">_xlfn.IFS(AD1187&lt;100,Y1187,Y1187&lt;TODAY(),TODAY(),Y1187&gt;TODAY(),Y1187,Y1187=TODAY(),Y1187)</f>
        <v>44755</v>
      </c>
      <c r="AD1187" s="298">
        <f t="shared" si="336"/>
        <v>0</v>
      </c>
      <c r="AE1187" s="299" t="str">
        <f t="shared" si="337"/>
        <v>Complete</v>
      </c>
      <c r="AI1187" s="301">
        <f t="shared" ca="1" si="333"/>
        <v>0</v>
      </c>
      <c r="AJ1187" s="302">
        <f t="shared" ca="1" si="334"/>
        <v>0</v>
      </c>
      <c r="AL1187" s="303">
        <f t="shared" si="338"/>
        <v>2454400</v>
      </c>
      <c r="AM1187" s="303">
        <f t="shared" si="339"/>
        <v>1382560</v>
      </c>
      <c r="AN1187" s="303">
        <f t="shared" si="340"/>
        <v>1071840</v>
      </c>
      <c r="AO1187" s="304">
        <f t="shared" si="341"/>
        <v>0</v>
      </c>
      <c r="AP1187" s="273">
        <f t="shared" si="345"/>
        <v>7</v>
      </c>
      <c r="AQ1187" s="273" t="str">
        <f t="shared" ca="1" si="342"/>
        <v>72022</v>
      </c>
    </row>
    <row r="1188" spans="2:43">
      <c r="B1188" s="702" t="s">
        <v>2575</v>
      </c>
      <c r="E1188" s="440">
        <v>44982</v>
      </c>
      <c r="K1188" s="273" t="s">
        <v>2582</v>
      </c>
      <c r="M1188" s="665">
        <v>0.2</v>
      </c>
      <c r="O1188" s="273" t="s">
        <v>1618</v>
      </c>
      <c r="P1188" s="794">
        <v>44989</v>
      </c>
      <c r="Q1188" s="304" t="s">
        <v>3884</v>
      </c>
      <c r="R1188" s="313">
        <v>8663721</v>
      </c>
      <c r="V1188" s="340">
        <f t="shared" ca="1" si="364"/>
        <v>3</v>
      </c>
      <c r="W1188" s="594">
        <f t="shared" ca="1" si="365"/>
        <v>2023</v>
      </c>
      <c r="X1188" s="340" t="str">
        <f t="shared" ca="1" si="348"/>
        <v>1 WEEK</v>
      </c>
      <c r="Y1188" s="794">
        <f t="shared" si="366"/>
        <v>44989</v>
      </c>
      <c r="Z1188" s="541" cm="1">
        <f t="array" aca="1" ref="Z1188" ca="1">_xlfn.IFS(AD1188&lt;100,Y1188,Y1188&lt;TODAY(),TODAY(),Y1188&gt;TODAY(),Y1188,Y1188=TODAY(),Y1188)</f>
        <v>44989</v>
      </c>
      <c r="AD1188" s="298">
        <f t="shared" si="336"/>
        <v>0</v>
      </c>
      <c r="AE1188" s="299" t="str">
        <f t="shared" si="337"/>
        <v>Complete</v>
      </c>
      <c r="AI1188" s="301">
        <f t="shared" ca="1" si="333"/>
        <v>0</v>
      </c>
      <c r="AJ1188" s="302">
        <f t="shared" ca="1" si="334"/>
        <v>0</v>
      </c>
      <c r="AL1188" s="303">
        <f t="shared" si="338"/>
        <v>0</v>
      </c>
      <c r="AM1188" s="303">
        <f t="shared" si="339"/>
        <v>-8663721</v>
      </c>
      <c r="AN1188" s="303">
        <f t="shared" si="340"/>
        <v>8663721</v>
      </c>
      <c r="AO1188" s="304">
        <f t="shared" si="341"/>
        <v>0</v>
      </c>
      <c r="AP1188" s="273">
        <f t="shared" si="345"/>
        <v>3</v>
      </c>
      <c r="AQ1188" s="273" t="str">
        <f t="shared" ca="1" si="342"/>
        <v>32023</v>
      </c>
    </row>
    <row r="1189" spans="2:43">
      <c r="B1189" s="702" t="s">
        <v>2575</v>
      </c>
      <c r="E1189" s="440">
        <v>44982</v>
      </c>
      <c r="K1189" s="273" t="s">
        <v>2579</v>
      </c>
      <c r="M1189" s="665">
        <v>0.05</v>
      </c>
      <c r="O1189" s="273" t="s">
        <v>1618</v>
      </c>
      <c r="P1189" s="794">
        <v>44989</v>
      </c>
      <c r="Q1189" s="304" t="s">
        <v>3885</v>
      </c>
      <c r="R1189" s="313">
        <v>4161773</v>
      </c>
      <c r="V1189" s="340">
        <f t="shared" ca="1" si="364"/>
        <v>3</v>
      </c>
      <c r="W1189" s="594">
        <f t="shared" ca="1" si="365"/>
        <v>2023</v>
      </c>
      <c r="X1189" s="340" t="str">
        <f t="shared" ca="1" si="348"/>
        <v>1 WEEK</v>
      </c>
      <c r="Y1189" s="794">
        <f t="shared" si="366"/>
        <v>44989</v>
      </c>
      <c r="Z1189" s="541" cm="1">
        <f t="array" aca="1" ref="Z1189" ca="1">_xlfn.IFS(AD1189&lt;100,Y1189,Y1189&lt;TODAY(),TODAY(),Y1189&gt;TODAY(),Y1189,Y1189=TODAY(),Y1189)</f>
        <v>44989</v>
      </c>
      <c r="AD1189" s="298">
        <f t="shared" si="336"/>
        <v>0</v>
      </c>
      <c r="AE1189" s="299" t="str">
        <f t="shared" si="337"/>
        <v>Complete</v>
      </c>
      <c r="AI1189" s="301">
        <f t="shared" ca="1" si="333"/>
        <v>0</v>
      </c>
      <c r="AJ1189" s="302">
        <f t="shared" ca="1" si="334"/>
        <v>0</v>
      </c>
      <c r="AL1189" s="303">
        <f t="shared" si="338"/>
        <v>0</v>
      </c>
      <c r="AM1189" s="303">
        <f t="shared" si="339"/>
        <v>-4161773</v>
      </c>
      <c r="AN1189" s="303">
        <f t="shared" si="340"/>
        <v>4161773</v>
      </c>
      <c r="AO1189" s="304">
        <f t="shared" si="341"/>
        <v>0</v>
      </c>
      <c r="AP1189" s="273">
        <f t="shared" si="345"/>
        <v>3</v>
      </c>
      <c r="AQ1189" s="273" t="str">
        <f t="shared" ca="1" si="342"/>
        <v>32023</v>
      </c>
    </row>
    <row r="1190" spans="2:43">
      <c r="B1190" s="702" t="s">
        <v>2575</v>
      </c>
      <c r="E1190" s="440">
        <v>44982</v>
      </c>
      <c r="K1190" s="273" t="s">
        <v>2580</v>
      </c>
      <c r="M1190" s="665">
        <v>0.05</v>
      </c>
      <c r="O1190" s="273" t="s">
        <v>1618</v>
      </c>
      <c r="P1190" s="794">
        <v>45052</v>
      </c>
      <c r="Q1190" s="304" t="s">
        <v>3886</v>
      </c>
      <c r="R1190" s="313">
        <v>5226031</v>
      </c>
      <c r="V1190" s="340">
        <f t="shared" ca="1" si="364"/>
        <v>5</v>
      </c>
      <c r="W1190" s="594">
        <f t="shared" ca="1" si="365"/>
        <v>2023</v>
      </c>
      <c r="X1190" s="340" t="str">
        <f t="shared" ca="1" si="348"/>
        <v>1 WEEK</v>
      </c>
      <c r="Y1190" s="794">
        <f t="shared" si="366"/>
        <v>45052</v>
      </c>
      <c r="Z1190" s="541" cm="1">
        <f t="array" aca="1" ref="Z1190" ca="1">_xlfn.IFS(AD1190&lt;100,Y1190,Y1190&lt;TODAY(),TODAY(),Y1190&gt;TODAY(),Y1190,Y1190=TODAY(),Y1190)</f>
        <v>45052</v>
      </c>
      <c r="AD1190" s="298">
        <f t="shared" si="336"/>
        <v>0</v>
      </c>
      <c r="AE1190" s="299" t="str">
        <f t="shared" si="337"/>
        <v>Complete</v>
      </c>
      <c r="AI1190" s="301">
        <f t="shared" ca="1" si="333"/>
        <v>0</v>
      </c>
      <c r="AJ1190" s="302">
        <f t="shared" ca="1" si="334"/>
        <v>0</v>
      </c>
      <c r="AL1190" s="303">
        <f t="shared" si="338"/>
        <v>0</v>
      </c>
      <c r="AM1190" s="303">
        <f t="shared" si="339"/>
        <v>-5226031</v>
      </c>
      <c r="AN1190" s="303">
        <f t="shared" si="340"/>
        <v>5226031</v>
      </c>
      <c r="AO1190" s="304">
        <f t="shared" si="341"/>
        <v>0</v>
      </c>
      <c r="AP1190" s="273">
        <f t="shared" si="345"/>
        <v>5</v>
      </c>
      <c r="AQ1190" s="273" t="str">
        <f t="shared" ca="1" si="342"/>
        <v>52023</v>
      </c>
    </row>
    <row r="1191" spans="2:43">
      <c r="B1191" s="702" t="s">
        <v>2575</v>
      </c>
      <c r="E1191" s="440">
        <v>44982</v>
      </c>
      <c r="O1191" s="273"/>
      <c r="P1191" s="794">
        <v>45154</v>
      </c>
      <c r="Q1191" s="304" t="s">
        <v>3887</v>
      </c>
      <c r="R1191" s="313">
        <v>3174148</v>
      </c>
      <c r="V1191" s="340">
        <f t="shared" ca="1" si="364"/>
        <v>8</v>
      </c>
      <c r="W1191" s="594">
        <f t="shared" ca="1" si="365"/>
        <v>2023</v>
      </c>
      <c r="X1191" s="340" t="str">
        <f t="shared" ca="1" si="348"/>
        <v>3 WEEK</v>
      </c>
      <c r="Y1191" s="794">
        <f t="shared" si="366"/>
        <v>45154</v>
      </c>
      <c r="Z1191" s="541" cm="1">
        <f t="array" aca="1" ref="Z1191" ca="1">_xlfn.IFS(AD1191&lt;100,Y1191,Y1191&lt;TODAY(),TODAY(),Y1191&gt;TODAY(),Y1191,Y1191=TODAY(),Y1191)</f>
        <v>45154</v>
      </c>
      <c r="AD1191" s="298">
        <f t="shared" si="336"/>
        <v>0</v>
      </c>
      <c r="AE1191" s="299" t="str">
        <f t="shared" si="337"/>
        <v>Complete</v>
      </c>
      <c r="AI1191" s="301">
        <f t="shared" ca="1" si="333"/>
        <v>0</v>
      </c>
      <c r="AJ1191" s="302">
        <f t="shared" ca="1" si="334"/>
        <v>0</v>
      </c>
      <c r="AL1191" s="303">
        <f t="shared" si="338"/>
        <v>0</v>
      </c>
      <c r="AM1191" s="303">
        <f t="shared" si="339"/>
        <v>-3174148</v>
      </c>
      <c r="AN1191" s="303">
        <f t="shared" si="340"/>
        <v>3174148</v>
      </c>
      <c r="AO1191" s="304">
        <f t="shared" si="341"/>
        <v>0</v>
      </c>
      <c r="AP1191" s="273">
        <f t="shared" si="345"/>
        <v>8</v>
      </c>
      <c r="AQ1191" s="273" t="str">
        <f t="shared" ca="1" si="342"/>
        <v>82023</v>
      </c>
    </row>
    <row r="1192" spans="2:43">
      <c r="B1192" s="702" t="s">
        <v>2575</v>
      </c>
      <c r="E1192" s="440">
        <v>44982</v>
      </c>
      <c r="O1192" s="273"/>
      <c r="P1192" s="794">
        <v>45154</v>
      </c>
      <c r="Q1192" s="304" t="s">
        <v>3888</v>
      </c>
      <c r="R1192" s="313">
        <v>2454400</v>
      </c>
      <c r="V1192" s="340">
        <f t="shared" ca="1" si="364"/>
        <v>8</v>
      </c>
      <c r="W1192" s="594">
        <f t="shared" ca="1" si="365"/>
        <v>2023</v>
      </c>
      <c r="X1192" s="340" t="str">
        <f t="shared" ca="1" si="348"/>
        <v>3 WEEK</v>
      </c>
      <c r="Y1192" s="794">
        <f t="shared" si="366"/>
        <v>45154</v>
      </c>
      <c r="Z1192" s="541" cm="1">
        <f t="array" aca="1" ref="Z1192" ca="1">_xlfn.IFS(AD1192&lt;100,Y1192,Y1192&lt;TODAY(),TODAY(),Y1192&gt;TODAY(),Y1192,Y1192=TODAY(),Y1192)</f>
        <v>45154</v>
      </c>
      <c r="AD1192" s="298">
        <f t="shared" si="336"/>
        <v>0</v>
      </c>
      <c r="AE1192" s="299" t="str">
        <f t="shared" si="337"/>
        <v>Complete</v>
      </c>
      <c r="AI1192" s="301">
        <f t="shared" ca="1" si="333"/>
        <v>0</v>
      </c>
      <c r="AJ1192" s="302">
        <f t="shared" ca="1" si="334"/>
        <v>0</v>
      </c>
      <c r="AL1192" s="303">
        <f t="shared" si="338"/>
        <v>0</v>
      </c>
      <c r="AM1192" s="303">
        <f t="shared" si="339"/>
        <v>-2454400</v>
      </c>
      <c r="AN1192" s="303">
        <f t="shared" si="340"/>
        <v>2454400</v>
      </c>
      <c r="AO1192" s="304">
        <f t="shared" si="341"/>
        <v>0</v>
      </c>
      <c r="AP1192" s="273">
        <f t="shared" si="345"/>
        <v>8</v>
      </c>
      <c r="AQ1192" s="273" t="str">
        <f t="shared" ca="1" si="342"/>
        <v>82023</v>
      </c>
    </row>
    <row r="1193" spans="2:43">
      <c r="B1193" s="702" t="s">
        <v>2575</v>
      </c>
      <c r="E1193" s="440">
        <v>44982</v>
      </c>
      <c r="O1193" s="273"/>
      <c r="P1193" s="794">
        <v>45162</v>
      </c>
      <c r="Q1193" s="304" t="s">
        <v>3889</v>
      </c>
      <c r="R1193" s="313">
        <v>-5536049</v>
      </c>
      <c r="V1193" s="340">
        <f t="shared" ca="1" si="364"/>
        <v>8</v>
      </c>
      <c r="W1193" s="594">
        <f t="shared" ca="1" si="365"/>
        <v>2023</v>
      </c>
      <c r="X1193" s="340" t="str">
        <f t="shared" ca="1" si="348"/>
        <v>4 WEEK</v>
      </c>
      <c r="Y1193" s="794">
        <f t="shared" si="366"/>
        <v>45162</v>
      </c>
      <c r="Z1193" s="541" cm="1">
        <f t="array" aca="1" ref="Z1193" ca="1">_xlfn.IFS(AD1193&lt;100,Y1193,Y1193&lt;TODAY(),TODAY(),Y1193&gt;TODAY(),Y1193,Y1193=TODAY(),Y1193)</f>
        <v>45162</v>
      </c>
      <c r="AD1193" s="298">
        <f t="shared" si="336"/>
        <v>0</v>
      </c>
      <c r="AE1193" s="299" t="str">
        <f t="shared" si="337"/>
        <v>Complete</v>
      </c>
      <c r="AI1193" s="301">
        <f t="shared" ca="1" si="333"/>
        <v>0</v>
      </c>
      <c r="AJ1193" s="302">
        <f t="shared" ca="1" si="334"/>
        <v>0</v>
      </c>
      <c r="AL1193" s="303">
        <f t="shared" si="338"/>
        <v>0</v>
      </c>
      <c r="AM1193" s="303">
        <f t="shared" si="339"/>
        <v>5536049</v>
      </c>
      <c r="AN1193" s="303">
        <f t="shared" si="340"/>
        <v>-5536049</v>
      </c>
      <c r="AO1193" s="304">
        <f t="shared" si="341"/>
        <v>0</v>
      </c>
      <c r="AP1193" s="273">
        <f t="shared" si="345"/>
        <v>8</v>
      </c>
      <c r="AQ1193" s="273" t="str">
        <f t="shared" ca="1" si="342"/>
        <v>82023</v>
      </c>
    </row>
    <row r="1194" spans="2:43">
      <c r="B1194" s="702" t="s">
        <v>2575</v>
      </c>
      <c r="E1194" s="440">
        <v>44982</v>
      </c>
      <c r="O1194" s="273"/>
      <c r="P1194" s="794">
        <v>45742</v>
      </c>
      <c r="Q1194" s="304" t="s">
        <v>3890</v>
      </c>
      <c r="R1194" s="313">
        <v>649600</v>
      </c>
      <c r="V1194" s="340">
        <f t="shared" ca="1" si="364"/>
        <v>3</v>
      </c>
      <c r="W1194" s="594">
        <f t="shared" ca="1" si="365"/>
        <v>2025</v>
      </c>
      <c r="X1194" s="340" t="str">
        <f t="shared" ca="1" si="348"/>
        <v>4 WEEK</v>
      </c>
      <c r="Y1194" s="794">
        <f t="shared" si="366"/>
        <v>45742</v>
      </c>
      <c r="Z1194" s="541" cm="1">
        <f t="array" aca="1" ref="Z1194" ca="1">_xlfn.IFS(AD1194&lt;100,Y1194,Y1194&lt;TODAY(),TODAY(),Y1194&gt;TODAY(),Y1194,Y1194=TODAY(),Y1194)</f>
        <v>45742</v>
      </c>
      <c r="AD1194" s="298">
        <f t="shared" si="336"/>
        <v>0</v>
      </c>
      <c r="AE1194" s="299" t="str">
        <f t="shared" si="337"/>
        <v>Complete</v>
      </c>
      <c r="AI1194" s="301">
        <f t="shared" ca="1" si="333"/>
        <v>0</v>
      </c>
      <c r="AJ1194" s="302">
        <f t="shared" ca="1" si="334"/>
        <v>0</v>
      </c>
      <c r="AL1194" s="303">
        <f t="shared" si="338"/>
        <v>0</v>
      </c>
      <c r="AM1194" s="303">
        <f t="shared" si="339"/>
        <v>-649600</v>
      </c>
      <c r="AN1194" s="303">
        <f t="shared" si="340"/>
        <v>649600</v>
      </c>
      <c r="AO1194" s="304">
        <f t="shared" si="341"/>
        <v>0</v>
      </c>
      <c r="AP1194" s="273">
        <f t="shared" si="345"/>
        <v>3</v>
      </c>
      <c r="AQ1194" s="273" t="str">
        <f t="shared" ca="1" si="342"/>
        <v>32025</v>
      </c>
    </row>
    <row r="1195" spans="2:43">
      <c r="B1195" s="702"/>
      <c r="P1195" s="794"/>
      <c r="Q1195" s="304"/>
      <c r="R1195" s="313"/>
      <c r="V1195" s="340">
        <f t="shared" ca="1" si="364"/>
        <v>1</v>
      </c>
      <c r="W1195" s="594">
        <f t="shared" ca="1" si="365"/>
        <v>1900</v>
      </c>
      <c r="X1195" s="340" t="str">
        <f t="shared" ca="1" si="348"/>
        <v>0 WEEK</v>
      </c>
      <c r="Y1195" s="794">
        <f t="shared" si="366"/>
        <v>0</v>
      </c>
      <c r="Z1195" s="541" cm="1">
        <f t="array" aca="1" ref="Z1195" ca="1">_xlfn.IFS(AD1195&lt;100,Y1195,Y1195&lt;TODAY(),TODAY(),Y1195&gt;TODAY(),Y1195,Y1195=TODAY(),Y1195)</f>
        <v>0</v>
      </c>
      <c r="AD1195" s="298">
        <f t="shared" si="336"/>
        <v>0</v>
      </c>
      <c r="AE1195" s="299" t="str">
        <f t="shared" si="337"/>
        <v>Complete</v>
      </c>
      <c r="AI1195" s="301">
        <f t="shared" ca="1" si="333"/>
        <v>0</v>
      </c>
      <c r="AJ1195" s="302">
        <f t="shared" ca="1" si="334"/>
        <v>0</v>
      </c>
      <c r="AL1195" s="303">
        <f t="shared" si="338"/>
        <v>0</v>
      </c>
      <c r="AM1195" s="303">
        <f t="shared" si="339"/>
        <v>0</v>
      </c>
      <c r="AN1195" s="303">
        <f t="shared" si="340"/>
        <v>0</v>
      </c>
      <c r="AO1195" s="304">
        <f t="shared" si="341"/>
        <v>0</v>
      </c>
      <c r="AP1195" s="273">
        <f t="shared" si="345"/>
        <v>1</v>
      </c>
      <c r="AQ1195" s="273" t="str">
        <f t="shared" ca="1" si="342"/>
        <v>11900</v>
      </c>
    </row>
    <row r="1196" spans="2:43" ht="18">
      <c r="B1196" s="702" t="s">
        <v>2583</v>
      </c>
      <c r="P1196" s="794"/>
      <c r="Q1196" s="304"/>
      <c r="R1196" s="741" t="e">
        <v>#VALUE!</v>
      </c>
      <c r="V1196" s="340">
        <f t="shared" ca="1" si="364"/>
        <v>1</v>
      </c>
      <c r="W1196" s="594">
        <f t="shared" ca="1" si="365"/>
        <v>1900</v>
      </c>
      <c r="X1196" s="340" t="str">
        <f t="shared" ca="1" si="348"/>
        <v>0 WEEK</v>
      </c>
      <c r="Y1196" s="794">
        <f t="shared" si="366"/>
        <v>0</v>
      </c>
      <c r="Z1196" s="541" cm="1">
        <f t="array" aca="1" ref="Z1196" ca="1">_xlfn.IFS(AD1196&lt;100,Y1196,Y1196&lt;TODAY(),TODAY(),Y1196&gt;TODAY(),Y1196,Y1196=TODAY(),Y1196)</f>
        <v>0</v>
      </c>
      <c r="AD1196" s="298">
        <f t="shared" si="336"/>
        <v>0</v>
      </c>
      <c r="AE1196" s="299" t="str">
        <f t="shared" si="337"/>
        <v>Complete</v>
      </c>
      <c r="AI1196" s="301">
        <f t="shared" ca="1" si="333"/>
        <v>0</v>
      </c>
      <c r="AJ1196" s="302">
        <f t="shared" ca="1" si="334"/>
        <v>0</v>
      </c>
      <c r="AL1196" s="303">
        <f t="shared" si="338"/>
        <v>0</v>
      </c>
      <c r="AM1196" s="303">
        <f t="shared" si="339"/>
        <v>0</v>
      </c>
      <c r="AN1196" s="303">
        <f t="shared" si="340"/>
        <v>0</v>
      </c>
      <c r="AO1196" s="304">
        <f t="shared" si="341"/>
        <v>0</v>
      </c>
      <c r="AP1196" s="273">
        <f t="shared" si="345"/>
        <v>1</v>
      </c>
      <c r="AQ1196" s="273" t="str">
        <f t="shared" ca="1" si="342"/>
        <v>11900</v>
      </c>
    </row>
    <row r="1197" spans="2:43">
      <c r="B1197" s="702" t="s">
        <v>2583</v>
      </c>
      <c r="P1197" s="794">
        <v>45848</v>
      </c>
      <c r="Q1197" s="304" t="s">
        <v>3891</v>
      </c>
      <c r="R1197" s="313">
        <v>117225</v>
      </c>
      <c r="V1197" s="340">
        <f t="shared" ca="1" si="364"/>
        <v>7</v>
      </c>
      <c r="W1197" s="594">
        <f t="shared" ca="1" si="365"/>
        <v>2025</v>
      </c>
      <c r="X1197" s="340" t="str">
        <f t="shared" ca="1" si="348"/>
        <v>2 WEEK</v>
      </c>
      <c r="Y1197" s="794">
        <f t="shared" si="366"/>
        <v>45848</v>
      </c>
      <c r="Z1197" s="541" cm="1">
        <f t="array" aca="1" ref="Z1197" ca="1">_xlfn.IFS(AD1197&lt;100,Y1197,Y1197&lt;TODAY(),TODAY(),Y1197&gt;TODAY(),Y1197,Y1197=TODAY(),Y1197)</f>
        <v>45848</v>
      </c>
      <c r="AB1197" s="307">
        <v>0</v>
      </c>
      <c r="AD1197" s="298">
        <f t="shared" si="336"/>
        <v>0</v>
      </c>
      <c r="AE1197" s="299" t="str">
        <f t="shared" si="337"/>
        <v>Complete</v>
      </c>
      <c r="AI1197" s="301">
        <f t="shared" ca="1" si="333"/>
        <v>0</v>
      </c>
      <c r="AJ1197" s="302">
        <f t="shared" ca="1" si="334"/>
        <v>0</v>
      </c>
      <c r="AL1197" s="303">
        <f t="shared" si="338"/>
        <v>0</v>
      </c>
      <c r="AM1197" s="303">
        <f t="shared" si="339"/>
        <v>-117225</v>
      </c>
      <c r="AN1197" s="303">
        <f t="shared" si="340"/>
        <v>117225</v>
      </c>
      <c r="AO1197" s="304">
        <f t="shared" si="341"/>
        <v>0</v>
      </c>
      <c r="AP1197" s="273">
        <f t="shared" si="345"/>
        <v>7</v>
      </c>
      <c r="AQ1197" s="273" t="str">
        <f t="shared" ca="1" si="342"/>
        <v>72025</v>
      </c>
    </row>
    <row r="1198" spans="2:43">
      <c r="B1198" s="702" t="s">
        <v>2583</v>
      </c>
      <c r="P1198" s="794">
        <v>45868</v>
      </c>
      <c r="Q1198" s="304" t="s">
        <v>3892</v>
      </c>
      <c r="R1198" s="313">
        <v>183773</v>
      </c>
      <c r="V1198" s="340">
        <f t="shared" ca="1" si="364"/>
        <v>7</v>
      </c>
      <c r="W1198" s="594">
        <f t="shared" ca="1" si="365"/>
        <v>2025</v>
      </c>
      <c r="X1198" s="340" t="str">
        <f t="shared" ca="1" si="348"/>
        <v>5 WEEK</v>
      </c>
      <c r="Y1198" s="794">
        <f t="shared" si="366"/>
        <v>45868</v>
      </c>
      <c r="Z1198" s="541" cm="1">
        <f t="array" aca="1" ref="Z1198" ca="1">_xlfn.IFS(AD1198&lt;100,Y1198,Y1198&lt;TODAY(),TODAY(),Y1198&gt;TODAY(),Y1198,Y1198=TODAY(),Y1198)</f>
        <v>45868</v>
      </c>
      <c r="AD1198" s="298">
        <f t="shared" si="336"/>
        <v>0</v>
      </c>
      <c r="AE1198" s="299" t="str">
        <f t="shared" si="337"/>
        <v>Complete</v>
      </c>
      <c r="AI1198" s="301">
        <f t="shared" ca="1" si="333"/>
        <v>0</v>
      </c>
      <c r="AJ1198" s="302">
        <f t="shared" ca="1" si="334"/>
        <v>0</v>
      </c>
      <c r="AL1198" s="303">
        <f t="shared" si="338"/>
        <v>0</v>
      </c>
      <c r="AM1198" s="303">
        <f t="shared" si="339"/>
        <v>-183773</v>
      </c>
      <c r="AN1198" s="303">
        <f t="shared" si="340"/>
        <v>183773</v>
      </c>
      <c r="AO1198" s="304">
        <f t="shared" si="341"/>
        <v>0</v>
      </c>
      <c r="AP1198" s="273">
        <f t="shared" si="345"/>
        <v>7</v>
      </c>
      <c r="AQ1198" s="273" t="str">
        <f t="shared" ca="1" si="342"/>
        <v>72025</v>
      </c>
    </row>
    <row r="1199" spans="2:43">
      <c r="B1199" s="702"/>
      <c r="P1199" s="794"/>
      <c r="Q1199" s="304"/>
      <c r="R1199" s="313"/>
      <c r="V1199" s="340"/>
      <c r="W1199" s="594"/>
      <c r="X1199" s="340" t="str">
        <f t="shared" ca="1" si="348"/>
        <v>0 WEEK</v>
      </c>
      <c r="Y1199" s="794"/>
      <c r="Z1199" s="541" cm="1">
        <f t="array" aca="1" ref="Z1199" ca="1">_xlfn.IFS(AD1199&lt;100,Y1199,Y1199&lt;TODAY(),TODAY(),Y1199&gt;TODAY(),Y1199,Y1199=TODAY(),Y1199)</f>
        <v>0</v>
      </c>
      <c r="AD1199" s="298">
        <f t="shared" si="336"/>
        <v>0</v>
      </c>
      <c r="AE1199" s="299" t="str">
        <f t="shared" si="337"/>
        <v>Complete</v>
      </c>
      <c r="AI1199" s="301">
        <f t="shared" ca="1" si="333"/>
        <v>0</v>
      </c>
      <c r="AJ1199" s="302">
        <f t="shared" ca="1" si="334"/>
        <v>0</v>
      </c>
      <c r="AL1199" s="303">
        <f t="shared" si="338"/>
        <v>0</v>
      </c>
      <c r="AM1199" s="303">
        <f t="shared" si="339"/>
        <v>0</v>
      </c>
      <c r="AN1199" s="303">
        <f t="shared" si="340"/>
        <v>0</v>
      </c>
      <c r="AO1199" s="304">
        <f t="shared" si="341"/>
        <v>0</v>
      </c>
      <c r="AP1199" s="273">
        <f t="shared" si="345"/>
        <v>1</v>
      </c>
      <c r="AQ1199" s="273" t="str">
        <f t="shared" si="342"/>
        <v>1</v>
      </c>
    </row>
    <row r="1200" spans="2:43" ht="18">
      <c r="B1200" s="702" t="s">
        <v>2584</v>
      </c>
      <c r="C1200" s="273" t="s">
        <v>2585</v>
      </c>
      <c r="E1200" s="440">
        <v>45175</v>
      </c>
      <c r="G1200" s="308"/>
      <c r="P1200" s="794"/>
      <c r="Q1200" s="304"/>
      <c r="R1200" s="741" t="e">
        <v>#VALUE!</v>
      </c>
      <c r="V1200" s="340"/>
      <c r="W1200" s="594"/>
      <c r="X1200" s="340" t="str">
        <f t="shared" ca="1" si="348"/>
        <v>0 WEEK</v>
      </c>
      <c r="Y1200" s="794"/>
      <c r="Z1200" s="541" cm="1">
        <f t="array" aca="1" ref="Z1200" ca="1">_xlfn.IFS(AD1200&lt;100,Y1200,Y1200&lt;TODAY(),TODAY(),Y1200&gt;TODAY(),Y1200,Y1200=TODAY(),Y1200)</f>
        <v>0</v>
      </c>
      <c r="AD1200" s="298">
        <f t="shared" si="336"/>
        <v>0</v>
      </c>
      <c r="AE1200" s="299" t="str">
        <f t="shared" si="337"/>
        <v>Complete</v>
      </c>
      <c r="AI1200" s="301">
        <f t="shared" ca="1" si="333"/>
        <v>0</v>
      </c>
      <c r="AJ1200" s="302">
        <f t="shared" ca="1" si="334"/>
        <v>0</v>
      </c>
      <c r="AL1200" s="303">
        <f t="shared" si="338"/>
        <v>0</v>
      </c>
      <c r="AM1200" s="303">
        <f t="shared" si="339"/>
        <v>0</v>
      </c>
      <c r="AN1200" s="303">
        <f t="shared" si="340"/>
        <v>0</v>
      </c>
      <c r="AO1200" s="304">
        <f t="shared" si="341"/>
        <v>0</v>
      </c>
      <c r="AP1200" s="273">
        <f t="shared" si="345"/>
        <v>1</v>
      </c>
      <c r="AQ1200" s="273" t="str">
        <f t="shared" si="342"/>
        <v>1</v>
      </c>
    </row>
    <row r="1201" spans="2:43">
      <c r="B1201" s="702" t="s">
        <v>2584</v>
      </c>
      <c r="C1201" s="273" t="s">
        <v>2585</v>
      </c>
      <c r="E1201" s="440">
        <v>45175</v>
      </c>
      <c r="G1201" s="308">
        <v>52000</v>
      </c>
      <c r="H1201" s="307">
        <f>I1201-G1201</f>
        <v>9360</v>
      </c>
      <c r="I1201" s="308">
        <f>G1201*118%</f>
        <v>61360</v>
      </c>
      <c r="P1201" s="794">
        <v>45183</v>
      </c>
      <c r="Q1201" s="304" t="s">
        <v>3875</v>
      </c>
      <c r="R1201" s="313">
        <v>61360</v>
      </c>
      <c r="V1201" s="340">
        <f t="shared" ref="V1201:V1202" ca="1" si="367">MONTH(Z1201)</f>
        <v>9</v>
      </c>
      <c r="W1201" s="594">
        <f t="shared" ref="W1201:W1202" ca="1" si="368">YEAR(Z1201)</f>
        <v>2023</v>
      </c>
      <c r="X1201" s="340" t="str">
        <f t="shared" ca="1" si="348"/>
        <v>2 WEEK</v>
      </c>
      <c r="Y1201" s="794">
        <f t="shared" ref="Y1201:Y1202" si="369">P1201+T1201</f>
        <v>45183</v>
      </c>
      <c r="Z1201" s="541" cm="1">
        <f t="array" aca="1" ref="Z1201" ca="1">_xlfn.IFS(AD1201&lt;100,Y1201,Y1201&lt;TODAY(),TODAY(),Y1201&gt;TODAY(),Y1201,Y1201=TODAY(),Y1201)</f>
        <v>45183</v>
      </c>
      <c r="AB1201" s="307">
        <v>61360</v>
      </c>
      <c r="AD1201" s="298">
        <f t="shared" si="336"/>
        <v>-61360</v>
      </c>
      <c r="AE1201" s="299" t="str">
        <f t="shared" si="337"/>
        <v>Complete</v>
      </c>
      <c r="AI1201" s="301">
        <f t="shared" ca="1" si="333"/>
        <v>0</v>
      </c>
      <c r="AJ1201" s="302">
        <f t="shared" ca="1" si="334"/>
        <v>0</v>
      </c>
      <c r="AL1201" s="303">
        <f t="shared" si="338"/>
        <v>61360</v>
      </c>
      <c r="AM1201" s="303">
        <f t="shared" si="339"/>
        <v>0</v>
      </c>
      <c r="AN1201" s="303">
        <f t="shared" si="340"/>
        <v>61360</v>
      </c>
      <c r="AO1201" s="304">
        <f t="shared" si="341"/>
        <v>0</v>
      </c>
      <c r="AP1201" s="273">
        <f t="shared" si="345"/>
        <v>9</v>
      </c>
      <c r="AQ1201" s="273" t="str">
        <f t="shared" ca="1" si="342"/>
        <v>92023</v>
      </c>
    </row>
    <row r="1202" spans="2:43">
      <c r="B1202" s="702" t="s">
        <v>2584</v>
      </c>
      <c r="C1202" s="273" t="s">
        <v>2585</v>
      </c>
      <c r="E1202" s="440">
        <v>45175</v>
      </c>
      <c r="P1202" s="980">
        <v>45663</v>
      </c>
      <c r="Q1202" s="981" t="s">
        <v>3876</v>
      </c>
      <c r="R1202" s="982">
        <v>61600</v>
      </c>
      <c r="V1202" s="340">
        <f t="shared" ca="1" si="367"/>
        <v>1</v>
      </c>
      <c r="W1202" s="594">
        <f t="shared" ca="1" si="368"/>
        <v>2025</v>
      </c>
      <c r="X1202" s="340" t="str">
        <f t="shared" ca="1" si="348"/>
        <v>1 WEEK</v>
      </c>
      <c r="Y1202" s="794">
        <f t="shared" si="369"/>
        <v>45663</v>
      </c>
      <c r="Z1202" s="541" cm="1">
        <f t="array" aca="1" ref="Z1202" ca="1">_xlfn.IFS(AD1202&lt;100,Y1202,Y1202&lt;TODAY(),TODAY(),Y1202&gt;TODAY(),Y1202,Y1202=TODAY(),Y1202)</f>
        <v>45663</v>
      </c>
      <c r="AD1202" s="298">
        <f t="shared" si="336"/>
        <v>0</v>
      </c>
      <c r="AE1202" s="299" t="str">
        <f t="shared" si="337"/>
        <v>Complete</v>
      </c>
      <c r="AI1202" s="301">
        <f t="shared" ca="1" si="333"/>
        <v>0</v>
      </c>
      <c r="AJ1202" s="302">
        <f t="shared" ca="1" si="334"/>
        <v>0</v>
      </c>
      <c r="AL1202" s="303">
        <f t="shared" si="338"/>
        <v>0</v>
      </c>
      <c r="AM1202" s="303">
        <f t="shared" si="339"/>
        <v>-61600</v>
      </c>
      <c r="AN1202" s="303">
        <f t="shared" si="340"/>
        <v>61600</v>
      </c>
      <c r="AO1202" s="304">
        <f t="shared" si="341"/>
        <v>0</v>
      </c>
      <c r="AP1202" s="273">
        <f t="shared" si="345"/>
        <v>1</v>
      </c>
      <c r="AQ1202" s="273" t="str">
        <f t="shared" ca="1" si="342"/>
        <v>12025</v>
      </c>
    </row>
    <row r="1203" spans="2:43">
      <c r="B1203" s="702"/>
      <c r="E1203" s="440"/>
      <c r="P1203" s="980"/>
      <c r="Q1203" s="981"/>
      <c r="R1203" s="982"/>
      <c r="V1203" s="340"/>
      <c r="W1203" s="594"/>
      <c r="X1203" s="340"/>
      <c r="Y1203" s="794"/>
      <c r="Z1203" s="541"/>
      <c r="AD1203" s="298"/>
      <c r="AE1203" s="299"/>
      <c r="AI1203" s="301"/>
      <c r="AJ1203" s="302"/>
      <c r="AL1203" s="303"/>
      <c r="AM1203" s="303">
        <f t="shared" ref="AM1203:AM1247" si="370">IFERROR(I1203-R1203,0)</f>
        <v>0</v>
      </c>
      <c r="AN1203" s="303">
        <f t="shared" ref="AN1203:AN1247" si="371">IFERROR(R1203-J1203,0)</f>
        <v>0</v>
      </c>
      <c r="AO1203" s="304">
        <f t="shared" si="341"/>
        <v>0</v>
      </c>
      <c r="AP1203" s="273">
        <f t="shared" si="345"/>
        <v>1</v>
      </c>
      <c r="AQ1203" s="273" t="str">
        <f t="shared" si="342"/>
        <v>1</v>
      </c>
    </row>
    <row r="1204" spans="2:43">
      <c r="B1204" s="702" t="s">
        <v>2586</v>
      </c>
      <c r="E1204" s="440"/>
      <c r="P1204" s="980"/>
      <c r="Q1204" s="981"/>
      <c r="R1204" s="982"/>
      <c r="V1204" s="340"/>
      <c r="W1204" s="594"/>
      <c r="X1204" s="340"/>
      <c r="Y1204" s="794"/>
      <c r="Z1204" s="541"/>
      <c r="AD1204" s="298"/>
      <c r="AE1204" s="299"/>
      <c r="AI1204" s="301"/>
      <c r="AJ1204" s="302"/>
      <c r="AL1204" s="303"/>
      <c r="AM1204" s="303">
        <f t="shared" si="370"/>
        <v>0</v>
      </c>
      <c r="AN1204" s="303">
        <f t="shared" si="371"/>
        <v>0</v>
      </c>
      <c r="AO1204" s="304">
        <f t="shared" si="341"/>
        <v>0</v>
      </c>
      <c r="AP1204" s="273">
        <f t="shared" si="345"/>
        <v>1</v>
      </c>
      <c r="AQ1204" s="273" t="str">
        <f t="shared" si="342"/>
        <v>1</v>
      </c>
    </row>
    <row r="1205" spans="2:43">
      <c r="B1205" s="702"/>
      <c r="R1205" s="979"/>
      <c r="V1205" s="340">
        <f t="shared" ref="V1205" ca="1" si="372">MONTH(Z1205)</f>
        <v>1</v>
      </c>
      <c r="W1205" s="594">
        <f t="shared" ref="W1205" ca="1" si="373">YEAR(Z1205)</f>
        <v>1900</v>
      </c>
      <c r="X1205" s="340" t="str">
        <f t="shared" ref="X1205:X1246" ca="1" si="374">INT((DAY(Z1205)-1)/7)+1&amp;" WEEK"</f>
        <v>0 WEEK</v>
      </c>
      <c r="Y1205" s="794">
        <f t="shared" ref="Y1205" si="375">P1205+T1205</f>
        <v>0</v>
      </c>
      <c r="Z1205" s="541" cm="1">
        <f t="array" aca="1" ref="Z1205" ca="1">_xlfn.IFS(AD1205&lt;100,Y1205,Y1205&lt;TODAY(),TODAY(),Y1205&gt;TODAY(),Y1205,Y1205=TODAY(),Y1205)</f>
        <v>0</v>
      </c>
      <c r="AD1205" s="298">
        <f t="shared" ref="AD1205:AD1246" si="376">ROUND(AA1205-AB1205-AC1205,0)</f>
        <v>0</v>
      </c>
      <c r="AE1205" s="299" t="str">
        <f t="shared" ref="AE1205:AE1246" si="377">IF(AD1205&lt;100,"Complete","Incomplete")</f>
        <v>Complete</v>
      </c>
      <c r="AI1205" s="301">
        <f t="shared" ref="AI1205:AI1246" ca="1" si="378">Z1205-Y1205</f>
        <v>0</v>
      </c>
      <c r="AJ1205" s="302">
        <f t="shared" ref="AJ1205:AJ1246" ca="1" si="379">IF(AI1205&gt;1,"Delayed",0)</f>
        <v>0</v>
      </c>
      <c r="AL1205" s="303">
        <f t="shared" ref="AL1205:AL1247" si="380">I1205-J1205</f>
        <v>0</v>
      </c>
      <c r="AM1205" s="303">
        <f t="shared" si="370"/>
        <v>0</v>
      </c>
      <c r="AN1205" s="303">
        <f t="shared" si="371"/>
        <v>0</v>
      </c>
      <c r="AO1205" s="304">
        <f t="shared" si="341"/>
        <v>0</v>
      </c>
      <c r="AP1205" s="273">
        <f t="shared" si="345"/>
        <v>1</v>
      </c>
      <c r="AQ1205" s="273" t="str">
        <f t="shared" ca="1" si="342"/>
        <v>11900</v>
      </c>
    </row>
    <row r="1206" spans="2:43" ht="18">
      <c r="B1206" s="702" t="s">
        <v>2587</v>
      </c>
      <c r="R1206" s="741" t="e">
        <v>#VALUE!</v>
      </c>
      <c r="V1206" s="340"/>
      <c r="W1206" s="594"/>
      <c r="X1206" s="340" t="str">
        <f t="shared" ca="1" si="374"/>
        <v>0 WEEK</v>
      </c>
      <c r="Y1206" s="794"/>
      <c r="Z1206" s="541" cm="1">
        <f t="array" aca="1" ref="Z1206" ca="1">_xlfn.IFS(AD1206&lt;100,Y1206,Y1206&lt;TODAY(),TODAY(),Y1206&gt;TODAY(),Y1206,Y1206=TODAY(),Y1206)</f>
        <v>0</v>
      </c>
      <c r="AD1206" s="298">
        <f t="shared" si="376"/>
        <v>0</v>
      </c>
      <c r="AE1206" s="299" t="str">
        <f t="shared" si="377"/>
        <v>Complete</v>
      </c>
      <c r="AI1206" s="301">
        <f t="shared" ca="1" si="378"/>
        <v>0</v>
      </c>
      <c r="AJ1206" s="302">
        <f t="shared" ca="1" si="379"/>
        <v>0</v>
      </c>
      <c r="AL1206" s="303">
        <f t="shared" si="380"/>
        <v>0</v>
      </c>
      <c r="AM1206" s="303">
        <f t="shared" si="370"/>
        <v>0</v>
      </c>
      <c r="AN1206" s="303">
        <f t="shared" si="371"/>
        <v>0</v>
      </c>
      <c r="AO1206" s="304">
        <f t="shared" si="341"/>
        <v>0</v>
      </c>
      <c r="AP1206" s="273">
        <f t="shared" si="345"/>
        <v>1</v>
      </c>
      <c r="AQ1206" s="273" t="str">
        <f t="shared" si="342"/>
        <v>1</v>
      </c>
    </row>
    <row r="1207" spans="2:43">
      <c r="B1207" s="702" t="s">
        <v>2587</v>
      </c>
      <c r="P1207" s="794">
        <v>45528</v>
      </c>
      <c r="Q1207" s="304" t="s">
        <v>3893</v>
      </c>
      <c r="R1207" s="313">
        <v>1337943</v>
      </c>
      <c r="V1207" s="340">
        <f t="shared" ref="V1207:V1246" ca="1" si="381">MONTH(Z1207)</f>
        <v>8</v>
      </c>
      <c r="W1207" s="594">
        <f t="shared" ref="W1207:W1246" ca="1" si="382">YEAR(Z1207)</f>
        <v>2024</v>
      </c>
      <c r="X1207" s="340" t="str">
        <f t="shared" ca="1" si="374"/>
        <v>4 WEEK</v>
      </c>
      <c r="Y1207" s="794">
        <f t="shared" ref="Y1207:Y1246" si="383">P1207+T1207</f>
        <v>45528</v>
      </c>
      <c r="Z1207" s="541" cm="1">
        <f t="array" aca="1" ref="Z1207" ca="1">_xlfn.IFS(AD1207&lt;100,Y1207,Y1207&lt;TODAY(),TODAY(),Y1207&gt;TODAY(),Y1207,Y1207=TODAY(),Y1207)</f>
        <v>45528</v>
      </c>
      <c r="AB1207" s="307">
        <v>0</v>
      </c>
      <c r="AD1207" s="298">
        <f t="shared" si="376"/>
        <v>0</v>
      </c>
      <c r="AE1207" s="299" t="str">
        <f t="shared" si="377"/>
        <v>Complete</v>
      </c>
      <c r="AI1207" s="301">
        <f t="shared" ca="1" si="378"/>
        <v>0</v>
      </c>
      <c r="AJ1207" s="302">
        <f t="shared" ca="1" si="379"/>
        <v>0</v>
      </c>
      <c r="AL1207" s="303">
        <f t="shared" si="380"/>
        <v>0</v>
      </c>
      <c r="AM1207" s="303">
        <f t="shared" si="370"/>
        <v>-1337943</v>
      </c>
      <c r="AN1207" s="303">
        <f t="shared" si="371"/>
        <v>1337943</v>
      </c>
      <c r="AO1207" s="304">
        <f t="shared" si="341"/>
        <v>0</v>
      </c>
      <c r="AP1207" s="273">
        <f t="shared" si="345"/>
        <v>8</v>
      </c>
      <c r="AQ1207" s="273" t="str">
        <f t="shared" ca="1" si="342"/>
        <v>82024</v>
      </c>
    </row>
    <row r="1208" spans="2:43">
      <c r="B1208" s="702" t="s">
        <v>2587</v>
      </c>
      <c r="P1208" s="794">
        <v>45541</v>
      </c>
      <c r="Q1208" s="304" t="s">
        <v>3894</v>
      </c>
      <c r="R1208" s="313">
        <v>860106</v>
      </c>
      <c r="V1208" s="340">
        <f t="shared" ca="1" si="381"/>
        <v>9</v>
      </c>
      <c r="W1208" s="594">
        <f t="shared" ca="1" si="382"/>
        <v>2024</v>
      </c>
      <c r="X1208" s="340" t="str">
        <f t="shared" ca="1" si="374"/>
        <v>1 WEEK</v>
      </c>
      <c r="Y1208" s="794">
        <f t="shared" si="383"/>
        <v>45541</v>
      </c>
      <c r="Z1208" s="541" cm="1">
        <f t="array" aca="1" ref="Z1208" ca="1">_xlfn.IFS(AD1208&lt;100,Y1208,Y1208&lt;TODAY(),TODAY(),Y1208&gt;TODAY(),Y1208,Y1208=TODAY(),Y1208)</f>
        <v>45541</v>
      </c>
      <c r="AD1208" s="298">
        <f t="shared" si="376"/>
        <v>0</v>
      </c>
      <c r="AE1208" s="299" t="str">
        <f t="shared" si="377"/>
        <v>Complete</v>
      </c>
      <c r="AI1208" s="301">
        <f t="shared" ca="1" si="378"/>
        <v>0</v>
      </c>
      <c r="AJ1208" s="302">
        <f t="shared" ca="1" si="379"/>
        <v>0</v>
      </c>
      <c r="AL1208" s="303">
        <f t="shared" si="380"/>
        <v>0</v>
      </c>
      <c r="AM1208" s="303">
        <f t="shared" si="370"/>
        <v>-860106</v>
      </c>
      <c r="AN1208" s="303">
        <f t="shared" si="371"/>
        <v>860106</v>
      </c>
      <c r="AO1208" s="304">
        <f t="shared" si="341"/>
        <v>0</v>
      </c>
      <c r="AP1208" s="273">
        <f t="shared" si="345"/>
        <v>9</v>
      </c>
      <c r="AQ1208" s="273" t="str">
        <f t="shared" ca="1" si="342"/>
        <v>92024</v>
      </c>
    </row>
    <row r="1209" spans="2:43">
      <c r="B1209" s="702" t="s">
        <v>2587</v>
      </c>
      <c r="P1209" s="794">
        <v>45544</v>
      </c>
      <c r="Q1209" s="304" t="s">
        <v>3895</v>
      </c>
      <c r="R1209" s="313">
        <v>-1337943</v>
      </c>
      <c r="V1209" s="340">
        <f t="shared" ca="1" si="381"/>
        <v>9</v>
      </c>
      <c r="W1209" s="594">
        <f t="shared" ca="1" si="382"/>
        <v>2024</v>
      </c>
      <c r="X1209" s="340" t="str">
        <f t="shared" ca="1" si="374"/>
        <v>2 WEEK</v>
      </c>
      <c r="Y1209" s="794">
        <f t="shared" si="383"/>
        <v>45544</v>
      </c>
      <c r="Z1209" s="541" cm="1">
        <f t="array" aca="1" ref="Z1209" ca="1">_xlfn.IFS(AD1209&lt;100,Y1209,Y1209&lt;TODAY(),TODAY(),Y1209&gt;TODAY(),Y1209,Y1209=TODAY(),Y1209)</f>
        <v>45544</v>
      </c>
      <c r="AD1209" s="298">
        <f t="shared" si="376"/>
        <v>0</v>
      </c>
      <c r="AE1209" s="299" t="str">
        <f t="shared" si="377"/>
        <v>Complete</v>
      </c>
      <c r="AI1209" s="301">
        <f t="shared" ca="1" si="378"/>
        <v>0</v>
      </c>
      <c r="AJ1209" s="302">
        <f t="shared" ca="1" si="379"/>
        <v>0</v>
      </c>
      <c r="AL1209" s="303">
        <f t="shared" si="380"/>
        <v>0</v>
      </c>
      <c r="AM1209" s="303">
        <f t="shared" si="370"/>
        <v>1337943</v>
      </c>
      <c r="AN1209" s="303">
        <f t="shared" si="371"/>
        <v>-1337943</v>
      </c>
      <c r="AO1209" s="304">
        <f t="shared" si="341"/>
        <v>0</v>
      </c>
      <c r="AP1209" s="273">
        <f t="shared" si="345"/>
        <v>9</v>
      </c>
      <c r="AQ1209" s="273" t="str">
        <f t="shared" ca="1" si="342"/>
        <v>92024</v>
      </c>
    </row>
    <row r="1210" spans="2:43">
      <c r="B1210" s="702" t="s">
        <v>2587</v>
      </c>
      <c r="P1210" s="794">
        <v>45544</v>
      </c>
      <c r="Q1210" s="304" t="s">
        <v>3896</v>
      </c>
      <c r="R1210" s="313">
        <v>1337943</v>
      </c>
      <c r="V1210" s="340">
        <f t="shared" ca="1" si="381"/>
        <v>9</v>
      </c>
      <c r="W1210" s="594">
        <f t="shared" ca="1" si="382"/>
        <v>2024</v>
      </c>
      <c r="X1210" s="340" t="str">
        <f t="shared" ca="1" si="374"/>
        <v>2 WEEK</v>
      </c>
      <c r="Y1210" s="794">
        <f t="shared" si="383"/>
        <v>45544</v>
      </c>
      <c r="Z1210" s="541" cm="1">
        <f t="array" aca="1" ref="Z1210" ca="1">_xlfn.IFS(AD1210&lt;100,Y1210,Y1210&lt;TODAY(),TODAY(),Y1210&gt;TODAY(),Y1210,Y1210=TODAY(),Y1210)</f>
        <v>45544</v>
      </c>
      <c r="AD1210" s="298">
        <f t="shared" si="376"/>
        <v>0</v>
      </c>
      <c r="AE1210" s="299" t="str">
        <f t="shared" si="377"/>
        <v>Complete</v>
      </c>
      <c r="AI1210" s="301">
        <f t="shared" ca="1" si="378"/>
        <v>0</v>
      </c>
      <c r="AJ1210" s="302">
        <f t="shared" ca="1" si="379"/>
        <v>0</v>
      </c>
      <c r="AL1210" s="303">
        <f t="shared" si="380"/>
        <v>0</v>
      </c>
      <c r="AM1210" s="303">
        <f t="shared" si="370"/>
        <v>-1337943</v>
      </c>
      <c r="AN1210" s="303">
        <f t="shared" si="371"/>
        <v>1337943</v>
      </c>
      <c r="AO1210" s="304">
        <f t="shared" si="341"/>
        <v>0</v>
      </c>
      <c r="AP1210" s="273">
        <f t="shared" si="345"/>
        <v>9</v>
      </c>
      <c r="AQ1210" s="273" t="str">
        <f t="shared" ca="1" si="342"/>
        <v>92024</v>
      </c>
    </row>
    <row r="1211" spans="2:43">
      <c r="B1211" s="702" t="s">
        <v>2587</v>
      </c>
      <c r="P1211" s="794">
        <v>45549</v>
      </c>
      <c r="Q1211" s="304" t="s">
        <v>3897</v>
      </c>
      <c r="R1211" s="313">
        <v>95567</v>
      </c>
      <c r="V1211" s="340">
        <f t="shared" ca="1" si="381"/>
        <v>9</v>
      </c>
      <c r="W1211" s="594">
        <f t="shared" ca="1" si="382"/>
        <v>2024</v>
      </c>
      <c r="X1211" s="340" t="str">
        <f t="shared" ca="1" si="374"/>
        <v>2 WEEK</v>
      </c>
      <c r="Y1211" s="794">
        <f t="shared" si="383"/>
        <v>45549</v>
      </c>
      <c r="Z1211" s="541" cm="1">
        <f t="array" aca="1" ref="Z1211" ca="1">_xlfn.IFS(AD1211&lt;100,Y1211,Y1211&lt;TODAY(),TODAY(),Y1211&gt;TODAY(),Y1211,Y1211=TODAY(),Y1211)</f>
        <v>45549</v>
      </c>
      <c r="AD1211" s="298">
        <f t="shared" si="376"/>
        <v>0</v>
      </c>
      <c r="AE1211" s="299" t="str">
        <f t="shared" si="377"/>
        <v>Complete</v>
      </c>
      <c r="AI1211" s="301">
        <f t="shared" ca="1" si="378"/>
        <v>0</v>
      </c>
      <c r="AJ1211" s="302">
        <f t="shared" ca="1" si="379"/>
        <v>0</v>
      </c>
      <c r="AL1211" s="303">
        <f t="shared" si="380"/>
        <v>0</v>
      </c>
      <c r="AM1211" s="303">
        <f t="shared" si="370"/>
        <v>-95567</v>
      </c>
      <c r="AN1211" s="303">
        <f t="shared" si="371"/>
        <v>95567</v>
      </c>
      <c r="AO1211" s="304">
        <f t="shared" si="341"/>
        <v>0</v>
      </c>
      <c r="AP1211" s="273">
        <f t="shared" si="345"/>
        <v>9</v>
      </c>
      <c r="AQ1211" s="273" t="str">
        <f t="shared" ca="1" si="342"/>
        <v>92024</v>
      </c>
    </row>
    <row r="1212" spans="2:43">
      <c r="B1212" s="702" t="s">
        <v>2587</v>
      </c>
      <c r="P1212" s="794">
        <v>45560</v>
      </c>
      <c r="Q1212" s="304" t="s">
        <v>3898</v>
      </c>
      <c r="R1212" s="313">
        <v>95567</v>
      </c>
      <c r="V1212" s="340">
        <f t="shared" ca="1" si="381"/>
        <v>9</v>
      </c>
      <c r="W1212" s="594">
        <f t="shared" ca="1" si="382"/>
        <v>2024</v>
      </c>
      <c r="X1212" s="340" t="str">
        <f t="shared" ca="1" si="374"/>
        <v>4 WEEK</v>
      </c>
      <c r="Y1212" s="794">
        <f t="shared" si="383"/>
        <v>45560</v>
      </c>
      <c r="Z1212" s="541" cm="1">
        <f t="array" aca="1" ref="Z1212" ca="1">_xlfn.IFS(AD1212&lt;100,Y1212,Y1212&lt;TODAY(),TODAY(),Y1212&gt;TODAY(),Y1212,Y1212=TODAY(),Y1212)</f>
        <v>45560</v>
      </c>
      <c r="AD1212" s="298">
        <f t="shared" si="376"/>
        <v>0</v>
      </c>
      <c r="AE1212" s="299" t="str">
        <f t="shared" si="377"/>
        <v>Complete</v>
      </c>
      <c r="AI1212" s="301">
        <f t="shared" ca="1" si="378"/>
        <v>0</v>
      </c>
      <c r="AJ1212" s="302">
        <f t="shared" ca="1" si="379"/>
        <v>0</v>
      </c>
      <c r="AL1212" s="303">
        <f t="shared" si="380"/>
        <v>0</v>
      </c>
      <c r="AM1212" s="303">
        <f t="shared" si="370"/>
        <v>-95567</v>
      </c>
      <c r="AN1212" s="303">
        <f t="shared" si="371"/>
        <v>95567</v>
      </c>
      <c r="AO1212" s="304">
        <f t="shared" si="341"/>
        <v>0</v>
      </c>
      <c r="AP1212" s="273">
        <f t="shared" si="345"/>
        <v>9</v>
      </c>
      <c r="AQ1212" s="273" t="str">
        <f t="shared" ca="1" si="342"/>
        <v>92024</v>
      </c>
    </row>
    <row r="1213" spans="2:43">
      <c r="B1213" s="702" t="s">
        <v>2587</v>
      </c>
      <c r="P1213" s="794">
        <v>45563</v>
      </c>
      <c r="Q1213" s="304" t="s">
        <v>3899</v>
      </c>
      <c r="R1213" s="313">
        <v>286702</v>
      </c>
      <c r="V1213" s="340">
        <f t="shared" ca="1" si="381"/>
        <v>9</v>
      </c>
      <c r="W1213" s="594">
        <f t="shared" ca="1" si="382"/>
        <v>2024</v>
      </c>
      <c r="X1213" s="340" t="str">
        <f t="shared" ca="1" si="374"/>
        <v>4 WEEK</v>
      </c>
      <c r="Y1213" s="794">
        <f t="shared" si="383"/>
        <v>45563</v>
      </c>
      <c r="Z1213" s="541" cm="1">
        <f t="array" aca="1" ref="Z1213" ca="1">_xlfn.IFS(AD1213&lt;100,Y1213,Y1213&lt;TODAY(),TODAY(),Y1213&gt;TODAY(),Y1213,Y1213=TODAY(),Y1213)</f>
        <v>45563</v>
      </c>
      <c r="AD1213" s="298">
        <f t="shared" si="376"/>
        <v>0</v>
      </c>
      <c r="AE1213" s="299" t="str">
        <f t="shared" si="377"/>
        <v>Complete</v>
      </c>
      <c r="AI1213" s="301">
        <f t="shared" ca="1" si="378"/>
        <v>0</v>
      </c>
      <c r="AJ1213" s="302">
        <f t="shared" ca="1" si="379"/>
        <v>0</v>
      </c>
      <c r="AL1213" s="303">
        <f t="shared" si="380"/>
        <v>0</v>
      </c>
      <c r="AM1213" s="303">
        <f t="shared" si="370"/>
        <v>-286702</v>
      </c>
      <c r="AN1213" s="303">
        <f t="shared" si="371"/>
        <v>286702</v>
      </c>
      <c r="AO1213" s="304">
        <f t="shared" si="341"/>
        <v>0</v>
      </c>
      <c r="AP1213" s="273">
        <f t="shared" si="345"/>
        <v>9</v>
      </c>
      <c r="AQ1213" s="273" t="str">
        <f t="shared" ca="1" si="342"/>
        <v>92024</v>
      </c>
    </row>
    <row r="1214" spans="2:43">
      <c r="B1214" s="702" t="s">
        <v>2587</v>
      </c>
      <c r="P1214" s="794">
        <v>45590</v>
      </c>
      <c r="Q1214" s="304" t="s">
        <v>3900</v>
      </c>
      <c r="R1214" s="313">
        <v>3733459</v>
      </c>
      <c r="V1214" s="340">
        <f t="shared" ca="1" si="381"/>
        <v>10</v>
      </c>
      <c r="W1214" s="594">
        <f t="shared" ca="1" si="382"/>
        <v>2024</v>
      </c>
      <c r="X1214" s="340" t="str">
        <f t="shared" ca="1" si="374"/>
        <v>4 WEEK</v>
      </c>
      <c r="Y1214" s="794">
        <f t="shared" si="383"/>
        <v>45590</v>
      </c>
      <c r="Z1214" s="541" cm="1">
        <f t="array" aca="1" ref="Z1214" ca="1">_xlfn.IFS(AD1214&lt;100,Y1214,Y1214&lt;TODAY(),TODAY(),Y1214&gt;TODAY(),Y1214,Y1214=TODAY(),Y1214)</f>
        <v>45590</v>
      </c>
      <c r="AD1214" s="298">
        <f t="shared" si="376"/>
        <v>0</v>
      </c>
      <c r="AE1214" s="299" t="str">
        <f t="shared" si="377"/>
        <v>Complete</v>
      </c>
      <c r="AI1214" s="301">
        <f t="shared" ca="1" si="378"/>
        <v>0</v>
      </c>
      <c r="AJ1214" s="302">
        <f t="shared" ca="1" si="379"/>
        <v>0</v>
      </c>
      <c r="AL1214" s="303">
        <f t="shared" si="380"/>
        <v>0</v>
      </c>
      <c r="AM1214" s="303">
        <f t="shared" si="370"/>
        <v>-3733459</v>
      </c>
      <c r="AN1214" s="303">
        <f t="shared" si="371"/>
        <v>3733459</v>
      </c>
      <c r="AO1214" s="304">
        <f t="shared" si="341"/>
        <v>0</v>
      </c>
      <c r="AP1214" s="273">
        <f t="shared" si="345"/>
        <v>10</v>
      </c>
      <c r="AQ1214" s="273" t="str">
        <f t="shared" ca="1" si="342"/>
        <v>102024</v>
      </c>
    </row>
    <row r="1215" spans="2:43">
      <c r="B1215" s="702" t="s">
        <v>2587</v>
      </c>
      <c r="P1215" s="794">
        <v>45621</v>
      </c>
      <c r="Q1215" s="304" t="s">
        <v>3901</v>
      </c>
      <c r="R1215" s="313">
        <v>-3733459</v>
      </c>
      <c r="V1215" s="340">
        <f t="shared" ca="1" si="381"/>
        <v>11</v>
      </c>
      <c r="W1215" s="594">
        <f t="shared" ca="1" si="382"/>
        <v>2024</v>
      </c>
      <c r="X1215" s="340" t="str">
        <f t="shared" ca="1" si="374"/>
        <v>4 WEEK</v>
      </c>
      <c r="Y1215" s="794">
        <f t="shared" si="383"/>
        <v>45621</v>
      </c>
      <c r="Z1215" s="541" cm="1">
        <f t="array" aca="1" ref="Z1215" ca="1">_xlfn.IFS(AD1215&lt;100,Y1215,Y1215&lt;TODAY(),TODAY(),Y1215&gt;TODAY(),Y1215,Y1215=TODAY(),Y1215)</f>
        <v>45621</v>
      </c>
      <c r="AD1215" s="298">
        <f t="shared" si="376"/>
        <v>0</v>
      </c>
      <c r="AE1215" s="299" t="str">
        <f t="shared" si="377"/>
        <v>Complete</v>
      </c>
      <c r="AI1215" s="301">
        <f t="shared" ca="1" si="378"/>
        <v>0</v>
      </c>
      <c r="AJ1215" s="302">
        <f t="shared" ca="1" si="379"/>
        <v>0</v>
      </c>
      <c r="AL1215" s="303">
        <f t="shared" si="380"/>
        <v>0</v>
      </c>
      <c r="AM1215" s="303">
        <f t="shared" si="370"/>
        <v>3733459</v>
      </c>
      <c r="AN1215" s="303">
        <f t="shared" si="371"/>
        <v>-3733459</v>
      </c>
      <c r="AO1215" s="304">
        <f t="shared" si="341"/>
        <v>0</v>
      </c>
      <c r="AP1215" s="273">
        <f t="shared" si="345"/>
        <v>11</v>
      </c>
      <c r="AQ1215" s="273" t="str">
        <f t="shared" ca="1" si="342"/>
        <v>112024</v>
      </c>
    </row>
    <row r="1216" spans="2:43">
      <c r="B1216" s="702" t="s">
        <v>2587</v>
      </c>
      <c r="P1216" s="794">
        <v>45621</v>
      </c>
      <c r="Q1216" s="304" t="s">
        <v>3902</v>
      </c>
      <c r="R1216" s="313">
        <v>2080614</v>
      </c>
      <c r="V1216" s="340">
        <f t="shared" ca="1" si="381"/>
        <v>11</v>
      </c>
      <c r="W1216" s="594">
        <f t="shared" ca="1" si="382"/>
        <v>2024</v>
      </c>
      <c r="X1216" s="340" t="str">
        <f t="shared" ca="1" si="374"/>
        <v>4 WEEK</v>
      </c>
      <c r="Y1216" s="794">
        <f t="shared" si="383"/>
        <v>45621</v>
      </c>
      <c r="Z1216" s="541" cm="1">
        <f t="array" aca="1" ref="Z1216" ca="1">_xlfn.IFS(AD1216&lt;100,Y1216,Y1216&lt;TODAY(),TODAY(),Y1216&gt;TODAY(),Y1216,Y1216=TODAY(),Y1216)</f>
        <v>45621</v>
      </c>
      <c r="AD1216" s="298">
        <f t="shared" si="376"/>
        <v>0</v>
      </c>
      <c r="AE1216" s="299" t="str">
        <f t="shared" si="377"/>
        <v>Complete</v>
      </c>
      <c r="AI1216" s="301">
        <f t="shared" ca="1" si="378"/>
        <v>0</v>
      </c>
      <c r="AJ1216" s="302">
        <f t="shared" ca="1" si="379"/>
        <v>0</v>
      </c>
      <c r="AL1216" s="303">
        <f t="shared" si="380"/>
        <v>0</v>
      </c>
      <c r="AM1216" s="303">
        <f t="shared" si="370"/>
        <v>-2080614</v>
      </c>
      <c r="AN1216" s="303">
        <f t="shared" si="371"/>
        <v>2080614</v>
      </c>
      <c r="AO1216" s="304">
        <f t="shared" si="341"/>
        <v>0</v>
      </c>
      <c r="AP1216" s="273">
        <f t="shared" si="345"/>
        <v>11</v>
      </c>
      <c r="AQ1216" s="273" t="str">
        <f t="shared" ca="1" si="342"/>
        <v>112024</v>
      </c>
    </row>
    <row r="1217" spans="2:43">
      <c r="B1217" s="702" t="s">
        <v>2587</v>
      </c>
      <c r="P1217" s="794">
        <v>45621</v>
      </c>
      <c r="Q1217" s="304" t="s">
        <v>3903</v>
      </c>
      <c r="R1217" s="313">
        <v>1652845</v>
      </c>
      <c r="V1217" s="340">
        <f t="shared" ca="1" si="381"/>
        <v>11</v>
      </c>
      <c r="W1217" s="594">
        <f t="shared" ca="1" si="382"/>
        <v>2024</v>
      </c>
      <c r="X1217" s="340" t="str">
        <f t="shared" ca="1" si="374"/>
        <v>4 WEEK</v>
      </c>
      <c r="Y1217" s="794">
        <f t="shared" si="383"/>
        <v>45621</v>
      </c>
      <c r="Z1217" s="541" cm="1">
        <f t="array" aca="1" ref="Z1217" ca="1">_xlfn.IFS(AD1217&lt;100,Y1217,Y1217&lt;TODAY(),TODAY(),Y1217&gt;TODAY(),Y1217,Y1217=TODAY(),Y1217)</f>
        <v>45621</v>
      </c>
      <c r="AD1217" s="298">
        <f t="shared" si="376"/>
        <v>0</v>
      </c>
      <c r="AE1217" s="299" t="str">
        <f t="shared" si="377"/>
        <v>Complete</v>
      </c>
      <c r="AI1217" s="301">
        <f t="shared" ca="1" si="378"/>
        <v>0</v>
      </c>
      <c r="AJ1217" s="302">
        <f t="shared" ca="1" si="379"/>
        <v>0</v>
      </c>
      <c r="AL1217" s="303">
        <f t="shared" si="380"/>
        <v>0</v>
      </c>
      <c r="AM1217" s="303">
        <f t="shared" si="370"/>
        <v>-1652845</v>
      </c>
      <c r="AN1217" s="303">
        <f t="shared" si="371"/>
        <v>1652845</v>
      </c>
      <c r="AO1217" s="304">
        <f t="shared" si="341"/>
        <v>0</v>
      </c>
      <c r="AP1217" s="273">
        <f t="shared" si="345"/>
        <v>11</v>
      </c>
      <c r="AQ1217" s="273" t="str">
        <f t="shared" ca="1" si="342"/>
        <v>112024</v>
      </c>
    </row>
    <row r="1218" spans="2:43">
      <c r="B1218" s="702" t="s">
        <v>2587</v>
      </c>
      <c r="P1218" s="794">
        <v>45625</v>
      </c>
      <c r="Q1218" s="304" t="s">
        <v>3904</v>
      </c>
      <c r="R1218" s="313">
        <v>-1652845</v>
      </c>
      <c r="V1218" s="340">
        <f t="shared" ca="1" si="381"/>
        <v>11</v>
      </c>
      <c r="W1218" s="594">
        <f t="shared" ca="1" si="382"/>
        <v>2024</v>
      </c>
      <c r="X1218" s="340" t="str">
        <f t="shared" ca="1" si="374"/>
        <v>5 WEEK</v>
      </c>
      <c r="Y1218" s="794">
        <f t="shared" si="383"/>
        <v>45625</v>
      </c>
      <c r="Z1218" s="541" cm="1">
        <f t="array" aca="1" ref="Z1218" ca="1">_xlfn.IFS(AD1218&lt;100,Y1218,Y1218&lt;TODAY(),TODAY(),Y1218&gt;TODAY(),Y1218,Y1218=TODAY(),Y1218)</f>
        <v>45625</v>
      </c>
      <c r="AD1218" s="298">
        <f t="shared" si="376"/>
        <v>0</v>
      </c>
      <c r="AE1218" s="299" t="str">
        <f t="shared" si="377"/>
        <v>Complete</v>
      </c>
      <c r="AI1218" s="301">
        <f t="shared" ca="1" si="378"/>
        <v>0</v>
      </c>
      <c r="AJ1218" s="302">
        <f t="shared" ca="1" si="379"/>
        <v>0</v>
      </c>
      <c r="AL1218" s="303">
        <f t="shared" si="380"/>
        <v>0</v>
      </c>
      <c r="AM1218" s="303">
        <f t="shared" si="370"/>
        <v>1652845</v>
      </c>
      <c r="AN1218" s="303">
        <f t="shared" si="371"/>
        <v>-1652845</v>
      </c>
      <c r="AO1218" s="304">
        <f t="shared" si="341"/>
        <v>0</v>
      </c>
      <c r="AP1218" s="273">
        <f t="shared" si="345"/>
        <v>11</v>
      </c>
      <c r="AQ1218" s="273" t="str">
        <f t="shared" ca="1" si="342"/>
        <v>112024</v>
      </c>
    </row>
    <row r="1219" spans="2:43">
      <c r="B1219" s="702" t="s">
        <v>2587</v>
      </c>
      <c r="P1219" s="794">
        <v>45625</v>
      </c>
      <c r="Q1219" s="304" t="s">
        <v>3905</v>
      </c>
      <c r="R1219" s="313">
        <v>1322276</v>
      </c>
      <c r="V1219" s="340">
        <f t="shared" ca="1" si="381"/>
        <v>11</v>
      </c>
      <c r="W1219" s="594">
        <f t="shared" ca="1" si="382"/>
        <v>2024</v>
      </c>
      <c r="X1219" s="340" t="str">
        <f t="shared" ca="1" si="374"/>
        <v>5 WEEK</v>
      </c>
      <c r="Y1219" s="794">
        <f t="shared" si="383"/>
        <v>45625</v>
      </c>
      <c r="Z1219" s="541" cm="1">
        <f t="array" aca="1" ref="Z1219" ca="1">_xlfn.IFS(AD1219&lt;100,Y1219,Y1219&lt;TODAY(),TODAY(),Y1219&gt;TODAY(),Y1219,Y1219=TODAY(),Y1219)</f>
        <v>45625</v>
      </c>
      <c r="AD1219" s="298">
        <f t="shared" si="376"/>
        <v>0</v>
      </c>
      <c r="AE1219" s="299" t="str">
        <f t="shared" si="377"/>
        <v>Complete</v>
      </c>
      <c r="AI1219" s="301">
        <f t="shared" ca="1" si="378"/>
        <v>0</v>
      </c>
      <c r="AJ1219" s="302">
        <f t="shared" ca="1" si="379"/>
        <v>0</v>
      </c>
      <c r="AL1219" s="303">
        <f t="shared" si="380"/>
        <v>0</v>
      </c>
      <c r="AM1219" s="303">
        <f t="shared" si="370"/>
        <v>-1322276</v>
      </c>
      <c r="AN1219" s="303">
        <f t="shared" si="371"/>
        <v>1322276</v>
      </c>
      <c r="AO1219" s="304">
        <f t="shared" ref="AO1219:AO1246" si="384">IFERROR(P1219/J1219,0)</f>
        <v>0</v>
      </c>
      <c r="AP1219" s="273">
        <f t="shared" si="345"/>
        <v>11</v>
      </c>
      <c r="AQ1219" s="273" t="str">
        <f t="shared" ref="AQ1219:AQ1248" ca="1" si="385">AP1219&amp;W1219</f>
        <v>112024</v>
      </c>
    </row>
    <row r="1220" spans="2:43">
      <c r="B1220" s="702" t="s">
        <v>2587</v>
      </c>
      <c r="P1220" s="794">
        <v>45637</v>
      </c>
      <c r="Q1220" s="304" t="s">
        <v>3906</v>
      </c>
      <c r="R1220" s="313">
        <v>-408186</v>
      </c>
      <c r="V1220" s="340">
        <f t="shared" ca="1" si="381"/>
        <v>12</v>
      </c>
      <c r="W1220" s="594">
        <f t="shared" ca="1" si="382"/>
        <v>2024</v>
      </c>
      <c r="X1220" s="340" t="str">
        <f t="shared" ca="1" si="374"/>
        <v>2 WEEK</v>
      </c>
      <c r="Y1220" s="794">
        <f t="shared" si="383"/>
        <v>45637</v>
      </c>
      <c r="Z1220" s="541" cm="1">
        <f t="array" aca="1" ref="Z1220" ca="1">_xlfn.IFS(AD1220&lt;100,Y1220,Y1220&lt;TODAY(),TODAY(),Y1220&gt;TODAY(),Y1220,Y1220=TODAY(),Y1220)</f>
        <v>45637</v>
      </c>
      <c r="AD1220" s="298">
        <f t="shared" si="376"/>
        <v>0</v>
      </c>
      <c r="AE1220" s="299" t="str">
        <f t="shared" si="377"/>
        <v>Complete</v>
      </c>
      <c r="AI1220" s="301">
        <f t="shared" ca="1" si="378"/>
        <v>0</v>
      </c>
      <c r="AJ1220" s="302">
        <f t="shared" ca="1" si="379"/>
        <v>0</v>
      </c>
      <c r="AL1220" s="303">
        <f t="shared" si="380"/>
        <v>0</v>
      </c>
      <c r="AM1220" s="303">
        <f t="shared" si="370"/>
        <v>408186</v>
      </c>
      <c r="AN1220" s="303">
        <f t="shared" si="371"/>
        <v>-408186</v>
      </c>
      <c r="AO1220" s="304">
        <f t="shared" si="384"/>
        <v>0</v>
      </c>
      <c r="AP1220" s="273">
        <f t="shared" si="345"/>
        <v>12</v>
      </c>
      <c r="AQ1220" s="273" t="str">
        <f t="shared" ca="1" si="385"/>
        <v>122024</v>
      </c>
    </row>
    <row r="1221" spans="2:43">
      <c r="B1221" s="702" t="s">
        <v>2587</v>
      </c>
      <c r="P1221" s="794">
        <v>45637</v>
      </c>
      <c r="Q1221" s="304" t="s">
        <v>3907</v>
      </c>
      <c r="R1221" s="313">
        <v>408186</v>
      </c>
      <c r="V1221" s="340">
        <f t="shared" ca="1" si="381"/>
        <v>12</v>
      </c>
      <c r="W1221" s="594">
        <f t="shared" ca="1" si="382"/>
        <v>2024</v>
      </c>
      <c r="X1221" s="340" t="str">
        <f t="shared" ca="1" si="374"/>
        <v>2 WEEK</v>
      </c>
      <c r="Y1221" s="794">
        <f t="shared" si="383"/>
        <v>45637</v>
      </c>
      <c r="Z1221" s="541" cm="1">
        <f t="array" aca="1" ref="Z1221" ca="1">_xlfn.IFS(AD1221&lt;100,Y1221,Y1221&lt;TODAY(),TODAY(),Y1221&gt;TODAY(),Y1221,Y1221=TODAY(),Y1221)</f>
        <v>45637</v>
      </c>
      <c r="AD1221" s="298">
        <f t="shared" si="376"/>
        <v>0</v>
      </c>
      <c r="AE1221" s="299" t="str">
        <f t="shared" si="377"/>
        <v>Complete</v>
      </c>
      <c r="AI1221" s="301">
        <f t="shared" ca="1" si="378"/>
        <v>0</v>
      </c>
      <c r="AJ1221" s="302">
        <f t="shared" ca="1" si="379"/>
        <v>0</v>
      </c>
      <c r="AL1221" s="303">
        <f t="shared" si="380"/>
        <v>0</v>
      </c>
      <c r="AM1221" s="303">
        <f t="shared" si="370"/>
        <v>-408186</v>
      </c>
      <c r="AN1221" s="303">
        <f t="shared" si="371"/>
        <v>408186</v>
      </c>
      <c r="AO1221" s="304">
        <f t="shared" si="384"/>
        <v>0</v>
      </c>
      <c r="AP1221" s="273">
        <f t="shared" ref="AP1221:AP1247" si="386">MONTH(P1221)</f>
        <v>12</v>
      </c>
      <c r="AQ1221" s="273" t="str">
        <f t="shared" ca="1" si="385"/>
        <v>122024</v>
      </c>
    </row>
    <row r="1222" spans="2:43">
      <c r="B1222" s="702" t="s">
        <v>2587</v>
      </c>
      <c r="P1222" s="794">
        <v>45640</v>
      </c>
      <c r="Q1222" s="304" t="s">
        <v>3908</v>
      </c>
      <c r="R1222" s="313">
        <v>-1672428</v>
      </c>
      <c r="V1222" s="340">
        <f t="shared" ca="1" si="381"/>
        <v>12</v>
      </c>
      <c r="W1222" s="594">
        <f t="shared" ca="1" si="382"/>
        <v>2024</v>
      </c>
      <c r="X1222" s="340" t="str">
        <f t="shared" ca="1" si="374"/>
        <v>2 WEEK</v>
      </c>
      <c r="Y1222" s="794">
        <f t="shared" si="383"/>
        <v>45640</v>
      </c>
      <c r="Z1222" s="541" cm="1">
        <f t="array" aca="1" ref="Z1222" ca="1">_xlfn.IFS(AD1222&lt;100,Y1222,Y1222&lt;TODAY(),TODAY(),Y1222&gt;TODAY(),Y1222,Y1222=TODAY(),Y1222)</f>
        <v>45640</v>
      </c>
      <c r="AD1222" s="298">
        <f t="shared" si="376"/>
        <v>0</v>
      </c>
      <c r="AE1222" s="299" t="str">
        <f t="shared" si="377"/>
        <v>Complete</v>
      </c>
      <c r="AI1222" s="301">
        <f t="shared" ca="1" si="378"/>
        <v>0</v>
      </c>
      <c r="AJ1222" s="302">
        <f t="shared" ca="1" si="379"/>
        <v>0</v>
      </c>
      <c r="AL1222" s="303">
        <f t="shared" si="380"/>
        <v>0</v>
      </c>
      <c r="AM1222" s="303">
        <f t="shared" si="370"/>
        <v>1672428</v>
      </c>
      <c r="AN1222" s="303">
        <f t="shared" si="371"/>
        <v>-1672428</v>
      </c>
      <c r="AO1222" s="304">
        <f t="shared" si="384"/>
        <v>0</v>
      </c>
      <c r="AP1222" s="273">
        <f t="shared" si="386"/>
        <v>12</v>
      </c>
      <c r="AQ1222" s="273" t="str">
        <f t="shared" ca="1" si="385"/>
        <v>122024</v>
      </c>
    </row>
    <row r="1223" spans="2:43">
      <c r="B1223" s="702" t="s">
        <v>2587</v>
      </c>
      <c r="P1223" s="794">
        <v>45640</v>
      </c>
      <c r="Q1223" s="304" t="s">
        <v>3909</v>
      </c>
      <c r="R1223" s="313">
        <v>1672428</v>
      </c>
      <c r="V1223" s="340">
        <f t="shared" ca="1" si="381"/>
        <v>12</v>
      </c>
      <c r="W1223" s="594">
        <f t="shared" ca="1" si="382"/>
        <v>2024</v>
      </c>
      <c r="X1223" s="340" t="str">
        <f t="shared" ca="1" si="374"/>
        <v>2 WEEK</v>
      </c>
      <c r="Y1223" s="794">
        <f t="shared" si="383"/>
        <v>45640</v>
      </c>
      <c r="Z1223" s="541" cm="1">
        <f t="array" aca="1" ref="Z1223" ca="1">_xlfn.IFS(AD1223&lt;100,Y1223,Y1223&lt;TODAY(),TODAY(),Y1223&gt;TODAY(),Y1223,Y1223=TODAY(),Y1223)</f>
        <v>45640</v>
      </c>
      <c r="AD1223" s="298">
        <f t="shared" si="376"/>
        <v>0</v>
      </c>
      <c r="AE1223" s="299" t="str">
        <f t="shared" si="377"/>
        <v>Complete</v>
      </c>
      <c r="AI1223" s="301">
        <f t="shared" ca="1" si="378"/>
        <v>0</v>
      </c>
      <c r="AJ1223" s="302">
        <f t="shared" ca="1" si="379"/>
        <v>0</v>
      </c>
      <c r="AL1223" s="303">
        <f t="shared" si="380"/>
        <v>0</v>
      </c>
      <c r="AM1223" s="303">
        <f t="shared" si="370"/>
        <v>-1672428</v>
      </c>
      <c r="AN1223" s="303">
        <f t="shared" si="371"/>
        <v>1672428</v>
      </c>
      <c r="AO1223" s="304">
        <f t="shared" si="384"/>
        <v>0</v>
      </c>
      <c r="AP1223" s="273">
        <f t="shared" si="386"/>
        <v>12</v>
      </c>
      <c r="AQ1223" s="273" t="str">
        <f t="shared" ca="1" si="385"/>
        <v>122024</v>
      </c>
    </row>
    <row r="1224" spans="2:43">
      <c r="B1224" s="702" t="s">
        <v>2587</v>
      </c>
      <c r="P1224" s="794">
        <v>45681</v>
      </c>
      <c r="Q1224" s="304" t="s">
        <v>3910</v>
      </c>
      <c r="R1224" s="313">
        <v>330569</v>
      </c>
      <c r="V1224" s="340">
        <f t="shared" ca="1" si="381"/>
        <v>1</v>
      </c>
      <c r="W1224" s="594">
        <f t="shared" ca="1" si="382"/>
        <v>2025</v>
      </c>
      <c r="X1224" s="340" t="str">
        <f t="shared" ca="1" si="374"/>
        <v>4 WEEK</v>
      </c>
      <c r="Y1224" s="794">
        <f t="shared" si="383"/>
        <v>45681</v>
      </c>
      <c r="Z1224" s="541" cm="1">
        <f t="array" aca="1" ref="Z1224" ca="1">_xlfn.IFS(AD1224&lt;100,Y1224,Y1224&lt;TODAY(),TODAY(),Y1224&gt;TODAY(),Y1224,Y1224=TODAY(),Y1224)</f>
        <v>45681</v>
      </c>
      <c r="AD1224" s="298">
        <f t="shared" si="376"/>
        <v>0</v>
      </c>
      <c r="AE1224" s="299" t="str">
        <f t="shared" si="377"/>
        <v>Complete</v>
      </c>
      <c r="AI1224" s="301">
        <f t="shared" ca="1" si="378"/>
        <v>0</v>
      </c>
      <c r="AJ1224" s="302">
        <f t="shared" ca="1" si="379"/>
        <v>0</v>
      </c>
      <c r="AL1224" s="303">
        <f t="shared" si="380"/>
        <v>0</v>
      </c>
      <c r="AM1224" s="303">
        <f t="shared" si="370"/>
        <v>-330569</v>
      </c>
      <c r="AN1224" s="303">
        <f t="shared" si="371"/>
        <v>330569</v>
      </c>
      <c r="AO1224" s="304">
        <f t="shared" si="384"/>
        <v>0</v>
      </c>
      <c r="AP1224" s="273">
        <f t="shared" si="386"/>
        <v>1</v>
      </c>
      <c r="AQ1224" s="273" t="str">
        <f t="shared" ca="1" si="385"/>
        <v>12025</v>
      </c>
    </row>
    <row r="1225" spans="2:43">
      <c r="B1225" s="702" t="s">
        <v>2587</v>
      </c>
      <c r="P1225" s="794">
        <v>45686</v>
      </c>
      <c r="Q1225" s="304" t="s">
        <v>3911</v>
      </c>
      <c r="R1225" s="313">
        <v>-95567</v>
      </c>
      <c r="V1225" s="340">
        <f t="shared" ca="1" si="381"/>
        <v>1</v>
      </c>
      <c r="W1225" s="594">
        <f t="shared" ca="1" si="382"/>
        <v>2025</v>
      </c>
      <c r="X1225" s="340" t="str">
        <f t="shared" ca="1" si="374"/>
        <v>5 WEEK</v>
      </c>
      <c r="Y1225" s="794">
        <f t="shared" si="383"/>
        <v>45686</v>
      </c>
      <c r="Z1225" s="541" cm="1">
        <f t="array" aca="1" ref="Z1225" ca="1">_xlfn.IFS(AD1225&lt;100,Y1225,Y1225&lt;TODAY(),TODAY(),Y1225&gt;TODAY(),Y1225,Y1225=TODAY(),Y1225)</f>
        <v>45686</v>
      </c>
      <c r="AD1225" s="298">
        <f t="shared" si="376"/>
        <v>0</v>
      </c>
      <c r="AE1225" s="299" t="str">
        <f t="shared" si="377"/>
        <v>Complete</v>
      </c>
      <c r="AI1225" s="301">
        <f t="shared" ca="1" si="378"/>
        <v>0</v>
      </c>
      <c r="AJ1225" s="302">
        <f t="shared" ca="1" si="379"/>
        <v>0</v>
      </c>
      <c r="AL1225" s="303">
        <f t="shared" si="380"/>
        <v>0</v>
      </c>
      <c r="AM1225" s="303">
        <f t="shared" si="370"/>
        <v>95567</v>
      </c>
      <c r="AN1225" s="303">
        <f t="shared" si="371"/>
        <v>-95567</v>
      </c>
      <c r="AO1225" s="304">
        <f t="shared" si="384"/>
        <v>0</v>
      </c>
      <c r="AP1225" s="273">
        <f t="shared" si="386"/>
        <v>1</v>
      </c>
      <c r="AQ1225" s="273" t="str">
        <f t="shared" ca="1" si="385"/>
        <v>12025</v>
      </c>
    </row>
    <row r="1226" spans="2:43">
      <c r="B1226" s="702" t="s">
        <v>2587</v>
      </c>
      <c r="P1226" s="794">
        <v>45686</v>
      </c>
      <c r="Q1226" s="304" t="s">
        <v>3912</v>
      </c>
      <c r="R1226" s="313">
        <v>95567</v>
      </c>
      <c r="V1226" s="340">
        <f t="shared" ca="1" si="381"/>
        <v>1</v>
      </c>
      <c r="W1226" s="594">
        <f t="shared" ca="1" si="382"/>
        <v>2025</v>
      </c>
      <c r="X1226" s="340" t="str">
        <f t="shared" ca="1" si="374"/>
        <v>5 WEEK</v>
      </c>
      <c r="Y1226" s="794">
        <f t="shared" si="383"/>
        <v>45686</v>
      </c>
      <c r="Z1226" s="541" cm="1">
        <f t="array" aca="1" ref="Z1226" ca="1">_xlfn.IFS(AD1226&lt;100,Y1226,Y1226&lt;TODAY(),TODAY(),Y1226&gt;TODAY(),Y1226,Y1226=TODAY(),Y1226)</f>
        <v>45686</v>
      </c>
      <c r="AD1226" s="298">
        <f t="shared" si="376"/>
        <v>0</v>
      </c>
      <c r="AE1226" s="299" t="str">
        <f t="shared" si="377"/>
        <v>Complete</v>
      </c>
      <c r="AI1226" s="301">
        <f t="shared" ca="1" si="378"/>
        <v>0</v>
      </c>
      <c r="AJ1226" s="302">
        <f t="shared" ca="1" si="379"/>
        <v>0</v>
      </c>
      <c r="AL1226" s="303">
        <f t="shared" si="380"/>
        <v>0</v>
      </c>
      <c r="AM1226" s="303">
        <f t="shared" si="370"/>
        <v>-95567</v>
      </c>
      <c r="AN1226" s="303">
        <f t="shared" si="371"/>
        <v>95567</v>
      </c>
      <c r="AO1226" s="304">
        <f t="shared" si="384"/>
        <v>0</v>
      </c>
      <c r="AP1226" s="273">
        <f t="shared" si="386"/>
        <v>1</v>
      </c>
      <c r="AQ1226" s="273" t="str">
        <f t="shared" ca="1" si="385"/>
        <v>12025</v>
      </c>
    </row>
    <row r="1227" spans="2:43">
      <c r="B1227" s="702"/>
      <c r="P1227" s="794"/>
      <c r="Q1227" s="304"/>
      <c r="R1227" s="313"/>
      <c r="V1227" s="340">
        <f t="shared" ca="1" si="381"/>
        <v>1</v>
      </c>
      <c r="W1227" s="594">
        <f t="shared" ca="1" si="382"/>
        <v>1900</v>
      </c>
      <c r="X1227" s="340" t="str">
        <f t="shared" ca="1" si="374"/>
        <v>0 WEEK</v>
      </c>
      <c r="Y1227" s="794">
        <f t="shared" si="383"/>
        <v>0</v>
      </c>
      <c r="Z1227" s="541" cm="1">
        <f t="array" aca="1" ref="Z1227" ca="1">_xlfn.IFS(AD1227&lt;100,Y1227,Y1227&lt;TODAY(),TODAY(),Y1227&gt;TODAY(),Y1227,Y1227=TODAY(),Y1227)</f>
        <v>0</v>
      </c>
      <c r="AD1227" s="298">
        <f t="shared" si="376"/>
        <v>0</v>
      </c>
      <c r="AE1227" s="299" t="str">
        <f t="shared" si="377"/>
        <v>Complete</v>
      </c>
      <c r="AI1227" s="301">
        <f t="shared" ca="1" si="378"/>
        <v>0</v>
      </c>
      <c r="AJ1227" s="302">
        <f t="shared" ca="1" si="379"/>
        <v>0</v>
      </c>
      <c r="AL1227" s="303">
        <f t="shared" si="380"/>
        <v>0</v>
      </c>
      <c r="AM1227" s="303">
        <f t="shared" si="370"/>
        <v>0</v>
      </c>
      <c r="AN1227" s="303">
        <f t="shared" si="371"/>
        <v>0</v>
      </c>
      <c r="AO1227" s="304">
        <f t="shared" si="384"/>
        <v>0</v>
      </c>
      <c r="AP1227" s="273">
        <f t="shared" si="386"/>
        <v>1</v>
      </c>
      <c r="AQ1227" s="273" t="str">
        <f t="shared" ca="1" si="385"/>
        <v>11900</v>
      </c>
    </row>
    <row r="1228" spans="2:43" ht="18">
      <c r="B1228" s="702" t="s">
        <v>2588</v>
      </c>
      <c r="R1228" s="741" t="e">
        <v>#VALUE!</v>
      </c>
      <c r="V1228" s="340">
        <f t="shared" ca="1" si="381"/>
        <v>1</v>
      </c>
      <c r="W1228" s="594">
        <f t="shared" ca="1" si="382"/>
        <v>1900</v>
      </c>
      <c r="X1228" s="340" t="str">
        <f t="shared" ca="1" si="374"/>
        <v>0 WEEK</v>
      </c>
      <c r="Y1228" s="794">
        <f t="shared" si="383"/>
        <v>0</v>
      </c>
      <c r="Z1228" s="541" cm="1">
        <f t="array" aca="1" ref="Z1228" ca="1">_xlfn.IFS(AD1228&lt;100,Y1228,Y1228&lt;TODAY(),TODAY(),Y1228&gt;TODAY(),Y1228,Y1228=TODAY(),Y1228)</f>
        <v>0</v>
      </c>
      <c r="AD1228" s="298">
        <f t="shared" si="376"/>
        <v>0</v>
      </c>
      <c r="AE1228" s="299" t="str">
        <f t="shared" si="377"/>
        <v>Complete</v>
      </c>
      <c r="AI1228" s="301">
        <f t="shared" ca="1" si="378"/>
        <v>0</v>
      </c>
      <c r="AJ1228" s="302">
        <f t="shared" ca="1" si="379"/>
        <v>0</v>
      </c>
      <c r="AL1228" s="303">
        <f t="shared" si="380"/>
        <v>0</v>
      </c>
      <c r="AM1228" s="303">
        <f t="shared" si="370"/>
        <v>0</v>
      </c>
      <c r="AN1228" s="303">
        <f t="shared" si="371"/>
        <v>0</v>
      </c>
      <c r="AO1228" s="304">
        <f t="shared" si="384"/>
        <v>0</v>
      </c>
      <c r="AP1228" s="273">
        <f t="shared" si="386"/>
        <v>1</v>
      </c>
      <c r="AQ1228" s="273" t="str">
        <f t="shared" ca="1" si="385"/>
        <v>11900</v>
      </c>
    </row>
    <row r="1229" spans="2:43">
      <c r="B1229" s="702" t="s">
        <v>2588</v>
      </c>
      <c r="P1229" s="794">
        <v>45353</v>
      </c>
      <c r="Q1229" s="304" t="s">
        <v>3779</v>
      </c>
      <c r="R1229" s="313">
        <v>359526</v>
      </c>
      <c r="V1229" s="340">
        <f t="shared" ca="1" si="381"/>
        <v>3</v>
      </c>
      <c r="W1229" s="594">
        <f t="shared" ca="1" si="382"/>
        <v>2024</v>
      </c>
      <c r="X1229" s="340" t="str">
        <f t="shared" ca="1" si="374"/>
        <v>1 WEEK</v>
      </c>
      <c r="Y1229" s="794">
        <f t="shared" si="383"/>
        <v>45353</v>
      </c>
      <c r="Z1229" s="541" cm="1">
        <f t="array" aca="1" ref="Z1229" ca="1">_xlfn.IFS(AD1229&lt;100,Y1229,Y1229&lt;TODAY(),TODAY(),Y1229&gt;TODAY(),Y1229,Y1229=TODAY(),Y1229)</f>
        <v>45353</v>
      </c>
      <c r="AB1229" s="307">
        <v>0</v>
      </c>
      <c r="AD1229" s="298">
        <f t="shared" si="376"/>
        <v>0</v>
      </c>
      <c r="AE1229" s="299" t="str">
        <f t="shared" si="377"/>
        <v>Complete</v>
      </c>
      <c r="AI1229" s="301">
        <f t="shared" ca="1" si="378"/>
        <v>0</v>
      </c>
      <c r="AJ1229" s="302">
        <f t="shared" ca="1" si="379"/>
        <v>0</v>
      </c>
      <c r="AL1229" s="303">
        <f t="shared" si="380"/>
        <v>0</v>
      </c>
      <c r="AM1229" s="303">
        <f t="shared" si="370"/>
        <v>-359526</v>
      </c>
      <c r="AN1229" s="303">
        <f t="shared" si="371"/>
        <v>359526</v>
      </c>
      <c r="AO1229" s="304">
        <f t="shared" si="384"/>
        <v>0</v>
      </c>
      <c r="AP1229" s="273">
        <f t="shared" si="386"/>
        <v>3</v>
      </c>
      <c r="AQ1229" s="273" t="str">
        <f t="shared" ca="1" si="385"/>
        <v>32024</v>
      </c>
    </row>
    <row r="1230" spans="2:43">
      <c r="B1230" s="702" t="s">
        <v>2588</v>
      </c>
      <c r="P1230" s="688">
        <v>45355</v>
      </c>
      <c r="Q1230" s="273" t="s">
        <v>3780</v>
      </c>
      <c r="R1230" s="314">
        <v>25030354</v>
      </c>
      <c r="V1230" s="340">
        <f t="shared" ca="1" si="381"/>
        <v>3</v>
      </c>
      <c r="W1230" s="594">
        <f t="shared" ca="1" si="382"/>
        <v>2024</v>
      </c>
      <c r="X1230" s="340" t="str">
        <f t="shared" ca="1" si="374"/>
        <v>1 WEEK</v>
      </c>
      <c r="Y1230" s="794">
        <f t="shared" si="383"/>
        <v>45355</v>
      </c>
      <c r="Z1230" s="541" cm="1">
        <f t="array" aca="1" ref="Z1230" ca="1">_xlfn.IFS(AD1230&lt;100,Y1230,Y1230&lt;TODAY(),TODAY(),Y1230&gt;TODAY(),Y1230,Y1230=TODAY(),Y1230)</f>
        <v>45355</v>
      </c>
      <c r="AD1230" s="298">
        <f t="shared" si="376"/>
        <v>0</v>
      </c>
      <c r="AE1230" s="299" t="str">
        <f t="shared" si="377"/>
        <v>Complete</v>
      </c>
      <c r="AI1230" s="301">
        <f t="shared" ca="1" si="378"/>
        <v>0</v>
      </c>
      <c r="AJ1230" s="302">
        <f t="shared" ca="1" si="379"/>
        <v>0</v>
      </c>
      <c r="AL1230" s="303">
        <f t="shared" si="380"/>
        <v>0</v>
      </c>
      <c r="AM1230" s="303">
        <f t="shared" si="370"/>
        <v>-25030354</v>
      </c>
      <c r="AN1230" s="303">
        <f t="shared" si="371"/>
        <v>25030354</v>
      </c>
      <c r="AO1230" s="304">
        <f t="shared" si="384"/>
        <v>0</v>
      </c>
      <c r="AP1230" s="273">
        <f t="shared" si="386"/>
        <v>3</v>
      </c>
      <c r="AQ1230" s="273" t="str">
        <f t="shared" ca="1" si="385"/>
        <v>32024</v>
      </c>
    </row>
    <row r="1231" spans="2:43">
      <c r="B1231" s="702" t="s">
        <v>2588</v>
      </c>
      <c r="P1231" s="688">
        <v>45363</v>
      </c>
      <c r="Q1231" s="273" t="s">
        <v>3781</v>
      </c>
      <c r="R1231" s="314">
        <v>6227096</v>
      </c>
      <c r="V1231" s="340">
        <f t="shared" ca="1" si="381"/>
        <v>3</v>
      </c>
      <c r="W1231" s="594">
        <f t="shared" ca="1" si="382"/>
        <v>2024</v>
      </c>
      <c r="X1231" s="340" t="str">
        <f t="shared" ca="1" si="374"/>
        <v>2 WEEK</v>
      </c>
      <c r="Y1231" s="794">
        <f t="shared" si="383"/>
        <v>45363</v>
      </c>
      <c r="Z1231" s="541" cm="1">
        <f t="array" aca="1" ref="Z1231" ca="1">_xlfn.IFS(AD1231&lt;100,Y1231,Y1231&lt;TODAY(),TODAY(),Y1231&gt;TODAY(),Y1231,Y1231=TODAY(),Y1231)</f>
        <v>45363</v>
      </c>
      <c r="AD1231" s="298">
        <f t="shared" si="376"/>
        <v>0</v>
      </c>
      <c r="AE1231" s="299" t="str">
        <f t="shared" si="377"/>
        <v>Complete</v>
      </c>
      <c r="AI1231" s="301">
        <f t="shared" ca="1" si="378"/>
        <v>0</v>
      </c>
      <c r="AJ1231" s="302">
        <f t="shared" ca="1" si="379"/>
        <v>0</v>
      </c>
      <c r="AL1231" s="303">
        <f t="shared" si="380"/>
        <v>0</v>
      </c>
      <c r="AM1231" s="303">
        <f t="shared" si="370"/>
        <v>-6227096</v>
      </c>
      <c r="AN1231" s="303">
        <f t="shared" si="371"/>
        <v>6227096</v>
      </c>
      <c r="AO1231" s="304">
        <f t="shared" si="384"/>
        <v>0</v>
      </c>
      <c r="AP1231" s="273">
        <f t="shared" si="386"/>
        <v>3</v>
      </c>
      <c r="AQ1231" s="273" t="str">
        <f t="shared" ca="1" si="385"/>
        <v>32024</v>
      </c>
    </row>
    <row r="1232" spans="2:43">
      <c r="B1232" s="702" t="s">
        <v>2588</v>
      </c>
      <c r="P1232" s="688">
        <v>45369</v>
      </c>
      <c r="Q1232" s="273" t="s">
        <v>3782</v>
      </c>
      <c r="R1232" s="314">
        <v>-447456</v>
      </c>
      <c r="V1232" s="340">
        <f t="shared" ca="1" si="381"/>
        <v>3</v>
      </c>
      <c r="W1232" s="594">
        <f t="shared" ca="1" si="382"/>
        <v>2024</v>
      </c>
      <c r="X1232" s="340" t="str">
        <f t="shared" ca="1" si="374"/>
        <v>3 WEEK</v>
      </c>
      <c r="Y1232" s="794">
        <f t="shared" si="383"/>
        <v>45369</v>
      </c>
      <c r="Z1232" s="541" cm="1">
        <f t="array" aca="1" ref="Z1232" ca="1">_xlfn.IFS(AD1232&lt;100,Y1232,Y1232&lt;TODAY(),TODAY(),Y1232&gt;TODAY(),Y1232,Y1232=TODAY(),Y1232)</f>
        <v>45369</v>
      </c>
      <c r="AD1232" s="298">
        <f t="shared" si="376"/>
        <v>0</v>
      </c>
      <c r="AE1232" s="299" t="str">
        <f t="shared" si="377"/>
        <v>Complete</v>
      </c>
      <c r="AI1232" s="301">
        <f t="shared" ca="1" si="378"/>
        <v>0</v>
      </c>
      <c r="AJ1232" s="302">
        <f t="shared" ca="1" si="379"/>
        <v>0</v>
      </c>
      <c r="AL1232" s="303">
        <f t="shared" si="380"/>
        <v>0</v>
      </c>
      <c r="AM1232" s="303">
        <f t="shared" si="370"/>
        <v>447456</v>
      </c>
      <c r="AN1232" s="303">
        <f t="shared" si="371"/>
        <v>-447456</v>
      </c>
      <c r="AO1232" s="304">
        <f t="shared" si="384"/>
        <v>0</v>
      </c>
      <c r="AP1232" s="273">
        <f t="shared" si="386"/>
        <v>3</v>
      </c>
      <c r="AQ1232" s="273" t="str">
        <f t="shared" ca="1" si="385"/>
        <v>32024</v>
      </c>
    </row>
    <row r="1233" spans="2:43">
      <c r="B1233" s="702" t="s">
        <v>2588</v>
      </c>
      <c r="P1233" s="688">
        <v>45369</v>
      </c>
      <c r="Q1233" s="273" t="s">
        <v>3783</v>
      </c>
      <c r="R1233" s="314">
        <v>25899596</v>
      </c>
      <c r="V1233" s="340">
        <f t="shared" ca="1" si="381"/>
        <v>3</v>
      </c>
      <c r="W1233" s="594">
        <f t="shared" ca="1" si="382"/>
        <v>2024</v>
      </c>
      <c r="X1233" s="340" t="str">
        <f t="shared" ca="1" si="374"/>
        <v>3 WEEK</v>
      </c>
      <c r="Y1233" s="794">
        <f t="shared" si="383"/>
        <v>45369</v>
      </c>
      <c r="Z1233" s="541" cm="1">
        <f t="array" aca="1" ref="Z1233" ca="1">_xlfn.IFS(AD1233&lt;100,Y1233,Y1233&lt;TODAY(),TODAY(),Y1233&gt;TODAY(),Y1233,Y1233=TODAY(),Y1233)</f>
        <v>45369</v>
      </c>
      <c r="AD1233" s="298">
        <f t="shared" si="376"/>
        <v>0</v>
      </c>
      <c r="AE1233" s="299" t="str">
        <f t="shared" si="377"/>
        <v>Complete</v>
      </c>
      <c r="AI1233" s="301">
        <f t="shared" ca="1" si="378"/>
        <v>0</v>
      </c>
      <c r="AJ1233" s="302">
        <f t="shared" ca="1" si="379"/>
        <v>0</v>
      </c>
      <c r="AL1233" s="303">
        <f t="shared" si="380"/>
        <v>0</v>
      </c>
      <c r="AM1233" s="303">
        <f t="shared" si="370"/>
        <v>-25899596</v>
      </c>
      <c r="AN1233" s="303">
        <f t="shared" si="371"/>
        <v>25899596</v>
      </c>
      <c r="AO1233" s="304">
        <f t="shared" si="384"/>
        <v>0</v>
      </c>
      <c r="AP1233" s="273">
        <f t="shared" si="386"/>
        <v>3</v>
      </c>
      <c r="AQ1233" s="273" t="str">
        <f t="shared" ca="1" si="385"/>
        <v>32024</v>
      </c>
    </row>
    <row r="1234" spans="2:43">
      <c r="B1234" s="702" t="s">
        <v>2588</v>
      </c>
      <c r="P1234" s="688">
        <v>45373</v>
      </c>
      <c r="Q1234" s="273" t="s">
        <v>3784</v>
      </c>
      <c r="R1234" s="314">
        <v>1264938</v>
      </c>
      <c r="V1234" s="340">
        <f t="shared" ca="1" si="381"/>
        <v>3</v>
      </c>
      <c r="W1234" s="594">
        <f t="shared" ca="1" si="382"/>
        <v>2024</v>
      </c>
      <c r="X1234" s="340" t="str">
        <f t="shared" ca="1" si="374"/>
        <v>4 WEEK</v>
      </c>
      <c r="Y1234" s="794">
        <f t="shared" si="383"/>
        <v>45373</v>
      </c>
      <c r="Z1234" s="541" cm="1">
        <f t="array" aca="1" ref="Z1234" ca="1">_xlfn.IFS(AD1234&lt;100,Y1234,Y1234&lt;TODAY(),TODAY(),Y1234&gt;TODAY(),Y1234,Y1234=TODAY(),Y1234)</f>
        <v>45373</v>
      </c>
      <c r="AD1234" s="298">
        <f t="shared" si="376"/>
        <v>0</v>
      </c>
      <c r="AE1234" s="299" t="str">
        <f t="shared" si="377"/>
        <v>Complete</v>
      </c>
      <c r="AI1234" s="301">
        <f t="shared" ca="1" si="378"/>
        <v>0</v>
      </c>
      <c r="AJ1234" s="302">
        <f t="shared" ca="1" si="379"/>
        <v>0</v>
      </c>
      <c r="AL1234" s="303">
        <f t="shared" si="380"/>
        <v>0</v>
      </c>
      <c r="AM1234" s="303">
        <f t="shared" si="370"/>
        <v>-1264938</v>
      </c>
      <c r="AN1234" s="303">
        <f t="shared" si="371"/>
        <v>1264938</v>
      </c>
      <c r="AO1234" s="304">
        <f t="shared" si="384"/>
        <v>0</v>
      </c>
      <c r="AP1234" s="273">
        <f t="shared" si="386"/>
        <v>3</v>
      </c>
      <c r="AQ1234" s="273" t="str">
        <f t="shared" ca="1" si="385"/>
        <v>32024</v>
      </c>
    </row>
    <row r="1235" spans="2:43">
      <c r="B1235" s="702" t="s">
        <v>2588</v>
      </c>
      <c r="P1235" s="688">
        <v>45379</v>
      </c>
      <c r="Q1235" s="273" t="s">
        <v>3785</v>
      </c>
      <c r="R1235" s="314">
        <v>1264938</v>
      </c>
      <c r="V1235" s="340">
        <f t="shared" ca="1" si="381"/>
        <v>3</v>
      </c>
      <c r="W1235" s="594">
        <f t="shared" ca="1" si="382"/>
        <v>2024</v>
      </c>
      <c r="X1235" s="340" t="str">
        <f t="shared" ca="1" si="374"/>
        <v>4 WEEK</v>
      </c>
      <c r="Y1235" s="794">
        <f t="shared" si="383"/>
        <v>45379</v>
      </c>
      <c r="Z1235" s="541" cm="1">
        <f t="array" aca="1" ref="Z1235" ca="1">_xlfn.IFS(AD1235&lt;100,Y1235,Y1235&lt;TODAY(),TODAY(),Y1235&gt;TODAY(),Y1235,Y1235=TODAY(),Y1235)</f>
        <v>45379</v>
      </c>
      <c r="AD1235" s="298">
        <f t="shared" si="376"/>
        <v>0</v>
      </c>
      <c r="AE1235" s="299" t="str">
        <f t="shared" si="377"/>
        <v>Complete</v>
      </c>
      <c r="AI1235" s="301">
        <f t="shared" ca="1" si="378"/>
        <v>0</v>
      </c>
      <c r="AJ1235" s="302">
        <f t="shared" ca="1" si="379"/>
        <v>0</v>
      </c>
      <c r="AL1235" s="303">
        <f t="shared" si="380"/>
        <v>0</v>
      </c>
      <c r="AM1235" s="303">
        <f t="shared" si="370"/>
        <v>-1264938</v>
      </c>
      <c r="AN1235" s="303">
        <f t="shared" si="371"/>
        <v>1264938</v>
      </c>
      <c r="AO1235" s="304">
        <f t="shared" si="384"/>
        <v>0</v>
      </c>
      <c r="AP1235" s="273">
        <f t="shared" si="386"/>
        <v>3</v>
      </c>
      <c r="AQ1235" s="273" t="str">
        <f t="shared" ca="1" si="385"/>
        <v>32024</v>
      </c>
    </row>
    <row r="1236" spans="2:43">
      <c r="B1236" s="702" t="s">
        <v>2588</v>
      </c>
      <c r="P1236" s="688">
        <v>45380</v>
      </c>
      <c r="Q1236" s="273" t="s">
        <v>3786</v>
      </c>
      <c r="R1236" s="314">
        <v>7080000</v>
      </c>
      <c r="V1236" s="340">
        <f t="shared" ca="1" si="381"/>
        <v>3</v>
      </c>
      <c r="W1236" s="594">
        <f t="shared" ca="1" si="382"/>
        <v>2024</v>
      </c>
      <c r="X1236" s="340" t="str">
        <f t="shared" ca="1" si="374"/>
        <v>5 WEEK</v>
      </c>
      <c r="Y1236" s="794">
        <f t="shared" si="383"/>
        <v>45380</v>
      </c>
      <c r="Z1236" s="541" cm="1">
        <f t="array" aca="1" ref="Z1236" ca="1">_xlfn.IFS(AD1236&lt;100,Y1236,Y1236&lt;TODAY(),TODAY(),Y1236&gt;TODAY(),Y1236,Y1236=TODAY(),Y1236)</f>
        <v>45380</v>
      </c>
      <c r="AD1236" s="298">
        <f t="shared" si="376"/>
        <v>0</v>
      </c>
      <c r="AE1236" s="299" t="str">
        <f t="shared" si="377"/>
        <v>Complete</v>
      </c>
      <c r="AI1236" s="301">
        <f t="shared" ca="1" si="378"/>
        <v>0</v>
      </c>
      <c r="AJ1236" s="302">
        <f t="shared" ca="1" si="379"/>
        <v>0</v>
      </c>
      <c r="AL1236" s="303">
        <f t="shared" si="380"/>
        <v>0</v>
      </c>
      <c r="AM1236" s="303">
        <f t="shared" si="370"/>
        <v>-7080000</v>
      </c>
      <c r="AN1236" s="303">
        <f t="shared" si="371"/>
        <v>7080000</v>
      </c>
      <c r="AO1236" s="304">
        <f t="shared" si="384"/>
        <v>0</v>
      </c>
      <c r="AP1236" s="273">
        <f t="shared" si="386"/>
        <v>3</v>
      </c>
      <c r="AQ1236" s="273" t="str">
        <f t="shared" ca="1" si="385"/>
        <v>32024</v>
      </c>
    </row>
    <row r="1237" spans="2:43">
      <c r="B1237" s="702" t="s">
        <v>2588</v>
      </c>
      <c r="P1237" s="688">
        <v>45429</v>
      </c>
      <c r="Q1237" s="273" t="s">
        <v>3787</v>
      </c>
      <c r="R1237" s="314">
        <v>1230021</v>
      </c>
      <c r="V1237" s="340">
        <f t="shared" ca="1" si="381"/>
        <v>5</v>
      </c>
      <c r="W1237" s="594">
        <f t="shared" ca="1" si="382"/>
        <v>2024</v>
      </c>
      <c r="X1237" s="340" t="str">
        <f t="shared" ca="1" si="374"/>
        <v>3 WEEK</v>
      </c>
      <c r="Y1237" s="794">
        <f t="shared" si="383"/>
        <v>45429</v>
      </c>
      <c r="Z1237" s="541" cm="1">
        <f t="array" aca="1" ref="Z1237" ca="1">_xlfn.IFS(AD1237&lt;100,Y1237,Y1237&lt;TODAY(),TODAY(),Y1237&gt;TODAY(),Y1237,Y1237=TODAY(),Y1237)</f>
        <v>45429</v>
      </c>
      <c r="AD1237" s="298">
        <f t="shared" si="376"/>
        <v>0</v>
      </c>
      <c r="AE1237" s="299" t="str">
        <f t="shared" si="377"/>
        <v>Complete</v>
      </c>
      <c r="AI1237" s="301">
        <f t="shared" ca="1" si="378"/>
        <v>0</v>
      </c>
      <c r="AJ1237" s="302">
        <f t="shared" ca="1" si="379"/>
        <v>0</v>
      </c>
      <c r="AL1237" s="303">
        <f t="shared" si="380"/>
        <v>0</v>
      </c>
      <c r="AM1237" s="303">
        <f t="shared" si="370"/>
        <v>-1230021</v>
      </c>
      <c r="AN1237" s="303">
        <f t="shared" si="371"/>
        <v>1230021</v>
      </c>
      <c r="AO1237" s="304">
        <f t="shared" si="384"/>
        <v>0</v>
      </c>
      <c r="AP1237" s="273">
        <f t="shared" si="386"/>
        <v>5</v>
      </c>
      <c r="AQ1237" s="273" t="str">
        <f t="shared" ca="1" si="385"/>
        <v>52024</v>
      </c>
    </row>
    <row r="1238" spans="2:43">
      <c r="B1238" s="702" t="s">
        <v>2588</v>
      </c>
      <c r="P1238" s="688">
        <v>45457</v>
      </c>
      <c r="Q1238" s="273" t="s">
        <v>3788</v>
      </c>
      <c r="R1238" s="314">
        <v>1199889</v>
      </c>
      <c r="V1238" s="340">
        <f t="shared" ca="1" si="381"/>
        <v>6</v>
      </c>
      <c r="W1238" s="594">
        <f t="shared" ca="1" si="382"/>
        <v>2024</v>
      </c>
      <c r="X1238" s="340" t="str">
        <f t="shared" ca="1" si="374"/>
        <v>2 WEEK</v>
      </c>
      <c r="Y1238" s="794">
        <f t="shared" si="383"/>
        <v>45457</v>
      </c>
      <c r="Z1238" s="541" cm="1">
        <f t="array" aca="1" ref="Z1238" ca="1">_xlfn.IFS(AD1238&lt;100,Y1238,Y1238&lt;TODAY(),TODAY(),Y1238&gt;TODAY(),Y1238,Y1238=TODAY(),Y1238)</f>
        <v>45457</v>
      </c>
      <c r="AD1238" s="298">
        <f t="shared" si="376"/>
        <v>0</v>
      </c>
      <c r="AE1238" s="299" t="str">
        <f t="shared" si="377"/>
        <v>Complete</v>
      </c>
      <c r="AI1238" s="301">
        <f t="shared" ca="1" si="378"/>
        <v>0</v>
      </c>
      <c r="AJ1238" s="302">
        <f t="shared" ca="1" si="379"/>
        <v>0</v>
      </c>
      <c r="AL1238" s="303">
        <f t="shared" si="380"/>
        <v>0</v>
      </c>
      <c r="AM1238" s="303">
        <f t="shared" si="370"/>
        <v>-1199889</v>
      </c>
      <c r="AN1238" s="303">
        <f t="shared" si="371"/>
        <v>1199889</v>
      </c>
      <c r="AO1238" s="304">
        <f t="shared" si="384"/>
        <v>0</v>
      </c>
      <c r="AP1238" s="273">
        <f t="shared" si="386"/>
        <v>6</v>
      </c>
      <c r="AQ1238" s="273" t="str">
        <f t="shared" ca="1" si="385"/>
        <v>62024</v>
      </c>
    </row>
    <row r="1239" spans="2:43">
      <c r="B1239" s="702" t="s">
        <v>2588</v>
      </c>
      <c r="P1239" s="688">
        <v>45458</v>
      </c>
      <c r="Q1239" s="273" t="s">
        <v>3789</v>
      </c>
      <c r="R1239" s="314">
        <v>-541067</v>
      </c>
      <c r="V1239" s="340">
        <f t="shared" ca="1" si="381"/>
        <v>6</v>
      </c>
      <c r="W1239" s="594">
        <f t="shared" ca="1" si="382"/>
        <v>2024</v>
      </c>
      <c r="X1239" s="340" t="str">
        <f t="shared" ca="1" si="374"/>
        <v>3 WEEK</v>
      </c>
      <c r="Y1239" s="794">
        <f t="shared" si="383"/>
        <v>45458</v>
      </c>
      <c r="Z1239" s="541" cm="1">
        <f t="array" aca="1" ref="Z1239" ca="1">_xlfn.IFS(AD1239&lt;100,Y1239,Y1239&lt;TODAY(),TODAY(),Y1239&gt;TODAY(),Y1239,Y1239=TODAY(),Y1239)</f>
        <v>45458</v>
      </c>
      <c r="AD1239" s="298">
        <f t="shared" si="376"/>
        <v>0</v>
      </c>
      <c r="AE1239" s="299" t="str">
        <f t="shared" si="377"/>
        <v>Complete</v>
      </c>
      <c r="AI1239" s="301">
        <f t="shared" ca="1" si="378"/>
        <v>0</v>
      </c>
      <c r="AJ1239" s="302">
        <f t="shared" ca="1" si="379"/>
        <v>0</v>
      </c>
      <c r="AL1239" s="303">
        <f t="shared" si="380"/>
        <v>0</v>
      </c>
      <c r="AM1239" s="303">
        <f t="shared" si="370"/>
        <v>541067</v>
      </c>
      <c r="AN1239" s="303">
        <f t="shared" si="371"/>
        <v>-541067</v>
      </c>
      <c r="AO1239" s="304">
        <f t="shared" si="384"/>
        <v>0</v>
      </c>
      <c r="AP1239" s="273">
        <f t="shared" si="386"/>
        <v>6</v>
      </c>
      <c r="AQ1239" s="273" t="str">
        <f t="shared" ca="1" si="385"/>
        <v>62024</v>
      </c>
    </row>
    <row r="1240" spans="2:43">
      <c r="B1240" s="702" t="s">
        <v>2588</v>
      </c>
      <c r="P1240" s="688">
        <v>45458</v>
      </c>
      <c r="Q1240" s="273" t="s">
        <v>3790</v>
      </c>
      <c r="R1240" s="314">
        <v>-1185762</v>
      </c>
      <c r="V1240" s="340">
        <f t="shared" ca="1" si="381"/>
        <v>6</v>
      </c>
      <c r="W1240" s="594">
        <f t="shared" ca="1" si="382"/>
        <v>2024</v>
      </c>
      <c r="X1240" s="340" t="str">
        <f t="shared" ca="1" si="374"/>
        <v>3 WEEK</v>
      </c>
      <c r="Y1240" s="794">
        <f t="shared" si="383"/>
        <v>45458</v>
      </c>
      <c r="Z1240" s="541" cm="1">
        <f t="array" aca="1" ref="Z1240" ca="1">_xlfn.IFS(AD1240&lt;100,Y1240,Y1240&lt;TODAY(),TODAY(),Y1240&gt;TODAY(),Y1240,Y1240=TODAY(),Y1240)</f>
        <v>45458</v>
      </c>
      <c r="AD1240" s="298">
        <f t="shared" si="376"/>
        <v>0</v>
      </c>
      <c r="AE1240" s="299" t="str">
        <f t="shared" si="377"/>
        <v>Complete</v>
      </c>
      <c r="AI1240" s="301">
        <f t="shared" ca="1" si="378"/>
        <v>0</v>
      </c>
      <c r="AJ1240" s="302">
        <f t="shared" ca="1" si="379"/>
        <v>0</v>
      </c>
      <c r="AL1240" s="303">
        <f t="shared" si="380"/>
        <v>0</v>
      </c>
      <c r="AM1240" s="303">
        <f t="shared" si="370"/>
        <v>1185762</v>
      </c>
      <c r="AN1240" s="303">
        <f t="shared" si="371"/>
        <v>-1185762</v>
      </c>
      <c r="AO1240" s="304">
        <f t="shared" si="384"/>
        <v>0</v>
      </c>
      <c r="AP1240" s="273">
        <f t="shared" si="386"/>
        <v>6</v>
      </c>
      <c r="AQ1240" s="273" t="str">
        <f t="shared" ca="1" si="385"/>
        <v>62024</v>
      </c>
    </row>
    <row r="1241" spans="2:43">
      <c r="B1241" s="702" t="s">
        <v>2588</v>
      </c>
      <c r="P1241" s="688">
        <v>45461</v>
      </c>
      <c r="Q1241" s="273" t="s">
        <v>3791</v>
      </c>
      <c r="R1241" s="314">
        <v>4601327</v>
      </c>
      <c r="V1241" s="340">
        <f t="shared" ca="1" si="381"/>
        <v>6</v>
      </c>
      <c r="W1241" s="594">
        <f t="shared" ca="1" si="382"/>
        <v>2024</v>
      </c>
      <c r="X1241" s="340" t="str">
        <f t="shared" ca="1" si="374"/>
        <v>3 WEEK</v>
      </c>
      <c r="Y1241" s="794">
        <f t="shared" si="383"/>
        <v>45461</v>
      </c>
      <c r="Z1241" s="541" cm="1">
        <f t="array" aca="1" ref="Z1241" ca="1">_xlfn.IFS(AD1241&lt;100,Y1241,Y1241&lt;TODAY(),TODAY(),Y1241&gt;TODAY(),Y1241,Y1241=TODAY(),Y1241)</f>
        <v>45461</v>
      </c>
      <c r="AD1241" s="298">
        <f t="shared" si="376"/>
        <v>0</v>
      </c>
      <c r="AE1241" s="299" t="str">
        <f t="shared" si="377"/>
        <v>Complete</v>
      </c>
      <c r="AI1241" s="301">
        <f t="shared" ca="1" si="378"/>
        <v>0</v>
      </c>
      <c r="AJ1241" s="302">
        <f t="shared" ca="1" si="379"/>
        <v>0</v>
      </c>
      <c r="AL1241" s="303">
        <f t="shared" si="380"/>
        <v>0</v>
      </c>
      <c r="AM1241" s="303">
        <f t="shared" si="370"/>
        <v>-4601327</v>
      </c>
      <c r="AN1241" s="303">
        <f t="shared" si="371"/>
        <v>4601327</v>
      </c>
      <c r="AO1241" s="304">
        <f t="shared" si="384"/>
        <v>0</v>
      </c>
      <c r="AP1241" s="273">
        <f t="shared" si="386"/>
        <v>6</v>
      </c>
      <c r="AQ1241" s="273" t="str">
        <f t="shared" ca="1" si="385"/>
        <v>62024</v>
      </c>
    </row>
    <row r="1242" spans="2:43">
      <c r="B1242" s="702" t="s">
        <v>2588</v>
      </c>
      <c r="P1242" s="688">
        <v>45500</v>
      </c>
      <c r="Q1242" s="273" t="s">
        <v>3792</v>
      </c>
      <c r="R1242" s="314">
        <v>2866279</v>
      </c>
      <c r="V1242" s="340">
        <f t="shared" ca="1" si="381"/>
        <v>7</v>
      </c>
      <c r="W1242" s="594">
        <f t="shared" ca="1" si="382"/>
        <v>2024</v>
      </c>
      <c r="X1242" s="340" t="str">
        <f t="shared" ca="1" si="374"/>
        <v>4 WEEK</v>
      </c>
      <c r="Y1242" s="794">
        <f t="shared" si="383"/>
        <v>45500</v>
      </c>
      <c r="Z1242" s="541" cm="1">
        <f t="array" aca="1" ref="Z1242" ca="1">_xlfn.IFS(AD1242&lt;100,Y1242,Y1242&lt;TODAY(),TODAY(),Y1242&gt;TODAY(),Y1242,Y1242=TODAY(),Y1242)</f>
        <v>45500</v>
      </c>
      <c r="AD1242" s="298">
        <f t="shared" si="376"/>
        <v>0</v>
      </c>
      <c r="AE1242" s="299" t="str">
        <f t="shared" si="377"/>
        <v>Complete</v>
      </c>
      <c r="AI1242" s="301">
        <f t="shared" ca="1" si="378"/>
        <v>0</v>
      </c>
      <c r="AJ1242" s="302">
        <f t="shared" ca="1" si="379"/>
        <v>0</v>
      </c>
      <c r="AL1242" s="303">
        <f t="shared" si="380"/>
        <v>0</v>
      </c>
      <c r="AM1242" s="303">
        <f t="shared" si="370"/>
        <v>-2866279</v>
      </c>
      <c r="AN1242" s="303">
        <f t="shared" si="371"/>
        <v>2866279</v>
      </c>
      <c r="AO1242" s="304">
        <f t="shared" si="384"/>
        <v>0</v>
      </c>
      <c r="AP1242" s="273">
        <f t="shared" si="386"/>
        <v>7</v>
      </c>
      <c r="AQ1242" s="273" t="str">
        <f t="shared" ca="1" si="385"/>
        <v>72024</v>
      </c>
    </row>
    <row r="1243" spans="2:43">
      <c r="B1243" s="702" t="s">
        <v>2588</v>
      </c>
      <c r="P1243" s="688">
        <v>45500</v>
      </c>
      <c r="Q1243" s="273" t="s">
        <v>3793</v>
      </c>
      <c r="R1243" s="314">
        <v>14731251</v>
      </c>
      <c r="V1243" s="340">
        <f t="shared" ca="1" si="381"/>
        <v>7</v>
      </c>
      <c r="W1243" s="594">
        <f t="shared" ca="1" si="382"/>
        <v>2024</v>
      </c>
      <c r="X1243" s="340" t="str">
        <f t="shared" ca="1" si="374"/>
        <v>4 WEEK</v>
      </c>
      <c r="Y1243" s="794">
        <f t="shared" si="383"/>
        <v>45500</v>
      </c>
      <c r="Z1243" s="541" cm="1">
        <f t="array" aca="1" ref="Z1243" ca="1">_xlfn.IFS(AD1243&lt;100,Y1243,Y1243&lt;TODAY(),TODAY(),Y1243&gt;TODAY(),Y1243,Y1243=TODAY(),Y1243)</f>
        <v>45500</v>
      </c>
      <c r="AD1243" s="298">
        <f t="shared" si="376"/>
        <v>0</v>
      </c>
      <c r="AE1243" s="299" t="str">
        <f t="shared" si="377"/>
        <v>Complete</v>
      </c>
      <c r="AI1243" s="301">
        <f t="shared" ca="1" si="378"/>
        <v>0</v>
      </c>
      <c r="AJ1243" s="302">
        <f t="shared" ca="1" si="379"/>
        <v>0</v>
      </c>
      <c r="AL1243" s="303">
        <f t="shared" si="380"/>
        <v>0</v>
      </c>
      <c r="AM1243" s="303">
        <f t="shared" si="370"/>
        <v>-14731251</v>
      </c>
      <c r="AN1243" s="303">
        <f t="shared" si="371"/>
        <v>14731251</v>
      </c>
      <c r="AO1243" s="304">
        <f t="shared" si="384"/>
        <v>0</v>
      </c>
      <c r="AP1243" s="273">
        <f t="shared" si="386"/>
        <v>7</v>
      </c>
      <c r="AQ1243" s="273" t="str">
        <f t="shared" ca="1" si="385"/>
        <v>72024</v>
      </c>
    </row>
    <row r="1244" spans="2:43">
      <c r="B1244" s="702" t="s">
        <v>2588</v>
      </c>
      <c r="P1244" s="688">
        <v>45540</v>
      </c>
      <c r="Q1244" s="273" t="s">
        <v>3794</v>
      </c>
      <c r="R1244" s="314">
        <v>-105769</v>
      </c>
      <c r="V1244" s="340">
        <f t="shared" ca="1" si="381"/>
        <v>9</v>
      </c>
      <c r="W1244" s="594">
        <f t="shared" ca="1" si="382"/>
        <v>2024</v>
      </c>
      <c r="X1244" s="340" t="str">
        <f t="shared" ca="1" si="374"/>
        <v>1 WEEK</v>
      </c>
      <c r="Y1244" s="794">
        <f t="shared" si="383"/>
        <v>45540</v>
      </c>
      <c r="Z1244" s="541" cm="1">
        <f t="array" aca="1" ref="Z1244" ca="1">_xlfn.IFS(AD1244&lt;100,Y1244,Y1244&lt;TODAY(),TODAY(),Y1244&gt;TODAY(),Y1244,Y1244=TODAY(),Y1244)</f>
        <v>45540</v>
      </c>
      <c r="AD1244" s="298">
        <f t="shared" si="376"/>
        <v>0</v>
      </c>
      <c r="AE1244" s="299" t="str">
        <f t="shared" si="377"/>
        <v>Complete</v>
      </c>
      <c r="AI1244" s="301">
        <f t="shared" ca="1" si="378"/>
        <v>0</v>
      </c>
      <c r="AJ1244" s="302">
        <f t="shared" ca="1" si="379"/>
        <v>0</v>
      </c>
      <c r="AL1244" s="303">
        <f t="shared" si="380"/>
        <v>0</v>
      </c>
      <c r="AM1244" s="303">
        <f t="shared" si="370"/>
        <v>105769</v>
      </c>
      <c r="AN1244" s="303">
        <f t="shared" si="371"/>
        <v>-105769</v>
      </c>
      <c r="AO1244" s="304">
        <f t="shared" si="384"/>
        <v>0</v>
      </c>
      <c r="AP1244" s="273">
        <f t="shared" si="386"/>
        <v>9</v>
      </c>
      <c r="AQ1244" s="273" t="str">
        <f t="shared" ca="1" si="385"/>
        <v>92024</v>
      </c>
    </row>
    <row r="1245" spans="2:43">
      <c r="B1245" s="702" t="s">
        <v>2588</v>
      </c>
      <c r="P1245" s="688">
        <v>45540</v>
      </c>
      <c r="Q1245" s="273" t="s">
        <v>3795</v>
      </c>
      <c r="R1245" s="314">
        <v>553225</v>
      </c>
      <c r="V1245" s="340">
        <f t="shared" ca="1" si="381"/>
        <v>9</v>
      </c>
      <c r="W1245" s="594">
        <f t="shared" ca="1" si="382"/>
        <v>2024</v>
      </c>
      <c r="X1245" s="340" t="str">
        <f t="shared" ca="1" si="374"/>
        <v>1 WEEK</v>
      </c>
      <c r="Y1245" s="794">
        <f t="shared" si="383"/>
        <v>45540</v>
      </c>
      <c r="Z1245" s="541" cm="1">
        <f t="array" aca="1" ref="Z1245" ca="1">_xlfn.IFS(AD1245&lt;100,Y1245,Y1245&lt;TODAY(),TODAY(),Y1245&gt;TODAY(),Y1245,Y1245=TODAY(),Y1245)</f>
        <v>45540</v>
      </c>
      <c r="AD1245" s="298">
        <f t="shared" si="376"/>
        <v>0</v>
      </c>
      <c r="AE1245" s="299" t="str">
        <f t="shared" si="377"/>
        <v>Complete</v>
      </c>
      <c r="AI1245" s="301">
        <f t="shared" ca="1" si="378"/>
        <v>0</v>
      </c>
      <c r="AJ1245" s="302">
        <f t="shared" ca="1" si="379"/>
        <v>0</v>
      </c>
      <c r="AL1245" s="303">
        <f t="shared" si="380"/>
        <v>0</v>
      </c>
      <c r="AM1245" s="303">
        <f t="shared" si="370"/>
        <v>-553225</v>
      </c>
      <c r="AN1245" s="303">
        <f t="shared" si="371"/>
        <v>553225</v>
      </c>
      <c r="AO1245" s="304">
        <f t="shared" si="384"/>
        <v>0</v>
      </c>
      <c r="AP1245" s="273">
        <f t="shared" si="386"/>
        <v>9</v>
      </c>
      <c r="AQ1245" s="273" t="str">
        <f t="shared" ca="1" si="385"/>
        <v>92024</v>
      </c>
    </row>
    <row r="1246" spans="2:43">
      <c r="B1246" s="702" t="s">
        <v>2588</v>
      </c>
      <c r="P1246" s="688">
        <v>45789</v>
      </c>
      <c r="Q1246" s="273" t="s">
        <v>3796</v>
      </c>
      <c r="R1246" s="314">
        <v>1528348</v>
      </c>
      <c r="V1246" s="340">
        <f t="shared" ca="1" si="381"/>
        <v>5</v>
      </c>
      <c r="W1246" s="594">
        <f t="shared" ca="1" si="382"/>
        <v>2025</v>
      </c>
      <c r="X1246" s="340" t="str">
        <f t="shared" ca="1" si="374"/>
        <v>2 WEEK</v>
      </c>
      <c r="Y1246" s="794">
        <f t="shared" si="383"/>
        <v>45789</v>
      </c>
      <c r="Z1246" s="541" cm="1">
        <f t="array" aca="1" ref="Z1246" ca="1">_xlfn.IFS(AD1246&lt;100,Y1246,Y1246&lt;TODAY(),TODAY(),Y1246&gt;TODAY(),Y1246,Y1246=TODAY(),Y1246)</f>
        <v>45789</v>
      </c>
      <c r="AD1246" s="298">
        <f t="shared" si="376"/>
        <v>0</v>
      </c>
      <c r="AE1246" s="299" t="str">
        <f t="shared" si="377"/>
        <v>Complete</v>
      </c>
      <c r="AI1246" s="301">
        <f t="shared" ca="1" si="378"/>
        <v>0</v>
      </c>
      <c r="AJ1246" s="302">
        <f t="shared" ca="1" si="379"/>
        <v>0</v>
      </c>
      <c r="AL1246" s="303">
        <f t="shared" si="380"/>
        <v>0</v>
      </c>
      <c r="AM1246" s="303">
        <f t="shared" si="370"/>
        <v>-1528348</v>
      </c>
      <c r="AN1246" s="303">
        <f t="shared" si="371"/>
        <v>1528348</v>
      </c>
      <c r="AO1246" s="304">
        <f t="shared" si="384"/>
        <v>0</v>
      </c>
      <c r="AP1246" s="273">
        <f t="shared" si="386"/>
        <v>5</v>
      </c>
      <c r="AQ1246" s="273" t="str">
        <f t="shared" ca="1" si="385"/>
        <v>52025</v>
      </c>
    </row>
    <row r="1247" spans="2:43">
      <c r="P1247" s="688">
        <v>45789</v>
      </c>
      <c r="R1247" s="314">
        <v>100000000</v>
      </c>
      <c r="V1247" s="340">
        <f t="shared" ref="V1247:V1252" ca="1" si="387">MONTH(Z1247)</f>
        <v>5</v>
      </c>
      <c r="W1247" s="594">
        <f t="shared" ref="W1247:W1252" ca="1" si="388">YEAR(Z1247)</f>
        <v>2025</v>
      </c>
      <c r="X1247" s="340" t="str">
        <f t="shared" ref="X1247:X1252" ca="1" si="389">INT((DAY(Z1247)-1)/7)+1&amp;" WEEK"</f>
        <v>2 WEEK</v>
      </c>
      <c r="Y1247" s="794">
        <f t="shared" ref="Y1247:Y1252" si="390">P1247+T1247</f>
        <v>45789</v>
      </c>
      <c r="Z1247" s="541" cm="1">
        <f t="array" aca="1" ref="Z1247" ca="1">_xlfn.IFS(AD1247&lt;100,Y1247,Y1247&lt;TODAY(),TODAY(),Y1247&gt;TODAY(),Y1247,Y1247=TODAY(),Y1247)</f>
        <v>45789</v>
      </c>
      <c r="AL1247" s="303">
        <f t="shared" si="380"/>
        <v>0</v>
      </c>
      <c r="AM1247" s="273">
        <f t="shared" si="370"/>
        <v>-100000000</v>
      </c>
      <c r="AN1247" s="273">
        <f t="shared" si="371"/>
        <v>100000000</v>
      </c>
      <c r="AP1247" s="273">
        <f t="shared" si="386"/>
        <v>5</v>
      </c>
      <c r="AQ1247" s="273" t="str">
        <f t="shared" ca="1" si="385"/>
        <v>52025</v>
      </c>
    </row>
    <row r="1248" spans="2:43">
      <c r="P1248" s="688">
        <v>45759</v>
      </c>
      <c r="R1248" s="314">
        <v>80000000</v>
      </c>
      <c r="V1248" s="340">
        <f t="shared" ca="1" si="387"/>
        <v>4</v>
      </c>
      <c r="W1248" s="594">
        <f t="shared" ca="1" si="388"/>
        <v>2025</v>
      </c>
      <c r="X1248" s="340" t="str">
        <f t="shared" ca="1" si="389"/>
        <v>2 WEEK</v>
      </c>
      <c r="Y1248" s="794">
        <f t="shared" si="390"/>
        <v>45759</v>
      </c>
      <c r="Z1248" s="541" cm="1">
        <f t="array" aca="1" ref="Z1248" ca="1">_xlfn.IFS(AD1248&lt;100,Y1248,Y1248&lt;TODAY(),TODAY(),Y1248&gt;TODAY(),Y1248,Y1248=TODAY(),Y1248)</f>
        <v>45759</v>
      </c>
      <c r="AL1248" s="303">
        <f t="shared" ref="AL1248" si="391">I1248-J1248</f>
        <v>0</v>
      </c>
      <c r="AM1248" s="273">
        <f t="shared" ref="AM1248" si="392">IFERROR(I1248-R1248,0)</f>
        <v>-80000000</v>
      </c>
      <c r="AN1248" s="273">
        <f t="shared" ref="AN1248" si="393">IFERROR(R1248-J1248,0)</f>
        <v>80000000</v>
      </c>
      <c r="AP1248" s="273">
        <f t="shared" ref="AP1248" si="394">MONTH(P1248)</f>
        <v>4</v>
      </c>
      <c r="AQ1248" s="273" t="str">
        <f t="shared" ca="1" si="385"/>
        <v>42025</v>
      </c>
    </row>
    <row r="1249" spans="16:43">
      <c r="P1249" s="1242">
        <v>45912</v>
      </c>
      <c r="R1249" s="314">
        <v>37299731</v>
      </c>
      <c r="V1249" s="273">
        <f t="shared" ca="1" si="387"/>
        <v>9</v>
      </c>
      <c r="W1249" s="862">
        <f t="shared" ca="1" si="388"/>
        <v>2025</v>
      </c>
      <c r="X1249" s="273" t="str">
        <f t="shared" ca="1" si="389"/>
        <v>2 WEEK</v>
      </c>
      <c r="Y1249" s="862">
        <f t="shared" si="390"/>
        <v>45912</v>
      </c>
      <c r="Z1249" s="731" cm="1">
        <f t="array" aca="1" ref="Z1249" ca="1">_xlfn.IFS(AD1249&lt;100,Y1249,Y1249&lt;TODAY(),TODAY(),Y1249&gt;TODAY(),Y1249,Y1249=TODAY(),Y1249)</f>
        <v>45912</v>
      </c>
      <c r="AM1249" s="273">
        <f t="shared" ref="AM1249:AM1250" si="395">IFERROR(I1249-R1249,0)</f>
        <v>-37299731</v>
      </c>
      <c r="AN1249" s="273">
        <f t="shared" ref="AN1249:AN1250" si="396">IFERROR(R1249-J1249,0)</f>
        <v>37299731</v>
      </c>
      <c r="AP1249" s="273">
        <f t="shared" ref="AP1249:AP1252" si="397">MONTH(P1249)</f>
        <v>9</v>
      </c>
      <c r="AQ1249" s="273" t="str">
        <f t="shared" ref="AQ1249:AQ1252" ca="1" si="398">AP1249&amp;W1249</f>
        <v>92025</v>
      </c>
    </row>
    <row r="1250" spans="16:43">
      <c r="P1250" s="1242">
        <v>45853</v>
      </c>
      <c r="R1250" s="314">
        <v>100000000</v>
      </c>
      <c r="V1250" s="273">
        <f t="shared" ca="1" si="387"/>
        <v>7</v>
      </c>
      <c r="W1250" s="862">
        <f t="shared" ca="1" si="388"/>
        <v>2025</v>
      </c>
      <c r="X1250" s="273" t="str">
        <f t="shared" ca="1" si="389"/>
        <v>3 WEEK</v>
      </c>
      <c r="Y1250" s="862">
        <f t="shared" si="390"/>
        <v>45853</v>
      </c>
      <c r="Z1250" s="731" cm="1">
        <f t="array" aca="1" ref="Z1250" ca="1">_xlfn.IFS(AD1250&lt;100,Y1250,Y1250&lt;TODAY(),TODAY(),Y1250&gt;TODAY(),Y1250,Y1250=TODAY(),Y1250)</f>
        <v>45853</v>
      </c>
      <c r="AM1250" s="273">
        <f t="shared" si="395"/>
        <v>-100000000</v>
      </c>
      <c r="AN1250" s="273">
        <f t="shared" si="396"/>
        <v>100000000</v>
      </c>
      <c r="AP1250" s="273">
        <f t="shared" si="397"/>
        <v>7</v>
      </c>
      <c r="AQ1250" s="273" t="str">
        <f t="shared" ca="1" si="398"/>
        <v>72025</v>
      </c>
    </row>
    <row r="1251" spans="16:43">
      <c r="P1251" s="1242">
        <v>45884</v>
      </c>
      <c r="R1251" s="314">
        <v>120000000</v>
      </c>
      <c r="V1251" s="273">
        <f t="shared" ca="1" si="387"/>
        <v>8</v>
      </c>
      <c r="W1251" s="862">
        <f t="shared" ca="1" si="388"/>
        <v>2025</v>
      </c>
      <c r="X1251" s="273" t="str">
        <f t="shared" ca="1" si="389"/>
        <v>3 WEEK</v>
      </c>
      <c r="Y1251" s="862">
        <f t="shared" si="390"/>
        <v>45884</v>
      </c>
      <c r="Z1251" s="731" cm="1">
        <f t="array" aca="1" ref="Z1251" ca="1">_xlfn.IFS(AD1251&lt;100,Y1251,Y1251&lt;TODAY(),TODAY(),Y1251&gt;TODAY(),Y1251,Y1251=TODAY(),Y1251)</f>
        <v>45884</v>
      </c>
      <c r="AP1251" s="273">
        <f t="shared" si="397"/>
        <v>8</v>
      </c>
      <c r="AQ1251" s="273" t="str">
        <f t="shared" ca="1" si="398"/>
        <v>82025</v>
      </c>
    </row>
    <row r="1252" spans="16:43">
      <c r="P1252" s="1242">
        <v>45915</v>
      </c>
      <c r="R1252" s="314">
        <v>130000000</v>
      </c>
      <c r="V1252" s="273">
        <f t="shared" ca="1" si="387"/>
        <v>9</v>
      </c>
      <c r="W1252" s="862">
        <f t="shared" ca="1" si="388"/>
        <v>2025</v>
      </c>
      <c r="X1252" s="273" t="str">
        <f t="shared" ca="1" si="389"/>
        <v>3 WEEK</v>
      </c>
      <c r="Y1252" s="862">
        <f t="shared" si="390"/>
        <v>45915</v>
      </c>
      <c r="Z1252" s="731" cm="1">
        <f t="array" aca="1" ref="Z1252" ca="1">_xlfn.IFS(AD1252&lt;100,Y1252,Y1252&lt;TODAY(),TODAY(),Y1252&gt;TODAY(),Y1252,Y1252=TODAY(),Y1252)</f>
        <v>45915</v>
      </c>
      <c r="AP1252" s="273">
        <f t="shared" si="397"/>
        <v>9</v>
      </c>
      <c r="AQ1252" s="273" t="str">
        <f t="shared" ca="1" si="398"/>
        <v>92025</v>
      </c>
    </row>
  </sheetData>
  <autoFilter ref="A1:AQ1" xr:uid="{2302B1DF-2B4A-41AF-824B-84A17F4A8874}"/>
  <hyperlinks>
    <hyperlink ref="B41" r:id="rId1" display="BHARAT PETROLEUM CORPORATION LIMITED" xr:uid="{12CE65F2-CA57-4716-8795-18BA837706BD}"/>
    <hyperlink ref="B40" r:id="rId2" display="BHARAT PETROLEUM CORPORATION LIMITED" xr:uid="{AB51A0F2-1F51-43EE-AB80-D3535552776A}"/>
  </hyperlinks>
  <pageMargins left="0.70866141732283472" right="0.70866141732283472" top="0.74803149606299213" bottom="0.74803149606299213" header="0.31496062992125984" footer="0.31496062992125984"/>
  <pageSetup paperSize="9" scale="21" orientation="landscape"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DCE05-D58E-4576-953D-7924FEA30DAB}">
  <dimension ref="A1:AC703"/>
  <sheetViews>
    <sheetView topLeftCell="T1" workbookViewId="0">
      <selection activeCell="AA1" sqref="AA1"/>
    </sheetView>
  </sheetViews>
  <sheetFormatPr defaultRowHeight="15.75"/>
  <cols>
    <col min="1" max="1" width="42.77734375" bestFit="1" customWidth="1"/>
    <col min="2" max="2" width="12.21875" bestFit="1" customWidth="1"/>
    <col min="3" max="7" width="13.77734375" bestFit="1" customWidth="1"/>
    <col min="9" max="9" width="38.77734375" bestFit="1" customWidth="1"/>
    <col min="10" max="10" width="13.77734375" bestFit="1" customWidth="1"/>
    <col min="11" max="11" width="9.77734375" bestFit="1" customWidth="1"/>
    <col min="12" max="12" width="13.77734375" bestFit="1" customWidth="1"/>
    <col min="13" max="13" width="12.21875" bestFit="1" customWidth="1"/>
    <col min="14" max="15" width="13.77734375" bestFit="1" customWidth="1"/>
    <col min="17" max="17" width="8.88671875" style="1240"/>
    <col min="18" max="18" width="14.77734375" bestFit="1" customWidth="1"/>
    <col min="19" max="19" width="16.21875" bestFit="1" customWidth="1"/>
    <col min="20" max="20" width="17.77734375" style="1239" bestFit="1" customWidth="1"/>
    <col min="21" max="21" width="16.33203125" style="1239" bestFit="1" customWidth="1"/>
    <col min="22" max="22" width="17.77734375" style="1239" bestFit="1" customWidth="1"/>
    <col min="23" max="23" width="16.33203125" style="1239" bestFit="1" customWidth="1"/>
    <col min="24" max="24" width="17.44140625" style="1239" bestFit="1" customWidth="1"/>
    <col min="25" max="25" width="16.21875" bestFit="1" customWidth="1"/>
    <col min="26" max="26" width="4" bestFit="1" customWidth="1"/>
    <col min="27" max="27" width="11.5546875" bestFit="1" customWidth="1"/>
    <col min="28" max="28" width="13.77734375" bestFit="1" customWidth="1"/>
  </cols>
  <sheetData>
    <row r="1" spans="1:29">
      <c r="A1" s="1238">
        <v>45869</v>
      </c>
      <c r="B1" s="1220">
        <f>SUBTOTAL(9,B4:B703)</f>
        <v>7591739.0365999993</v>
      </c>
      <c r="C1" s="1220">
        <f t="shared" ref="C1:F1" si="0">SUBTOTAL(9,C4:C703)</f>
        <v>18498800.795999981</v>
      </c>
      <c r="D1" s="1220">
        <f t="shared" si="0"/>
        <v>10031253.983599998</v>
      </c>
      <c r="E1" s="1220">
        <f t="shared" si="0"/>
        <v>18449898.046900004</v>
      </c>
      <c r="F1" s="1220">
        <f t="shared" si="0"/>
        <v>10907061.75939999</v>
      </c>
      <c r="G1" s="1220">
        <f>SUBTOTAL(9,G4:G703)</f>
        <v>8418644.0632999968</v>
      </c>
      <c r="H1" s="1220"/>
      <c r="I1" s="55"/>
      <c r="J1" s="1235">
        <f t="shared" ref="J1:O1" si="1">SUBTOTAL(9,J3:J45)</f>
        <v>3322935315.5799999</v>
      </c>
      <c r="K1" s="1235">
        <f t="shared" si="1"/>
        <v>8610159</v>
      </c>
      <c r="L1" s="1235">
        <f t="shared" si="1"/>
        <v>2558310054.0999994</v>
      </c>
      <c r="M1" s="1235">
        <f t="shared" si="1"/>
        <v>153323255</v>
      </c>
      <c r="N1" s="1235">
        <f t="shared" si="1"/>
        <v>3314325156.5799999</v>
      </c>
      <c r="O1" s="1235">
        <f t="shared" si="1"/>
        <v>2404986799.0999994</v>
      </c>
      <c r="R1" s="1239"/>
      <c r="S1" s="1235">
        <f>SUM(S4:S7)</f>
        <v>563704.53</v>
      </c>
      <c r="T1" s="1235">
        <f>SUM(T3:T62)</f>
        <v>32117448.510000002</v>
      </c>
      <c r="U1" s="1235">
        <f>SUM(U3:U62)</f>
        <v>14107319.628424</v>
      </c>
      <c r="V1" s="1235">
        <f>SUM(V19:V22)</f>
        <v>18573833.411575999</v>
      </c>
      <c r="W1" s="1235">
        <f t="shared" ref="W1:X1" si="2">SUBTOTAL(9,W3:W45)</f>
        <v>8188514.6815760005</v>
      </c>
      <c r="X1" s="1235">
        <f t="shared" si="2"/>
        <v>9821614.1999999993</v>
      </c>
      <c r="Y1" s="1235">
        <f>SUBTOTAL(9,Y3:Y45)</f>
        <v>18010128.881576002</v>
      </c>
      <c r="AA1">
        <f>A1 - DATE(YEAR(A1)-(MONTH(A1)&lt;4),4,1) + 1</f>
        <v>122</v>
      </c>
    </row>
    <row r="2" spans="1:29">
      <c r="A2" s="1221" t="s">
        <v>3919</v>
      </c>
      <c r="B2" s="1222" t="s">
        <v>3920</v>
      </c>
      <c r="C2" s="1223"/>
      <c r="D2" s="1222" t="s">
        <v>3921</v>
      </c>
      <c r="E2" s="1223"/>
      <c r="F2" s="702"/>
      <c r="I2" s="1221" t="s">
        <v>4555</v>
      </c>
      <c r="J2" s="1222" t="s">
        <v>3920</v>
      </c>
      <c r="K2" s="1223"/>
      <c r="L2" s="1222" t="s">
        <v>3921</v>
      </c>
      <c r="M2" s="1223"/>
      <c r="N2" s="1222" t="s">
        <v>3920</v>
      </c>
      <c r="O2" s="1222" t="s">
        <v>3921</v>
      </c>
      <c r="Q2" s="1244" t="s">
        <v>1570</v>
      </c>
      <c r="R2" s="1244" t="s">
        <v>4582</v>
      </c>
      <c r="S2" s="1244" t="s">
        <v>3920</v>
      </c>
      <c r="T2" s="1245" t="s">
        <v>4587</v>
      </c>
      <c r="U2" s="1245" t="s">
        <v>4588</v>
      </c>
      <c r="V2" s="1245" t="s">
        <v>3921</v>
      </c>
      <c r="W2" s="1246" t="s">
        <v>4589</v>
      </c>
      <c r="X2" s="1246" t="s">
        <v>4590</v>
      </c>
      <c r="Y2" s="1247" t="s">
        <v>4592</v>
      </c>
    </row>
    <row r="3" spans="1:29">
      <c r="A3" s="1224" t="s">
        <v>3922</v>
      </c>
      <c r="B3" s="1225" t="s">
        <v>3923</v>
      </c>
      <c r="C3" s="1225" t="s">
        <v>3924</v>
      </c>
      <c r="D3" s="1225" t="s">
        <v>3923</v>
      </c>
      <c r="E3" s="1225" t="s">
        <v>3924</v>
      </c>
      <c r="F3" s="1226" t="s">
        <v>3925</v>
      </c>
      <c r="G3" s="1237" t="s">
        <v>3926</v>
      </c>
      <c r="I3" s="1236" t="s">
        <v>3922</v>
      </c>
      <c r="J3" s="1225" t="s">
        <v>3923</v>
      </c>
      <c r="K3" s="1225" t="s">
        <v>3924</v>
      </c>
      <c r="L3" s="1225" t="s">
        <v>3923</v>
      </c>
      <c r="M3" s="1225" t="s">
        <v>3924</v>
      </c>
      <c r="N3" s="55"/>
      <c r="O3" s="55"/>
      <c r="AA3" t="s">
        <v>4594</v>
      </c>
      <c r="AB3" s="1239">
        <f>(C1+E1)/2</f>
        <v>18474349.421449993</v>
      </c>
    </row>
    <row r="4" spans="1:29">
      <c r="A4" s="1227" t="s">
        <v>3927</v>
      </c>
      <c r="B4" s="1228"/>
      <c r="C4" s="1228"/>
      <c r="D4" s="1228"/>
      <c r="E4" s="1228"/>
      <c r="F4" s="1249">
        <f>C4-B4</f>
        <v>0</v>
      </c>
      <c r="G4" s="1220">
        <f>E4-D4</f>
        <v>0</v>
      </c>
      <c r="I4" s="702" t="s">
        <v>4556</v>
      </c>
      <c r="J4" s="1229">
        <v>1971434</v>
      </c>
      <c r="K4" s="1233"/>
      <c r="L4" s="1229">
        <v>2448618</v>
      </c>
      <c r="M4" s="1233"/>
      <c r="N4" s="1235">
        <f t="shared" ref="N4:N45" si="3">J4-K4</f>
        <v>1971434</v>
      </c>
      <c r="O4" s="1235">
        <f t="shared" ref="O4:O45" si="4">L4-M4</f>
        <v>2448618</v>
      </c>
      <c r="Q4" s="1240">
        <v>4</v>
      </c>
      <c r="R4" t="s">
        <v>4583</v>
      </c>
      <c r="S4" s="1239">
        <v>484041</v>
      </c>
      <c r="T4" s="1239">
        <v>14521230</v>
      </c>
      <c r="U4" s="1239">
        <v>10068052.800000001</v>
      </c>
      <c r="V4" s="1220">
        <f>S4+T4-U4</f>
        <v>4937218.1999999993</v>
      </c>
      <c r="X4" s="1241">
        <f>V4-S4</f>
        <v>4453177.1999999993</v>
      </c>
      <c r="Y4" s="1170">
        <f>W4+X4</f>
        <v>4453177.1999999993</v>
      </c>
      <c r="AA4" t="s">
        <v>4593</v>
      </c>
      <c r="AB4" s="1248">
        <f>(AB3/Y1)*AA1</f>
        <v>125.14461413558028</v>
      </c>
    </row>
    <row r="5" spans="1:29">
      <c r="A5" s="1230" t="s">
        <v>3928</v>
      </c>
      <c r="B5" s="1231">
        <f>0/(100)</f>
        <v>0</v>
      </c>
      <c r="C5" s="1232">
        <f>479797/(100)</f>
        <v>4797.97</v>
      </c>
      <c r="D5" s="1231">
        <f>0/(100)</f>
        <v>0</v>
      </c>
      <c r="E5" s="1232">
        <f>479797/(100)</f>
        <v>4797.97</v>
      </c>
      <c r="F5" s="1229">
        <f t="shared" ref="F5:F68" si="5">C5-B5</f>
        <v>4797.97</v>
      </c>
      <c r="G5" s="1220">
        <f t="shared" ref="G5:G68" si="6">E5-D5</f>
        <v>4797.97</v>
      </c>
      <c r="I5" s="702" t="s">
        <v>2573</v>
      </c>
      <c r="J5" s="1229">
        <v>649800</v>
      </c>
      <c r="K5" s="1233"/>
      <c r="L5" s="1233"/>
      <c r="M5" s="1233"/>
      <c r="N5" s="1235">
        <f t="shared" si="3"/>
        <v>649800</v>
      </c>
      <c r="O5" s="1235">
        <f t="shared" si="4"/>
        <v>0</v>
      </c>
      <c r="Q5" s="1240">
        <v>4</v>
      </c>
      <c r="R5" t="s">
        <v>4584</v>
      </c>
      <c r="S5" s="1239">
        <v>72606.22</v>
      </c>
      <c r="T5" s="1239">
        <v>2178186.6</v>
      </c>
      <c r="U5" s="1239">
        <v>1510217.0199999996</v>
      </c>
      <c r="V5" s="1220">
        <f t="shared" ref="V5:V27" si="7">S5+T5-U5</f>
        <v>740575.80000000075</v>
      </c>
      <c r="W5" s="1220">
        <f>V5-S5</f>
        <v>667969.58000000077</v>
      </c>
      <c r="Y5" s="1170">
        <f t="shared" ref="Y5:Y62" si="8">W5+X5</f>
        <v>667969.58000000077</v>
      </c>
      <c r="AA5" t="s">
        <v>4595</v>
      </c>
      <c r="AB5" s="1239">
        <f>(J1+L1)/2</f>
        <v>2940622684.8399997</v>
      </c>
    </row>
    <row r="6" spans="1:29">
      <c r="A6" s="1230" t="s">
        <v>3929</v>
      </c>
      <c r="B6" s="1231">
        <f>0/(100)</f>
        <v>0</v>
      </c>
      <c r="C6" s="1232">
        <f>23344816/(100)</f>
        <v>233448.16</v>
      </c>
      <c r="D6" s="1231">
        <f>0/(100)</f>
        <v>0</v>
      </c>
      <c r="E6" s="1232">
        <f>4228816/(100)</f>
        <v>42288.160000000003</v>
      </c>
      <c r="F6" s="1229">
        <f t="shared" si="5"/>
        <v>233448.16</v>
      </c>
      <c r="G6" s="1220">
        <f t="shared" si="6"/>
        <v>42288.160000000003</v>
      </c>
      <c r="I6" s="702" t="s">
        <v>2574</v>
      </c>
      <c r="J6" s="1233"/>
      <c r="K6" s="1233"/>
      <c r="L6" s="1229">
        <v>166330</v>
      </c>
      <c r="M6" s="1233"/>
      <c r="N6" s="1235">
        <f t="shared" si="3"/>
        <v>0</v>
      </c>
      <c r="O6" s="1235">
        <f t="shared" si="4"/>
        <v>166330</v>
      </c>
      <c r="Q6" s="1240">
        <v>4</v>
      </c>
      <c r="R6" t="s">
        <v>4585</v>
      </c>
      <c r="S6" s="1239">
        <v>6534.55</v>
      </c>
      <c r="T6" s="1239">
        <v>163363.75</v>
      </c>
      <c r="U6" s="1239">
        <v>103245.50780000002</v>
      </c>
      <c r="V6" s="1220">
        <f t="shared" si="7"/>
        <v>66652.792199999967</v>
      </c>
      <c r="W6" s="1220">
        <f>V6-S6</f>
        <v>60118.242199999964</v>
      </c>
      <c r="Y6" s="1170">
        <f t="shared" si="8"/>
        <v>60118.242199999964</v>
      </c>
      <c r="AA6" t="s">
        <v>4596</v>
      </c>
      <c r="AB6" s="1248">
        <f>(AB5/O1)*AA1</f>
        <v>149.17169927283368</v>
      </c>
    </row>
    <row r="7" spans="1:29">
      <c r="A7" s="1230" t="s">
        <v>3930</v>
      </c>
      <c r="B7" s="1232">
        <f>653/(100)</f>
        <v>6.53</v>
      </c>
      <c r="C7" s="1231">
        <f>0/(100)</f>
        <v>0</v>
      </c>
      <c r="D7" s="1232">
        <f>653/(100)</f>
        <v>6.53</v>
      </c>
      <c r="E7" s="1231">
        <f>0/(100)</f>
        <v>0</v>
      </c>
      <c r="F7" s="1229">
        <f t="shared" si="5"/>
        <v>-6.53</v>
      </c>
      <c r="G7" s="1220">
        <f t="shared" si="6"/>
        <v>-6.53</v>
      </c>
      <c r="I7" s="702" t="s">
        <v>4557</v>
      </c>
      <c r="J7" s="1229">
        <v>135768459.58000001</v>
      </c>
      <c r="K7" s="1233"/>
      <c r="L7" s="1229">
        <v>101033043.55</v>
      </c>
      <c r="M7" s="1233"/>
      <c r="N7" s="1235">
        <f t="shared" si="3"/>
        <v>135768459.58000001</v>
      </c>
      <c r="O7" s="1235">
        <f t="shared" si="4"/>
        <v>101033043.55</v>
      </c>
      <c r="Q7" s="1240">
        <v>4</v>
      </c>
      <c r="R7" t="s">
        <v>4586</v>
      </c>
      <c r="S7" s="1239">
        <v>522.76</v>
      </c>
      <c r="T7" s="1239">
        <v>99325.16</v>
      </c>
      <c r="U7" s="1239">
        <v>94515.300623999996</v>
      </c>
      <c r="V7" s="1220">
        <f t="shared" si="7"/>
        <v>5332.6193760000024</v>
      </c>
      <c r="W7" s="1220">
        <f>V7-S7</f>
        <v>4809.8593760000022</v>
      </c>
      <c r="Y7" s="1170">
        <f t="shared" si="8"/>
        <v>4809.8593760000022</v>
      </c>
      <c r="AA7" t="s">
        <v>4599</v>
      </c>
      <c r="AB7" s="1239">
        <f>(V1+S1)/2</f>
        <v>9568768.9707880002</v>
      </c>
    </row>
    <row r="8" spans="1:29">
      <c r="A8" s="1230" t="s">
        <v>3931</v>
      </c>
      <c r="B8" s="1232">
        <f>3829990.4/(100)</f>
        <v>38299.904000000002</v>
      </c>
      <c r="C8" s="1231">
        <f>0/(100)</f>
        <v>0</v>
      </c>
      <c r="D8" s="1231">
        <f>0/(100)</f>
        <v>0</v>
      </c>
      <c r="E8" s="1231">
        <f>0/(100)</f>
        <v>0</v>
      </c>
      <c r="F8" s="1229">
        <f t="shared" si="5"/>
        <v>-38299.904000000002</v>
      </c>
      <c r="G8" s="1220">
        <f t="shared" si="6"/>
        <v>0</v>
      </c>
      <c r="I8" s="702" t="s">
        <v>4558</v>
      </c>
      <c r="J8" s="1229">
        <v>1027165648</v>
      </c>
      <c r="K8" s="1233"/>
      <c r="L8" s="1229">
        <v>494948719.81</v>
      </c>
      <c r="M8" s="1233"/>
      <c r="N8" s="1235">
        <f t="shared" si="3"/>
        <v>1027165648</v>
      </c>
      <c r="O8" s="1235">
        <f t="shared" si="4"/>
        <v>494948719.81</v>
      </c>
      <c r="Y8" s="1170">
        <f t="shared" si="8"/>
        <v>0</v>
      </c>
      <c r="AA8" t="s">
        <v>4597</v>
      </c>
      <c r="AB8" s="1058">
        <f>(AB7/Y1)*AA1</f>
        <v>64.818515298374805</v>
      </c>
    </row>
    <row r="9" spans="1:29">
      <c r="A9" s="1230" t="s">
        <v>3932</v>
      </c>
      <c r="B9" s="1231">
        <f>0/(100)</f>
        <v>0</v>
      </c>
      <c r="C9" s="1232">
        <f>2417257/(100)</f>
        <v>24172.57</v>
      </c>
      <c r="D9" s="1231">
        <f>0/(100)</f>
        <v>0</v>
      </c>
      <c r="E9" s="1232">
        <f>917257/(100)</f>
        <v>9172.57</v>
      </c>
      <c r="F9" s="1229">
        <f t="shared" si="5"/>
        <v>24172.57</v>
      </c>
      <c r="G9" s="1220">
        <f t="shared" si="6"/>
        <v>9172.57</v>
      </c>
      <c r="I9" s="702" t="s">
        <v>4559</v>
      </c>
      <c r="J9" s="1229">
        <v>640935</v>
      </c>
      <c r="K9" s="1233"/>
      <c r="L9" s="1229">
        <v>640935</v>
      </c>
      <c r="M9" s="1233"/>
      <c r="N9" s="1235">
        <f t="shared" si="3"/>
        <v>640935</v>
      </c>
      <c r="O9" s="1235">
        <f t="shared" si="4"/>
        <v>640935</v>
      </c>
      <c r="Q9" s="1240">
        <v>5</v>
      </c>
      <c r="R9" t="s">
        <v>4583</v>
      </c>
      <c r="S9" s="20">
        <f>V4</f>
        <v>4937218.1999999993</v>
      </c>
      <c r="T9" s="1239">
        <v>1585718</v>
      </c>
      <c r="U9" s="1239">
        <v>1099430</v>
      </c>
      <c r="V9" s="1220">
        <f t="shared" si="7"/>
        <v>5423506.1999999993</v>
      </c>
      <c r="X9" s="1241">
        <f>V9-S9</f>
        <v>486288</v>
      </c>
      <c r="Y9" s="1170">
        <f>W9+X9</f>
        <v>486288</v>
      </c>
      <c r="Z9" s="1239"/>
    </row>
    <row r="10" spans="1:29">
      <c r="A10" s="1230" t="s">
        <v>3933</v>
      </c>
      <c r="B10" s="1231">
        <f>0/(100)</f>
        <v>0</v>
      </c>
      <c r="C10" s="1232">
        <f>214406/(100)</f>
        <v>2144.06</v>
      </c>
      <c r="D10" s="1231">
        <f>0/(100)</f>
        <v>0</v>
      </c>
      <c r="E10" s="1231">
        <f>0/(100)</f>
        <v>0</v>
      </c>
      <c r="F10" s="1229">
        <f t="shared" si="5"/>
        <v>2144.06</v>
      </c>
      <c r="G10" s="1220">
        <f t="shared" si="6"/>
        <v>0</v>
      </c>
      <c r="I10" s="702" t="s">
        <v>4560</v>
      </c>
      <c r="J10" s="1229">
        <v>30799827.469999999</v>
      </c>
      <c r="K10" s="1233"/>
      <c r="L10" s="1229">
        <v>29007828.059999999</v>
      </c>
      <c r="M10" s="1233"/>
      <c r="N10" s="1235">
        <f t="shared" si="3"/>
        <v>30799827.469999999</v>
      </c>
      <c r="O10" s="1235">
        <f t="shared" si="4"/>
        <v>29007828.059999999</v>
      </c>
      <c r="Q10" s="1240">
        <v>5</v>
      </c>
      <c r="R10" t="s">
        <v>4584</v>
      </c>
      <c r="S10" s="20">
        <f t="shared" ref="S10:S12" si="9">V5</f>
        <v>740575.80000000075</v>
      </c>
      <c r="T10" s="1239">
        <v>5378570</v>
      </c>
      <c r="U10" s="1239">
        <v>154607</v>
      </c>
      <c r="V10" s="1220">
        <f t="shared" si="7"/>
        <v>5964538.8000000007</v>
      </c>
      <c r="W10" s="1220">
        <f>(V10-S10)</f>
        <v>5223963</v>
      </c>
      <c r="Y10" s="1170">
        <f t="shared" si="8"/>
        <v>5223963</v>
      </c>
      <c r="Z10" s="1170"/>
      <c r="AA10" s="1250" t="s">
        <v>4598</v>
      </c>
      <c r="AB10" s="1251">
        <f>AB8+AB6-AB4</f>
        <v>88.845600435628185</v>
      </c>
      <c r="AC10" s="1251"/>
    </row>
    <row r="11" spans="1:29">
      <c r="A11" s="1230" t="s">
        <v>3934</v>
      </c>
      <c r="B11" s="1232">
        <f>249750/(100)</f>
        <v>2497.5</v>
      </c>
      <c r="C11" s="1231">
        <f>0/(100)</f>
        <v>0</v>
      </c>
      <c r="D11" s="1232">
        <f>249750/(100)</f>
        <v>2497.5</v>
      </c>
      <c r="E11" s="1231">
        <f>0/(100)</f>
        <v>0</v>
      </c>
      <c r="F11" s="1229">
        <f t="shared" si="5"/>
        <v>-2497.5</v>
      </c>
      <c r="G11" s="1220">
        <f t="shared" si="6"/>
        <v>-2497.5</v>
      </c>
      <c r="I11" s="702" t="s">
        <v>4561</v>
      </c>
      <c r="J11" s="1229">
        <v>4626790.9800000004</v>
      </c>
      <c r="K11" s="1233"/>
      <c r="L11" s="1229">
        <v>4626790.9800000004</v>
      </c>
      <c r="M11" s="1233"/>
      <c r="N11" s="1235">
        <f t="shared" si="3"/>
        <v>4626790.9800000004</v>
      </c>
      <c r="O11" s="1235">
        <f t="shared" si="4"/>
        <v>4626790.9800000004</v>
      </c>
      <c r="Q11" s="1240">
        <v>5</v>
      </c>
      <c r="R11" t="s">
        <v>4585</v>
      </c>
      <c r="S11" s="20">
        <f t="shared" si="9"/>
        <v>66652.792199999967</v>
      </c>
      <c r="T11" s="1239">
        <v>17839</v>
      </c>
      <c r="U11" s="1239">
        <v>12487</v>
      </c>
      <c r="V11" s="1220">
        <f t="shared" si="7"/>
        <v>72004.792199999967</v>
      </c>
      <c r="W11" s="1220">
        <f>(V11-S11)</f>
        <v>5352</v>
      </c>
      <c r="Y11" s="1170">
        <f t="shared" si="8"/>
        <v>5352</v>
      </c>
      <c r="Z11" s="1170"/>
    </row>
    <row r="12" spans="1:29">
      <c r="A12" s="1230" t="s">
        <v>3935</v>
      </c>
      <c r="B12" s="1231">
        <f>0/(100)</f>
        <v>0</v>
      </c>
      <c r="C12" s="1232">
        <f>77240446.31/(100)</f>
        <v>772404.46310000005</v>
      </c>
      <c r="D12" s="1231">
        <f>0/(100)</f>
        <v>0</v>
      </c>
      <c r="E12" s="1232">
        <f>77240446.31/(100)</f>
        <v>772404.46310000005</v>
      </c>
      <c r="F12" s="1229">
        <f t="shared" si="5"/>
        <v>772404.46310000005</v>
      </c>
      <c r="G12" s="1220">
        <f t="shared" si="6"/>
        <v>772404.46310000005</v>
      </c>
      <c r="I12" s="702" t="s">
        <v>2571</v>
      </c>
      <c r="J12" s="1233"/>
      <c r="K12" s="1233"/>
      <c r="L12" s="1233"/>
      <c r="M12" s="1229">
        <v>34122</v>
      </c>
      <c r="N12" s="1235">
        <f t="shared" si="3"/>
        <v>0</v>
      </c>
      <c r="O12" s="1235">
        <f t="shared" si="4"/>
        <v>-34122</v>
      </c>
      <c r="Q12" s="1240">
        <v>5</v>
      </c>
      <c r="R12" t="s">
        <v>4586</v>
      </c>
      <c r="S12" s="20">
        <f t="shared" si="9"/>
        <v>5332.6193760000024</v>
      </c>
      <c r="T12" s="1239">
        <v>10846</v>
      </c>
      <c r="U12" s="1239">
        <v>8151</v>
      </c>
      <c r="V12" s="1220">
        <f t="shared" si="7"/>
        <v>8027.6193760000024</v>
      </c>
      <c r="W12" s="1220">
        <f>(V12-S12)</f>
        <v>2695</v>
      </c>
      <c r="Y12" s="1170">
        <f t="shared" si="8"/>
        <v>2695</v>
      </c>
      <c r="Z12" s="1170"/>
    </row>
    <row r="13" spans="1:29">
      <c r="A13" s="1230" t="s">
        <v>3936</v>
      </c>
      <c r="B13" s="1231">
        <f>0/(100)</f>
        <v>0</v>
      </c>
      <c r="C13" s="1232">
        <f>182817/(100)</f>
        <v>1828.17</v>
      </c>
      <c r="D13" s="1231">
        <f>0/(100)</f>
        <v>0</v>
      </c>
      <c r="E13" s="1232">
        <f>182817/(100)</f>
        <v>1828.17</v>
      </c>
      <c r="F13" s="1229">
        <f t="shared" si="5"/>
        <v>1828.17</v>
      </c>
      <c r="G13" s="1220">
        <f t="shared" si="6"/>
        <v>1828.17</v>
      </c>
      <c r="I13" s="702" t="s">
        <v>1624</v>
      </c>
      <c r="J13" s="1233"/>
      <c r="K13" s="1229">
        <v>3625032</v>
      </c>
      <c r="L13" s="1233"/>
      <c r="M13" s="1229">
        <v>349030</v>
      </c>
      <c r="N13" s="1235">
        <f t="shared" si="3"/>
        <v>-3625032</v>
      </c>
      <c r="O13" s="1235">
        <f t="shared" si="4"/>
        <v>-349030</v>
      </c>
      <c r="Y13" s="1170">
        <f t="shared" si="8"/>
        <v>0</v>
      </c>
    </row>
    <row r="14" spans="1:29">
      <c r="A14" s="1230" t="s">
        <v>3937</v>
      </c>
      <c r="B14" s="1232">
        <f>9593754/(100)</f>
        <v>95937.54</v>
      </c>
      <c r="C14" s="1231">
        <f>0/(100)</f>
        <v>0</v>
      </c>
      <c r="D14" s="1232">
        <f>9593754/(100)</f>
        <v>95937.54</v>
      </c>
      <c r="E14" s="1231">
        <f>0/(100)</f>
        <v>0</v>
      </c>
      <c r="F14" s="1229">
        <f t="shared" si="5"/>
        <v>-95937.54</v>
      </c>
      <c r="G14" s="1220">
        <f t="shared" si="6"/>
        <v>-95937.54</v>
      </c>
      <c r="I14" s="702" t="s">
        <v>4562</v>
      </c>
      <c r="J14" s="1229">
        <v>3645039.16</v>
      </c>
      <c r="K14" s="1233"/>
      <c r="L14" s="1229">
        <v>3645039.16</v>
      </c>
      <c r="M14" s="1233"/>
      <c r="N14" s="1235">
        <f t="shared" si="3"/>
        <v>3645039.16</v>
      </c>
      <c r="O14" s="1235">
        <f t="shared" si="4"/>
        <v>3645039.16</v>
      </c>
      <c r="Q14" s="1240">
        <v>6</v>
      </c>
      <c r="R14" t="s">
        <v>4583</v>
      </c>
      <c r="S14" s="21">
        <f>V9</f>
        <v>5423506.1999999993</v>
      </c>
      <c r="T14" s="1239">
        <v>4372090</v>
      </c>
      <c r="U14" s="1239">
        <v>230511</v>
      </c>
      <c r="V14" s="1220">
        <f t="shared" si="7"/>
        <v>9565085.1999999993</v>
      </c>
      <c r="X14" s="1241">
        <f>V14-S14</f>
        <v>4141579</v>
      </c>
      <c r="Y14" s="1170">
        <f t="shared" si="8"/>
        <v>4141579</v>
      </c>
    </row>
    <row r="15" spans="1:29">
      <c r="A15" s="1230" t="s">
        <v>3938</v>
      </c>
      <c r="B15" s="1231">
        <f>0/(100)</f>
        <v>0</v>
      </c>
      <c r="C15" s="1232">
        <f>4648890/(100)</f>
        <v>46488.9</v>
      </c>
      <c r="D15" s="1231">
        <f>0/(100)</f>
        <v>0</v>
      </c>
      <c r="E15" s="1232">
        <f>4648890/(100)</f>
        <v>46488.9</v>
      </c>
      <c r="F15" s="1229">
        <f t="shared" si="5"/>
        <v>46488.9</v>
      </c>
      <c r="G15" s="1220">
        <f t="shared" si="6"/>
        <v>46488.9</v>
      </c>
      <c r="I15" s="702" t="s">
        <v>2379</v>
      </c>
      <c r="J15" s="1229">
        <v>4335643</v>
      </c>
      <c r="K15" s="1233"/>
      <c r="L15" s="1229">
        <v>738433</v>
      </c>
      <c r="M15" s="1233"/>
      <c r="N15" s="1235">
        <f t="shared" si="3"/>
        <v>4335643</v>
      </c>
      <c r="O15" s="1235">
        <f t="shared" si="4"/>
        <v>738433</v>
      </c>
      <c r="Q15" s="1240">
        <v>6</v>
      </c>
      <c r="R15" t="s">
        <v>4584</v>
      </c>
      <c r="S15" s="21">
        <f t="shared" ref="S15:S17" si="10">V10</f>
        <v>5964538.8000000007</v>
      </c>
      <c r="T15" s="1239">
        <v>2033556</v>
      </c>
      <c r="U15" s="1239">
        <v>306556</v>
      </c>
      <c r="V15" s="1220">
        <f t="shared" si="7"/>
        <v>7691538.8000000007</v>
      </c>
      <c r="W15" s="1220">
        <f>V15-S15</f>
        <v>1727000</v>
      </c>
      <c r="Y15" s="1170">
        <f t="shared" si="8"/>
        <v>1727000</v>
      </c>
    </row>
    <row r="16" spans="1:29">
      <c r="A16" s="1230" t="s">
        <v>3939</v>
      </c>
      <c r="B16" s="1232">
        <f>36250/(100)</f>
        <v>362.5</v>
      </c>
      <c r="C16" s="1231">
        <f>0/(100)</f>
        <v>0</v>
      </c>
      <c r="D16" s="1231">
        <f>0/(100)</f>
        <v>0</v>
      </c>
      <c r="E16" s="1231">
        <f>0/(100)</f>
        <v>0</v>
      </c>
      <c r="F16" s="1229">
        <f t="shared" si="5"/>
        <v>-362.5</v>
      </c>
      <c r="G16" s="1220">
        <f t="shared" si="6"/>
        <v>0</v>
      </c>
      <c r="I16" s="702" t="s">
        <v>4563</v>
      </c>
      <c r="J16" s="1233"/>
      <c r="K16" s="1229">
        <v>50000</v>
      </c>
      <c r="L16" s="1233"/>
      <c r="M16" s="1229">
        <v>50000</v>
      </c>
      <c r="N16" s="1235">
        <f t="shared" si="3"/>
        <v>-50000</v>
      </c>
      <c r="O16" s="1235">
        <f t="shared" si="4"/>
        <v>-50000</v>
      </c>
      <c r="Q16" s="1240">
        <v>6</v>
      </c>
      <c r="R16" t="s">
        <v>4585</v>
      </c>
      <c r="S16" s="21">
        <f t="shared" si="10"/>
        <v>72004.792199999967</v>
      </c>
      <c r="T16" s="1239">
        <v>400000</v>
      </c>
      <c r="U16" s="1239">
        <v>66064</v>
      </c>
      <c r="V16" s="1220">
        <f t="shared" si="7"/>
        <v>405940.79219999997</v>
      </c>
      <c r="W16" s="1220">
        <f>V16-S16</f>
        <v>333936</v>
      </c>
      <c r="Y16" s="1170">
        <f t="shared" si="8"/>
        <v>333936</v>
      </c>
    </row>
    <row r="17" spans="1:25">
      <c r="A17" s="1230" t="s">
        <v>3940</v>
      </c>
      <c r="B17" s="1232">
        <f>8179237/(100)</f>
        <v>81792.37</v>
      </c>
      <c r="C17" s="1231">
        <f>0/(100)</f>
        <v>0</v>
      </c>
      <c r="D17" s="1232">
        <f>590/(100)</f>
        <v>5.9</v>
      </c>
      <c r="E17" s="1231">
        <f>0/(100)</f>
        <v>0</v>
      </c>
      <c r="F17" s="1229">
        <f t="shared" si="5"/>
        <v>-81792.37</v>
      </c>
      <c r="G17" s="1220">
        <f t="shared" si="6"/>
        <v>-5.9</v>
      </c>
      <c r="I17" s="702" t="s">
        <v>4564</v>
      </c>
      <c r="J17" s="1233"/>
      <c r="K17" s="1233"/>
      <c r="L17" s="1233"/>
      <c r="M17" s="1229">
        <v>1189938</v>
      </c>
      <c r="N17" s="1235">
        <f t="shared" si="3"/>
        <v>0</v>
      </c>
      <c r="O17" s="1235">
        <f t="shared" si="4"/>
        <v>-1189938</v>
      </c>
      <c r="Q17" s="1240">
        <v>6</v>
      </c>
      <c r="R17" t="s">
        <v>4586</v>
      </c>
      <c r="S17" s="21">
        <f t="shared" si="10"/>
        <v>8027.6193760000024</v>
      </c>
      <c r="T17" s="1239">
        <v>50000</v>
      </c>
      <c r="U17" s="1239">
        <v>13173</v>
      </c>
      <c r="V17" s="1220">
        <f t="shared" si="7"/>
        <v>44854.619376000002</v>
      </c>
      <c r="W17" s="1220">
        <f>V17-S17</f>
        <v>36827</v>
      </c>
      <c r="Y17" s="1170">
        <f t="shared" si="8"/>
        <v>36827</v>
      </c>
    </row>
    <row r="18" spans="1:25">
      <c r="A18" s="1230" t="s">
        <v>3941</v>
      </c>
      <c r="B18" s="1232">
        <f>11849263/(100)</f>
        <v>118492.63</v>
      </c>
      <c r="C18" s="1231">
        <f>0/(100)</f>
        <v>0</v>
      </c>
      <c r="D18" s="1231">
        <f>0/(100)</f>
        <v>0</v>
      </c>
      <c r="E18" s="1232">
        <f>3478090/(100)</f>
        <v>34780.9</v>
      </c>
      <c r="F18" s="1229">
        <f t="shared" si="5"/>
        <v>-118492.63</v>
      </c>
      <c r="G18" s="1220">
        <f t="shared" si="6"/>
        <v>34780.9</v>
      </c>
      <c r="I18" s="702" t="s">
        <v>4565</v>
      </c>
      <c r="J18" s="1229">
        <v>2835854</v>
      </c>
      <c r="K18" s="1233"/>
      <c r="L18" s="1229">
        <v>2835854</v>
      </c>
      <c r="M18" s="1233"/>
      <c r="N18" s="1235">
        <f t="shared" si="3"/>
        <v>2835854</v>
      </c>
      <c r="O18" s="1235">
        <f t="shared" si="4"/>
        <v>2835854</v>
      </c>
      <c r="Y18" s="1170">
        <f t="shared" si="8"/>
        <v>0</v>
      </c>
    </row>
    <row r="19" spans="1:25">
      <c r="A19" s="1230" t="s">
        <v>3942</v>
      </c>
      <c r="B19" s="1232">
        <f>719280/(100)</f>
        <v>7192.8</v>
      </c>
      <c r="C19" s="1231">
        <f>0/(100)</f>
        <v>0</v>
      </c>
      <c r="D19" s="1232">
        <f>719280/(100)</f>
        <v>7192.8</v>
      </c>
      <c r="E19" s="1231">
        <f>0/(100)</f>
        <v>0</v>
      </c>
      <c r="F19" s="1229">
        <f t="shared" si="5"/>
        <v>-7192.8</v>
      </c>
      <c r="G19" s="1220">
        <f t="shared" si="6"/>
        <v>-7192.8</v>
      </c>
      <c r="I19" s="702" t="s">
        <v>2569</v>
      </c>
      <c r="J19" s="1229">
        <v>3828000</v>
      </c>
      <c r="K19" s="1233"/>
      <c r="L19" s="1229">
        <v>3828000</v>
      </c>
      <c r="M19" s="1233"/>
      <c r="N19" s="1235">
        <f t="shared" si="3"/>
        <v>3828000</v>
      </c>
      <c r="O19" s="1235">
        <f t="shared" si="4"/>
        <v>3828000</v>
      </c>
      <c r="Q19" s="1240">
        <v>7</v>
      </c>
      <c r="R19" t="s">
        <v>4583</v>
      </c>
      <c r="S19" s="21">
        <f>V14</f>
        <v>9565085.1999999993</v>
      </c>
      <c r="T19" s="1239">
        <v>1126110</v>
      </c>
      <c r="U19" s="1239">
        <v>385540</v>
      </c>
      <c r="V19" s="1220">
        <f t="shared" si="7"/>
        <v>10305655.199999999</v>
      </c>
      <c r="X19" s="1241">
        <f>V19-S19</f>
        <v>740570</v>
      </c>
      <c r="Y19" s="1170">
        <f t="shared" si="8"/>
        <v>740570</v>
      </c>
    </row>
    <row r="20" spans="1:25">
      <c r="A20" s="702" t="s">
        <v>3943</v>
      </c>
      <c r="B20" s="1233">
        <f>0/(100)</f>
        <v>0</v>
      </c>
      <c r="C20" s="1229">
        <f>100000/(100)</f>
        <v>1000</v>
      </c>
      <c r="D20" s="1233">
        <f>0/(100)</f>
        <v>0</v>
      </c>
      <c r="E20" s="1229">
        <f>100000/(100)</f>
        <v>1000</v>
      </c>
      <c r="F20" s="1229">
        <f t="shared" si="5"/>
        <v>1000</v>
      </c>
      <c r="G20" s="1220">
        <f t="shared" si="6"/>
        <v>1000</v>
      </c>
      <c r="I20" s="702" t="s">
        <v>1912</v>
      </c>
      <c r="J20" s="1229">
        <v>52087350</v>
      </c>
      <c r="K20" s="1233"/>
      <c r="L20" s="1229">
        <v>6256162</v>
      </c>
      <c r="M20" s="1233"/>
      <c r="N20" s="1235">
        <f t="shared" si="3"/>
        <v>52087350</v>
      </c>
      <c r="O20" s="1235">
        <f t="shared" si="4"/>
        <v>6256162</v>
      </c>
      <c r="Q20" s="1240">
        <v>7</v>
      </c>
      <c r="R20" t="s">
        <v>4584</v>
      </c>
      <c r="S20" s="21">
        <f t="shared" ref="S20:S22" si="11">V15</f>
        <v>7691538.8000000007</v>
      </c>
      <c r="T20" s="1239">
        <v>152114</v>
      </c>
      <c r="U20" s="1239">
        <v>33874</v>
      </c>
      <c r="V20" s="1220">
        <f t="shared" si="7"/>
        <v>7809778.8000000007</v>
      </c>
      <c r="W20" s="1220">
        <f>V20-S20</f>
        <v>118240</v>
      </c>
      <c r="Y20" s="1170">
        <f t="shared" si="8"/>
        <v>118240</v>
      </c>
    </row>
    <row r="21" spans="1:25">
      <c r="A21" s="702" t="s">
        <v>3944</v>
      </c>
      <c r="B21" s="1233">
        <f>0/(100)</f>
        <v>0</v>
      </c>
      <c r="C21" s="1229">
        <f>138000/(100)</f>
        <v>1380</v>
      </c>
      <c r="D21" s="1233">
        <f>0/(100)</f>
        <v>0</v>
      </c>
      <c r="E21" s="1229">
        <f>135800/(100)</f>
        <v>1358</v>
      </c>
      <c r="F21" s="1229">
        <f t="shared" si="5"/>
        <v>1380</v>
      </c>
      <c r="G21" s="1220">
        <f t="shared" si="6"/>
        <v>1358</v>
      </c>
      <c r="I21" s="702" t="s">
        <v>4566</v>
      </c>
      <c r="J21" s="1229">
        <v>332236</v>
      </c>
      <c r="K21" s="1233"/>
      <c r="L21" s="1233"/>
      <c r="M21" s="1229">
        <v>317364</v>
      </c>
      <c r="N21" s="1235">
        <f t="shared" si="3"/>
        <v>332236</v>
      </c>
      <c r="O21" s="1235">
        <f t="shared" si="4"/>
        <v>-317364</v>
      </c>
      <c r="Q21" s="1240">
        <v>7</v>
      </c>
      <c r="R21" t="s">
        <v>4585</v>
      </c>
      <c r="S21" s="21">
        <f t="shared" si="11"/>
        <v>405940.79219999997</v>
      </c>
      <c r="T21" s="1239">
        <v>10145</v>
      </c>
      <c r="U21" s="1239">
        <v>7101</v>
      </c>
      <c r="V21" s="1220">
        <f t="shared" si="7"/>
        <v>408984.79219999997</v>
      </c>
      <c r="W21" s="1220">
        <f>V21-S21</f>
        <v>3044</v>
      </c>
      <c r="Y21" s="1170">
        <f t="shared" si="8"/>
        <v>3044</v>
      </c>
    </row>
    <row r="22" spans="1:25">
      <c r="A22" s="702" t="s">
        <v>3945</v>
      </c>
      <c r="B22" s="1233">
        <f>0/(100)</f>
        <v>0</v>
      </c>
      <c r="C22" s="1233">
        <f>0/(100)</f>
        <v>0</v>
      </c>
      <c r="D22" s="1233">
        <f>0/(100)</f>
        <v>0</v>
      </c>
      <c r="E22" s="1233">
        <f>0/(100)</f>
        <v>0</v>
      </c>
      <c r="F22" s="1229">
        <f t="shared" si="5"/>
        <v>0</v>
      </c>
      <c r="G22" s="1220">
        <f t="shared" si="6"/>
        <v>0</v>
      </c>
      <c r="I22" s="702" t="s">
        <v>4567</v>
      </c>
      <c r="J22" s="1229">
        <v>9345986</v>
      </c>
      <c r="K22" s="1233"/>
      <c r="L22" s="1229">
        <v>1879159.15</v>
      </c>
      <c r="M22" s="1233"/>
      <c r="N22" s="1235">
        <f t="shared" si="3"/>
        <v>9345986</v>
      </c>
      <c r="O22" s="1235">
        <f t="shared" si="4"/>
        <v>1879159.15</v>
      </c>
      <c r="Q22" s="1240">
        <v>7</v>
      </c>
      <c r="R22" t="s">
        <v>4586</v>
      </c>
      <c r="S22" s="21">
        <f t="shared" si="11"/>
        <v>44854.619376000002</v>
      </c>
      <c r="T22" s="1239">
        <v>18355</v>
      </c>
      <c r="U22" s="1239">
        <v>13795</v>
      </c>
      <c r="V22" s="1220">
        <f t="shared" si="7"/>
        <v>49414.619376000002</v>
      </c>
      <c r="W22" s="1220">
        <f>V22-S22</f>
        <v>4560</v>
      </c>
      <c r="Y22" s="1170">
        <f t="shared" si="8"/>
        <v>4560</v>
      </c>
    </row>
    <row r="23" spans="1:25">
      <c r="A23" s="702" t="s">
        <v>3946</v>
      </c>
      <c r="B23" s="1229">
        <f>2367/(100)</f>
        <v>23.67</v>
      </c>
      <c r="C23" s="1233">
        <f>0/(100)</f>
        <v>0</v>
      </c>
      <c r="D23" s="1229">
        <f>2367/(100)</f>
        <v>23.67</v>
      </c>
      <c r="E23" s="1233">
        <f>0/(100)</f>
        <v>0</v>
      </c>
      <c r="F23" s="1229">
        <f t="shared" si="5"/>
        <v>-23.67</v>
      </c>
      <c r="G23" s="1220">
        <f t="shared" si="6"/>
        <v>-23.67</v>
      </c>
      <c r="I23" s="702" t="s">
        <v>4568</v>
      </c>
      <c r="J23" s="1233"/>
      <c r="K23" s="1233"/>
      <c r="L23" s="1229">
        <v>120972580</v>
      </c>
      <c r="M23" s="1233"/>
      <c r="N23" s="1235">
        <f t="shared" si="3"/>
        <v>0</v>
      </c>
      <c r="O23" s="1235">
        <f t="shared" si="4"/>
        <v>120972580</v>
      </c>
      <c r="Y23" s="1170">
        <f t="shared" si="8"/>
        <v>0</v>
      </c>
    </row>
    <row r="24" spans="1:25">
      <c r="A24" s="702" t="s">
        <v>3947</v>
      </c>
      <c r="B24" s="1229">
        <f>2140440/(100)</f>
        <v>21404.400000000001</v>
      </c>
      <c r="C24" s="1233">
        <f>0/(100)</f>
        <v>0</v>
      </c>
      <c r="D24" s="1233">
        <f>0/(100)</f>
        <v>0</v>
      </c>
      <c r="E24" s="1229">
        <f>25081555/(100)</f>
        <v>250815.55</v>
      </c>
      <c r="F24" s="1229">
        <f t="shared" si="5"/>
        <v>-21404.400000000001</v>
      </c>
      <c r="G24" s="1220">
        <f t="shared" si="6"/>
        <v>250815.55</v>
      </c>
      <c r="I24" s="702" t="s">
        <v>4569</v>
      </c>
      <c r="J24" s="1229">
        <v>222255.62</v>
      </c>
      <c r="K24" s="1233"/>
      <c r="L24" s="1229">
        <v>222255.62</v>
      </c>
      <c r="M24" s="1233"/>
      <c r="N24" s="1235">
        <f t="shared" si="3"/>
        <v>222255.62</v>
      </c>
      <c r="O24" s="1235">
        <f t="shared" si="4"/>
        <v>222255.62</v>
      </c>
      <c r="Q24" s="1240">
        <v>8</v>
      </c>
      <c r="R24" t="s">
        <v>4583</v>
      </c>
      <c r="S24" s="1239">
        <f>(V19)*(0)</f>
        <v>0</v>
      </c>
      <c r="T24" s="1239">
        <f>11231759*(0)</f>
        <v>0</v>
      </c>
      <c r="U24" s="1239">
        <f>3415622*(0)</f>
        <v>0</v>
      </c>
      <c r="V24" s="1220">
        <f t="shared" si="7"/>
        <v>0</v>
      </c>
      <c r="X24" s="1241">
        <f>V24-S24</f>
        <v>0</v>
      </c>
      <c r="Y24" s="1170">
        <f t="shared" si="8"/>
        <v>0</v>
      </c>
    </row>
    <row r="25" spans="1:25">
      <c r="A25" s="702" t="s">
        <v>3948</v>
      </c>
      <c r="B25" s="1233">
        <f>0/(100)</f>
        <v>0</v>
      </c>
      <c r="C25" s="1229">
        <f>2649763/(100)</f>
        <v>26497.63</v>
      </c>
      <c r="D25" s="1229">
        <f>1782/(100)</f>
        <v>17.82</v>
      </c>
      <c r="E25" s="1233">
        <f>0/(100)</f>
        <v>0</v>
      </c>
      <c r="F25" s="1229">
        <f t="shared" si="5"/>
        <v>26497.63</v>
      </c>
      <c r="G25" s="1220">
        <f t="shared" si="6"/>
        <v>-17.82</v>
      </c>
      <c r="I25" s="702" t="s">
        <v>378</v>
      </c>
      <c r="J25" s="1229">
        <v>276695942</v>
      </c>
      <c r="K25" s="1233"/>
      <c r="L25" s="1229">
        <v>153843156</v>
      </c>
      <c r="M25" s="1233"/>
      <c r="N25" s="1235">
        <f t="shared" si="3"/>
        <v>276695942</v>
      </c>
      <c r="O25" s="1235">
        <f t="shared" si="4"/>
        <v>153843156</v>
      </c>
      <c r="Q25" s="1240">
        <v>8</v>
      </c>
      <c r="R25" t="s">
        <v>4584</v>
      </c>
      <c r="S25" s="1239">
        <f>(V20)*(0)</f>
        <v>0</v>
      </c>
      <c r="T25" s="1239">
        <f>5758661*(0)</f>
        <v>0</v>
      </c>
      <c r="U25" s="1239">
        <f>3743130*(0)</f>
        <v>0</v>
      </c>
      <c r="V25" s="1220">
        <f t="shared" si="7"/>
        <v>0</v>
      </c>
      <c r="W25" s="1220">
        <f>V25-S25</f>
        <v>0</v>
      </c>
      <c r="Y25" s="1170">
        <f t="shared" si="8"/>
        <v>0</v>
      </c>
    </row>
    <row r="26" spans="1:25">
      <c r="A26" s="702" t="s">
        <v>3949</v>
      </c>
      <c r="B26" s="1233">
        <f>0/(100)</f>
        <v>0</v>
      </c>
      <c r="C26" s="1233">
        <f>0/(100)</f>
        <v>0</v>
      </c>
      <c r="D26" s="1233">
        <f>0/(100)</f>
        <v>0</v>
      </c>
      <c r="E26" s="1229">
        <f>94400/(100)</f>
        <v>944</v>
      </c>
      <c r="F26" s="1229">
        <f t="shared" si="5"/>
        <v>0</v>
      </c>
      <c r="G26" s="1220">
        <f t="shared" si="6"/>
        <v>944</v>
      </c>
      <c r="I26" s="702" t="s">
        <v>4570</v>
      </c>
      <c r="J26" s="1229">
        <v>900748</v>
      </c>
      <c r="K26" s="1233"/>
      <c r="L26" s="1229">
        <v>252676</v>
      </c>
      <c r="M26" s="1233"/>
      <c r="N26" s="1235">
        <f t="shared" si="3"/>
        <v>900748</v>
      </c>
      <c r="O26" s="1235">
        <f t="shared" si="4"/>
        <v>252676</v>
      </c>
      <c r="Q26" s="1240">
        <v>8</v>
      </c>
      <c r="R26" t="s">
        <v>4585</v>
      </c>
      <c r="S26" s="1239">
        <f>(V21)*(0)</f>
        <v>0</v>
      </c>
      <c r="T26" s="1239">
        <f>109066*(0)</f>
        <v>0</v>
      </c>
      <c r="U26" s="1239">
        <f>76346*(0)</f>
        <v>0</v>
      </c>
      <c r="V26" s="1220">
        <f t="shared" si="7"/>
        <v>0</v>
      </c>
      <c r="W26" s="1220">
        <f>V26-S26</f>
        <v>0</v>
      </c>
      <c r="Y26" s="1170">
        <f t="shared" si="8"/>
        <v>0</v>
      </c>
    </row>
    <row r="27" spans="1:25">
      <c r="A27" s="702" t="s">
        <v>3950</v>
      </c>
      <c r="B27" s="1233">
        <f>0/(100)</f>
        <v>0</v>
      </c>
      <c r="C27" s="1229">
        <f>26423.2/(100)</f>
        <v>264.23200000000003</v>
      </c>
      <c r="D27" s="1233">
        <f>0/(100)</f>
        <v>0</v>
      </c>
      <c r="E27" s="1229">
        <f>26423.2/(100)</f>
        <v>264.23200000000003</v>
      </c>
      <c r="F27" s="1229">
        <f t="shared" si="5"/>
        <v>264.23200000000003</v>
      </c>
      <c r="G27" s="1220">
        <f t="shared" si="6"/>
        <v>264.23200000000003</v>
      </c>
      <c r="I27" s="702" t="s">
        <v>4571</v>
      </c>
      <c r="J27" s="1229">
        <v>102726</v>
      </c>
      <c r="K27" s="1233"/>
      <c r="L27" s="1233"/>
      <c r="M27" s="1229">
        <v>588737</v>
      </c>
      <c r="N27" s="1235">
        <f t="shared" si="3"/>
        <v>102726</v>
      </c>
      <c r="O27" s="1235">
        <f t="shared" si="4"/>
        <v>-588737</v>
      </c>
      <c r="Q27" s="1240">
        <v>8</v>
      </c>
      <c r="R27" t="s">
        <v>4586</v>
      </c>
      <c r="S27" s="1239">
        <f>(V22)*(0)</f>
        <v>0</v>
      </c>
      <c r="T27" s="1239">
        <f>19221.7326649251*(0)</f>
        <v>0</v>
      </c>
      <c r="U27" s="1239">
        <f>14446.6496029016*(0)</f>
        <v>0</v>
      </c>
      <c r="V27" s="1220">
        <f t="shared" si="7"/>
        <v>0</v>
      </c>
      <c r="W27" s="1220">
        <f>V27-S27</f>
        <v>0</v>
      </c>
      <c r="Y27" s="1170">
        <f t="shared" si="8"/>
        <v>0</v>
      </c>
    </row>
    <row r="28" spans="1:25">
      <c r="A28" s="702" t="s">
        <v>3562</v>
      </c>
      <c r="B28" s="1233">
        <f>0/(100)</f>
        <v>0</v>
      </c>
      <c r="C28" s="1229">
        <f>123171.2/(100)</f>
        <v>1231.712</v>
      </c>
      <c r="D28" s="1233">
        <f>0/(100)</f>
        <v>0</v>
      </c>
      <c r="E28" s="1229">
        <f>233880.8/(100)</f>
        <v>2338.808</v>
      </c>
      <c r="F28" s="1229">
        <f t="shared" si="5"/>
        <v>1231.712</v>
      </c>
      <c r="G28" s="1220">
        <f t="shared" si="6"/>
        <v>2338.808</v>
      </c>
      <c r="I28" s="702" t="s">
        <v>4572</v>
      </c>
      <c r="J28" s="1229">
        <v>1362314</v>
      </c>
      <c r="K28" s="1233"/>
      <c r="L28" s="1229">
        <v>929609</v>
      </c>
      <c r="M28" s="1233"/>
      <c r="N28" s="1235">
        <f t="shared" si="3"/>
        <v>1362314</v>
      </c>
      <c r="O28" s="1235">
        <f t="shared" si="4"/>
        <v>929609</v>
      </c>
      <c r="Y28" s="1170">
        <f t="shared" si="8"/>
        <v>0</v>
      </c>
    </row>
    <row r="29" spans="1:25">
      <c r="A29" s="702" t="s">
        <v>3951</v>
      </c>
      <c r="B29" s="1229">
        <f>245795.6/(100)</f>
        <v>2457.9560000000001</v>
      </c>
      <c r="C29" s="1233">
        <f>0/(100)</f>
        <v>0</v>
      </c>
      <c r="D29" s="1229">
        <f>186891.6/(100)</f>
        <v>1868.9160000000002</v>
      </c>
      <c r="E29" s="1233">
        <f>0/(100)</f>
        <v>0</v>
      </c>
      <c r="F29" s="1229">
        <f t="shared" si="5"/>
        <v>-2457.9560000000001</v>
      </c>
      <c r="G29" s="1220">
        <f t="shared" si="6"/>
        <v>-1868.9160000000002</v>
      </c>
      <c r="I29" s="702" t="s">
        <v>4573</v>
      </c>
      <c r="J29" s="1229">
        <v>138381662</v>
      </c>
      <c r="K29" s="1233"/>
      <c r="L29" s="1229">
        <v>153899654</v>
      </c>
      <c r="M29" s="1233"/>
      <c r="N29" s="1235">
        <f t="shared" si="3"/>
        <v>138381662</v>
      </c>
      <c r="O29" s="1235">
        <f t="shared" si="4"/>
        <v>153899654</v>
      </c>
      <c r="Q29" s="1240">
        <v>9</v>
      </c>
      <c r="R29" t="s">
        <v>4583</v>
      </c>
      <c r="S29" s="1243">
        <f>(V24)*(0)</f>
        <v>0</v>
      </c>
      <c r="T29" s="1243">
        <f>101586403*(0)</f>
        <v>0</v>
      </c>
      <c r="U29" s="1243">
        <f>(86079000+1000000)*(0)</f>
        <v>0</v>
      </c>
      <c r="V29" s="1220">
        <f>S29+T29-U29</f>
        <v>0</v>
      </c>
      <c r="X29" s="1241">
        <f>V29-S29</f>
        <v>0</v>
      </c>
      <c r="Y29" s="1170">
        <f t="shared" si="8"/>
        <v>0</v>
      </c>
    </row>
    <row r="30" spans="1:25">
      <c r="A30" s="702" t="s">
        <v>3952</v>
      </c>
      <c r="B30" s="1233">
        <f>0/(100)</f>
        <v>0</v>
      </c>
      <c r="C30" s="1229">
        <f>1262551.98/(100)</f>
        <v>12625.5198</v>
      </c>
      <c r="D30" s="1233">
        <f>0/(100)</f>
        <v>0</v>
      </c>
      <c r="E30" s="1229">
        <f>1552826.24/(100)</f>
        <v>15528.2624</v>
      </c>
      <c r="F30" s="1229">
        <f t="shared" si="5"/>
        <v>12625.5198</v>
      </c>
      <c r="G30" s="1220">
        <f t="shared" si="6"/>
        <v>15528.2624</v>
      </c>
      <c r="I30" s="702" t="s">
        <v>4574</v>
      </c>
      <c r="J30" s="1233"/>
      <c r="K30" s="1233"/>
      <c r="L30" s="1229">
        <v>13297405</v>
      </c>
      <c r="M30" s="1233"/>
      <c r="N30" s="1235">
        <f t="shared" si="3"/>
        <v>0</v>
      </c>
      <c r="O30" s="1235">
        <f t="shared" si="4"/>
        <v>13297405</v>
      </c>
      <c r="Q30" s="1240">
        <v>9</v>
      </c>
      <c r="R30" t="s">
        <v>4584</v>
      </c>
      <c r="S30" s="1243">
        <f>(V25)*(0)</f>
        <v>0</v>
      </c>
      <c r="T30" s="1243">
        <f>636332*(0)</f>
        <v>0</v>
      </c>
      <c r="U30" s="1243">
        <f>4136150*(0)</f>
        <v>0</v>
      </c>
      <c r="V30" s="1220">
        <f t="shared" ref="V30:V32" si="12">S30+T30-U30</f>
        <v>0</v>
      </c>
      <c r="W30" s="1220">
        <f>V30-S30</f>
        <v>0</v>
      </c>
      <c r="Y30" s="1170">
        <f t="shared" si="8"/>
        <v>0</v>
      </c>
    </row>
    <row r="31" spans="1:25">
      <c r="A31" s="702" t="s">
        <v>3953</v>
      </c>
      <c r="B31" s="1229">
        <f>42902.4/(100)</f>
        <v>429.024</v>
      </c>
      <c r="C31" s="1233">
        <f>0/(100)</f>
        <v>0</v>
      </c>
      <c r="D31" s="1229">
        <f>42902.4/(100)</f>
        <v>429.024</v>
      </c>
      <c r="E31" s="1233">
        <f>0/(100)</f>
        <v>0</v>
      </c>
      <c r="F31" s="1229">
        <f t="shared" si="5"/>
        <v>-429.024</v>
      </c>
      <c r="G31" s="1220">
        <f t="shared" si="6"/>
        <v>-429.024</v>
      </c>
      <c r="I31" s="702" t="s">
        <v>4575</v>
      </c>
      <c r="J31" s="1229">
        <v>39064160</v>
      </c>
      <c r="K31" s="1233"/>
      <c r="L31" s="1229">
        <v>52256692</v>
      </c>
      <c r="M31" s="1233"/>
      <c r="N31" s="1235">
        <f t="shared" si="3"/>
        <v>39064160</v>
      </c>
      <c r="O31" s="1235">
        <f t="shared" si="4"/>
        <v>52256692</v>
      </c>
      <c r="Q31" s="1240">
        <v>9</v>
      </c>
      <c r="R31" t="s">
        <v>4585</v>
      </c>
      <c r="S31" s="1243">
        <f>(V26)*(0)</f>
        <v>0</v>
      </c>
      <c r="T31" s="1243">
        <f>117246*(0)</f>
        <v>0</v>
      </c>
      <c r="U31" s="1243">
        <f>(82072+100000)*(0)</f>
        <v>0</v>
      </c>
      <c r="V31" s="1220">
        <f t="shared" si="12"/>
        <v>0</v>
      </c>
      <c r="W31" s="1220">
        <f>V31-S31</f>
        <v>0</v>
      </c>
      <c r="Y31" s="1170">
        <f t="shared" si="8"/>
        <v>0</v>
      </c>
    </row>
    <row r="32" spans="1:25">
      <c r="A32" s="702" t="s">
        <v>3954</v>
      </c>
      <c r="B32" s="1233">
        <f t="shared" ref="B32:B40" si="13">0/(100)</f>
        <v>0</v>
      </c>
      <c r="C32" s="1233">
        <f>0/(100)</f>
        <v>0</v>
      </c>
      <c r="D32" s="1233">
        <f>0/(100)</f>
        <v>0</v>
      </c>
      <c r="E32" s="1229">
        <f>179941/(100)</f>
        <v>1799.41</v>
      </c>
      <c r="F32" s="1229">
        <f t="shared" si="5"/>
        <v>0</v>
      </c>
      <c r="G32" s="1220">
        <f t="shared" si="6"/>
        <v>1799.41</v>
      </c>
      <c r="I32" s="702" t="s">
        <v>4576</v>
      </c>
      <c r="J32" s="1229">
        <v>844857710</v>
      </c>
      <c r="K32" s="1233"/>
      <c r="L32" s="1229">
        <v>845906844</v>
      </c>
      <c r="M32" s="1233"/>
      <c r="N32" s="1235">
        <f t="shared" si="3"/>
        <v>844857710</v>
      </c>
      <c r="O32" s="1235">
        <f t="shared" si="4"/>
        <v>845906844</v>
      </c>
      <c r="Q32" s="1240">
        <v>9</v>
      </c>
      <c r="R32" t="s">
        <v>4586</v>
      </c>
      <c r="S32" s="1243">
        <f>(V27)*(0)</f>
        <v>0</v>
      </c>
      <c r="T32" s="1243">
        <f>20128.9984467096*(0)</f>
        <v>0</v>
      </c>
      <c r="U32" s="1243">
        <f>(15128.5314641586+110000)*(0)</f>
        <v>0</v>
      </c>
      <c r="V32" s="1220">
        <f t="shared" si="12"/>
        <v>0</v>
      </c>
      <c r="W32" s="1220">
        <f>V32-S32</f>
        <v>0</v>
      </c>
      <c r="Y32" s="1170">
        <f t="shared" si="8"/>
        <v>0</v>
      </c>
    </row>
    <row r="33" spans="1:25">
      <c r="A33" s="702" t="s">
        <v>3955</v>
      </c>
      <c r="B33" s="1233">
        <f t="shared" si="13"/>
        <v>0</v>
      </c>
      <c r="C33" s="1233">
        <f>0/(100)</f>
        <v>0</v>
      </c>
      <c r="D33" s="1233">
        <f>0/(100)</f>
        <v>0</v>
      </c>
      <c r="E33" s="1233">
        <f>0/(100)</f>
        <v>0</v>
      </c>
      <c r="F33" s="1229">
        <f t="shared" si="5"/>
        <v>0</v>
      </c>
      <c r="G33" s="1220">
        <f t="shared" si="6"/>
        <v>0</v>
      </c>
      <c r="I33" s="702" t="s">
        <v>2588</v>
      </c>
      <c r="J33" s="1229">
        <v>8498512.7899999991</v>
      </c>
      <c r="K33" s="1233"/>
      <c r="L33" s="1229">
        <v>8653938.7899999991</v>
      </c>
      <c r="M33" s="1233"/>
      <c r="N33" s="1235">
        <f t="shared" si="3"/>
        <v>8498512.7899999991</v>
      </c>
      <c r="O33" s="1235">
        <f t="shared" si="4"/>
        <v>8653938.7899999991</v>
      </c>
      <c r="S33" s="1243">
        <f>0*(0)</f>
        <v>0</v>
      </c>
      <c r="T33" s="1243">
        <f>0*(0)</f>
        <v>0</v>
      </c>
      <c r="U33" s="1243">
        <f>0*(0)</f>
        <v>0</v>
      </c>
      <c r="Y33" s="1170">
        <f t="shared" si="8"/>
        <v>0</v>
      </c>
    </row>
    <row r="34" spans="1:25">
      <c r="A34" s="702" t="s">
        <v>958</v>
      </c>
      <c r="B34" s="1233">
        <f t="shared" si="13"/>
        <v>0</v>
      </c>
      <c r="C34" s="1233">
        <f>0/(100)</f>
        <v>0</v>
      </c>
      <c r="D34" s="1229">
        <f>100/(100)</f>
        <v>1</v>
      </c>
      <c r="E34" s="1233">
        <f>0/(100)</f>
        <v>0</v>
      </c>
      <c r="F34" s="1229">
        <f t="shared" si="5"/>
        <v>0</v>
      </c>
      <c r="G34" s="1220">
        <f t="shared" si="6"/>
        <v>-1</v>
      </c>
      <c r="I34" s="702" t="s">
        <v>1548</v>
      </c>
      <c r="J34" s="1229">
        <v>3489982.8</v>
      </c>
      <c r="K34" s="1233"/>
      <c r="L34" s="1229">
        <v>4267539.8</v>
      </c>
      <c r="M34" s="1233"/>
      <c r="N34" s="1235">
        <f t="shared" si="3"/>
        <v>3489982.8</v>
      </c>
      <c r="O34" s="1235">
        <f t="shared" si="4"/>
        <v>4267539.8</v>
      </c>
      <c r="Q34" s="1240">
        <v>10</v>
      </c>
      <c r="R34" t="s">
        <v>4583</v>
      </c>
      <c r="S34" s="1243">
        <f>(V29)*(0)</f>
        <v>0</v>
      </c>
      <c r="T34" s="1243">
        <f>13556604824.118*(0)</f>
        <v>0</v>
      </c>
      <c r="U34" s="1243">
        <f>9399246011.38845*(0)</f>
        <v>0</v>
      </c>
      <c r="V34" s="1220">
        <f>S34+T34-U34</f>
        <v>0</v>
      </c>
      <c r="X34" s="1241">
        <f>V34-S34</f>
        <v>0</v>
      </c>
      <c r="Y34" s="1170">
        <f t="shared" si="8"/>
        <v>0</v>
      </c>
    </row>
    <row r="35" spans="1:25">
      <c r="A35" s="702" t="s">
        <v>3956</v>
      </c>
      <c r="B35" s="1233">
        <f t="shared" si="13"/>
        <v>0</v>
      </c>
      <c r="C35" s="1229">
        <f>1652560.63/(100)</f>
        <v>16525.606299999999</v>
      </c>
      <c r="D35" s="1229">
        <f>3840995.37/(100)</f>
        <v>38409.953699999998</v>
      </c>
      <c r="E35" s="1233">
        <f>0/(100)</f>
        <v>0</v>
      </c>
      <c r="F35" s="1229">
        <f t="shared" si="5"/>
        <v>16525.606299999999</v>
      </c>
      <c r="G35" s="1220">
        <f t="shared" si="6"/>
        <v>-38409.953699999998</v>
      </c>
      <c r="I35" s="702" t="s">
        <v>2491</v>
      </c>
      <c r="J35" s="1229">
        <v>2018596</v>
      </c>
      <c r="K35" s="1233"/>
      <c r="L35" s="1229">
        <v>2018596</v>
      </c>
      <c r="M35" s="1233"/>
      <c r="N35" s="1235">
        <f t="shared" si="3"/>
        <v>2018596</v>
      </c>
      <c r="O35" s="1235">
        <f t="shared" si="4"/>
        <v>2018596</v>
      </c>
      <c r="Q35" s="1240">
        <v>10</v>
      </c>
      <c r="R35" t="s">
        <v>4584</v>
      </c>
      <c r="S35" s="1243">
        <f>(V30)*(0)</f>
        <v>0</v>
      </c>
      <c r="T35" s="1243">
        <f>703146990.520609*(0)</f>
        <v>0</v>
      </c>
      <c r="U35" s="1243">
        <f>457045543.838396*(0)</f>
        <v>0</v>
      </c>
      <c r="V35" s="1220">
        <f t="shared" ref="V35:V37" si="14">S35+T35-U35</f>
        <v>0</v>
      </c>
      <c r="W35" s="1220">
        <f>V35-S35</f>
        <v>0</v>
      </c>
      <c r="Y35" s="1170">
        <f t="shared" si="8"/>
        <v>0</v>
      </c>
    </row>
    <row r="36" spans="1:25">
      <c r="A36" s="702" t="s">
        <v>3957</v>
      </c>
      <c r="B36" s="1233">
        <f t="shared" si="13"/>
        <v>0</v>
      </c>
      <c r="C36" s="1233">
        <f>0/(100)</f>
        <v>0</v>
      </c>
      <c r="D36" s="1233">
        <f>0/(100)</f>
        <v>0</v>
      </c>
      <c r="E36" s="1229">
        <f>133753/(100)</f>
        <v>1337.53</v>
      </c>
      <c r="F36" s="1229">
        <f t="shared" si="5"/>
        <v>0</v>
      </c>
      <c r="G36" s="1220">
        <f t="shared" si="6"/>
        <v>1337.53</v>
      </c>
      <c r="I36" s="702" t="s">
        <v>380</v>
      </c>
      <c r="J36" s="1229">
        <v>223897114</v>
      </c>
      <c r="K36" s="1233"/>
      <c r="L36" s="1229">
        <v>16013811</v>
      </c>
      <c r="M36" s="1233"/>
      <c r="N36" s="1235">
        <f t="shared" si="3"/>
        <v>223897114</v>
      </c>
      <c r="O36" s="1235">
        <f t="shared" si="4"/>
        <v>16013811</v>
      </c>
      <c r="Q36" s="1240">
        <v>10</v>
      </c>
      <c r="R36" t="s">
        <v>4585</v>
      </c>
      <c r="S36" s="1243">
        <f>(V31)*(0)</f>
        <v>0</v>
      </c>
      <c r="T36" s="1243">
        <f>1260395.80757489*(0)</f>
        <v>0</v>
      </c>
      <c r="U36" s="1243">
        <f>882277.065302424*(0)</f>
        <v>0</v>
      </c>
      <c r="V36" s="1220">
        <f t="shared" si="14"/>
        <v>0</v>
      </c>
      <c r="W36" s="1220">
        <f>V36-S36</f>
        <v>0</v>
      </c>
      <c r="Y36" s="1170">
        <f t="shared" si="8"/>
        <v>0</v>
      </c>
    </row>
    <row r="37" spans="1:25">
      <c r="A37" s="702" t="s">
        <v>3958</v>
      </c>
      <c r="B37" s="1233">
        <f t="shared" si="13"/>
        <v>0</v>
      </c>
      <c r="C37" s="1233">
        <f>0/(100)</f>
        <v>0</v>
      </c>
      <c r="D37" s="1233">
        <f>0/(100)</f>
        <v>0</v>
      </c>
      <c r="E37" s="1229">
        <f>37983/(100)</f>
        <v>379.83</v>
      </c>
      <c r="F37" s="1229">
        <f t="shared" si="5"/>
        <v>0</v>
      </c>
      <c r="G37" s="1220">
        <f t="shared" si="6"/>
        <v>379.83</v>
      </c>
      <c r="I37" s="702" t="s">
        <v>2566</v>
      </c>
      <c r="J37" s="1233"/>
      <c r="K37" s="1233"/>
      <c r="L37" s="1233"/>
      <c r="M37" s="1229">
        <v>150794064</v>
      </c>
      <c r="N37" s="1235">
        <f t="shared" si="3"/>
        <v>0</v>
      </c>
      <c r="O37" s="1235">
        <f t="shared" si="4"/>
        <v>-150794064</v>
      </c>
      <c r="Q37" s="1240">
        <v>10</v>
      </c>
      <c r="R37" t="s">
        <v>4586</v>
      </c>
      <c r="S37" s="1243">
        <f>(V32)*(0)</f>
        <v>0</v>
      </c>
      <c r="T37" s="1243">
        <f>21079.0871733942*(0)</f>
        <v>0</v>
      </c>
      <c r="U37" s="1243">
        <f>15842.5981492668*(0)</f>
        <v>0</v>
      </c>
      <c r="V37" s="1220">
        <f t="shared" si="14"/>
        <v>0</v>
      </c>
      <c r="W37" s="1220">
        <f>V37-S37</f>
        <v>0</v>
      </c>
      <c r="Y37" s="1170">
        <f t="shared" si="8"/>
        <v>0</v>
      </c>
    </row>
    <row r="38" spans="1:25">
      <c r="A38" s="702" t="s">
        <v>3959</v>
      </c>
      <c r="B38" s="1233">
        <f t="shared" si="13"/>
        <v>0</v>
      </c>
      <c r="C38" s="1233">
        <f>0/(100)</f>
        <v>0</v>
      </c>
      <c r="D38" s="1229">
        <f>497/(100)</f>
        <v>4.97</v>
      </c>
      <c r="E38" s="1233">
        <f>0/(100)</f>
        <v>0</v>
      </c>
      <c r="F38" s="1229">
        <f t="shared" si="5"/>
        <v>0</v>
      </c>
      <c r="G38" s="1220">
        <f t="shared" si="6"/>
        <v>-4.97</v>
      </c>
      <c r="I38" s="702" t="s">
        <v>4577</v>
      </c>
      <c r="J38" s="1229">
        <v>15839746.6</v>
      </c>
      <c r="K38" s="1233"/>
      <c r="L38" s="1229">
        <v>14839746.6</v>
      </c>
      <c r="M38" s="1233"/>
      <c r="N38" s="1235">
        <f t="shared" si="3"/>
        <v>15839746.6</v>
      </c>
      <c r="O38" s="1235">
        <f t="shared" si="4"/>
        <v>14839746.6</v>
      </c>
      <c r="S38" s="1243">
        <f>0*(0)</f>
        <v>0</v>
      </c>
      <c r="T38" s="1243">
        <f>0*(0)</f>
        <v>0</v>
      </c>
      <c r="U38" s="1243">
        <f>0*(0)</f>
        <v>0</v>
      </c>
      <c r="Y38" s="1170">
        <f t="shared" si="8"/>
        <v>0</v>
      </c>
    </row>
    <row r="39" spans="1:25">
      <c r="A39" s="702" t="s">
        <v>3960</v>
      </c>
      <c r="B39" s="1233">
        <f t="shared" si="13"/>
        <v>0</v>
      </c>
      <c r="C39" s="1229">
        <f>1189/(100)</f>
        <v>11.89</v>
      </c>
      <c r="D39" s="1233">
        <f>0/(100)</f>
        <v>0</v>
      </c>
      <c r="E39" s="1233">
        <f>0/(100)</f>
        <v>0</v>
      </c>
      <c r="F39" s="1229">
        <f t="shared" si="5"/>
        <v>11.89</v>
      </c>
      <c r="G39" s="1220">
        <f t="shared" si="6"/>
        <v>0</v>
      </c>
      <c r="I39" s="702" t="s">
        <v>3709</v>
      </c>
      <c r="J39" s="1229">
        <v>169236013</v>
      </c>
      <c r="K39" s="1233"/>
      <c r="L39" s="1229">
        <v>166736013</v>
      </c>
      <c r="M39" s="1233"/>
      <c r="N39" s="1235">
        <f t="shared" si="3"/>
        <v>169236013</v>
      </c>
      <c r="O39" s="1235">
        <f t="shared" si="4"/>
        <v>166736013</v>
      </c>
      <c r="Q39" s="1240">
        <v>11</v>
      </c>
      <c r="R39" t="s">
        <v>4583</v>
      </c>
      <c r="S39" s="1243">
        <f>(V34)*(0)</f>
        <v>0</v>
      </c>
      <c r="T39" s="1243">
        <f>14803812467.9368*(0)</f>
        <v>0</v>
      </c>
      <c r="U39" s="1243">
        <f>10263976644.4362*(0)</f>
        <v>0</v>
      </c>
      <c r="V39" s="1220">
        <f>S39+T39-U39</f>
        <v>0</v>
      </c>
      <c r="X39" s="1241">
        <f>V39-S39</f>
        <v>0</v>
      </c>
      <c r="Y39" s="1170">
        <f t="shared" si="8"/>
        <v>0</v>
      </c>
    </row>
    <row r="40" spans="1:25">
      <c r="A40" s="702" t="s">
        <v>3961</v>
      </c>
      <c r="B40" s="1233">
        <f t="shared" si="13"/>
        <v>0</v>
      </c>
      <c r="C40" s="1233">
        <f>0/(100)</f>
        <v>0</v>
      </c>
      <c r="D40" s="1233">
        <f>0/(100)</f>
        <v>0</v>
      </c>
      <c r="E40" s="1229">
        <f>2851935/(100)</f>
        <v>28519.35</v>
      </c>
      <c r="F40" s="1229">
        <f t="shared" si="5"/>
        <v>0</v>
      </c>
      <c r="G40" s="1220">
        <f t="shared" si="6"/>
        <v>28519.35</v>
      </c>
      <c r="I40" s="702" t="s">
        <v>2540</v>
      </c>
      <c r="J40" s="1229">
        <v>1820786</v>
      </c>
      <c r="K40" s="1233"/>
      <c r="L40" s="1229">
        <v>2670386</v>
      </c>
      <c r="M40" s="1233"/>
      <c r="N40" s="1235">
        <f t="shared" si="3"/>
        <v>1820786</v>
      </c>
      <c r="O40" s="1235">
        <f t="shared" si="4"/>
        <v>2670386</v>
      </c>
      <c r="Q40" s="1240">
        <v>11</v>
      </c>
      <c r="R40" t="s">
        <v>4584</v>
      </c>
      <c r="S40" s="1243">
        <f>(V35)*(0)</f>
        <v>0</v>
      </c>
      <c r="T40" s="1243">
        <f>776977424.525273*(0)</f>
        <v>0</v>
      </c>
      <c r="U40" s="1243">
        <f>505035325.941427*(0)</f>
        <v>0</v>
      </c>
      <c r="V40" s="1220">
        <f t="shared" ref="V40:V42" si="15">S40+T40-U40</f>
        <v>0</v>
      </c>
      <c r="W40" s="1220">
        <f>V40-S40</f>
        <v>0</v>
      </c>
      <c r="Y40" s="1170">
        <f t="shared" si="8"/>
        <v>0</v>
      </c>
    </row>
    <row r="41" spans="1:25">
      <c r="A41" s="702" t="s">
        <v>3962</v>
      </c>
      <c r="B41" s="1229">
        <f>3157/(100)</f>
        <v>31.57</v>
      </c>
      <c r="C41" s="1233">
        <f>0/(100)</f>
        <v>0</v>
      </c>
      <c r="D41" s="1229">
        <f>3157/(100)</f>
        <v>31.57</v>
      </c>
      <c r="E41" s="1233">
        <f>0/(100)</f>
        <v>0</v>
      </c>
      <c r="F41" s="1229">
        <f t="shared" si="5"/>
        <v>-31.57</v>
      </c>
      <c r="G41" s="1220">
        <f t="shared" si="6"/>
        <v>-31.57</v>
      </c>
      <c r="I41" s="702" t="s">
        <v>4578</v>
      </c>
      <c r="J41" s="1233"/>
      <c r="K41" s="1233"/>
      <c r="L41" s="1229">
        <v>30116923</v>
      </c>
      <c r="M41" s="1233"/>
      <c r="N41" s="1235">
        <f t="shared" si="3"/>
        <v>0</v>
      </c>
      <c r="O41" s="1235">
        <f t="shared" si="4"/>
        <v>30116923</v>
      </c>
      <c r="Q41" s="1240">
        <v>11</v>
      </c>
      <c r="R41" t="s">
        <v>4585</v>
      </c>
      <c r="S41" s="1243">
        <f>(V36)*(0)</f>
        <v>0</v>
      </c>
      <c r="T41" s="1243">
        <f>1354925.49314301*(0)</f>
        <v>0</v>
      </c>
      <c r="U41" s="1243">
        <f>948447.845200105*(0)</f>
        <v>0</v>
      </c>
      <c r="V41" s="1220">
        <f t="shared" si="15"/>
        <v>0</v>
      </c>
      <c r="W41" s="1220">
        <f>V41-S41</f>
        <v>0</v>
      </c>
      <c r="Y41" s="1170">
        <f t="shared" si="8"/>
        <v>0</v>
      </c>
    </row>
    <row r="42" spans="1:25">
      <c r="A42" s="702" t="s">
        <v>3963</v>
      </c>
      <c r="B42" s="1233">
        <f>0/(100)</f>
        <v>0</v>
      </c>
      <c r="C42" s="1229">
        <f>37891/(100)</f>
        <v>378.91</v>
      </c>
      <c r="D42" s="1233">
        <f>0/(100)</f>
        <v>0</v>
      </c>
      <c r="E42" s="1229">
        <f>37891/(100)</f>
        <v>378.91</v>
      </c>
      <c r="F42" s="1229">
        <f t="shared" si="5"/>
        <v>378.91</v>
      </c>
      <c r="G42" s="1220">
        <f t="shared" si="6"/>
        <v>378.91</v>
      </c>
      <c r="I42" s="702" t="s">
        <v>4579</v>
      </c>
      <c r="J42" s="1229">
        <v>1242722</v>
      </c>
      <c r="K42" s="1233"/>
      <c r="L42" s="1229">
        <v>1242722</v>
      </c>
      <c r="M42" s="1233"/>
      <c r="N42" s="1235">
        <f t="shared" si="3"/>
        <v>1242722</v>
      </c>
      <c r="O42" s="1235">
        <f t="shared" si="4"/>
        <v>1242722</v>
      </c>
      <c r="Q42" s="1240">
        <v>11</v>
      </c>
      <c r="R42" t="s">
        <v>4586</v>
      </c>
      <c r="S42" s="1243">
        <f>(V37)*(0)</f>
        <v>0</v>
      </c>
      <c r="T42" s="1243">
        <f>22074.0200879785*(0)</f>
        <v>0</v>
      </c>
      <c r="U42" s="1243">
        <f>16590.3687819122*(0)</f>
        <v>0</v>
      </c>
      <c r="V42" s="1220">
        <f t="shared" si="15"/>
        <v>0</v>
      </c>
      <c r="W42" s="1220">
        <f>V42-S42</f>
        <v>0</v>
      </c>
      <c r="Y42" s="1170">
        <f t="shared" si="8"/>
        <v>0</v>
      </c>
    </row>
    <row r="43" spans="1:25">
      <c r="A43" s="702" t="s">
        <v>3964</v>
      </c>
      <c r="B43" s="1233">
        <f>0/(100)</f>
        <v>0</v>
      </c>
      <c r="C43" s="1229">
        <f>5476618.8/(100)</f>
        <v>54766.187999999995</v>
      </c>
      <c r="D43" s="1229">
        <f>175800.2/(100)</f>
        <v>1758.0020000000002</v>
      </c>
      <c r="E43" s="1233">
        <f>0/(100)</f>
        <v>0</v>
      </c>
      <c r="F43" s="1229">
        <f t="shared" si="5"/>
        <v>54766.187999999995</v>
      </c>
      <c r="G43" s="1220">
        <f t="shared" si="6"/>
        <v>-1758.0020000000002</v>
      </c>
      <c r="I43" s="702" t="s">
        <v>551</v>
      </c>
      <c r="J43" s="1233"/>
      <c r="K43" s="1229">
        <v>4935127</v>
      </c>
      <c r="L43" s="1229">
        <v>1752538</v>
      </c>
      <c r="M43" s="1233"/>
      <c r="N43" s="1235">
        <f t="shared" si="3"/>
        <v>-4935127</v>
      </c>
      <c r="O43" s="1235">
        <f t="shared" si="4"/>
        <v>1752538</v>
      </c>
      <c r="S43" s="1243">
        <f>0*(0)</f>
        <v>0</v>
      </c>
      <c r="T43" s="1243">
        <f>0*(0)</f>
        <v>0</v>
      </c>
      <c r="U43" s="1243">
        <f>0*(0)</f>
        <v>0</v>
      </c>
      <c r="Y43" s="1170">
        <f t="shared" si="8"/>
        <v>0</v>
      </c>
    </row>
    <row r="44" spans="1:25">
      <c r="A44" s="702" t="s">
        <v>3965</v>
      </c>
      <c r="B44" s="1233">
        <f>0/(100)</f>
        <v>0</v>
      </c>
      <c r="C44" s="1233">
        <f>0/(100)</f>
        <v>0</v>
      </c>
      <c r="D44" s="1233">
        <f>0/(100)</f>
        <v>0</v>
      </c>
      <c r="E44" s="1233">
        <f>0/(100)</f>
        <v>0</v>
      </c>
      <c r="F44" s="1229">
        <f t="shared" si="5"/>
        <v>0</v>
      </c>
      <c r="G44" s="1220">
        <f t="shared" si="6"/>
        <v>0</v>
      </c>
      <c r="I44" s="702" t="s">
        <v>4580</v>
      </c>
      <c r="J44" s="1229">
        <v>277561230</v>
      </c>
      <c r="K44" s="1233"/>
      <c r="L44" s="1229">
        <v>277561230</v>
      </c>
      <c r="M44" s="1233"/>
      <c r="N44" s="1235">
        <f t="shared" si="3"/>
        <v>277561230</v>
      </c>
      <c r="O44" s="1235">
        <f t="shared" si="4"/>
        <v>277561230</v>
      </c>
      <c r="Q44" s="1240">
        <v>12</v>
      </c>
      <c r="R44" t="s">
        <v>4583</v>
      </c>
      <c r="S44" s="1243">
        <f>(V39)*(0)</f>
        <v>0</v>
      </c>
      <c r="T44" s="1243">
        <f>16165763214.987*(0)</f>
        <v>0</v>
      </c>
      <c r="U44" s="1243">
        <f>11208262495.7243*(0)</f>
        <v>0</v>
      </c>
      <c r="V44" s="1220">
        <f>S44+T44-U44</f>
        <v>0</v>
      </c>
      <c r="X44" s="1241">
        <f>V44-S44</f>
        <v>0</v>
      </c>
      <c r="Y44" s="1170">
        <f t="shared" si="8"/>
        <v>0</v>
      </c>
    </row>
    <row r="45" spans="1:25">
      <c r="A45" s="702" t="s">
        <v>3966</v>
      </c>
      <c r="B45" s="1229">
        <f>370/(100)</f>
        <v>3.7</v>
      </c>
      <c r="C45" s="1233">
        <f>0/(100)</f>
        <v>0</v>
      </c>
      <c r="D45" s="1229">
        <f>370/(100)</f>
        <v>3.7</v>
      </c>
      <c r="E45" s="1233">
        <f>0/(100)</f>
        <v>0</v>
      </c>
      <c r="F45" s="1229">
        <f t="shared" si="5"/>
        <v>-3.7</v>
      </c>
      <c r="G45" s="1220">
        <f t="shared" si="6"/>
        <v>-3.7</v>
      </c>
      <c r="I45" s="702" t="s">
        <v>4581</v>
      </c>
      <c r="J45" s="1229">
        <v>39710091.579999998</v>
      </c>
      <c r="K45" s="1233"/>
      <c r="L45" s="1229">
        <v>38800825.579999998</v>
      </c>
      <c r="M45" s="1233"/>
      <c r="N45" s="1235">
        <f t="shared" si="3"/>
        <v>39710091.579999998</v>
      </c>
      <c r="O45" s="1235">
        <f t="shared" si="4"/>
        <v>38800825.579999998</v>
      </c>
      <c r="Q45" s="1240">
        <v>12</v>
      </c>
      <c r="R45" t="s">
        <v>4584</v>
      </c>
      <c r="S45" s="1243">
        <f>(V40)*(0)</f>
        <v>0</v>
      </c>
      <c r="T45" s="1243">
        <f>858560054.100427*(0)</f>
        <v>0</v>
      </c>
      <c r="U45" s="1243">
        <f>558064035.165277*(0)</f>
        <v>0</v>
      </c>
      <c r="V45" s="1220">
        <f t="shared" ref="V45:V47" si="16">S45+T45-U45</f>
        <v>0</v>
      </c>
      <c r="W45" s="1220">
        <f>V45-S45</f>
        <v>0</v>
      </c>
      <c r="Y45" s="1170">
        <f t="shared" si="8"/>
        <v>0</v>
      </c>
    </row>
    <row r="46" spans="1:25">
      <c r="A46" s="702" t="s">
        <v>3967</v>
      </c>
      <c r="B46" s="1233">
        <f t="shared" ref="B46:B52" si="17">0/(100)</f>
        <v>0</v>
      </c>
      <c r="C46" s="1233">
        <f>0/(100)</f>
        <v>0</v>
      </c>
      <c r="D46" s="1233">
        <f>0/(100)</f>
        <v>0</v>
      </c>
      <c r="E46" s="1229">
        <f>605620.54/(100)</f>
        <v>6056.2054000000007</v>
      </c>
      <c r="F46" s="1229">
        <f t="shared" si="5"/>
        <v>0</v>
      </c>
      <c r="G46" s="1220">
        <f t="shared" si="6"/>
        <v>6056.2054000000007</v>
      </c>
      <c r="Q46" s="1240">
        <v>12</v>
      </c>
      <c r="R46" t="s">
        <v>4585</v>
      </c>
      <c r="S46" s="1243">
        <f>(V41)*(0)</f>
        <v>0</v>
      </c>
      <c r="T46" s="1243">
        <f>1456544.90512873*(0)</f>
        <v>0</v>
      </c>
      <c r="U46" s="1243">
        <f>1019581.43359011*(0)</f>
        <v>0</v>
      </c>
      <c r="V46" s="1220">
        <f t="shared" si="16"/>
        <v>0</v>
      </c>
      <c r="W46" s="1220">
        <f>V46-S46</f>
        <v>0</v>
      </c>
      <c r="Y46" s="1170">
        <f t="shared" si="8"/>
        <v>0</v>
      </c>
    </row>
    <row r="47" spans="1:25">
      <c r="A47" s="702" t="s">
        <v>3479</v>
      </c>
      <c r="B47" s="1233">
        <f t="shared" si="17"/>
        <v>0</v>
      </c>
      <c r="C47" s="1233">
        <f>0/(100)</f>
        <v>0</v>
      </c>
      <c r="D47" s="1233">
        <f>0/(100)</f>
        <v>0</v>
      </c>
      <c r="E47" s="1229">
        <f>41131.72/(100)</f>
        <v>411.31720000000001</v>
      </c>
      <c r="F47" s="1229">
        <f t="shared" si="5"/>
        <v>0</v>
      </c>
      <c r="G47" s="1220">
        <f t="shared" si="6"/>
        <v>411.31720000000001</v>
      </c>
      <c r="Q47" s="1240">
        <v>12</v>
      </c>
      <c r="R47" t="s">
        <v>4586</v>
      </c>
      <c r="S47" s="1243">
        <f>(V42)*(0)</f>
        <v>0</v>
      </c>
      <c r="T47" s="1243">
        <f>23115.913836131*(0)</f>
        <v>0</v>
      </c>
      <c r="U47" s="1243">
        <f>17373.4341884185*(0)</f>
        <v>0</v>
      </c>
      <c r="V47" s="1220">
        <f t="shared" si="16"/>
        <v>0</v>
      </c>
      <c r="W47" s="1220">
        <f>V47-S47</f>
        <v>0</v>
      </c>
      <c r="Y47" s="1170">
        <f t="shared" si="8"/>
        <v>0</v>
      </c>
    </row>
    <row r="48" spans="1:25">
      <c r="A48" s="702" t="s">
        <v>3968</v>
      </c>
      <c r="B48" s="1233">
        <f t="shared" si="17"/>
        <v>0</v>
      </c>
      <c r="C48" s="1229">
        <f>300/(100)</f>
        <v>3</v>
      </c>
      <c r="D48" s="1233">
        <f>0/(100)</f>
        <v>0</v>
      </c>
      <c r="E48" s="1229">
        <f>300/(100)</f>
        <v>3</v>
      </c>
      <c r="F48" s="1229">
        <f t="shared" si="5"/>
        <v>3</v>
      </c>
      <c r="G48" s="1220">
        <f t="shared" si="6"/>
        <v>3</v>
      </c>
      <c r="S48" s="1243">
        <f>0*(0)</f>
        <v>0</v>
      </c>
      <c r="T48" s="1243">
        <f>0*(0)</f>
        <v>0</v>
      </c>
      <c r="U48" s="1243">
        <f>0*(0)</f>
        <v>0</v>
      </c>
      <c r="Y48" s="1170">
        <f t="shared" si="8"/>
        <v>0</v>
      </c>
    </row>
    <row r="49" spans="1:25">
      <c r="A49" s="702" t="s">
        <v>3969</v>
      </c>
      <c r="B49" s="1233">
        <f t="shared" si="17"/>
        <v>0</v>
      </c>
      <c r="C49" s="1229">
        <f>57766/(100)</f>
        <v>577.66</v>
      </c>
      <c r="D49" s="1229">
        <f>270/(100)</f>
        <v>2.7</v>
      </c>
      <c r="E49" s="1233">
        <f>0/(100)</f>
        <v>0</v>
      </c>
      <c r="F49" s="1229">
        <f t="shared" si="5"/>
        <v>577.66</v>
      </c>
      <c r="G49" s="1220">
        <f t="shared" si="6"/>
        <v>-2.7</v>
      </c>
      <c r="Q49" s="1240">
        <v>1</v>
      </c>
      <c r="R49" t="s">
        <v>4583</v>
      </c>
      <c r="S49" s="1243">
        <f>(V44)*(0)</f>
        <v>0</v>
      </c>
      <c r="T49" s="1243">
        <f>17653013430.7658*(0)</f>
        <v>0</v>
      </c>
      <c r="U49" s="1243">
        <f>12239422645.331*(0)</f>
        <v>0</v>
      </c>
      <c r="V49" s="1220">
        <f>S49+T49-U49</f>
        <v>0</v>
      </c>
      <c r="X49" s="1241">
        <f>V49-S49</f>
        <v>0</v>
      </c>
      <c r="Y49" s="1170">
        <f t="shared" si="8"/>
        <v>0</v>
      </c>
    </row>
    <row r="50" spans="1:25">
      <c r="A50" s="702" t="s">
        <v>946</v>
      </c>
      <c r="B50" s="1233">
        <f t="shared" si="17"/>
        <v>0</v>
      </c>
      <c r="C50" s="1229">
        <f>39700.85/(100)</f>
        <v>397.00849999999997</v>
      </c>
      <c r="D50" s="1233">
        <f>0/(100)</f>
        <v>0</v>
      </c>
      <c r="E50" s="1229">
        <f>3163574.05/(100)</f>
        <v>31635.7405</v>
      </c>
      <c r="F50" s="1229">
        <f t="shared" si="5"/>
        <v>397.00849999999997</v>
      </c>
      <c r="G50" s="1220">
        <f t="shared" si="6"/>
        <v>31635.7405</v>
      </c>
      <c r="Q50" s="1240">
        <v>1</v>
      </c>
      <c r="R50" t="s">
        <v>4584</v>
      </c>
      <c r="S50" s="1243">
        <f>(V45)*(0)</f>
        <v>0</v>
      </c>
      <c r="T50" s="1243">
        <f>948708859.780971*(0)</f>
        <v>0</v>
      </c>
      <c r="U50" s="1243">
        <f>616660758.857631*(0)</f>
        <v>0</v>
      </c>
      <c r="V50" s="1220">
        <f t="shared" ref="V50:V52" si="18">S50+T50-U50</f>
        <v>0</v>
      </c>
      <c r="W50" s="1220">
        <f>V50-S50</f>
        <v>0</v>
      </c>
      <c r="Y50" s="1170">
        <f t="shared" si="8"/>
        <v>0</v>
      </c>
    </row>
    <row r="51" spans="1:25">
      <c r="A51" s="702" t="s">
        <v>3970</v>
      </c>
      <c r="B51" s="1233">
        <f t="shared" si="17"/>
        <v>0</v>
      </c>
      <c r="C51" s="1229">
        <f>5703826.5/(100)</f>
        <v>57038.264999999999</v>
      </c>
      <c r="D51" s="1233">
        <f>0/(100)</f>
        <v>0</v>
      </c>
      <c r="E51" s="1229">
        <f>9426495.5/(100)</f>
        <v>94264.955000000002</v>
      </c>
      <c r="F51" s="1229">
        <f t="shared" si="5"/>
        <v>57038.264999999999</v>
      </c>
      <c r="G51" s="1220">
        <f t="shared" si="6"/>
        <v>94264.955000000002</v>
      </c>
      <c r="Q51" s="1240">
        <v>1</v>
      </c>
      <c r="R51" t="s">
        <v>4585</v>
      </c>
      <c r="S51" s="1243">
        <f>(V46)*(0)</f>
        <v>0</v>
      </c>
      <c r="T51" s="1243">
        <f>1565785.77301339*(0)</f>
        <v>0</v>
      </c>
      <c r="U51" s="1243">
        <f>1096050.04110937*(0)</f>
        <v>0</v>
      </c>
      <c r="V51" s="1220">
        <f t="shared" si="18"/>
        <v>0</v>
      </c>
      <c r="W51" s="1220">
        <f>V51-S51</f>
        <v>0</v>
      </c>
      <c r="Y51" s="1170">
        <f t="shared" si="8"/>
        <v>0</v>
      </c>
    </row>
    <row r="52" spans="1:25">
      <c r="A52" s="702" t="s">
        <v>3971</v>
      </c>
      <c r="B52" s="1233">
        <f t="shared" si="17"/>
        <v>0</v>
      </c>
      <c r="C52" s="1233">
        <f>0/(100)</f>
        <v>0</v>
      </c>
      <c r="D52" s="1233">
        <f>0/(100)</f>
        <v>0</v>
      </c>
      <c r="E52" s="1229">
        <f>76838/(100)</f>
        <v>768.38</v>
      </c>
      <c r="F52" s="1229">
        <f t="shared" si="5"/>
        <v>0</v>
      </c>
      <c r="G52" s="1220">
        <f t="shared" si="6"/>
        <v>768.38</v>
      </c>
      <c r="Q52" s="1240">
        <v>1</v>
      </c>
      <c r="R52" t="s">
        <v>4586</v>
      </c>
      <c r="S52" s="1243">
        <f>(V47)*(0)</f>
        <v>0</v>
      </c>
      <c r="T52" s="1243">
        <f>24206.9849691964*(0)</f>
        <v>0</v>
      </c>
      <c r="U52" s="1243">
        <f>18193.4602821118*(0)</f>
        <v>0</v>
      </c>
      <c r="V52" s="1220">
        <f t="shared" si="18"/>
        <v>0</v>
      </c>
      <c r="W52" s="1220">
        <f>V52-S52</f>
        <v>0</v>
      </c>
      <c r="Y52" s="1170">
        <f t="shared" si="8"/>
        <v>0</v>
      </c>
    </row>
    <row r="53" spans="1:25">
      <c r="A53" s="702" t="s">
        <v>3972</v>
      </c>
      <c r="B53" s="1229">
        <f>58789.4/(100)</f>
        <v>587.89400000000001</v>
      </c>
      <c r="C53" s="1233">
        <f>0/(100)</f>
        <v>0</v>
      </c>
      <c r="D53" s="1229">
        <f>58789.4/(100)</f>
        <v>587.89400000000001</v>
      </c>
      <c r="E53" s="1233">
        <f>0/(100)</f>
        <v>0</v>
      </c>
      <c r="F53" s="1229">
        <f t="shared" si="5"/>
        <v>-587.89400000000001</v>
      </c>
      <c r="G53" s="1220">
        <f t="shared" si="6"/>
        <v>-587.89400000000001</v>
      </c>
      <c r="S53" s="1243">
        <f>0*(0)</f>
        <v>0</v>
      </c>
      <c r="T53" s="1243">
        <f>0*(0)</f>
        <v>0</v>
      </c>
      <c r="U53" s="1243">
        <f>0*(0)</f>
        <v>0</v>
      </c>
      <c r="Y53" s="1170">
        <f t="shared" si="8"/>
        <v>0</v>
      </c>
    </row>
    <row r="54" spans="1:25">
      <c r="A54" s="702" t="s">
        <v>3973</v>
      </c>
      <c r="B54" s="1233">
        <f>0/(100)</f>
        <v>0</v>
      </c>
      <c r="C54" s="1233">
        <f>0/(100)</f>
        <v>0</v>
      </c>
      <c r="D54" s="1233">
        <f>0/(100)</f>
        <v>0</v>
      </c>
      <c r="E54" s="1229">
        <f>770299.78/(100)</f>
        <v>7702.9978000000001</v>
      </c>
      <c r="F54" s="1229">
        <f t="shared" si="5"/>
        <v>0</v>
      </c>
      <c r="G54" s="1220">
        <f t="shared" si="6"/>
        <v>7702.9978000000001</v>
      </c>
      <c r="Q54" s="1240">
        <v>2</v>
      </c>
      <c r="R54" t="s">
        <v>4583</v>
      </c>
      <c r="S54" s="1243">
        <f>(V49)*(0)</f>
        <v>0</v>
      </c>
      <c r="T54" s="1243">
        <f>19277090666.3963*(0)</f>
        <v>0</v>
      </c>
      <c r="U54" s="1243">
        <f>13365449528.7014*(0)</f>
        <v>0</v>
      </c>
      <c r="V54" s="1220">
        <f>S54+T54-U54</f>
        <v>0</v>
      </c>
      <c r="X54" s="1241">
        <f>V54-S54</f>
        <v>0</v>
      </c>
      <c r="Y54" s="1170">
        <f t="shared" si="8"/>
        <v>0</v>
      </c>
    </row>
    <row r="55" spans="1:25">
      <c r="A55" s="702" t="s">
        <v>3974</v>
      </c>
      <c r="B55" s="1233">
        <f>0/(100)</f>
        <v>0</v>
      </c>
      <c r="C55" s="1229">
        <f>22839.64/(100)</f>
        <v>228.3964</v>
      </c>
      <c r="D55" s="1233">
        <f>0/(100)</f>
        <v>0</v>
      </c>
      <c r="E55" s="1233">
        <f>0/(100)</f>
        <v>0</v>
      </c>
      <c r="F55" s="1229">
        <f t="shared" si="5"/>
        <v>228.3964</v>
      </c>
      <c r="G55" s="1220">
        <f t="shared" si="6"/>
        <v>0</v>
      </c>
      <c r="Q55" s="1240">
        <v>2</v>
      </c>
      <c r="R55" t="s">
        <v>4584</v>
      </c>
      <c r="S55" s="1243">
        <f>(V50)*(0)</f>
        <v>0</v>
      </c>
      <c r="T55" s="1243">
        <f>1048323290.05797*(0)</f>
        <v>0</v>
      </c>
      <c r="U55" s="1243">
        <f>681410138.537683*(0)</f>
        <v>0</v>
      </c>
      <c r="V55" s="1220">
        <f t="shared" ref="V55:V57" si="19">S55+T55-U55</f>
        <v>0</v>
      </c>
      <c r="W55" s="1220">
        <f>V55-S55</f>
        <v>0</v>
      </c>
      <c r="Y55" s="1170">
        <f t="shared" si="8"/>
        <v>0</v>
      </c>
    </row>
    <row r="56" spans="1:25">
      <c r="A56" s="702" t="s">
        <v>3975</v>
      </c>
      <c r="B56" s="1229">
        <f>317/(100)</f>
        <v>3.17</v>
      </c>
      <c r="C56" s="1233">
        <f>0/(100)</f>
        <v>0</v>
      </c>
      <c r="D56" s="1229">
        <f>317/(100)</f>
        <v>3.17</v>
      </c>
      <c r="E56" s="1233">
        <f>0/(100)</f>
        <v>0</v>
      </c>
      <c r="F56" s="1229">
        <f t="shared" si="5"/>
        <v>-3.17</v>
      </c>
      <c r="G56" s="1220">
        <f t="shared" si="6"/>
        <v>-3.17</v>
      </c>
      <c r="Q56" s="1240">
        <v>2</v>
      </c>
      <c r="R56" t="s">
        <v>4585</v>
      </c>
      <c r="S56" s="1243">
        <f>(V51)*(0)</f>
        <v>0</v>
      </c>
      <c r="T56" s="1243">
        <f>1683219.70598939*(0)</f>
        <v>0</v>
      </c>
      <c r="U56" s="1243">
        <f>1178253.79419257*(0)</f>
        <v>0</v>
      </c>
      <c r="V56" s="1220">
        <f t="shared" si="19"/>
        <v>0</v>
      </c>
      <c r="W56" s="1220">
        <f>V56-S56</f>
        <v>0</v>
      </c>
      <c r="Y56" s="1170">
        <f t="shared" si="8"/>
        <v>0</v>
      </c>
    </row>
    <row r="57" spans="1:25">
      <c r="A57" s="702" t="s">
        <v>3976</v>
      </c>
      <c r="B57" s="1233">
        <f>0/(100)</f>
        <v>0</v>
      </c>
      <c r="C57" s="1229">
        <f>1178611.5/(100)</f>
        <v>11786.115</v>
      </c>
      <c r="D57" s="1233">
        <f>0/(100)</f>
        <v>0</v>
      </c>
      <c r="E57" s="1229">
        <f>377323/(100)</f>
        <v>3773.23</v>
      </c>
      <c r="F57" s="1229">
        <f t="shared" si="5"/>
        <v>11786.115</v>
      </c>
      <c r="G57" s="1220">
        <f t="shared" si="6"/>
        <v>3773.23</v>
      </c>
      <c r="Q57" s="1240">
        <v>2</v>
      </c>
      <c r="R57" t="s">
        <v>4586</v>
      </c>
      <c r="S57" s="1243">
        <f>(V52)*(0)</f>
        <v>0</v>
      </c>
      <c r="T57" s="1243">
        <f>25349.5546597425*(0)</f>
        <v>0</v>
      </c>
      <c r="U57" s="1243">
        <f>19052.1916074275*(0)</f>
        <v>0</v>
      </c>
      <c r="V57" s="1220">
        <f t="shared" si="19"/>
        <v>0</v>
      </c>
      <c r="W57" s="1220">
        <f>V57-S57</f>
        <v>0</v>
      </c>
      <c r="Y57" s="1170">
        <f t="shared" si="8"/>
        <v>0</v>
      </c>
    </row>
    <row r="58" spans="1:25">
      <c r="A58" s="702" t="s">
        <v>3977</v>
      </c>
      <c r="B58" s="1233">
        <f>0/(100)</f>
        <v>0</v>
      </c>
      <c r="C58" s="1233">
        <f>0/(100)</f>
        <v>0</v>
      </c>
      <c r="D58" s="1229">
        <f>590/(100)</f>
        <v>5.9</v>
      </c>
      <c r="E58" s="1233">
        <f>0/(100)</f>
        <v>0</v>
      </c>
      <c r="F58" s="1229">
        <f t="shared" si="5"/>
        <v>0</v>
      </c>
      <c r="G58" s="1220">
        <f t="shared" si="6"/>
        <v>-5.9</v>
      </c>
      <c r="S58" s="1243">
        <f>0*(0)</f>
        <v>0</v>
      </c>
      <c r="T58" s="1243">
        <f>0*(0)</f>
        <v>0</v>
      </c>
      <c r="U58" s="1243">
        <f>0*(0)</f>
        <v>0</v>
      </c>
      <c r="Y58" s="1170">
        <f t="shared" si="8"/>
        <v>0</v>
      </c>
    </row>
    <row r="59" spans="1:25">
      <c r="A59" s="702" t="s">
        <v>3978</v>
      </c>
      <c r="B59" s="1229">
        <f>260152/(100)</f>
        <v>2601.52</v>
      </c>
      <c r="C59" s="1233">
        <f>0/(100)</f>
        <v>0</v>
      </c>
      <c r="D59" s="1233">
        <f t="shared" ref="D59:D66" si="20">0/(100)</f>
        <v>0</v>
      </c>
      <c r="E59" s="1229">
        <f>267646/(100)</f>
        <v>2676.46</v>
      </c>
      <c r="F59" s="1229">
        <f t="shared" si="5"/>
        <v>-2601.52</v>
      </c>
      <c r="G59" s="1220">
        <f t="shared" si="6"/>
        <v>2676.46</v>
      </c>
      <c r="Q59" s="1240">
        <v>3</v>
      </c>
      <c r="R59" t="s">
        <v>4583</v>
      </c>
      <c r="S59" s="1243">
        <f>(V54)*(0)</f>
        <v>0</v>
      </c>
      <c r="T59" s="1243">
        <f>21050583007.7047*(0)</f>
        <v>0</v>
      </c>
      <c r="U59" s="1243">
        <f>14595070885.3419*(0)</f>
        <v>0</v>
      </c>
      <c r="V59" s="1220">
        <f>S59+T59-U59</f>
        <v>0</v>
      </c>
      <c r="X59" s="1241">
        <f>V59-S59</f>
        <v>0</v>
      </c>
      <c r="Y59" s="1170">
        <f t="shared" si="8"/>
        <v>0</v>
      </c>
    </row>
    <row r="60" spans="1:25">
      <c r="A60" s="702" t="s">
        <v>3480</v>
      </c>
      <c r="B60" s="1233">
        <f t="shared" ref="B60:B67" si="21">0/(100)</f>
        <v>0</v>
      </c>
      <c r="C60" s="1229">
        <f>14085/(100)</f>
        <v>140.85</v>
      </c>
      <c r="D60" s="1233">
        <f t="shared" si="20"/>
        <v>0</v>
      </c>
      <c r="E60" s="1229">
        <f>35646/(100)</f>
        <v>356.46</v>
      </c>
      <c r="F60" s="1229">
        <f t="shared" si="5"/>
        <v>140.85</v>
      </c>
      <c r="G60" s="1220">
        <f t="shared" si="6"/>
        <v>356.46</v>
      </c>
      <c r="Q60" s="1240">
        <v>3</v>
      </c>
      <c r="R60" t="s">
        <v>4584</v>
      </c>
      <c r="S60" s="1243">
        <f>(V55)*(0)</f>
        <v>0</v>
      </c>
      <c r="T60" s="1243">
        <f>1158397235.51406*(0)</f>
        <v>0</v>
      </c>
      <c r="U60" s="1243">
        <f>752958203.084139*(0)</f>
        <v>0</v>
      </c>
      <c r="V60" s="1220">
        <f t="shared" ref="V60:V62" si="22">S60+T60-U60</f>
        <v>0</v>
      </c>
      <c r="W60" s="1220">
        <f>V60-S60</f>
        <v>0</v>
      </c>
      <c r="Y60" s="1170">
        <f t="shared" si="8"/>
        <v>0</v>
      </c>
    </row>
    <row r="61" spans="1:25">
      <c r="A61" s="702" t="s">
        <v>3319</v>
      </c>
      <c r="B61" s="1233">
        <f t="shared" si="21"/>
        <v>0</v>
      </c>
      <c r="C61" s="1229">
        <f>13821/(100)</f>
        <v>138.21</v>
      </c>
      <c r="D61" s="1233">
        <f t="shared" si="20"/>
        <v>0</v>
      </c>
      <c r="E61" s="1229">
        <f>847582/(100)</f>
        <v>8475.82</v>
      </c>
      <c r="F61" s="1229">
        <f t="shared" si="5"/>
        <v>138.21</v>
      </c>
      <c r="G61" s="1220">
        <f t="shared" si="6"/>
        <v>8475.82</v>
      </c>
      <c r="Q61" s="1240">
        <v>3</v>
      </c>
      <c r="R61" t="s">
        <v>4585</v>
      </c>
      <c r="S61" s="1243">
        <f>(V56)*(0)</f>
        <v>0</v>
      </c>
      <c r="T61" s="1243">
        <f>1809461.1839386*(0)</f>
        <v>0</v>
      </c>
      <c r="U61" s="1243">
        <f>1266622.82875702*(0)</f>
        <v>0</v>
      </c>
      <c r="V61" s="1220">
        <f t="shared" si="22"/>
        <v>0</v>
      </c>
      <c r="W61" s="1220">
        <f>V61-S61</f>
        <v>0</v>
      </c>
      <c r="Y61" s="1170">
        <f t="shared" si="8"/>
        <v>0</v>
      </c>
    </row>
    <row r="62" spans="1:25">
      <c r="A62" s="702" t="s">
        <v>3979</v>
      </c>
      <c r="B62" s="1233">
        <f t="shared" si="21"/>
        <v>0</v>
      </c>
      <c r="C62" s="1229">
        <f>883745/(100)</f>
        <v>8837.4500000000007</v>
      </c>
      <c r="D62" s="1233">
        <f t="shared" si="20"/>
        <v>0</v>
      </c>
      <c r="E62" s="1229">
        <f>602378/(100)</f>
        <v>6023.78</v>
      </c>
      <c r="F62" s="1229">
        <f t="shared" si="5"/>
        <v>8837.4500000000007</v>
      </c>
      <c r="G62" s="1220">
        <f t="shared" si="6"/>
        <v>6023.78</v>
      </c>
      <c r="Q62" s="1240">
        <v>3</v>
      </c>
      <c r="R62" t="s">
        <v>4586</v>
      </c>
      <c r="S62" s="1243">
        <f>(V57)*(0)</f>
        <v>0</v>
      </c>
      <c r="T62" s="1243">
        <f>26546.0536396823*(0)</f>
        <v>0</v>
      </c>
      <c r="U62" s="1243">
        <f>19951.4550512981*(0)</f>
        <v>0</v>
      </c>
      <c r="V62" s="1220">
        <f t="shared" si="22"/>
        <v>0</v>
      </c>
      <c r="W62" s="1220">
        <f>V62-S62</f>
        <v>0</v>
      </c>
      <c r="Y62" s="1170">
        <f t="shared" si="8"/>
        <v>0</v>
      </c>
    </row>
    <row r="63" spans="1:25">
      <c r="A63" s="702" t="s">
        <v>3980</v>
      </c>
      <c r="B63" s="1233">
        <f t="shared" si="21"/>
        <v>0</v>
      </c>
      <c r="C63" s="1229">
        <f>18880/(100)</f>
        <v>188.8</v>
      </c>
      <c r="D63" s="1233">
        <f t="shared" si="20"/>
        <v>0</v>
      </c>
      <c r="E63" s="1229">
        <f>18880/(100)</f>
        <v>188.8</v>
      </c>
      <c r="F63" s="1229">
        <f t="shared" si="5"/>
        <v>188.8</v>
      </c>
      <c r="G63" s="1220">
        <f t="shared" si="6"/>
        <v>188.8</v>
      </c>
    </row>
    <row r="64" spans="1:25">
      <c r="A64" s="702" t="s">
        <v>3981</v>
      </c>
      <c r="B64" s="1233">
        <f t="shared" si="21"/>
        <v>0</v>
      </c>
      <c r="C64" s="1233">
        <f>0/(100)</f>
        <v>0</v>
      </c>
      <c r="D64" s="1233">
        <f t="shared" si="20"/>
        <v>0</v>
      </c>
      <c r="E64" s="1229">
        <f>25907/(100)</f>
        <v>259.07</v>
      </c>
      <c r="F64" s="1229">
        <f t="shared" si="5"/>
        <v>0</v>
      </c>
      <c r="G64" s="1220">
        <f t="shared" si="6"/>
        <v>259.07</v>
      </c>
    </row>
    <row r="65" spans="1:7">
      <c r="A65" s="702" t="s">
        <v>3982</v>
      </c>
      <c r="B65" s="1233">
        <f t="shared" si="21"/>
        <v>0</v>
      </c>
      <c r="C65" s="1233">
        <f>0/(100)</f>
        <v>0</v>
      </c>
      <c r="D65" s="1233">
        <f t="shared" si="20"/>
        <v>0</v>
      </c>
      <c r="E65" s="1229">
        <f>70520/(100)</f>
        <v>705.2</v>
      </c>
      <c r="F65" s="1229">
        <f t="shared" si="5"/>
        <v>0</v>
      </c>
      <c r="G65" s="1220">
        <f t="shared" si="6"/>
        <v>705.2</v>
      </c>
    </row>
    <row r="66" spans="1:7">
      <c r="A66" s="702" t="s">
        <v>3983</v>
      </c>
      <c r="B66" s="1233">
        <f t="shared" si="21"/>
        <v>0</v>
      </c>
      <c r="C66" s="1229">
        <f>2718/(100)</f>
        <v>27.18</v>
      </c>
      <c r="D66" s="1233">
        <f t="shared" si="20"/>
        <v>0</v>
      </c>
      <c r="E66" s="1229">
        <f>2718/(100)</f>
        <v>27.18</v>
      </c>
      <c r="F66" s="1229">
        <f t="shared" si="5"/>
        <v>27.18</v>
      </c>
      <c r="G66" s="1220">
        <f t="shared" si="6"/>
        <v>27.18</v>
      </c>
    </row>
    <row r="67" spans="1:7">
      <c r="A67" s="702" t="s">
        <v>1436</v>
      </c>
      <c r="B67" s="1233">
        <f t="shared" si="21"/>
        <v>0</v>
      </c>
      <c r="C67" s="1229">
        <f>113437/(100)</f>
        <v>1134.3699999999999</v>
      </c>
      <c r="D67" s="1229">
        <f>2595/(100)</f>
        <v>25.95</v>
      </c>
      <c r="E67" s="1233">
        <f>0/(100)</f>
        <v>0</v>
      </c>
      <c r="F67" s="1229">
        <f t="shared" si="5"/>
        <v>1134.3699999999999</v>
      </c>
      <c r="G67" s="1220">
        <f t="shared" si="6"/>
        <v>-25.95</v>
      </c>
    </row>
    <row r="68" spans="1:7">
      <c r="A68" s="702" t="s">
        <v>3984</v>
      </c>
      <c r="B68" s="1229">
        <f>350/(100)</f>
        <v>3.5</v>
      </c>
      <c r="C68" s="1233">
        <f>0/(100)</f>
        <v>0</v>
      </c>
      <c r="D68" s="1233">
        <f>0/(100)</f>
        <v>0</v>
      </c>
      <c r="E68" s="1229">
        <f>9149570/(100)</f>
        <v>91495.7</v>
      </c>
      <c r="F68" s="1229">
        <f t="shared" si="5"/>
        <v>-3.5</v>
      </c>
      <c r="G68" s="1220">
        <f t="shared" si="6"/>
        <v>91495.7</v>
      </c>
    </row>
    <row r="69" spans="1:7">
      <c r="A69" s="702" t="s">
        <v>963</v>
      </c>
      <c r="B69" s="1233">
        <f t="shared" ref="B69:B74" si="23">0/(100)</f>
        <v>0</v>
      </c>
      <c r="C69" s="1229">
        <f>84999.84/(100)</f>
        <v>849.99839999999995</v>
      </c>
      <c r="D69" s="1229">
        <f>2183.16/(100)</f>
        <v>21.831599999999998</v>
      </c>
      <c r="E69" s="1233">
        <f>0/(100)</f>
        <v>0</v>
      </c>
      <c r="F69" s="1229">
        <f t="shared" ref="F69:F132" si="24">C69-B69</f>
        <v>849.99839999999995</v>
      </c>
      <c r="G69" s="1220">
        <f t="shared" ref="G69:G132" si="25">E69-D69</f>
        <v>-21.831599999999998</v>
      </c>
    </row>
    <row r="70" spans="1:7">
      <c r="A70" s="702" t="s">
        <v>3985</v>
      </c>
      <c r="B70" s="1233">
        <f t="shared" si="23"/>
        <v>0</v>
      </c>
      <c r="C70" s="1233">
        <f>0/(100)</f>
        <v>0</v>
      </c>
      <c r="D70" s="1233">
        <f>0/(100)</f>
        <v>0</v>
      </c>
      <c r="E70" s="1229">
        <f>9440/(100)</f>
        <v>94.4</v>
      </c>
      <c r="F70" s="1229">
        <f t="shared" si="24"/>
        <v>0</v>
      </c>
      <c r="G70" s="1220">
        <f t="shared" si="25"/>
        <v>94.4</v>
      </c>
    </row>
    <row r="71" spans="1:7">
      <c r="A71" s="702" t="s">
        <v>939</v>
      </c>
      <c r="B71" s="1233">
        <f t="shared" si="23"/>
        <v>0</v>
      </c>
      <c r="C71" s="1233">
        <f t="shared" ref="C71:C76" si="26">0/(100)</f>
        <v>0</v>
      </c>
      <c r="D71" s="1229">
        <f>201190/(100)</f>
        <v>2011.9</v>
      </c>
      <c r="E71" s="1233">
        <f>0/(100)</f>
        <v>0</v>
      </c>
      <c r="F71" s="1229">
        <f t="shared" si="24"/>
        <v>0</v>
      </c>
      <c r="G71" s="1220">
        <f t="shared" si="25"/>
        <v>-2011.9</v>
      </c>
    </row>
    <row r="72" spans="1:7">
      <c r="A72" s="702" t="s">
        <v>3986</v>
      </c>
      <c r="B72" s="1233">
        <f t="shared" si="23"/>
        <v>0</v>
      </c>
      <c r="C72" s="1233">
        <f t="shared" si="26"/>
        <v>0</v>
      </c>
      <c r="D72" s="1229">
        <f>8158033.89/(100)</f>
        <v>81580.338900000002</v>
      </c>
      <c r="E72" s="1233">
        <f>0/(100)</f>
        <v>0</v>
      </c>
      <c r="F72" s="1229">
        <f t="shared" si="24"/>
        <v>0</v>
      </c>
      <c r="G72" s="1220">
        <f t="shared" si="25"/>
        <v>-81580.338900000002</v>
      </c>
    </row>
    <row r="73" spans="1:7">
      <c r="A73" s="702" t="s">
        <v>3987</v>
      </c>
      <c r="B73" s="1233">
        <f t="shared" si="23"/>
        <v>0</v>
      </c>
      <c r="C73" s="1233">
        <f t="shared" si="26"/>
        <v>0</v>
      </c>
      <c r="D73" s="1233">
        <f>0/(100)</f>
        <v>0</v>
      </c>
      <c r="E73" s="1229">
        <f>4587840/(100)</f>
        <v>45878.400000000001</v>
      </c>
      <c r="F73" s="1229">
        <f t="shared" si="24"/>
        <v>0</v>
      </c>
      <c r="G73" s="1220">
        <f t="shared" si="25"/>
        <v>45878.400000000001</v>
      </c>
    </row>
    <row r="74" spans="1:7">
      <c r="A74" s="702" t="s">
        <v>3988</v>
      </c>
      <c r="B74" s="1233">
        <f t="shared" si="23"/>
        <v>0</v>
      </c>
      <c r="C74" s="1233">
        <f t="shared" si="26"/>
        <v>0</v>
      </c>
      <c r="D74" s="1229">
        <f>442/(100)</f>
        <v>4.42</v>
      </c>
      <c r="E74" s="1233">
        <f>0/(100)</f>
        <v>0</v>
      </c>
      <c r="F74" s="1229">
        <f t="shared" si="24"/>
        <v>0</v>
      </c>
      <c r="G74" s="1220">
        <f t="shared" si="25"/>
        <v>-4.42</v>
      </c>
    </row>
    <row r="75" spans="1:7">
      <c r="A75" s="702" t="s">
        <v>3989</v>
      </c>
      <c r="B75" s="1229">
        <f>23060/(100)</f>
        <v>230.6</v>
      </c>
      <c r="C75" s="1233">
        <f t="shared" si="26"/>
        <v>0</v>
      </c>
      <c r="D75" s="1229">
        <f>23060/(100)</f>
        <v>230.6</v>
      </c>
      <c r="E75" s="1233">
        <f>0/(100)</f>
        <v>0</v>
      </c>
      <c r="F75" s="1229">
        <f t="shared" si="24"/>
        <v>-230.6</v>
      </c>
      <c r="G75" s="1220">
        <f t="shared" si="25"/>
        <v>-230.6</v>
      </c>
    </row>
    <row r="76" spans="1:7">
      <c r="A76" s="702" t="s">
        <v>3990</v>
      </c>
      <c r="B76" s="1233">
        <f>0/(100)</f>
        <v>0</v>
      </c>
      <c r="C76" s="1233">
        <f t="shared" si="26"/>
        <v>0</v>
      </c>
      <c r="D76" s="1233">
        <f>0/(100)</f>
        <v>0</v>
      </c>
      <c r="E76" s="1229">
        <f>34000/(100)</f>
        <v>340</v>
      </c>
      <c r="F76" s="1229">
        <f t="shared" si="24"/>
        <v>0</v>
      </c>
      <c r="G76" s="1220">
        <f t="shared" si="25"/>
        <v>340</v>
      </c>
    </row>
    <row r="77" spans="1:7">
      <c r="A77" s="702" t="s">
        <v>3991</v>
      </c>
      <c r="B77" s="1233">
        <f>0/(100)</f>
        <v>0</v>
      </c>
      <c r="C77" s="1229">
        <f>307933.05/(100)</f>
        <v>3079.3305</v>
      </c>
      <c r="D77" s="1233">
        <f>0/(100)</f>
        <v>0</v>
      </c>
      <c r="E77" s="1229">
        <f>1146016.05/(100)</f>
        <v>11460.1605</v>
      </c>
      <c r="F77" s="1229">
        <f t="shared" si="24"/>
        <v>3079.3305</v>
      </c>
      <c r="G77" s="1220">
        <f t="shared" si="25"/>
        <v>11460.1605</v>
      </c>
    </row>
    <row r="78" spans="1:7">
      <c r="A78" s="702" t="s">
        <v>3992</v>
      </c>
      <c r="B78" s="1233">
        <f>0/(100)</f>
        <v>0</v>
      </c>
      <c r="C78" s="1233">
        <f t="shared" ref="C78:C84" si="27">0/(100)</f>
        <v>0</v>
      </c>
      <c r="D78" s="1229">
        <f>1734382/(100)</f>
        <v>17343.82</v>
      </c>
      <c r="E78" s="1233">
        <f>0/(100)</f>
        <v>0</v>
      </c>
      <c r="F78" s="1229">
        <f t="shared" si="24"/>
        <v>0</v>
      </c>
      <c r="G78" s="1220">
        <f t="shared" si="25"/>
        <v>-17343.82</v>
      </c>
    </row>
    <row r="79" spans="1:7">
      <c r="A79" s="702" t="s">
        <v>3993</v>
      </c>
      <c r="B79" s="1233">
        <f>0/(100)</f>
        <v>0</v>
      </c>
      <c r="C79" s="1233">
        <f t="shared" si="27"/>
        <v>0</v>
      </c>
      <c r="D79" s="1233">
        <f>0/(100)</f>
        <v>0</v>
      </c>
      <c r="E79" s="1229">
        <f>827/(100)</f>
        <v>8.27</v>
      </c>
      <c r="F79" s="1229">
        <f t="shared" si="24"/>
        <v>0</v>
      </c>
      <c r="G79" s="1220">
        <f t="shared" si="25"/>
        <v>8.27</v>
      </c>
    </row>
    <row r="80" spans="1:7">
      <c r="A80" s="702" t="s">
        <v>3994</v>
      </c>
      <c r="B80" s="1233">
        <f>0/(100)</f>
        <v>0</v>
      </c>
      <c r="C80" s="1233">
        <f t="shared" si="27"/>
        <v>0</v>
      </c>
      <c r="D80" s="1229">
        <f>109000/(100)</f>
        <v>1090</v>
      </c>
      <c r="E80" s="1233">
        <f>0/(100)</f>
        <v>0</v>
      </c>
      <c r="F80" s="1229">
        <f t="shared" si="24"/>
        <v>0</v>
      </c>
      <c r="G80" s="1220">
        <f t="shared" si="25"/>
        <v>-1090</v>
      </c>
    </row>
    <row r="81" spans="1:7">
      <c r="A81" s="702" t="s">
        <v>3995</v>
      </c>
      <c r="B81" s="1229">
        <f>1170651.8/(100)</f>
        <v>11706.518</v>
      </c>
      <c r="C81" s="1233">
        <f t="shared" si="27"/>
        <v>0</v>
      </c>
      <c r="D81" s="1229">
        <f>1170651.8/(100)</f>
        <v>11706.518</v>
      </c>
      <c r="E81" s="1233">
        <f>0/(100)</f>
        <v>0</v>
      </c>
      <c r="F81" s="1229">
        <f t="shared" si="24"/>
        <v>-11706.518</v>
      </c>
      <c r="G81" s="1220">
        <f t="shared" si="25"/>
        <v>-11706.518</v>
      </c>
    </row>
    <row r="82" spans="1:7">
      <c r="A82" s="702" t="s">
        <v>3996</v>
      </c>
      <c r="B82" s="1233">
        <f>0/(100)</f>
        <v>0</v>
      </c>
      <c r="C82" s="1233">
        <f t="shared" si="27"/>
        <v>0</v>
      </c>
      <c r="D82" s="1233">
        <f t="shared" ref="D82:D89" si="28">0/(100)</f>
        <v>0</v>
      </c>
      <c r="E82" s="1229">
        <f>1605/(100)</f>
        <v>16.05</v>
      </c>
      <c r="F82" s="1229">
        <f t="shared" si="24"/>
        <v>0</v>
      </c>
      <c r="G82" s="1220">
        <f t="shared" si="25"/>
        <v>16.05</v>
      </c>
    </row>
    <row r="83" spans="1:7">
      <c r="A83" s="702" t="s">
        <v>3997</v>
      </c>
      <c r="B83" s="1233">
        <f>0/(100)</f>
        <v>0</v>
      </c>
      <c r="C83" s="1233">
        <f t="shared" si="27"/>
        <v>0</v>
      </c>
      <c r="D83" s="1233">
        <f t="shared" si="28"/>
        <v>0</v>
      </c>
      <c r="E83" s="1229">
        <f>485967/(100)</f>
        <v>4859.67</v>
      </c>
      <c r="F83" s="1229">
        <f t="shared" si="24"/>
        <v>0</v>
      </c>
      <c r="G83" s="1220">
        <f t="shared" si="25"/>
        <v>4859.67</v>
      </c>
    </row>
    <row r="84" spans="1:7">
      <c r="A84" s="702" t="s">
        <v>3998</v>
      </c>
      <c r="B84" s="1233">
        <f>0/(100)</f>
        <v>0</v>
      </c>
      <c r="C84" s="1233">
        <f t="shared" si="27"/>
        <v>0</v>
      </c>
      <c r="D84" s="1233">
        <f t="shared" si="28"/>
        <v>0</v>
      </c>
      <c r="E84" s="1233">
        <f>0/(100)</f>
        <v>0</v>
      </c>
      <c r="F84" s="1229">
        <f t="shared" si="24"/>
        <v>0</v>
      </c>
      <c r="G84" s="1220">
        <f t="shared" si="25"/>
        <v>0</v>
      </c>
    </row>
    <row r="85" spans="1:7">
      <c r="A85" s="702" t="s">
        <v>3999</v>
      </c>
      <c r="B85" s="1233">
        <f>0/(100)</f>
        <v>0</v>
      </c>
      <c r="C85" s="1229">
        <f>1405436.72/(100)</f>
        <v>14054.367200000001</v>
      </c>
      <c r="D85" s="1233">
        <f t="shared" si="28"/>
        <v>0</v>
      </c>
      <c r="E85" s="1229">
        <f>1536081.8/(100)</f>
        <v>15360.818000000001</v>
      </c>
      <c r="F85" s="1229">
        <f t="shared" si="24"/>
        <v>14054.367200000001</v>
      </c>
      <c r="G85" s="1220">
        <f t="shared" si="25"/>
        <v>15360.818000000001</v>
      </c>
    </row>
    <row r="86" spans="1:7">
      <c r="A86" s="702" t="s">
        <v>4000</v>
      </c>
      <c r="B86" s="1233">
        <f>0/(100)</f>
        <v>0</v>
      </c>
      <c r="C86" s="1229">
        <f>3947088.46/(100)</f>
        <v>39470.884599999998</v>
      </c>
      <c r="D86" s="1233">
        <f t="shared" si="28"/>
        <v>0</v>
      </c>
      <c r="E86" s="1229">
        <f>3107765.46/(100)</f>
        <v>31077.654599999998</v>
      </c>
      <c r="F86" s="1229">
        <f t="shared" si="24"/>
        <v>39470.884599999998</v>
      </c>
      <c r="G86" s="1220">
        <f t="shared" si="25"/>
        <v>31077.654599999998</v>
      </c>
    </row>
    <row r="87" spans="1:7">
      <c r="A87" s="702" t="s">
        <v>4001</v>
      </c>
      <c r="B87" s="1229">
        <f>2452817/(100)</f>
        <v>24528.17</v>
      </c>
      <c r="C87" s="1233">
        <f>0/(100)</f>
        <v>0</v>
      </c>
      <c r="D87" s="1233">
        <f t="shared" si="28"/>
        <v>0</v>
      </c>
      <c r="E87" s="1229">
        <f>244474/(100)</f>
        <v>2444.7399999999998</v>
      </c>
      <c r="F87" s="1229">
        <f t="shared" si="24"/>
        <v>-24528.17</v>
      </c>
      <c r="G87" s="1220">
        <f t="shared" si="25"/>
        <v>2444.7399999999998</v>
      </c>
    </row>
    <row r="88" spans="1:7">
      <c r="A88" s="702" t="s">
        <v>4002</v>
      </c>
      <c r="B88" s="1233">
        <f>0/(100)</f>
        <v>0</v>
      </c>
      <c r="C88" s="1229">
        <f>5680/(100)</f>
        <v>56.8</v>
      </c>
      <c r="D88" s="1233">
        <f t="shared" si="28"/>
        <v>0</v>
      </c>
      <c r="E88" s="1229">
        <f>5680/(100)</f>
        <v>56.8</v>
      </c>
      <c r="F88" s="1229">
        <f t="shared" si="24"/>
        <v>56.8</v>
      </c>
      <c r="G88" s="1220">
        <f t="shared" si="25"/>
        <v>56.8</v>
      </c>
    </row>
    <row r="89" spans="1:7">
      <c r="A89" s="702" t="s">
        <v>4003</v>
      </c>
      <c r="B89" s="1233">
        <f>0/(100)</f>
        <v>0</v>
      </c>
      <c r="C89" s="1233">
        <f>0/(100)</f>
        <v>0</v>
      </c>
      <c r="D89" s="1233">
        <f t="shared" si="28"/>
        <v>0</v>
      </c>
      <c r="E89" s="1233">
        <f>0/(100)</f>
        <v>0</v>
      </c>
      <c r="F89" s="1229">
        <f t="shared" si="24"/>
        <v>0</v>
      </c>
      <c r="G89" s="1220">
        <f t="shared" si="25"/>
        <v>0</v>
      </c>
    </row>
    <row r="90" spans="1:7">
      <c r="A90" s="702" t="s">
        <v>4004</v>
      </c>
      <c r="B90" s="1229">
        <f>150000/(100)</f>
        <v>1500</v>
      </c>
      <c r="C90" s="1233">
        <f>0/(100)</f>
        <v>0</v>
      </c>
      <c r="D90" s="1229">
        <f>150000/(100)</f>
        <v>1500</v>
      </c>
      <c r="E90" s="1233">
        <f>0/(100)</f>
        <v>0</v>
      </c>
      <c r="F90" s="1229">
        <f t="shared" si="24"/>
        <v>-1500</v>
      </c>
      <c r="G90" s="1220">
        <f t="shared" si="25"/>
        <v>-1500</v>
      </c>
    </row>
    <row r="91" spans="1:7">
      <c r="A91" s="702" t="s">
        <v>936</v>
      </c>
      <c r="B91" s="1233">
        <f>0/(100)</f>
        <v>0</v>
      </c>
      <c r="C91" s="1229">
        <f>108444/(100)</f>
        <v>1084.44</v>
      </c>
      <c r="D91" s="1233">
        <f>0/(100)</f>
        <v>0</v>
      </c>
      <c r="E91" s="1229">
        <f>55974/(100)</f>
        <v>559.74</v>
      </c>
      <c r="F91" s="1229">
        <f t="shared" si="24"/>
        <v>1084.44</v>
      </c>
      <c r="G91" s="1220">
        <f t="shared" si="25"/>
        <v>559.74</v>
      </c>
    </row>
    <row r="92" spans="1:7">
      <c r="A92" s="702" t="s">
        <v>4005</v>
      </c>
      <c r="B92" s="1233">
        <f>0/(100)</f>
        <v>0</v>
      </c>
      <c r="C92" s="1233">
        <f>0/(100)</f>
        <v>0</v>
      </c>
      <c r="D92" s="1233">
        <f>0/(100)</f>
        <v>0</v>
      </c>
      <c r="E92" s="1229">
        <f>32882.1/(100)</f>
        <v>328.82099999999997</v>
      </c>
      <c r="F92" s="1229">
        <f t="shared" si="24"/>
        <v>0</v>
      </c>
      <c r="G92" s="1220">
        <f t="shared" si="25"/>
        <v>328.82099999999997</v>
      </c>
    </row>
    <row r="93" spans="1:7">
      <c r="A93" s="702" t="s">
        <v>4006</v>
      </c>
      <c r="B93" s="1229">
        <f>45771.17/(100)</f>
        <v>457.71170000000001</v>
      </c>
      <c r="C93" s="1233">
        <f>0/(100)</f>
        <v>0</v>
      </c>
      <c r="D93" s="1233">
        <f>0/(100)</f>
        <v>0</v>
      </c>
      <c r="E93" s="1229">
        <f>6878.83/(100)</f>
        <v>68.788299999999992</v>
      </c>
      <c r="F93" s="1229">
        <f t="shared" si="24"/>
        <v>-457.71170000000001</v>
      </c>
      <c r="G93" s="1220">
        <f t="shared" si="25"/>
        <v>68.788299999999992</v>
      </c>
    </row>
    <row r="94" spans="1:7">
      <c r="A94" s="702" t="s">
        <v>4007</v>
      </c>
      <c r="B94" s="1233">
        <f>0/(100)</f>
        <v>0</v>
      </c>
      <c r="C94" s="1229">
        <f>208070/(100)</f>
        <v>2080.6999999999998</v>
      </c>
      <c r="D94" s="1233">
        <f>0/(100)</f>
        <v>0</v>
      </c>
      <c r="E94" s="1229">
        <f>208070/(100)</f>
        <v>2080.6999999999998</v>
      </c>
      <c r="F94" s="1229">
        <f t="shared" si="24"/>
        <v>2080.6999999999998</v>
      </c>
      <c r="G94" s="1220">
        <f t="shared" si="25"/>
        <v>2080.6999999999998</v>
      </c>
    </row>
    <row r="95" spans="1:7">
      <c r="A95" s="702" t="s">
        <v>4008</v>
      </c>
      <c r="B95" s="1229">
        <f>37433/(100)</f>
        <v>374.33</v>
      </c>
      <c r="C95" s="1233">
        <f>0/(100)</f>
        <v>0</v>
      </c>
      <c r="D95" s="1229">
        <f>37433/(100)</f>
        <v>374.33</v>
      </c>
      <c r="E95" s="1233">
        <f>0/(100)</f>
        <v>0</v>
      </c>
      <c r="F95" s="1229">
        <f t="shared" si="24"/>
        <v>-374.33</v>
      </c>
      <c r="G95" s="1220">
        <f t="shared" si="25"/>
        <v>-374.33</v>
      </c>
    </row>
    <row r="96" spans="1:7">
      <c r="A96" s="702" t="s">
        <v>4009</v>
      </c>
      <c r="B96" s="1233">
        <f t="shared" ref="B96:B105" si="29">0/(100)</f>
        <v>0</v>
      </c>
      <c r="C96" s="1233">
        <f>0/(100)</f>
        <v>0</v>
      </c>
      <c r="D96" s="1233">
        <f t="shared" ref="D96:D103" si="30">0/(100)</f>
        <v>0</v>
      </c>
      <c r="E96" s="1229">
        <f>2448.98/(100)</f>
        <v>24.489799999999999</v>
      </c>
      <c r="F96" s="1229">
        <f t="shared" si="24"/>
        <v>0</v>
      </c>
      <c r="G96" s="1220">
        <f t="shared" si="25"/>
        <v>24.489799999999999</v>
      </c>
    </row>
    <row r="97" spans="1:7">
      <c r="A97" s="702" t="s">
        <v>4010</v>
      </c>
      <c r="B97" s="1233">
        <f t="shared" si="29"/>
        <v>0</v>
      </c>
      <c r="C97" s="1229">
        <f>50976/(100)</f>
        <v>509.76</v>
      </c>
      <c r="D97" s="1233">
        <f t="shared" si="30"/>
        <v>0</v>
      </c>
      <c r="E97" s="1233">
        <f>0/(100)</f>
        <v>0</v>
      </c>
      <c r="F97" s="1229">
        <f t="shared" si="24"/>
        <v>509.76</v>
      </c>
      <c r="G97" s="1220">
        <f t="shared" si="25"/>
        <v>0</v>
      </c>
    </row>
    <row r="98" spans="1:7">
      <c r="A98" s="702" t="s">
        <v>4011</v>
      </c>
      <c r="B98" s="1233">
        <f t="shared" si="29"/>
        <v>0</v>
      </c>
      <c r="C98" s="1229">
        <f>5315367/(100)</f>
        <v>53153.67</v>
      </c>
      <c r="D98" s="1233">
        <f t="shared" si="30"/>
        <v>0</v>
      </c>
      <c r="E98" s="1229">
        <f>2419052/(100)</f>
        <v>24190.52</v>
      </c>
      <c r="F98" s="1229">
        <f t="shared" si="24"/>
        <v>53153.67</v>
      </c>
      <c r="G98" s="1220">
        <f t="shared" si="25"/>
        <v>24190.52</v>
      </c>
    </row>
    <row r="99" spans="1:7">
      <c r="A99" s="702" t="s">
        <v>4012</v>
      </c>
      <c r="B99" s="1233">
        <f t="shared" si="29"/>
        <v>0</v>
      </c>
      <c r="C99" s="1233">
        <f>0/(100)</f>
        <v>0</v>
      </c>
      <c r="D99" s="1233">
        <f t="shared" si="30"/>
        <v>0</v>
      </c>
      <c r="E99" s="1229">
        <f>51000/(100)</f>
        <v>510</v>
      </c>
      <c r="F99" s="1229">
        <f t="shared" si="24"/>
        <v>0</v>
      </c>
      <c r="G99" s="1220">
        <f t="shared" si="25"/>
        <v>510</v>
      </c>
    </row>
    <row r="100" spans="1:7">
      <c r="A100" s="702" t="s">
        <v>4013</v>
      </c>
      <c r="B100" s="1233">
        <f t="shared" si="29"/>
        <v>0</v>
      </c>
      <c r="C100" s="1229">
        <f>1567640/(100)</f>
        <v>15676.4</v>
      </c>
      <c r="D100" s="1233">
        <f t="shared" si="30"/>
        <v>0</v>
      </c>
      <c r="E100" s="1229">
        <f>717403/(100)</f>
        <v>7174.03</v>
      </c>
      <c r="F100" s="1229">
        <f t="shared" si="24"/>
        <v>15676.4</v>
      </c>
      <c r="G100" s="1220">
        <f t="shared" si="25"/>
        <v>7174.03</v>
      </c>
    </row>
    <row r="101" spans="1:7">
      <c r="A101" s="702" t="s">
        <v>4014</v>
      </c>
      <c r="B101" s="1233">
        <f t="shared" si="29"/>
        <v>0</v>
      </c>
      <c r="C101" s="1229">
        <f>1467600/(100)</f>
        <v>14676</v>
      </c>
      <c r="D101" s="1233">
        <f t="shared" si="30"/>
        <v>0</v>
      </c>
      <c r="E101" s="1233">
        <f>0/(100)</f>
        <v>0</v>
      </c>
      <c r="F101" s="1229">
        <f t="shared" si="24"/>
        <v>14676</v>
      </c>
      <c r="G101" s="1220">
        <f t="shared" si="25"/>
        <v>0</v>
      </c>
    </row>
    <row r="102" spans="1:7">
      <c r="A102" s="702" t="s">
        <v>4015</v>
      </c>
      <c r="B102" s="1233">
        <f t="shared" si="29"/>
        <v>0</v>
      </c>
      <c r="C102" s="1233">
        <f>0/(100)</f>
        <v>0</v>
      </c>
      <c r="D102" s="1233">
        <f t="shared" si="30"/>
        <v>0</v>
      </c>
      <c r="E102" s="1229">
        <f>814/(100)</f>
        <v>8.14</v>
      </c>
      <c r="F102" s="1229">
        <f t="shared" si="24"/>
        <v>0</v>
      </c>
      <c r="G102" s="1220">
        <f t="shared" si="25"/>
        <v>8.14</v>
      </c>
    </row>
    <row r="103" spans="1:7">
      <c r="A103" s="702" t="s">
        <v>4016</v>
      </c>
      <c r="B103" s="1233">
        <f t="shared" si="29"/>
        <v>0</v>
      </c>
      <c r="C103" s="1229">
        <f>550/(100)</f>
        <v>5.5</v>
      </c>
      <c r="D103" s="1233">
        <f t="shared" si="30"/>
        <v>0</v>
      </c>
      <c r="E103" s="1229">
        <f>550/(100)</f>
        <v>5.5</v>
      </c>
      <c r="F103" s="1229">
        <f t="shared" si="24"/>
        <v>5.5</v>
      </c>
      <c r="G103" s="1220">
        <f t="shared" si="25"/>
        <v>5.5</v>
      </c>
    </row>
    <row r="104" spans="1:7">
      <c r="A104" s="702" t="s">
        <v>4017</v>
      </c>
      <c r="B104" s="1233">
        <f t="shared" si="29"/>
        <v>0</v>
      </c>
      <c r="C104" s="1229">
        <f>1529740/(100)</f>
        <v>15297.4</v>
      </c>
      <c r="D104" s="1229">
        <f>4984.44/(100)</f>
        <v>49.844399999999993</v>
      </c>
      <c r="E104" s="1233">
        <f>0/(100)</f>
        <v>0</v>
      </c>
      <c r="F104" s="1229">
        <f t="shared" si="24"/>
        <v>15297.4</v>
      </c>
      <c r="G104" s="1220">
        <f t="shared" si="25"/>
        <v>-49.844399999999993</v>
      </c>
    </row>
    <row r="105" spans="1:7">
      <c r="A105" s="702" t="s">
        <v>4018</v>
      </c>
      <c r="B105" s="1233">
        <f t="shared" si="29"/>
        <v>0</v>
      </c>
      <c r="C105" s="1229">
        <f>44360/(100)</f>
        <v>443.6</v>
      </c>
      <c r="D105" s="1233">
        <f>0/(100)</f>
        <v>0</v>
      </c>
      <c r="E105" s="1229">
        <f>44360/(100)</f>
        <v>443.6</v>
      </c>
      <c r="F105" s="1229">
        <f t="shared" si="24"/>
        <v>443.6</v>
      </c>
      <c r="G105" s="1220">
        <f t="shared" si="25"/>
        <v>443.6</v>
      </c>
    </row>
    <row r="106" spans="1:7">
      <c r="A106" s="702" t="s">
        <v>4019</v>
      </c>
      <c r="B106" s="1229">
        <f>1365/(100)</f>
        <v>13.65</v>
      </c>
      <c r="C106" s="1233">
        <f>0/(100)</f>
        <v>0</v>
      </c>
      <c r="D106" s="1229">
        <f>1365/(100)</f>
        <v>13.65</v>
      </c>
      <c r="E106" s="1233">
        <f>0/(100)</f>
        <v>0</v>
      </c>
      <c r="F106" s="1229">
        <f t="shared" si="24"/>
        <v>-13.65</v>
      </c>
      <c r="G106" s="1220">
        <f t="shared" si="25"/>
        <v>-13.65</v>
      </c>
    </row>
    <row r="107" spans="1:7">
      <c r="A107" s="702" t="s">
        <v>4020</v>
      </c>
      <c r="B107" s="1229">
        <f>92350/(100)</f>
        <v>923.5</v>
      </c>
      <c r="C107" s="1233">
        <f>0/(100)</f>
        <v>0</v>
      </c>
      <c r="D107" s="1229">
        <f>76510/(100)</f>
        <v>765.1</v>
      </c>
      <c r="E107" s="1233">
        <f>0/(100)</f>
        <v>0</v>
      </c>
      <c r="F107" s="1229">
        <f t="shared" si="24"/>
        <v>-923.5</v>
      </c>
      <c r="G107" s="1220">
        <f t="shared" si="25"/>
        <v>-765.1</v>
      </c>
    </row>
    <row r="108" spans="1:7">
      <c r="A108" s="702" t="s">
        <v>4021</v>
      </c>
      <c r="B108" s="1233">
        <f>0/(100)</f>
        <v>0</v>
      </c>
      <c r="C108" s="1229">
        <f>93212.2/(100)</f>
        <v>932.12199999999996</v>
      </c>
      <c r="D108" s="1233">
        <f t="shared" ref="D108:D113" si="31">0/(100)</f>
        <v>0</v>
      </c>
      <c r="E108" s="1229">
        <f>115060.2/(100)</f>
        <v>1150.6019999999999</v>
      </c>
      <c r="F108" s="1229">
        <f t="shared" si="24"/>
        <v>932.12199999999996</v>
      </c>
      <c r="G108" s="1220">
        <f t="shared" si="25"/>
        <v>1150.6019999999999</v>
      </c>
    </row>
    <row r="109" spans="1:7">
      <c r="A109" s="702" t="s">
        <v>4022</v>
      </c>
      <c r="B109" s="1229">
        <f>240242/(100)</f>
        <v>2402.42</v>
      </c>
      <c r="C109" s="1233">
        <f>0/(100)</f>
        <v>0</v>
      </c>
      <c r="D109" s="1233">
        <f t="shared" si="31"/>
        <v>0</v>
      </c>
      <c r="E109" s="1229">
        <f>69471958/(100)</f>
        <v>694719.58</v>
      </c>
      <c r="F109" s="1229">
        <f t="shared" si="24"/>
        <v>-2402.42</v>
      </c>
      <c r="G109" s="1220">
        <f t="shared" si="25"/>
        <v>694719.58</v>
      </c>
    </row>
    <row r="110" spans="1:7">
      <c r="A110" s="702" t="s">
        <v>4023</v>
      </c>
      <c r="B110" s="1233">
        <f>0/(100)</f>
        <v>0</v>
      </c>
      <c r="C110" s="1233">
        <f>0/(100)</f>
        <v>0</v>
      </c>
      <c r="D110" s="1233">
        <f t="shared" si="31"/>
        <v>0</v>
      </c>
      <c r="E110" s="1233">
        <f>0/(100)</f>
        <v>0</v>
      </c>
      <c r="F110" s="1229">
        <f t="shared" si="24"/>
        <v>0</v>
      </c>
      <c r="G110" s="1220">
        <f t="shared" si="25"/>
        <v>0</v>
      </c>
    </row>
    <row r="111" spans="1:7">
      <c r="A111" s="702" t="s">
        <v>4024</v>
      </c>
      <c r="B111" s="1233">
        <f>0/(100)</f>
        <v>0</v>
      </c>
      <c r="C111" s="1233">
        <f>0/(100)</f>
        <v>0</v>
      </c>
      <c r="D111" s="1233">
        <f t="shared" si="31"/>
        <v>0</v>
      </c>
      <c r="E111" s="1229">
        <f>5841/(100)</f>
        <v>58.41</v>
      </c>
      <c r="F111" s="1229">
        <f t="shared" si="24"/>
        <v>0</v>
      </c>
      <c r="G111" s="1220">
        <f t="shared" si="25"/>
        <v>58.41</v>
      </c>
    </row>
    <row r="112" spans="1:7">
      <c r="A112" s="702" t="s">
        <v>4025</v>
      </c>
      <c r="B112" s="1233">
        <f>0/(100)</f>
        <v>0</v>
      </c>
      <c r="C112" s="1229">
        <f>155800/(100)</f>
        <v>1558</v>
      </c>
      <c r="D112" s="1233">
        <f t="shared" si="31"/>
        <v>0</v>
      </c>
      <c r="E112" s="1229">
        <f>155800/(100)</f>
        <v>1558</v>
      </c>
      <c r="F112" s="1229">
        <f t="shared" si="24"/>
        <v>1558</v>
      </c>
      <c r="G112" s="1220">
        <f t="shared" si="25"/>
        <v>1558</v>
      </c>
    </row>
    <row r="113" spans="1:7">
      <c r="A113" s="702" t="s">
        <v>4026</v>
      </c>
      <c r="B113" s="1233">
        <f>0/(100)</f>
        <v>0</v>
      </c>
      <c r="C113" s="1229">
        <f>1100/(100)</f>
        <v>11</v>
      </c>
      <c r="D113" s="1233">
        <f t="shared" si="31"/>
        <v>0</v>
      </c>
      <c r="E113" s="1229">
        <f>1100/(100)</f>
        <v>11</v>
      </c>
      <c r="F113" s="1229">
        <f t="shared" si="24"/>
        <v>11</v>
      </c>
      <c r="G113" s="1220">
        <f t="shared" si="25"/>
        <v>11</v>
      </c>
    </row>
    <row r="114" spans="1:7">
      <c r="A114" s="702" t="s">
        <v>4027</v>
      </c>
      <c r="B114" s="1229">
        <f>637/(100)</f>
        <v>6.37</v>
      </c>
      <c r="C114" s="1233">
        <f>0/(100)</f>
        <v>0</v>
      </c>
      <c r="D114" s="1229">
        <f>637/(100)</f>
        <v>6.37</v>
      </c>
      <c r="E114" s="1233">
        <f>0/(100)</f>
        <v>0</v>
      </c>
      <c r="F114" s="1229">
        <f t="shared" si="24"/>
        <v>-6.37</v>
      </c>
      <c r="G114" s="1220">
        <f t="shared" si="25"/>
        <v>-6.37</v>
      </c>
    </row>
    <row r="115" spans="1:7">
      <c r="A115" s="702" t="s">
        <v>4028</v>
      </c>
      <c r="B115" s="1229">
        <f>979/(100)</f>
        <v>9.7899999999999991</v>
      </c>
      <c r="C115" s="1233">
        <f>0/(100)</f>
        <v>0</v>
      </c>
      <c r="D115" s="1229">
        <f>979/(100)</f>
        <v>9.7899999999999991</v>
      </c>
      <c r="E115" s="1233">
        <f>0/(100)</f>
        <v>0</v>
      </c>
      <c r="F115" s="1229">
        <f t="shared" si="24"/>
        <v>-9.7899999999999991</v>
      </c>
      <c r="G115" s="1220">
        <f t="shared" si="25"/>
        <v>-9.7899999999999991</v>
      </c>
    </row>
    <row r="116" spans="1:7">
      <c r="A116" s="702" t="s">
        <v>4029</v>
      </c>
      <c r="B116" s="1233">
        <f>0/(100)</f>
        <v>0</v>
      </c>
      <c r="C116" s="1233">
        <f>0/(100)</f>
        <v>0</v>
      </c>
      <c r="D116" s="1233">
        <f>0/(100)</f>
        <v>0</v>
      </c>
      <c r="E116" s="1233">
        <f>0/(100)</f>
        <v>0</v>
      </c>
      <c r="F116" s="1229">
        <f t="shared" si="24"/>
        <v>0</v>
      </c>
      <c r="G116" s="1220">
        <f t="shared" si="25"/>
        <v>0</v>
      </c>
    </row>
    <row r="117" spans="1:7">
      <c r="A117" s="702" t="s">
        <v>4030</v>
      </c>
      <c r="B117" s="1233">
        <f>0/(100)</f>
        <v>0</v>
      </c>
      <c r="C117" s="1233">
        <f>0/(100)</f>
        <v>0</v>
      </c>
      <c r="D117" s="1233">
        <f>0/(100)</f>
        <v>0</v>
      </c>
      <c r="E117" s="1229">
        <f>385876/(100)</f>
        <v>3858.76</v>
      </c>
      <c r="F117" s="1229">
        <f t="shared" si="24"/>
        <v>0</v>
      </c>
      <c r="G117" s="1220">
        <f t="shared" si="25"/>
        <v>3858.76</v>
      </c>
    </row>
    <row r="118" spans="1:7">
      <c r="A118" s="702" t="s">
        <v>3561</v>
      </c>
      <c r="B118" s="1233">
        <f>0/(100)</f>
        <v>0</v>
      </c>
      <c r="C118" s="1229">
        <f>41151/(100)</f>
        <v>411.51</v>
      </c>
      <c r="D118" s="1229">
        <f>110526.5/(100)</f>
        <v>1105.2650000000001</v>
      </c>
      <c r="E118" s="1233">
        <f>0/(100)</f>
        <v>0</v>
      </c>
      <c r="F118" s="1229">
        <f t="shared" si="24"/>
        <v>411.51</v>
      </c>
      <c r="G118" s="1220">
        <f t="shared" si="25"/>
        <v>-1105.2650000000001</v>
      </c>
    </row>
    <row r="119" spans="1:7">
      <c r="A119" s="702" t="s">
        <v>4031</v>
      </c>
      <c r="B119" s="1233">
        <f>0/(100)</f>
        <v>0</v>
      </c>
      <c r="C119" s="1233">
        <f t="shared" ref="C119:D123" si="32">0/(100)</f>
        <v>0</v>
      </c>
      <c r="D119" s="1233">
        <f t="shared" si="32"/>
        <v>0</v>
      </c>
      <c r="E119" s="1229">
        <f>684000/(100)</f>
        <v>6840</v>
      </c>
      <c r="F119" s="1229">
        <f t="shared" si="24"/>
        <v>0</v>
      </c>
      <c r="G119" s="1220">
        <f t="shared" si="25"/>
        <v>6840</v>
      </c>
    </row>
    <row r="120" spans="1:7">
      <c r="A120" s="702" t="s">
        <v>4032</v>
      </c>
      <c r="B120" s="1229">
        <f>162500/(100)</f>
        <v>1625</v>
      </c>
      <c r="C120" s="1233">
        <f t="shared" si="32"/>
        <v>0</v>
      </c>
      <c r="D120" s="1233">
        <f t="shared" si="32"/>
        <v>0</v>
      </c>
      <c r="E120" s="1229">
        <f>13000/(100)</f>
        <v>130</v>
      </c>
      <c r="F120" s="1229">
        <f t="shared" si="24"/>
        <v>-1625</v>
      </c>
      <c r="G120" s="1220">
        <f t="shared" si="25"/>
        <v>130</v>
      </c>
    </row>
    <row r="121" spans="1:7">
      <c r="A121" s="702" t="s">
        <v>4033</v>
      </c>
      <c r="B121" s="1233">
        <f t="shared" ref="B121:B128" si="33">0/(100)</f>
        <v>0</v>
      </c>
      <c r="C121" s="1233">
        <f t="shared" si="32"/>
        <v>0</v>
      </c>
      <c r="D121" s="1233">
        <f t="shared" si="32"/>
        <v>0</v>
      </c>
      <c r="E121" s="1233">
        <f>0/(100)</f>
        <v>0</v>
      </c>
      <c r="F121" s="1229">
        <f t="shared" si="24"/>
        <v>0</v>
      </c>
      <c r="G121" s="1220">
        <f t="shared" si="25"/>
        <v>0</v>
      </c>
    </row>
    <row r="122" spans="1:7">
      <c r="A122" s="702" t="s">
        <v>4034</v>
      </c>
      <c r="B122" s="1233">
        <f t="shared" si="33"/>
        <v>0</v>
      </c>
      <c r="C122" s="1233">
        <f t="shared" si="32"/>
        <v>0</v>
      </c>
      <c r="D122" s="1233">
        <f t="shared" si="32"/>
        <v>0</v>
      </c>
      <c r="E122" s="1233">
        <f>0/(100)</f>
        <v>0</v>
      </c>
      <c r="F122" s="1229">
        <f t="shared" si="24"/>
        <v>0</v>
      </c>
      <c r="G122" s="1220">
        <f t="shared" si="25"/>
        <v>0</v>
      </c>
    </row>
    <row r="123" spans="1:7">
      <c r="A123" s="702" t="s">
        <v>4035</v>
      </c>
      <c r="B123" s="1233">
        <f t="shared" si="33"/>
        <v>0</v>
      </c>
      <c r="C123" s="1233">
        <f t="shared" si="32"/>
        <v>0</v>
      </c>
      <c r="D123" s="1233">
        <f t="shared" si="32"/>
        <v>0</v>
      </c>
      <c r="E123" s="1229">
        <f>31131.77/(100)</f>
        <v>311.3177</v>
      </c>
      <c r="F123" s="1229">
        <f t="shared" si="24"/>
        <v>0</v>
      </c>
      <c r="G123" s="1220">
        <f t="shared" si="25"/>
        <v>311.3177</v>
      </c>
    </row>
    <row r="124" spans="1:7">
      <c r="A124" s="702" t="s">
        <v>4036</v>
      </c>
      <c r="B124" s="1233">
        <f t="shared" si="33"/>
        <v>0</v>
      </c>
      <c r="C124" s="1233">
        <f>0/(100)</f>
        <v>0</v>
      </c>
      <c r="D124" s="1229">
        <f>702/(100)</f>
        <v>7.02</v>
      </c>
      <c r="E124" s="1233">
        <f>0/(100)</f>
        <v>0</v>
      </c>
      <c r="F124" s="1229">
        <f t="shared" si="24"/>
        <v>0</v>
      </c>
      <c r="G124" s="1220">
        <f t="shared" si="25"/>
        <v>-7.02</v>
      </c>
    </row>
    <row r="125" spans="1:7">
      <c r="A125" s="702" t="s">
        <v>4037</v>
      </c>
      <c r="B125" s="1233">
        <f t="shared" si="33"/>
        <v>0</v>
      </c>
      <c r="C125" s="1233">
        <f>0/(100)</f>
        <v>0</v>
      </c>
      <c r="D125" s="1233">
        <f>0/(100)</f>
        <v>0</v>
      </c>
      <c r="E125" s="1229">
        <f>1183/(100)</f>
        <v>11.83</v>
      </c>
      <c r="F125" s="1229">
        <f t="shared" si="24"/>
        <v>0</v>
      </c>
      <c r="G125" s="1220">
        <f t="shared" si="25"/>
        <v>11.83</v>
      </c>
    </row>
    <row r="126" spans="1:7">
      <c r="A126" s="702" t="s">
        <v>4038</v>
      </c>
      <c r="B126" s="1233">
        <f t="shared" si="33"/>
        <v>0</v>
      </c>
      <c r="C126" s="1233">
        <f>0/(100)</f>
        <v>0</v>
      </c>
      <c r="D126" s="1233">
        <f>0/(100)</f>
        <v>0</v>
      </c>
      <c r="E126" s="1229">
        <f>440894/(100)</f>
        <v>4408.9399999999996</v>
      </c>
      <c r="F126" s="1229">
        <f t="shared" si="24"/>
        <v>0</v>
      </c>
      <c r="G126" s="1220">
        <f t="shared" si="25"/>
        <v>4408.9399999999996</v>
      </c>
    </row>
    <row r="127" spans="1:7">
      <c r="A127" s="702" t="s">
        <v>4039</v>
      </c>
      <c r="B127" s="1233">
        <f t="shared" si="33"/>
        <v>0</v>
      </c>
      <c r="C127" s="1229">
        <f>70290/(100)</f>
        <v>702.9</v>
      </c>
      <c r="D127" s="1233">
        <f>0/(100)</f>
        <v>0</v>
      </c>
      <c r="E127" s="1233">
        <f>0/(100)</f>
        <v>0</v>
      </c>
      <c r="F127" s="1229">
        <f t="shared" si="24"/>
        <v>702.9</v>
      </c>
      <c r="G127" s="1220">
        <f t="shared" si="25"/>
        <v>0</v>
      </c>
    </row>
    <row r="128" spans="1:7">
      <c r="A128" s="702" t="s">
        <v>4040</v>
      </c>
      <c r="B128" s="1233">
        <f t="shared" si="33"/>
        <v>0</v>
      </c>
      <c r="C128" s="1229">
        <f>9015/(100)</f>
        <v>90.15</v>
      </c>
      <c r="D128" s="1229">
        <f>1985/(100)</f>
        <v>19.850000000000001</v>
      </c>
      <c r="E128" s="1233">
        <f>0/(100)</f>
        <v>0</v>
      </c>
      <c r="F128" s="1229">
        <f t="shared" si="24"/>
        <v>90.15</v>
      </c>
      <c r="G128" s="1220">
        <f t="shared" si="25"/>
        <v>-19.850000000000001</v>
      </c>
    </row>
    <row r="129" spans="1:7">
      <c r="A129" s="702" t="s">
        <v>4041</v>
      </c>
      <c r="B129" s="1229">
        <f>454400/(100)</f>
        <v>4544</v>
      </c>
      <c r="C129" s="1233">
        <f>0/(100)</f>
        <v>0</v>
      </c>
      <c r="D129" s="1229">
        <f>454400/(100)</f>
        <v>4544</v>
      </c>
      <c r="E129" s="1233">
        <f>0/(100)</f>
        <v>0</v>
      </c>
      <c r="F129" s="1229">
        <f t="shared" si="24"/>
        <v>-4544</v>
      </c>
      <c r="G129" s="1220">
        <f t="shared" si="25"/>
        <v>-4544</v>
      </c>
    </row>
    <row r="130" spans="1:7">
      <c r="A130" s="702" t="s">
        <v>4042</v>
      </c>
      <c r="B130" s="1233">
        <f>0/(100)</f>
        <v>0</v>
      </c>
      <c r="C130" s="1229">
        <f>7167/(100)</f>
        <v>71.67</v>
      </c>
      <c r="D130" s="1233">
        <f>0/(100)</f>
        <v>0</v>
      </c>
      <c r="E130" s="1229">
        <f>7167/(100)</f>
        <v>71.67</v>
      </c>
      <c r="F130" s="1229">
        <f t="shared" si="24"/>
        <v>71.67</v>
      </c>
      <c r="G130" s="1220">
        <f t="shared" si="25"/>
        <v>71.67</v>
      </c>
    </row>
    <row r="131" spans="1:7">
      <c r="A131" s="702" t="s">
        <v>4043</v>
      </c>
      <c r="B131" s="1229">
        <f>24190/(100)</f>
        <v>241.9</v>
      </c>
      <c r="C131" s="1233">
        <f>0/(100)</f>
        <v>0</v>
      </c>
      <c r="D131" s="1229">
        <f>24190/(100)</f>
        <v>241.9</v>
      </c>
      <c r="E131" s="1233">
        <f>0/(100)</f>
        <v>0</v>
      </c>
      <c r="F131" s="1229">
        <f t="shared" si="24"/>
        <v>-241.9</v>
      </c>
      <c r="G131" s="1220">
        <f t="shared" si="25"/>
        <v>-241.9</v>
      </c>
    </row>
    <row r="132" spans="1:7">
      <c r="A132" s="702" t="s">
        <v>3445</v>
      </c>
      <c r="B132" s="1233">
        <f t="shared" ref="B132:B147" si="34">0/(100)</f>
        <v>0</v>
      </c>
      <c r="C132" s="1233">
        <f>0/(100)</f>
        <v>0</v>
      </c>
      <c r="D132" s="1233">
        <f t="shared" ref="D132:D137" si="35">0/(100)</f>
        <v>0</v>
      </c>
      <c r="E132" s="1233">
        <f>0/(100)</f>
        <v>0</v>
      </c>
      <c r="F132" s="1229">
        <f t="shared" si="24"/>
        <v>0</v>
      </c>
      <c r="G132" s="1220">
        <f t="shared" si="25"/>
        <v>0</v>
      </c>
    </row>
    <row r="133" spans="1:7">
      <c r="A133" s="702" t="s">
        <v>4044</v>
      </c>
      <c r="B133" s="1233">
        <f t="shared" si="34"/>
        <v>0</v>
      </c>
      <c r="C133" s="1229">
        <f>1518030/(100)</f>
        <v>15180.3</v>
      </c>
      <c r="D133" s="1233">
        <f t="shared" si="35"/>
        <v>0</v>
      </c>
      <c r="E133" s="1229">
        <f>686731/(100)</f>
        <v>6867.31</v>
      </c>
      <c r="F133" s="1229">
        <f t="shared" ref="F133:F196" si="36">C133-B133</f>
        <v>15180.3</v>
      </c>
      <c r="G133" s="1220">
        <f t="shared" ref="G133:G196" si="37">E133-D133</f>
        <v>6867.31</v>
      </c>
    </row>
    <row r="134" spans="1:7">
      <c r="A134" s="702" t="s">
        <v>4045</v>
      </c>
      <c r="B134" s="1233">
        <f t="shared" si="34"/>
        <v>0</v>
      </c>
      <c r="C134" s="1233">
        <f>0/(100)</f>
        <v>0</v>
      </c>
      <c r="D134" s="1233">
        <f t="shared" si="35"/>
        <v>0</v>
      </c>
      <c r="E134" s="1229">
        <f>561600/(100)</f>
        <v>5616</v>
      </c>
      <c r="F134" s="1229">
        <f t="shared" si="36"/>
        <v>0</v>
      </c>
      <c r="G134" s="1220">
        <f t="shared" si="37"/>
        <v>5616</v>
      </c>
    </row>
    <row r="135" spans="1:7">
      <c r="A135" s="702" t="s">
        <v>4046</v>
      </c>
      <c r="B135" s="1233">
        <f t="shared" si="34"/>
        <v>0</v>
      </c>
      <c r="C135" s="1233">
        <f>0/(100)</f>
        <v>0</v>
      </c>
      <c r="D135" s="1233">
        <f t="shared" si="35"/>
        <v>0</v>
      </c>
      <c r="E135" s="1229">
        <f>404150/(100)</f>
        <v>4041.5</v>
      </c>
      <c r="F135" s="1229">
        <f t="shared" si="36"/>
        <v>0</v>
      </c>
      <c r="G135" s="1220">
        <f t="shared" si="37"/>
        <v>4041.5</v>
      </c>
    </row>
    <row r="136" spans="1:7">
      <c r="A136" s="702" t="s">
        <v>4047</v>
      </c>
      <c r="B136" s="1233">
        <f t="shared" si="34"/>
        <v>0</v>
      </c>
      <c r="C136" s="1233">
        <f>0/(100)</f>
        <v>0</v>
      </c>
      <c r="D136" s="1233">
        <f t="shared" si="35"/>
        <v>0</v>
      </c>
      <c r="E136" s="1233">
        <f>0/(100)</f>
        <v>0</v>
      </c>
      <c r="F136" s="1229">
        <f t="shared" si="36"/>
        <v>0</v>
      </c>
      <c r="G136" s="1220">
        <f t="shared" si="37"/>
        <v>0</v>
      </c>
    </row>
    <row r="137" spans="1:7">
      <c r="A137" s="702" t="s">
        <v>4048</v>
      </c>
      <c r="B137" s="1233">
        <f t="shared" si="34"/>
        <v>0</v>
      </c>
      <c r="C137" s="1233">
        <f>0/(100)</f>
        <v>0</v>
      </c>
      <c r="D137" s="1233">
        <f t="shared" si="35"/>
        <v>0</v>
      </c>
      <c r="E137" s="1233">
        <f>0/(100)</f>
        <v>0</v>
      </c>
      <c r="F137" s="1229">
        <f t="shared" si="36"/>
        <v>0</v>
      </c>
      <c r="G137" s="1220">
        <f t="shared" si="37"/>
        <v>0</v>
      </c>
    </row>
    <row r="138" spans="1:7">
      <c r="A138" s="702" t="s">
        <v>3553</v>
      </c>
      <c r="B138" s="1233">
        <f t="shared" si="34"/>
        <v>0</v>
      </c>
      <c r="C138" s="1233">
        <f>0/(100)</f>
        <v>0</v>
      </c>
      <c r="D138" s="1229">
        <f>14800/(100)</f>
        <v>148</v>
      </c>
      <c r="E138" s="1233">
        <f>0/(100)</f>
        <v>0</v>
      </c>
      <c r="F138" s="1229">
        <f t="shared" si="36"/>
        <v>0</v>
      </c>
      <c r="G138" s="1220">
        <f t="shared" si="37"/>
        <v>-148</v>
      </c>
    </row>
    <row r="139" spans="1:7">
      <c r="A139" s="702" t="s">
        <v>4049</v>
      </c>
      <c r="B139" s="1233">
        <f t="shared" si="34"/>
        <v>0</v>
      </c>
      <c r="C139" s="1229">
        <f>1620/(100)</f>
        <v>16.2</v>
      </c>
      <c r="D139" s="1233">
        <f>0/(100)</f>
        <v>0</v>
      </c>
      <c r="E139" s="1229">
        <f>1620/(100)</f>
        <v>16.2</v>
      </c>
      <c r="F139" s="1229">
        <f t="shared" si="36"/>
        <v>16.2</v>
      </c>
      <c r="G139" s="1220">
        <f t="shared" si="37"/>
        <v>16.2</v>
      </c>
    </row>
    <row r="140" spans="1:7">
      <c r="A140" s="702" t="s">
        <v>4050</v>
      </c>
      <c r="B140" s="1233">
        <f t="shared" si="34"/>
        <v>0</v>
      </c>
      <c r="C140" s="1233">
        <f>0/(100)</f>
        <v>0</v>
      </c>
      <c r="D140" s="1233">
        <f>0/(100)</f>
        <v>0</v>
      </c>
      <c r="E140" s="1229">
        <f>26879/(100)</f>
        <v>268.79000000000002</v>
      </c>
      <c r="F140" s="1229">
        <f t="shared" si="36"/>
        <v>0</v>
      </c>
      <c r="G140" s="1220">
        <f t="shared" si="37"/>
        <v>268.79000000000002</v>
      </c>
    </row>
    <row r="141" spans="1:7">
      <c r="A141" s="702" t="s">
        <v>4051</v>
      </c>
      <c r="B141" s="1233">
        <f t="shared" si="34"/>
        <v>0</v>
      </c>
      <c r="C141" s="1233">
        <f>0/(100)</f>
        <v>0</v>
      </c>
      <c r="D141" s="1229">
        <f>25000/(100)</f>
        <v>250</v>
      </c>
      <c r="E141" s="1233">
        <f>0/(100)</f>
        <v>0</v>
      </c>
      <c r="F141" s="1229">
        <f t="shared" si="36"/>
        <v>0</v>
      </c>
      <c r="G141" s="1220">
        <f t="shared" si="37"/>
        <v>-250</v>
      </c>
    </row>
    <row r="142" spans="1:7">
      <c r="A142" s="702" t="s">
        <v>4052</v>
      </c>
      <c r="B142" s="1233">
        <f t="shared" si="34"/>
        <v>0</v>
      </c>
      <c r="C142" s="1233">
        <f>0/(100)</f>
        <v>0</v>
      </c>
      <c r="D142" s="1233">
        <f t="shared" ref="D142:D147" si="38">0/(100)</f>
        <v>0</v>
      </c>
      <c r="E142" s="1229">
        <f>43032.12/(100)</f>
        <v>430.32120000000003</v>
      </c>
      <c r="F142" s="1229">
        <f t="shared" si="36"/>
        <v>0</v>
      </c>
      <c r="G142" s="1220">
        <f t="shared" si="37"/>
        <v>430.32120000000003</v>
      </c>
    </row>
    <row r="143" spans="1:7">
      <c r="A143" s="702" t="s">
        <v>4053</v>
      </c>
      <c r="B143" s="1233">
        <f t="shared" si="34"/>
        <v>0</v>
      </c>
      <c r="C143" s="1229">
        <f>9000/(100)</f>
        <v>90</v>
      </c>
      <c r="D143" s="1233">
        <f t="shared" si="38"/>
        <v>0</v>
      </c>
      <c r="E143" s="1233">
        <f>0/(100)</f>
        <v>0</v>
      </c>
      <c r="F143" s="1229">
        <f t="shared" si="36"/>
        <v>90</v>
      </c>
      <c r="G143" s="1220">
        <f t="shared" si="37"/>
        <v>0</v>
      </c>
    </row>
    <row r="144" spans="1:7">
      <c r="A144" s="702" t="s">
        <v>4054</v>
      </c>
      <c r="B144" s="1233">
        <f t="shared" si="34"/>
        <v>0</v>
      </c>
      <c r="C144" s="1233">
        <f>0/(100)</f>
        <v>0</v>
      </c>
      <c r="D144" s="1233">
        <f t="shared" si="38"/>
        <v>0</v>
      </c>
      <c r="E144" s="1229">
        <f>1313718/(100)</f>
        <v>13137.18</v>
      </c>
      <c r="F144" s="1229">
        <f t="shared" si="36"/>
        <v>0</v>
      </c>
      <c r="G144" s="1220">
        <f t="shared" si="37"/>
        <v>13137.18</v>
      </c>
    </row>
    <row r="145" spans="1:7">
      <c r="A145" s="702" t="s">
        <v>4055</v>
      </c>
      <c r="B145" s="1233">
        <f t="shared" si="34"/>
        <v>0</v>
      </c>
      <c r="C145" s="1233">
        <f>0/(100)</f>
        <v>0</v>
      </c>
      <c r="D145" s="1233">
        <f t="shared" si="38"/>
        <v>0</v>
      </c>
      <c r="E145" s="1233">
        <f>0/(100)</f>
        <v>0</v>
      </c>
      <c r="F145" s="1229">
        <f t="shared" si="36"/>
        <v>0</v>
      </c>
      <c r="G145" s="1220">
        <f t="shared" si="37"/>
        <v>0</v>
      </c>
    </row>
    <row r="146" spans="1:7">
      <c r="A146" s="702" t="s">
        <v>4056</v>
      </c>
      <c r="B146" s="1233">
        <f t="shared" si="34"/>
        <v>0</v>
      </c>
      <c r="C146" s="1229">
        <f>152928/(100)</f>
        <v>1529.28</v>
      </c>
      <c r="D146" s="1233">
        <f t="shared" si="38"/>
        <v>0</v>
      </c>
      <c r="E146" s="1229">
        <f>305856/(100)</f>
        <v>3058.56</v>
      </c>
      <c r="F146" s="1229">
        <f t="shared" si="36"/>
        <v>1529.28</v>
      </c>
      <c r="G146" s="1220">
        <f t="shared" si="37"/>
        <v>3058.56</v>
      </c>
    </row>
    <row r="147" spans="1:7">
      <c r="A147" s="702" t="s">
        <v>4057</v>
      </c>
      <c r="B147" s="1233">
        <f t="shared" si="34"/>
        <v>0</v>
      </c>
      <c r="C147" s="1233">
        <f>0/(100)</f>
        <v>0</v>
      </c>
      <c r="D147" s="1233">
        <f t="shared" si="38"/>
        <v>0</v>
      </c>
      <c r="E147" s="1229">
        <f>5680014/(100)</f>
        <v>56800.14</v>
      </c>
      <c r="F147" s="1229">
        <f t="shared" si="36"/>
        <v>0</v>
      </c>
      <c r="G147" s="1220">
        <f t="shared" si="37"/>
        <v>56800.14</v>
      </c>
    </row>
    <row r="148" spans="1:7">
      <c r="A148" s="702" t="s">
        <v>4058</v>
      </c>
      <c r="B148" s="1229">
        <f>9438/(100)</f>
        <v>94.38</v>
      </c>
      <c r="C148" s="1233">
        <f>0/(100)</f>
        <v>0</v>
      </c>
      <c r="D148" s="1229">
        <f>9438/(100)</f>
        <v>94.38</v>
      </c>
      <c r="E148" s="1233">
        <f>0/(100)</f>
        <v>0</v>
      </c>
      <c r="F148" s="1229">
        <f t="shared" si="36"/>
        <v>-94.38</v>
      </c>
      <c r="G148" s="1220">
        <f t="shared" si="37"/>
        <v>-94.38</v>
      </c>
    </row>
    <row r="149" spans="1:7">
      <c r="A149" s="702" t="s">
        <v>4059</v>
      </c>
      <c r="B149" s="1233">
        <f t="shared" ref="B149:B166" si="39">0/(100)</f>
        <v>0</v>
      </c>
      <c r="C149" s="1229">
        <f>40680/(100)</f>
        <v>406.8</v>
      </c>
      <c r="D149" s="1233">
        <f>0/(100)</f>
        <v>0</v>
      </c>
      <c r="E149" s="1229">
        <f>36000/(100)</f>
        <v>360</v>
      </c>
      <c r="F149" s="1229">
        <f t="shared" si="36"/>
        <v>406.8</v>
      </c>
      <c r="G149" s="1220">
        <f t="shared" si="37"/>
        <v>360</v>
      </c>
    </row>
    <row r="150" spans="1:7">
      <c r="A150" s="702" t="s">
        <v>4060</v>
      </c>
      <c r="B150" s="1233">
        <f t="shared" si="39"/>
        <v>0</v>
      </c>
      <c r="C150" s="1229">
        <f>322848/(100)</f>
        <v>3228.48</v>
      </c>
      <c r="D150" s="1233">
        <f>0/(100)</f>
        <v>0</v>
      </c>
      <c r="E150" s="1233">
        <f>0/(100)</f>
        <v>0</v>
      </c>
      <c r="F150" s="1229">
        <f t="shared" si="36"/>
        <v>3228.48</v>
      </c>
      <c r="G150" s="1220">
        <f t="shared" si="37"/>
        <v>0</v>
      </c>
    </row>
    <row r="151" spans="1:7">
      <c r="A151" s="702" t="s">
        <v>4061</v>
      </c>
      <c r="B151" s="1233">
        <f t="shared" si="39"/>
        <v>0</v>
      </c>
      <c r="C151" s="1229">
        <f>514709/(100)</f>
        <v>5147.09</v>
      </c>
      <c r="D151" s="1229">
        <f>187181/(100)</f>
        <v>1871.81</v>
      </c>
      <c r="E151" s="1233">
        <f>0/(100)</f>
        <v>0</v>
      </c>
      <c r="F151" s="1229">
        <f t="shared" si="36"/>
        <v>5147.09</v>
      </c>
      <c r="G151" s="1220">
        <f t="shared" si="37"/>
        <v>-1871.81</v>
      </c>
    </row>
    <row r="152" spans="1:7">
      <c r="A152" s="702" t="s">
        <v>4062</v>
      </c>
      <c r="B152" s="1233">
        <f t="shared" si="39"/>
        <v>0</v>
      </c>
      <c r="C152" s="1233">
        <f>0/(100)</f>
        <v>0</v>
      </c>
      <c r="D152" s="1233">
        <f>0/(100)</f>
        <v>0</v>
      </c>
      <c r="E152" s="1233">
        <f>0/(100)</f>
        <v>0</v>
      </c>
      <c r="F152" s="1229">
        <f t="shared" si="36"/>
        <v>0</v>
      </c>
      <c r="G152" s="1220">
        <f t="shared" si="37"/>
        <v>0</v>
      </c>
    </row>
    <row r="153" spans="1:7">
      <c r="A153" s="702" t="s">
        <v>4063</v>
      </c>
      <c r="B153" s="1233">
        <f t="shared" si="39"/>
        <v>0</v>
      </c>
      <c r="C153" s="1229">
        <f>15136082.32/(100)</f>
        <v>151360.82320000001</v>
      </c>
      <c r="D153" s="1233">
        <f>0/(100)</f>
        <v>0</v>
      </c>
      <c r="E153" s="1229">
        <f>11080187.58/(100)</f>
        <v>110801.87579999999</v>
      </c>
      <c r="F153" s="1229">
        <f t="shared" si="36"/>
        <v>151360.82320000001</v>
      </c>
      <c r="G153" s="1220">
        <f t="shared" si="37"/>
        <v>110801.87579999999</v>
      </c>
    </row>
    <row r="154" spans="1:7">
      <c r="A154" s="702" t="s">
        <v>4064</v>
      </c>
      <c r="B154" s="1233">
        <f t="shared" si="39"/>
        <v>0</v>
      </c>
      <c r="C154" s="1229">
        <f>16235351.34/(100)</f>
        <v>162353.5134</v>
      </c>
      <c r="D154" s="1233">
        <f>0/(100)</f>
        <v>0</v>
      </c>
      <c r="E154" s="1229">
        <f>8961280.68/(100)</f>
        <v>89612.806799999991</v>
      </c>
      <c r="F154" s="1229">
        <f t="shared" si="36"/>
        <v>162353.5134</v>
      </c>
      <c r="G154" s="1220">
        <f t="shared" si="37"/>
        <v>89612.806799999991</v>
      </c>
    </row>
    <row r="155" spans="1:7">
      <c r="A155" s="702" t="s">
        <v>4065</v>
      </c>
      <c r="B155" s="1233">
        <f t="shared" si="39"/>
        <v>0</v>
      </c>
      <c r="C155" s="1233">
        <f>0/(100)</f>
        <v>0</v>
      </c>
      <c r="D155" s="1229">
        <f>22500000/(100)</f>
        <v>225000</v>
      </c>
      <c r="E155" s="1233">
        <f>0/(100)</f>
        <v>0</v>
      </c>
      <c r="F155" s="1229">
        <f t="shared" si="36"/>
        <v>0</v>
      </c>
      <c r="G155" s="1220">
        <f t="shared" si="37"/>
        <v>-225000</v>
      </c>
    </row>
    <row r="156" spans="1:7">
      <c r="A156" s="702" t="s">
        <v>4066</v>
      </c>
      <c r="B156" s="1233">
        <f t="shared" si="39"/>
        <v>0</v>
      </c>
      <c r="C156" s="1229">
        <f>5301553.5/(100)</f>
        <v>53015.535000000003</v>
      </c>
      <c r="D156" s="1233">
        <f t="shared" ref="D156:D161" si="40">0/(100)</f>
        <v>0</v>
      </c>
      <c r="E156" s="1229">
        <f>5627311/(100)</f>
        <v>56273.11</v>
      </c>
      <c r="F156" s="1229">
        <f t="shared" si="36"/>
        <v>53015.535000000003</v>
      </c>
      <c r="G156" s="1220">
        <f t="shared" si="37"/>
        <v>56273.11</v>
      </c>
    </row>
    <row r="157" spans="1:7">
      <c r="A157" s="702" t="s">
        <v>4067</v>
      </c>
      <c r="B157" s="1233">
        <f t="shared" si="39"/>
        <v>0</v>
      </c>
      <c r="C157" s="1233">
        <f>0/(100)</f>
        <v>0</v>
      </c>
      <c r="D157" s="1233">
        <f t="shared" si="40"/>
        <v>0</v>
      </c>
      <c r="E157" s="1233">
        <f>0/(100)</f>
        <v>0</v>
      </c>
      <c r="F157" s="1229">
        <f t="shared" si="36"/>
        <v>0</v>
      </c>
      <c r="G157" s="1220">
        <f t="shared" si="37"/>
        <v>0</v>
      </c>
    </row>
    <row r="158" spans="1:7">
      <c r="A158" s="702" t="s">
        <v>3404</v>
      </c>
      <c r="B158" s="1233">
        <f t="shared" si="39"/>
        <v>0</v>
      </c>
      <c r="C158" s="1229">
        <f>2059243.19/(100)</f>
        <v>20592.4319</v>
      </c>
      <c r="D158" s="1233">
        <f t="shared" si="40"/>
        <v>0</v>
      </c>
      <c r="E158" s="1229">
        <f>1472762.19/(100)</f>
        <v>14727.6219</v>
      </c>
      <c r="F158" s="1229">
        <f t="shared" si="36"/>
        <v>20592.4319</v>
      </c>
      <c r="G158" s="1220">
        <f t="shared" si="37"/>
        <v>14727.6219</v>
      </c>
    </row>
    <row r="159" spans="1:7">
      <c r="A159" s="702" t="s">
        <v>4068</v>
      </c>
      <c r="B159" s="1233">
        <f t="shared" si="39"/>
        <v>0</v>
      </c>
      <c r="C159" s="1229">
        <f>970465/(100)</f>
        <v>9704.65</v>
      </c>
      <c r="D159" s="1233">
        <f t="shared" si="40"/>
        <v>0</v>
      </c>
      <c r="E159" s="1229">
        <f>327596/(100)</f>
        <v>3275.96</v>
      </c>
      <c r="F159" s="1229">
        <f t="shared" si="36"/>
        <v>9704.65</v>
      </c>
      <c r="G159" s="1220">
        <f t="shared" si="37"/>
        <v>3275.96</v>
      </c>
    </row>
    <row r="160" spans="1:7">
      <c r="A160" s="702" t="s">
        <v>4069</v>
      </c>
      <c r="B160" s="1233">
        <f t="shared" si="39"/>
        <v>0</v>
      </c>
      <c r="C160" s="1229">
        <f>133955.05/(100)</f>
        <v>1339.5504999999998</v>
      </c>
      <c r="D160" s="1233">
        <f t="shared" si="40"/>
        <v>0</v>
      </c>
      <c r="E160" s="1229">
        <f>133955.05/(100)</f>
        <v>1339.5504999999998</v>
      </c>
      <c r="F160" s="1229">
        <f t="shared" si="36"/>
        <v>1339.5504999999998</v>
      </c>
      <c r="G160" s="1220">
        <f t="shared" si="37"/>
        <v>1339.5504999999998</v>
      </c>
    </row>
    <row r="161" spans="1:7">
      <c r="A161" s="702" t="s">
        <v>4070</v>
      </c>
      <c r="B161" s="1233">
        <f t="shared" si="39"/>
        <v>0</v>
      </c>
      <c r="C161" s="1229">
        <f>4625.4/(100)</f>
        <v>46.253999999999998</v>
      </c>
      <c r="D161" s="1233">
        <f t="shared" si="40"/>
        <v>0</v>
      </c>
      <c r="E161" s="1229">
        <f>4625.4/(100)</f>
        <v>46.253999999999998</v>
      </c>
      <c r="F161" s="1229">
        <f t="shared" si="36"/>
        <v>46.253999999999998</v>
      </c>
      <c r="G161" s="1220">
        <f t="shared" si="37"/>
        <v>46.253999999999998</v>
      </c>
    </row>
    <row r="162" spans="1:7">
      <c r="A162" s="702" t="s">
        <v>4071</v>
      </c>
      <c r="B162" s="1233">
        <f t="shared" si="39"/>
        <v>0</v>
      </c>
      <c r="C162" s="1233">
        <f>0/(100)</f>
        <v>0</v>
      </c>
      <c r="D162" s="1229">
        <f>23010/(100)</f>
        <v>230.1</v>
      </c>
      <c r="E162" s="1233">
        <f>0/(100)</f>
        <v>0</v>
      </c>
      <c r="F162" s="1229">
        <f t="shared" si="36"/>
        <v>0</v>
      </c>
      <c r="G162" s="1220">
        <f t="shared" si="37"/>
        <v>-230.1</v>
      </c>
    </row>
    <row r="163" spans="1:7">
      <c r="A163" s="702" t="s">
        <v>4072</v>
      </c>
      <c r="B163" s="1233">
        <f t="shared" si="39"/>
        <v>0</v>
      </c>
      <c r="C163" s="1229">
        <f>127277/(100)</f>
        <v>1272.77</v>
      </c>
      <c r="D163" s="1233">
        <f>0/(100)</f>
        <v>0</v>
      </c>
      <c r="E163" s="1229">
        <f>501356/(100)</f>
        <v>5013.5600000000004</v>
      </c>
      <c r="F163" s="1229">
        <f t="shared" si="36"/>
        <v>1272.77</v>
      </c>
      <c r="G163" s="1220">
        <f t="shared" si="37"/>
        <v>5013.5600000000004</v>
      </c>
    </row>
    <row r="164" spans="1:7">
      <c r="A164" s="702" t="s">
        <v>4073</v>
      </c>
      <c r="B164" s="1233">
        <f t="shared" si="39"/>
        <v>0</v>
      </c>
      <c r="C164" s="1229">
        <f>8068/(100)</f>
        <v>80.680000000000007</v>
      </c>
      <c r="D164" s="1233">
        <f>0/(100)</f>
        <v>0</v>
      </c>
      <c r="E164" s="1229">
        <f>8068/(100)</f>
        <v>80.680000000000007</v>
      </c>
      <c r="F164" s="1229">
        <f t="shared" si="36"/>
        <v>80.680000000000007</v>
      </c>
      <c r="G164" s="1220">
        <f t="shared" si="37"/>
        <v>80.680000000000007</v>
      </c>
    </row>
    <row r="165" spans="1:7">
      <c r="A165" s="702" t="s">
        <v>968</v>
      </c>
      <c r="B165" s="1233">
        <f t="shared" si="39"/>
        <v>0</v>
      </c>
      <c r="C165" s="1229">
        <f>1630594/(100)</f>
        <v>16305.94</v>
      </c>
      <c r="D165" s="1233">
        <f>0/(100)</f>
        <v>0</v>
      </c>
      <c r="E165" s="1229">
        <f>0.18/(100)</f>
        <v>1.8E-3</v>
      </c>
      <c r="F165" s="1229">
        <f t="shared" si="36"/>
        <v>16305.94</v>
      </c>
      <c r="G165" s="1220">
        <f t="shared" si="37"/>
        <v>1.8E-3</v>
      </c>
    </row>
    <row r="166" spans="1:7">
      <c r="A166" s="702" t="s">
        <v>866</v>
      </c>
      <c r="B166" s="1233">
        <f t="shared" si="39"/>
        <v>0</v>
      </c>
      <c r="C166" s="1229">
        <f>13239718.02/(100)</f>
        <v>132397.1802</v>
      </c>
      <c r="D166" s="1233">
        <f>0/(100)</f>
        <v>0</v>
      </c>
      <c r="E166" s="1229">
        <f>64364288.33/(100)</f>
        <v>643642.88329999999</v>
      </c>
      <c r="F166" s="1229">
        <f t="shared" si="36"/>
        <v>132397.1802</v>
      </c>
      <c r="G166" s="1220">
        <f t="shared" si="37"/>
        <v>643642.88329999999</v>
      </c>
    </row>
    <row r="167" spans="1:7">
      <c r="A167" s="702" t="s">
        <v>4074</v>
      </c>
      <c r="B167" s="1229">
        <f>20600/(100)</f>
        <v>206</v>
      </c>
      <c r="C167" s="1233">
        <f>0/(100)</f>
        <v>0</v>
      </c>
      <c r="D167" s="1229">
        <f>20600/(100)</f>
        <v>206</v>
      </c>
      <c r="E167" s="1233">
        <f>0/(100)</f>
        <v>0</v>
      </c>
      <c r="F167" s="1229">
        <f t="shared" si="36"/>
        <v>-206</v>
      </c>
      <c r="G167" s="1220">
        <f t="shared" si="37"/>
        <v>-206</v>
      </c>
    </row>
    <row r="168" spans="1:7">
      <c r="A168" s="702" t="s">
        <v>4075</v>
      </c>
      <c r="B168" s="1229">
        <f>2832/(100)</f>
        <v>28.32</v>
      </c>
      <c r="C168" s="1233">
        <f>0/(100)</f>
        <v>0</v>
      </c>
      <c r="D168" s="1229">
        <f>2832/(100)</f>
        <v>28.32</v>
      </c>
      <c r="E168" s="1233">
        <f>0/(100)</f>
        <v>0</v>
      </c>
      <c r="F168" s="1229">
        <f t="shared" si="36"/>
        <v>-28.32</v>
      </c>
      <c r="G168" s="1220">
        <f t="shared" si="37"/>
        <v>-28.32</v>
      </c>
    </row>
    <row r="169" spans="1:7">
      <c r="A169" s="702" t="s">
        <v>4076</v>
      </c>
      <c r="B169" s="1233">
        <f>0/(100)</f>
        <v>0</v>
      </c>
      <c r="C169" s="1233">
        <f>0/(100)</f>
        <v>0</v>
      </c>
      <c r="D169" s="1233">
        <f t="shared" ref="D169:D175" si="41">0/(100)</f>
        <v>0</v>
      </c>
      <c r="E169" s="1229">
        <f>21948/(100)</f>
        <v>219.48</v>
      </c>
      <c r="F169" s="1229">
        <f t="shared" si="36"/>
        <v>0</v>
      </c>
      <c r="G169" s="1220">
        <f t="shared" si="37"/>
        <v>219.48</v>
      </c>
    </row>
    <row r="170" spans="1:7">
      <c r="A170" s="702" t="s">
        <v>4077</v>
      </c>
      <c r="B170" s="1233">
        <f>0/(100)</f>
        <v>0</v>
      </c>
      <c r="C170" s="1233">
        <f>0/(100)</f>
        <v>0</v>
      </c>
      <c r="D170" s="1233">
        <f t="shared" si="41"/>
        <v>0</v>
      </c>
      <c r="E170" s="1233">
        <f>0/(100)</f>
        <v>0</v>
      </c>
      <c r="F170" s="1229">
        <f t="shared" si="36"/>
        <v>0</v>
      </c>
      <c r="G170" s="1220">
        <f t="shared" si="37"/>
        <v>0</v>
      </c>
    </row>
    <row r="171" spans="1:7">
      <c r="A171" s="702" t="s">
        <v>4078</v>
      </c>
      <c r="B171" s="1233">
        <f>0/(100)</f>
        <v>0</v>
      </c>
      <c r="C171" s="1229">
        <f>83520/(100)</f>
        <v>835.2</v>
      </c>
      <c r="D171" s="1233">
        <f t="shared" si="41"/>
        <v>0</v>
      </c>
      <c r="E171" s="1229">
        <f>626400/(100)</f>
        <v>6264</v>
      </c>
      <c r="F171" s="1229">
        <f t="shared" si="36"/>
        <v>835.2</v>
      </c>
      <c r="G171" s="1220">
        <f t="shared" si="37"/>
        <v>6264</v>
      </c>
    </row>
    <row r="172" spans="1:7">
      <c r="A172" s="702" t="s">
        <v>4079</v>
      </c>
      <c r="B172" s="1233">
        <f>0/(100)</f>
        <v>0</v>
      </c>
      <c r="C172" s="1233">
        <f>0/(100)</f>
        <v>0</v>
      </c>
      <c r="D172" s="1233">
        <f t="shared" si="41"/>
        <v>0</v>
      </c>
      <c r="E172" s="1233">
        <f>0/(100)</f>
        <v>0</v>
      </c>
      <c r="F172" s="1229">
        <f t="shared" si="36"/>
        <v>0</v>
      </c>
      <c r="G172" s="1220">
        <f t="shared" si="37"/>
        <v>0</v>
      </c>
    </row>
    <row r="173" spans="1:7">
      <c r="A173" s="702" t="s">
        <v>4080</v>
      </c>
      <c r="B173" s="1229">
        <f>3424000/(100)</f>
        <v>34240</v>
      </c>
      <c r="C173" s="1233">
        <f>0/(100)</f>
        <v>0</v>
      </c>
      <c r="D173" s="1233">
        <f t="shared" si="41"/>
        <v>0</v>
      </c>
      <c r="E173" s="1229">
        <f>36949960/(100)</f>
        <v>369499.6</v>
      </c>
      <c r="F173" s="1229">
        <f t="shared" si="36"/>
        <v>-34240</v>
      </c>
      <c r="G173" s="1220">
        <f t="shared" si="37"/>
        <v>369499.6</v>
      </c>
    </row>
    <row r="174" spans="1:7">
      <c r="A174" s="702" t="s">
        <v>4081</v>
      </c>
      <c r="B174" s="1233">
        <f>0/(100)</f>
        <v>0</v>
      </c>
      <c r="C174" s="1229">
        <f>413090/(100)</f>
        <v>4130.8999999999996</v>
      </c>
      <c r="D174" s="1233">
        <f t="shared" si="41"/>
        <v>0</v>
      </c>
      <c r="E174" s="1229">
        <f>185390/(100)</f>
        <v>1853.9</v>
      </c>
      <c r="F174" s="1229">
        <f t="shared" si="36"/>
        <v>4130.8999999999996</v>
      </c>
      <c r="G174" s="1220">
        <f t="shared" si="37"/>
        <v>1853.9</v>
      </c>
    </row>
    <row r="175" spans="1:7">
      <c r="A175" s="702" t="s">
        <v>4082</v>
      </c>
      <c r="B175" s="1233">
        <f>0/(100)</f>
        <v>0</v>
      </c>
      <c r="C175" s="1229">
        <f>11800/(100)</f>
        <v>118</v>
      </c>
      <c r="D175" s="1233">
        <f t="shared" si="41"/>
        <v>0</v>
      </c>
      <c r="E175" s="1229">
        <f>11800/(100)</f>
        <v>118</v>
      </c>
      <c r="F175" s="1229">
        <f t="shared" si="36"/>
        <v>118</v>
      </c>
      <c r="G175" s="1220">
        <f t="shared" si="37"/>
        <v>118</v>
      </c>
    </row>
    <row r="176" spans="1:7">
      <c r="A176" s="702" t="s">
        <v>4083</v>
      </c>
      <c r="B176" s="1233">
        <f>0/(100)</f>
        <v>0</v>
      </c>
      <c r="C176" s="1233">
        <f>0/(100)</f>
        <v>0</v>
      </c>
      <c r="D176" s="1229">
        <f>2500/(100)</f>
        <v>25</v>
      </c>
      <c r="E176" s="1233">
        <f t="shared" ref="E176:E181" si="42">0/(100)</f>
        <v>0</v>
      </c>
      <c r="F176" s="1229">
        <f t="shared" si="36"/>
        <v>0</v>
      </c>
      <c r="G176" s="1220">
        <f t="shared" si="37"/>
        <v>-25</v>
      </c>
    </row>
    <row r="177" spans="1:7">
      <c r="A177" s="702" t="s">
        <v>4084</v>
      </c>
      <c r="B177" s="1229">
        <f>81762/(100)</f>
        <v>817.62</v>
      </c>
      <c r="C177" s="1233">
        <f>0/(100)</f>
        <v>0</v>
      </c>
      <c r="D177" s="1229">
        <f>81762/(100)</f>
        <v>817.62</v>
      </c>
      <c r="E177" s="1233">
        <f t="shared" si="42"/>
        <v>0</v>
      </c>
      <c r="F177" s="1229">
        <f t="shared" si="36"/>
        <v>-817.62</v>
      </c>
      <c r="G177" s="1220">
        <f t="shared" si="37"/>
        <v>-817.62</v>
      </c>
    </row>
    <row r="178" spans="1:7">
      <c r="A178" s="702" t="s">
        <v>4085</v>
      </c>
      <c r="B178" s="1233">
        <f>0/(100)</f>
        <v>0</v>
      </c>
      <c r="C178" s="1229">
        <f>540000/(100)</f>
        <v>5400</v>
      </c>
      <c r="D178" s="1233">
        <f>0/(100)</f>
        <v>0</v>
      </c>
      <c r="E178" s="1233">
        <f t="shared" si="42"/>
        <v>0</v>
      </c>
      <c r="F178" s="1229">
        <f t="shared" si="36"/>
        <v>5400</v>
      </c>
      <c r="G178" s="1220">
        <f t="shared" si="37"/>
        <v>0</v>
      </c>
    </row>
    <row r="179" spans="1:7">
      <c r="A179" s="702" t="s">
        <v>4086</v>
      </c>
      <c r="B179" s="1229">
        <f>9815/(100)</f>
        <v>98.15</v>
      </c>
      <c r="C179" s="1233">
        <f>0/(100)</f>
        <v>0</v>
      </c>
      <c r="D179" s="1229">
        <f>9815/(100)</f>
        <v>98.15</v>
      </c>
      <c r="E179" s="1233">
        <f t="shared" si="42"/>
        <v>0</v>
      </c>
      <c r="F179" s="1229">
        <f t="shared" si="36"/>
        <v>-98.15</v>
      </c>
      <c r="G179" s="1220">
        <f t="shared" si="37"/>
        <v>-98.15</v>
      </c>
    </row>
    <row r="180" spans="1:7">
      <c r="A180" s="702" t="s">
        <v>4087</v>
      </c>
      <c r="B180" s="1229">
        <f>1013817/(100)</f>
        <v>10138.17</v>
      </c>
      <c r="C180" s="1233">
        <f>0/(100)</f>
        <v>0</v>
      </c>
      <c r="D180" s="1229">
        <f>1058277/(100)</f>
        <v>10582.77</v>
      </c>
      <c r="E180" s="1233">
        <f t="shared" si="42"/>
        <v>0</v>
      </c>
      <c r="F180" s="1229">
        <f t="shared" si="36"/>
        <v>-10138.17</v>
      </c>
      <c r="G180" s="1220">
        <f t="shared" si="37"/>
        <v>-10582.77</v>
      </c>
    </row>
    <row r="181" spans="1:7">
      <c r="A181" s="702" t="s">
        <v>4088</v>
      </c>
      <c r="B181" s="1233">
        <f t="shared" ref="B181:B199" si="43">0/(100)</f>
        <v>0</v>
      </c>
      <c r="C181" s="1233">
        <f>0/(100)</f>
        <v>0</v>
      </c>
      <c r="D181" s="1229">
        <f>7828/(100)</f>
        <v>78.28</v>
      </c>
      <c r="E181" s="1233">
        <f t="shared" si="42"/>
        <v>0</v>
      </c>
      <c r="F181" s="1229">
        <f t="shared" si="36"/>
        <v>0</v>
      </c>
      <c r="G181" s="1220">
        <f t="shared" si="37"/>
        <v>-78.28</v>
      </c>
    </row>
    <row r="182" spans="1:7">
      <c r="A182" s="702" t="s">
        <v>4089</v>
      </c>
      <c r="B182" s="1233">
        <f t="shared" si="43"/>
        <v>0</v>
      </c>
      <c r="C182" s="1233">
        <f>0/(100)</f>
        <v>0</v>
      </c>
      <c r="D182" s="1233">
        <f t="shared" ref="D182:D199" si="44">0/(100)</f>
        <v>0</v>
      </c>
      <c r="E182" s="1229">
        <f>129421/(100)</f>
        <v>1294.21</v>
      </c>
      <c r="F182" s="1229">
        <f t="shared" si="36"/>
        <v>0</v>
      </c>
      <c r="G182" s="1220">
        <f t="shared" si="37"/>
        <v>1294.21</v>
      </c>
    </row>
    <row r="183" spans="1:7">
      <c r="A183" s="702" t="s">
        <v>3484</v>
      </c>
      <c r="B183" s="1233">
        <f t="shared" si="43"/>
        <v>0</v>
      </c>
      <c r="C183" s="1229">
        <f>100342/(100)</f>
        <v>1003.42</v>
      </c>
      <c r="D183" s="1233">
        <f t="shared" si="44"/>
        <v>0</v>
      </c>
      <c r="E183" s="1229">
        <f>100343/(100)</f>
        <v>1003.43</v>
      </c>
      <c r="F183" s="1229">
        <f t="shared" si="36"/>
        <v>1003.42</v>
      </c>
      <c r="G183" s="1220">
        <f t="shared" si="37"/>
        <v>1003.43</v>
      </c>
    </row>
    <row r="184" spans="1:7">
      <c r="A184" s="702" t="s">
        <v>4090</v>
      </c>
      <c r="B184" s="1233">
        <f t="shared" si="43"/>
        <v>0</v>
      </c>
      <c r="C184" s="1229">
        <f>0.14/(100)</f>
        <v>1.4000000000000002E-3</v>
      </c>
      <c r="D184" s="1233">
        <f t="shared" si="44"/>
        <v>0</v>
      </c>
      <c r="E184" s="1229">
        <f>0.14/(100)</f>
        <v>1.4000000000000002E-3</v>
      </c>
      <c r="F184" s="1229">
        <f t="shared" si="36"/>
        <v>1.4000000000000002E-3</v>
      </c>
      <c r="G184" s="1220">
        <f t="shared" si="37"/>
        <v>1.4000000000000002E-3</v>
      </c>
    </row>
    <row r="185" spans="1:7">
      <c r="A185" s="702" t="s">
        <v>4091</v>
      </c>
      <c r="B185" s="1233">
        <f t="shared" si="43"/>
        <v>0</v>
      </c>
      <c r="C185" s="1229">
        <f>59900/(100)</f>
        <v>599</v>
      </c>
      <c r="D185" s="1233">
        <f t="shared" si="44"/>
        <v>0</v>
      </c>
      <c r="E185" s="1229">
        <f>59900/(100)</f>
        <v>599</v>
      </c>
      <c r="F185" s="1229">
        <f t="shared" si="36"/>
        <v>599</v>
      </c>
      <c r="G185" s="1220">
        <f t="shared" si="37"/>
        <v>599</v>
      </c>
    </row>
    <row r="186" spans="1:7">
      <c r="A186" s="702" t="s">
        <v>4092</v>
      </c>
      <c r="B186" s="1233">
        <f t="shared" si="43"/>
        <v>0</v>
      </c>
      <c r="C186" s="1229">
        <f>79999/(100)</f>
        <v>799.99</v>
      </c>
      <c r="D186" s="1233">
        <f t="shared" si="44"/>
        <v>0</v>
      </c>
      <c r="E186" s="1229">
        <f>79999/(100)</f>
        <v>799.99</v>
      </c>
      <c r="F186" s="1229">
        <f t="shared" si="36"/>
        <v>799.99</v>
      </c>
      <c r="G186" s="1220">
        <f t="shared" si="37"/>
        <v>799.99</v>
      </c>
    </row>
    <row r="187" spans="1:7">
      <c r="A187" s="702" t="s">
        <v>4093</v>
      </c>
      <c r="B187" s="1233">
        <f t="shared" si="43"/>
        <v>0</v>
      </c>
      <c r="C187" s="1229">
        <f>59748/(100)</f>
        <v>597.48</v>
      </c>
      <c r="D187" s="1233">
        <f t="shared" si="44"/>
        <v>0</v>
      </c>
      <c r="E187" s="1229">
        <f>59748/(100)</f>
        <v>597.48</v>
      </c>
      <c r="F187" s="1229">
        <f t="shared" si="36"/>
        <v>597.48</v>
      </c>
      <c r="G187" s="1220">
        <f t="shared" si="37"/>
        <v>597.48</v>
      </c>
    </row>
    <row r="188" spans="1:7">
      <c r="A188" s="702" t="s">
        <v>4094</v>
      </c>
      <c r="B188" s="1233">
        <f t="shared" si="43"/>
        <v>0</v>
      </c>
      <c r="C188" s="1233">
        <f>0/(100)</f>
        <v>0</v>
      </c>
      <c r="D188" s="1233">
        <f t="shared" si="44"/>
        <v>0</v>
      </c>
      <c r="E188" s="1233">
        <f>0/(100)</f>
        <v>0</v>
      </c>
      <c r="F188" s="1229">
        <f t="shared" si="36"/>
        <v>0</v>
      </c>
      <c r="G188" s="1220">
        <f t="shared" si="37"/>
        <v>0</v>
      </c>
    </row>
    <row r="189" spans="1:7">
      <c r="A189" s="702" t="s">
        <v>4095</v>
      </c>
      <c r="B189" s="1233">
        <f t="shared" si="43"/>
        <v>0</v>
      </c>
      <c r="C189" s="1233">
        <f>0/(100)</f>
        <v>0</v>
      </c>
      <c r="D189" s="1233">
        <f t="shared" si="44"/>
        <v>0</v>
      </c>
      <c r="E189" s="1229">
        <f>5157754/(100)</f>
        <v>51577.54</v>
      </c>
      <c r="F189" s="1229">
        <f t="shared" si="36"/>
        <v>0</v>
      </c>
      <c r="G189" s="1220">
        <f t="shared" si="37"/>
        <v>51577.54</v>
      </c>
    </row>
    <row r="190" spans="1:7">
      <c r="A190" s="702" t="s">
        <v>4096</v>
      </c>
      <c r="B190" s="1233">
        <f t="shared" si="43"/>
        <v>0</v>
      </c>
      <c r="C190" s="1229">
        <f>50126/(100)</f>
        <v>501.26</v>
      </c>
      <c r="D190" s="1233">
        <f t="shared" si="44"/>
        <v>0</v>
      </c>
      <c r="E190" s="1229">
        <f>50126/(100)</f>
        <v>501.26</v>
      </c>
      <c r="F190" s="1229">
        <f t="shared" si="36"/>
        <v>501.26</v>
      </c>
      <c r="G190" s="1220">
        <f t="shared" si="37"/>
        <v>501.26</v>
      </c>
    </row>
    <row r="191" spans="1:7">
      <c r="A191" s="702" t="s">
        <v>4097</v>
      </c>
      <c r="B191" s="1233">
        <f t="shared" si="43"/>
        <v>0</v>
      </c>
      <c r="C191" s="1233">
        <f>0/(100)</f>
        <v>0</v>
      </c>
      <c r="D191" s="1233">
        <f t="shared" si="44"/>
        <v>0</v>
      </c>
      <c r="E191" s="1233">
        <f>0/(100)</f>
        <v>0</v>
      </c>
      <c r="F191" s="1229">
        <f t="shared" si="36"/>
        <v>0</v>
      </c>
      <c r="G191" s="1220">
        <f t="shared" si="37"/>
        <v>0</v>
      </c>
    </row>
    <row r="192" spans="1:7">
      <c r="A192" s="702" t="s">
        <v>4098</v>
      </c>
      <c r="B192" s="1233">
        <f t="shared" si="43"/>
        <v>0</v>
      </c>
      <c r="C192" s="1229">
        <f>406600.3/(100)</f>
        <v>4066.0029999999997</v>
      </c>
      <c r="D192" s="1233">
        <f t="shared" si="44"/>
        <v>0</v>
      </c>
      <c r="E192" s="1229">
        <f>247417.24/(100)</f>
        <v>2474.1723999999999</v>
      </c>
      <c r="F192" s="1229">
        <f t="shared" si="36"/>
        <v>4066.0029999999997</v>
      </c>
      <c r="G192" s="1220">
        <f t="shared" si="37"/>
        <v>2474.1723999999999</v>
      </c>
    </row>
    <row r="193" spans="1:7">
      <c r="A193" s="702" t="s">
        <v>4099</v>
      </c>
      <c r="B193" s="1233">
        <f t="shared" si="43"/>
        <v>0</v>
      </c>
      <c r="C193" s="1229">
        <f>137127.8/(100)</f>
        <v>1371.2779999999998</v>
      </c>
      <c r="D193" s="1233">
        <f t="shared" si="44"/>
        <v>0</v>
      </c>
      <c r="E193" s="1229">
        <f>73290.8/(100)</f>
        <v>732.90800000000002</v>
      </c>
      <c r="F193" s="1229">
        <f t="shared" si="36"/>
        <v>1371.2779999999998</v>
      </c>
      <c r="G193" s="1220">
        <f t="shared" si="37"/>
        <v>732.90800000000002</v>
      </c>
    </row>
    <row r="194" spans="1:7">
      <c r="A194" s="702" t="s">
        <v>4100</v>
      </c>
      <c r="B194" s="1233">
        <f t="shared" si="43"/>
        <v>0</v>
      </c>
      <c r="C194" s="1229">
        <f>1320126.8/(100)</f>
        <v>13201.268</v>
      </c>
      <c r="D194" s="1233">
        <f t="shared" si="44"/>
        <v>0</v>
      </c>
      <c r="E194" s="1229">
        <f>1320126.8/(100)</f>
        <v>13201.268</v>
      </c>
      <c r="F194" s="1229">
        <f t="shared" si="36"/>
        <v>13201.268</v>
      </c>
      <c r="G194" s="1220">
        <f t="shared" si="37"/>
        <v>13201.268</v>
      </c>
    </row>
    <row r="195" spans="1:7">
      <c r="A195" s="702" t="s">
        <v>4101</v>
      </c>
      <c r="B195" s="1233">
        <f t="shared" si="43"/>
        <v>0</v>
      </c>
      <c r="C195" s="1229">
        <f>47355/(100)</f>
        <v>473.55</v>
      </c>
      <c r="D195" s="1233">
        <f t="shared" si="44"/>
        <v>0</v>
      </c>
      <c r="E195" s="1229">
        <f>47355/(100)</f>
        <v>473.55</v>
      </c>
      <c r="F195" s="1229">
        <f t="shared" si="36"/>
        <v>473.55</v>
      </c>
      <c r="G195" s="1220">
        <f t="shared" si="37"/>
        <v>473.55</v>
      </c>
    </row>
    <row r="196" spans="1:7">
      <c r="A196" s="702" t="s">
        <v>4102</v>
      </c>
      <c r="B196" s="1233">
        <f t="shared" si="43"/>
        <v>0</v>
      </c>
      <c r="C196" s="1233">
        <f t="shared" ref="C196:C213" si="45">0/(100)</f>
        <v>0</v>
      </c>
      <c r="D196" s="1233">
        <f t="shared" si="44"/>
        <v>0</v>
      </c>
      <c r="E196" s="1233">
        <f>0/(100)</f>
        <v>0</v>
      </c>
      <c r="F196" s="1229">
        <f t="shared" si="36"/>
        <v>0</v>
      </c>
      <c r="G196" s="1220">
        <f t="shared" si="37"/>
        <v>0</v>
      </c>
    </row>
    <row r="197" spans="1:7">
      <c r="A197" s="702" t="s">
        <v>4103</v>
      </c>
      <c r="B197" s="1233">
        <f t="shared" si="43"/>
        <v>0</v>
      </c>
      <c r="C197" s="1233">
        <f t="shared" si="45"/>
        <v>0</v>
      </c>
      <c r="D197" s="1233">
        <f t="shared" si="44"/>
        <v>0</v>
      </c>
      <c r="E197" s="1229">
        <f>1416/(100)</f>
        <v>14.16</v>
      </c>
      <c r="F197" s="1229">
        <f t="shared" ref="F197:F260" si="46">C197-B197</f>
        <v>0</v>
      </c>
      <c r="G197" s="1220">
        <f t="shared" ref="G197:G260" si="47">E197-D197</f>
        <v>14.16</v>
      </c>
    </row>
    <row r="198" spans="1:7">
      <c r="A198" s="702" t="s">
        <v>4104</v>
      </c>
      <c r="B198" s="1233">
        <f t="shared" si="43"/>
        <v>0</v>
      </c>
      <c r="C198" s="1233">
        <f t="shared" si="45"/>
        <v>0</v>
      </c>
      <c r="D198" s="1233">
        <f t="shared" si="44"/>
        <v>0</v>
      </c>
      <c r="E198" s="1229">
        <f>2478/(100)</f>
        <v>24.78</v>
      </c>
      <c r="F198" s="1229">
        <f t="shared" si="46"/>
        <v>0</v>
      </c>
      <c r="G198" s="1220">
        <f t="shared" si="47"/>
        <v>24.78</v>
      </c>
    </row>
    <row r="199" spans="1:7">
      <c r="A199" s="702" t="s">
        <v>4105</v>
      </c>
      <c r="B199" s="1233">
        <f t="shared" si="43"/>
        <v>0</v>
      </c>
      <c r="C199" s="1233">
        <f t="shared" si="45"/>
        <v>0</v>
      </c>
      <c r="D199" s="1233">
        <f t="shared" si="44"/>
        <v>0</v>
      </c>
      <c r="E199" s="1229">
        <f>8745/(100)</f>
        <v>87.45</v>
      </c>
      <c r="F199" s="1229">
        <f t="shared" si="46"/>
        <v>0</v>
      </c>
      <c r="G199" s="1220">
        <f t="shared" si="47"/>
        <v>87.45</v>
      </c>
    </row>
    <row r="200" spans="1:7">
      <c r="A200" s="702" t="s">
        <v>4106</v>
      </c>
      <c r="B200" s="1229">
        <f>30057314.34/(100)</f>
        <v>300573.1434</v>
      </c>
      <c r="C200" s="1233">
        <f t="shared" si="45"/>
        <v>0</v>
      </c>
      <c r="D200" s="1229">
        <f>79953493.06/(100)</f>
        <v>799534.93060000008</v>
      </c>
      <c r="E200" s="1233">
        <f>0/(100)</f>
        <v>0</v>
      </c>
      <c r="F200" s="1229">
        <f t="shared" si="46"/>
        <v>-300573.1434</v>
      </c>
      <c r="G200" s="1220">
        <f t="shared" si="47"/>
        <v>-799534.93060000008</v>
      </c>
    </row>
    <row r="201" spans="1:7">
      <c r="A201" s="702" t="s">
        <v>4107</v>
      </c>
      <c r="B201" s="1233">
        <f t="shared" ref="B201:B207" si="48">0/(100)</f>
        <v>0</v>
      </c>
      <c r="C201" s="1233">
        <f t="shared" si="45"/>
        <v>0</v>
      </c>
      <c r="D201" s="1233">
        <f>0/(100)</f>
        <v>0</v>
      </c>
      <c r="E201" s="1233">
        <f>0/(100)</f>
        <v>0</v>
      </c>
      <c r="F201" s="1229">
        <f t="shared" si="46"/>
        <v>0</v>
      </c>
      <c r="G201" s="1220">
        <f t="shared" si="47"/>
        <v>0</v>
      </c>
    </row>
    <row r="202" spans="1:7">
      <c r="A202" s="702" t="s">
        <v>4108</v>
      </c>
      <c r="B202" s="1233">
        <f t="shared" si="48"/>
        <v>0</v>
      </c>
      <c r="C202" s="1233">
        <f t="shared" si="45"/>
        <v>0</v>
      </c>
      <c r="D202" s="1233">
        <f>0/(100)</f>
        <v>0</v>
      </c>
      <c r="E202" s="1229">
        <f>943578/(100)</f>
        <v>9435.7800000000007</v>
      </c>
      <c r="F202" s="1229">
        <f t="shared" si="46"/>
        <v>0</v>
      </c>
      <c r="G202" s="1220">
        <f t="shared" si="47"/>
        <v>9435.7800000000007</v>
      </c>
    </row>
    <row r="203" spans="1:7">
      <c r="A203" s="702" t="s">
        <v>4109</v>
      </c>
      <c r="B203" s="1233">
        <f t="shared" si="48"/>
        <v>0</v>
      </c>
      <c r="C203" s="1233">
        <f t="shared" si="45"/>
        <v>0</v>
      </c>
      <c r="D203" s="1233">
        <f>0/(100)</f>
        <v>0</v>
      </c>
      <c r="E203" s="1233">
        <f t="shared" ref="E203:E209" si="49">0/(100)</f>
        <v>0</v>
      </c>
      <c r="F203" s="1229">
        <f t="shared" si="46"/>
        <v>0</v>
      </c>
      <c r="G203" s="1220">
        <f t="shared" si="47"/>
        <v>0</v>
      </c>
    </row>
    <row r="204" spans="1:7">
      <c r="A204" s="702" t="s">
        <v>4110</v>
      </c>
      <c r="B204" s="1233">
        <f t="shared" si="48"/>
        <v>0</v>
      </c>
      <c r="C204" s="1233">
        <f t="shared" si="45"/>
        <v>0</v>
      </c>
      <c r="D204" s="1233">
        <f>0/(100)</f>
        <v>0</v>
      </c>
      <c r="E204" s="1233">
        <f t="shared" si="49"/>
        <v>0</v>
      </c>
      <c r="F204" s="1229">
        <f t="shared" si="46"/>
        <v>0</v>
      </c>
      <c r="G204" s="1220">
        <f t="shared" si="47"/>
        <v>0</v>
      </c>
    </row>
    <row r="205" spans="1:7">
      <c r="A205" s="702" t="s">
        <v>4111</v>
      </c>
      <c r="B205" s="1233">
        <f t="shared" si="48"/>
        <v>0</v>
      </c>
      <c r="C205" s="1233">
        <f t="shared" si="45"/>
        <v>0</v>
      </c>
      <c r="D205" s="1229">
        <f>450000/(100)</f>
        <v>4500</v>
      </c>
      <c r="E205" s="1233">
        <f t="shared" si="49"/>
        <v>0</v>
      </c>
      <c r="F205" s="1229">
        <f t="shared" si="46"/>
        <v>0</v>
      </c>
      <c r="G205" s="1220">
        <f t="shared" si="47"/>
        <v>-4500</v>
      </c>
    </row>
    <row r="206" spans="1:7">
      <c r="A206" s="702" t="s">
        <v>4112</v>
      </c>
      <c r="B206" s="1233">
        <f t="shared" si="48"/>
        <v>0</v>
      </c>
      <c r="C206" s="1233">
        <f t="shared" si="45"/>
        <v>0</v>
      </c>
      <c r="D206" s="1233">
        <f>0/(100)</f>
        <v>0</v>
      </c>
      <c r="E206" s="1233">
        <f t="shared" si="49"/>
        <v>0</v>
      </c>
      <c r="F206" s="1229">
        <f t="shared" si="46"/>
        <v>0</v>
      </c>
      <c r="G206" s="1220">
        <f t="shared" si="47"/>
        <v>0</v>
      </c>
    </row>
    <row r="207" spans="1:7">
      <c r="A207" s="702" t="s">
        <v>4113</v>
      </c>
      <c r="B207" s="1233">
        <f t="shared" si="48"/>
        <v>0</v>
      </c>
      <c r="C207" s="1233">
        <f t="shared" si="45"/>
        <v>0</v>
      </c>
      <c r="D207" s="1229">
        <f>13590/(100)</f>
        <v>135.9</v>
      </c>
      <c r="E207" s="1233">
        <f t="shared" si="49"/>
        <v>0</v>
      </c>
      <c r="F207" s="1229">
        <f t="shared" si="46"/>
        <v>0</v>
      </c>
      <c r="G207" s="1220">
        <f t="shared" si="47"/>
        <v>-135.9</v>
      </c>
    </row>
    <row r="208" spans="1:7">
      <c r="A208" s="702" t="s">
        <v>4114</v>
      </c>
      <c r="B208" s="1229">
        <f>160466/(100)</f>
        <v>1604.66</v>
      </c>
      <c r="C208" s="1233">
        <f t="shared" si="45"/>
        <v>0</v>
      </c>
      <c r="D208" s="1229">
        <f>160466/(100)</f>
        <v>1604.66</v>
      </c>
      <c r="E208" s="1233">
        <f t="shared" si="49"/>
        <v>0</v>
      </c>
      <c r="F208" s="1229">
        <f t="shared" si="46"/>
        <v>-1604.66</v>
      </c>
      <c r="G208" s="1220">
        <f t="shared" si="47"/>
        <v>-1604.66</v>
      </c>
    </row>
    <row r="209" spans="1:7">
      <c r="A209" s="702" t="s">
        <v>4115</v>
      </c>
      <c r="B209" s="1233">
        <f>0/(100)</f>
        <v>0</v>
      </c>
      <c r="C209" s="1233">
        <f t="shared" si="45"/>
        <v>0</v>
      </c>
      <c r="D209" s="1229">
        <f>143429.68/(100)</f>
        <v>1434.2967999999998</v>
      </c>
      <c r="E209" s="1233">
        <f t="shared" si="49"/>
        <v>0</v>
      </c>
      <c r="F209" s="1229">
        <f t="shared" si="46"/>
        <v>0</v>
      </c>
      <c r="G209" s="1220">
        <f t="shared" si="47"/>
        <v>-1434.2967999999998</v>
      </c>
    </row>
    <row r="210" spans="1:7">
      <c r="A210" s="702" t="s">
        <v>4116</v>
      </c>
      <c r="B210" s="1229">
        <f>5516316.7/(100)</f>
        <v>55163.167000000001</v>
      </c>
      <c r="C210" s="1233">
        <f t="shared" si="45"/>
        <v>0</v>
      </c>
      <c r="D210" s="1233">
        <f>0/(100)</f>
        <v>0</v>
      </c>
      <c r="E210" s="1229">
        <f>7996.3/(100)</f>
        <v>79.963000000000008</v>
      </c>
      <c r="F210" s="1229">
        <f t="shared" si="46"/>
        <v>-55163.167000000001</v>
      </c>
      <c r="G210" s="1220">
        <f t="shared" si="47"/>
        <v>79.963000000000008</v>
      </c>
    </row>
    <row r="211" spans="1:7">
      <c r="A211" s="702" t="s">
        <v>4117</v>
      </c>
      <c r="B211" s="1233">
        <f>0/(100)</f>
        <v>0</v>
      </c>
      <c r="C211" s="1233">
        <f t="shared" si="45"/>
        <v>0</v>
      </c>
      <c r="D211" s="1233">
        <f>0/(100)</f>
        <v>0</v>
      </c>
      <c r="E211" s="1229">
        <f>85/(100)</f>
        <v>0.85</v>
      </c>
      <c r="F211" s="1229">
        <f t="shared" si="46"/>
        <v>0</v>
      </c>
      <c r="G211" s="1220">
        <f t="shared" si="47"/>
        <v>0.85</v>
      </c>
    </row>
    <row r="212" spans="1:7">
      <c r="A212" s="702" t="s">
        <v>4118</v>
      </c>
      <c r="B212" s="1229">
        <f>60773281.93/(100)</f>
        <v>607732.81929999997</v>
      </c>
      <c r="C212" s="1233">
        <f t="shared" si="45"/>
        <v>0</v>
      </c>
      <c r="D212" s="1233">
        <f>0/(100)</f>
        <v>0</v>
      </c>
      <c r="E212" s="1229">
        <f>1701364.07/(100)</f>
        <v>17013.6407</v>
      </c>
      <c r="F212" s="1229">
        <f t="shared" si="46"/>
        <v>-607732.81929999997</v>
      </c>
      <c r="G212" s="1220">
        <f t="shared" si="47"/>
        <v>17013.6407</v>
      </c>
    </row>
    <row r="213" spans="1:7">
      <c r="A213" s="702" t="s">
        <v>4119</v>
      </c>
      <c r="B213" s="1233">
        <f t="shared" ref="B213:B221" si="50">0/(100)</f>
        <v>0</v>
      </c>
      <c r="C213" s="1233">
        <f t="shared" si="45"/>
        <v>0</v>
      </c>
      <c r="D213" s="1233">
        <f>0/(100)</f>
        <v>0</v>
      </c>
      <c r="E213" s="1229">
        <f>472103/(100)</f>
        <v>4721.03</v>
      </c>
      <c r="F213" s="1229">
        <f t="shared" si="46"/>
        <v>0</v>
      </c>
      <c r="G213" s="1220">
        <f t="shared" si="47"/>
        <v>4721.03</v>
      </c>
    </row>
    <row r="214" spans="1:7">
      <c r="A214" s="702" t="s">
        <v>4120</v>
      </c>
      <c r="B214" s="1233">
        <f t="shared" si="50"/>
        <v>0</v>
      </c>
      <c r="C214" s="1229">
        <f>33250/(100)</f>
        <v>332.5</v>
      </c>
      <c r="D214" s="1229">
        <f>1050/(100)</f>
        <v>10.5</v>
      </c>
      <c r="E214" s="1233">
        <f>0/(100)</f>
        <v>0</v>
      </c>
      <c r="F214" s="1229">
        <f t="shared" si="46"/>
        <v>332.5</v>
      </c>
      <c r="G214" s="1220">
        <f t="shared" si="47"/>
        <v>-10.5</v>
      </c>
    </row>
    <row r="215" spans="1:7">
      <c r="A215" s="702" t="s">
        <v>4121</v>
      </c>
      <c r="B215" s="1233">
        <f t="shared" si="50"/>
        <v>0</v>
      </c>
      <c r="C215" s="1229">
        <f>50449.06/(100)</f>
        <v>504.49059999999997</v>
      </c>
      <c r="D215" s="1233">
        <f>0/(100)</f>
        <v>0</v>
      </c>
      <c r="E215" s="1229">
        <f>50449.06/(100)</f>
        <v>504.49059999999997</v>
      </c>
      <c r="F215" s="1229">
        <f t="shared" si="46"/>
        <v>504.49059999999997</v>
      </c>
      <c r="G215" s="1220">
        <f t="shared" si="47"/>
        <v>504.49059999999997</v>
      </c>
    </row>
    <row r="216" spans="1:7">
      <c r="A216" s="702" t="s">
        <v>4122</v>
      </c>
      <c r="B216" s="1233">
        <f t="shared" si="50"/>
        <v>0</v>
      </c>
      <c r="C216" s="1229">
        <f>14701/(100)</f>
        <v>147.01</v>
      </c>
      <c r="D216" s="1233">
        <f>0/(100)</f>
        <v>0</v>
      </c>
      <c r="E216" s="1229">
        <f>166782/(100)</f>
        <v>1667.82</v>
      </c>
      <c r="F216" s="1229">
        <f t="shared" si="46"/>
        <v>147.01</v>
      </c>
      <c r="G216" s="1220">
        <f t="shared" si="47"/>
        <v>1667.82</v>
      </c>
    </row>
    <row r="217" spans="1:7">
      <c r="A217" s="702" t="s">
        <v>4123</v>
      </c>
      <c r="B217" s="1233">
        <f t="shared" si="50"/>
        <v>0</v>
      </c>
      <c r="C217" s="1229">
        <f>152441351.83/(100)</f>
        <v>1524413.5183000001</v>
      </c>
      <c r="D217" s="1233">
        <f>0/(100)</f>
        <v>0</v>
      </c>
      <c r="E217" s="1229">
        <f>87747049.83/(100)</f>
        <v>877470.49829999998</v>
      </c>
      <c r="F217" s="1229">
        <f t="shared" si="46"/>
        <v>1524413.5183000001</v>
      </c>
      <c r="G217" s="1220">
        <f t="shared" si="47"/>
        <v>877470.49829999998</v>
      </c>
    </row>
    <row r="218" spans="1:7">
      <c r="A218" s="702" t="s">
        <v>3447</v>
      </c>
      <c r="B218" s="1233">
        <f t="shared" si="50"/>
        <v>0</v>
      </c>
      <c r="C218" s="1229">
        <f>70000/(100)</f>
        <v>700</v>
      </c>
      <c r="D218" s="1229">
        <f>22500/(100)</f>
        <v>225</v>
      </c>
      <c r="E218" s="1233">
        <f>0/(100)</f>
        <v>0</v>
      </c>
      <c r="F218" s="1229">
        <f t="shared" si="46"/>
        <v>700</v>
      </c>
      <c r="G218" s="1220">
        <f t="shared" si="47"/>
        <v>-225</v>
      </c>
    </row>
    <row r="219" spans="1:7">
      <c r="A219" s="702" t="s">
        <v>4124</v>
      </c>
      <c r="B219" s="1233">
        <f t="shared" si="50"/>
        <v>0</v>
      </c>
      <c r="C219" s="1229">
        <f>4656444.31/(100)</f>
        <v>46564.443099999997</v>
      </c>
      <c r="D219" s="1233">
        <f>0/(100)</f>
        <v>0</v>
      </c>
      <c r="E219" s="1229">
        <f>511872.31/(100)</f>
        <v>5118.7231000000002</v>
      </c>
      <c r="F219" s="1229">
        <f t="shared" si="46"/>
        <v>46564.443099999997</v>
      </c>
      <c r="G219" s="1220">
        <f t="shared" si="47"/>
        <v>5118.7231000000002</v>
      </c>
    </row>
    <row r="220" spans="1:7">
      <c r="A220" s="702" t="s">
        <v>4125</v>
      </c>
      <c r="B220" s="1233">
        <f t="shared" si="50"/>
        <v>0</v>
      </c>
      <c r="C220" s="1233">
        <f>0/(100)</f>
        <v>0</v>
      </c>
      <c r="D220" s="1233">
        <f>0/(100)</f>
        <v>0</v>
      </c>
      <c r="E220" s="1229">
        <f>195156/(100)</f>
        <v>1951.56</v>
      </c>
      <c r="F220" s="1229">
        <f t="shared" si="46"/>
        <v>0</v>
      </c>
      <c r="G220" s="1220">
        <f t="shared" si="47"/>
        <v>1951.56</v>
      </c>
    </row>
    <row r="221" spans="1:7">
      <c r="A221" s="702" t="s">
        <v>4126</v>
      </c>
      <c r="B221" s="1233">
        <f t="shared" si="50"/>
        <v>0</v>
      </c>
      <c r="C221" s="1229">
        <f>76140/(100)</f>
        <v>761.4</v>
      </c>
      <c r="D221" s="1229">
        <f>361858/(100)</f>
        <v>3618.58</v>
      </c>
      <c r="E221" s="1233">
        <f>0/(100)</f>
        <v>0</v>
      </c>
      <c r="F221" s="1229">
        <f t="shared" si="46"/>
        <v>761.4</v>
      </c>
      <c r="G221" s="1220">
        <f t="shared" si="47"/>
        <v>-3618.58</v>
      </c>
    </row>
    <row r="222" spans="1:7">
      <c r="A222" s="702" t="s">
        <v>4127</v>
      </c>
      <c r="B222" s="1229">
        <f>15600/(100)</f>
        <v>156</v>
      </c>
      <c r="C222" s="1233">
        <f>0/(100)</f>
        <v>0</v>
      </c>
      <c r="D222" s="1229">
        <f>15600/(100)</f>
        <v>156</v>
      </c>
      <c r="E222" s="1233">
        <f>0/(100)</f>
        <v>0</v>
      </c>
      <c r="F222" s="1229">
        <f t="shared" si="46"/>
        <v>-156</v>
      </c>
      <c r="G222" s="1220">
        <f t="shared" si="47"/>
        <v>-156</v>
      </c>
    </row>
    <row r="223" spans="1:7">
      <c r="A223" s="702" t="s">
        <v>4128</v>
      </c>
      <c r="B223" s="1233">
        <f t="shared" ref="B223:B232" si="51">0/(100)</f>
        <v>0</v>
      </c>
      <c r="C223" s="1229">
        <f>1286849.38/(100)</f>
        <v>12868.493799999998</v>
      </c>
      <c r="D223" s="1233">
        <f t="shared" ref="D223:D232" si="52">0/(100)</f>
        <v>0</v>
      </c>
      <c r="E223" s="1229">
        <f>475228.32/(100)</f>
        <v>4752.2831999999999</v>
      </c>
      <c r="F223" s="1229">
        <f t="shared" si="46"/>
        <v>12868.493799999998</v>
      </c>
      <c r="G223" s="1220">
        <f t="shared" si="47"/>
        <v>4752.2831999999999</v>
      </c>
    </row>
    <row r="224" spans="1:7">
      <c r="A224" s="702" t="s">
        <v>4129</v>
      </c>
      <c r="B224" s="1233">
        <f t="shared" si="51"/>
        <v>0</v>
      </c>
      <c r="C224" s="1229">
        <f>122323/(100)</f>
        <v>1223.23</v>
      </c>
      <c r="D224" s="1233">
        <f t="shared" si="52"/>
        <v>0</v>
      </c>
      <c r="E224" s="1229">
        <f>43119/(100)</f>
        <v>431.19</v>
      </c>
      <c r="F224" s="1229">
        <f t="shared" si="46"/>
        <v>1223.23</v>
      </c>
      <c r="G224" s="1220">
        <f t="shared" si="47"/>
        <v>431.19</v>
      </c>
    </row>
    <row r="225" spans="1:7">
      <c r="A225" s="702" t="s">
        <v>4130</v>
      </c>
      <c r="B225" s="1233">
        <f t="shared" si="51"/>
        <v>0</v>
      </c>
      <c r="C225" s="1229">
        <f>319096/(100)</f>
        <v>3190.96</v>
      </c>
      <c r="D225" s="1233">
        <f t="shared" si="52"/>
        <v>0</v>
      </c>
      <c r="E225" s="1229">
        <f>339976/(100)</f>
        <v>3399.76</v>
      </c>
      <c r="F225" s="1229">
        <f t="shared" si="46"/>
        <v>3190.96</v>
      </c>
      <c r="G225" s="1220">
        <f t="shared" si="47"/>
        <v>3399.76</v>
      </c>
    </row>
    <row r="226" spans="1:7">
      <c r="A226" s="702" t="s">
        <v>4131</v>
      </c>
      <c r="B226" s="1233">
        <f t="shared" si="51"/>
        <v>0</v>
      </c>
      <c r="C226" s="1229">
        <f>584944/(100)</f>
        <v>5849.44</v>
      </c>
      <c r="D226" s="1233">
        <f t="shared" si="52"/>
        <v>0</v>
      </c>
      <c r="E226" s="1229">
        <f>71256/(100)</f>
        <v>712.56</v>
      </c>
      <c r="F226" s="1229">
        <f t="shared" si="46"/>
        <v>5849.44</v>
      </c>
      <c r="G226" s="1220">
        <f t="shared" si="47"/>
        <v>712.56</v>
      </c>
    </row>
    <row r="227" spans="1:7">
      <c r="A227" s="702" t="s">
        <v>4132</v>
      </c>
      <c r="B227" s="1233">
        <f t="shared" si="51"/>
        <v>0</v>
      </c>
      <c r="C227" s="1233">
        <f>0/(100)</f>
        <v>0</v>
      </c>
      <c r="D227" s="1233">
        <f t="shared" si="52"/>
        <v>0</v>
      </c>
      <c r="E227" s="1229">
        <f>3611/(100)</f>
        <v>36.11</v>
      </c>
      <c r="F227" s="1229">
        <f t="shared" si="46"/>
        <v>0</v>
      </c>
      <c r="G227" s="1220">
        <f t="shared" si="47"/>
        <v>36.11</v>
      </c>
    </row>
    <row r="228" spans="1:7">
      <c r="A228" s="702" t="s">
        <v>4133</v>
      </c>
      <c r="B228" s="1233">
        <f t="shared" si="51"/>
        <v>0</v>
      </c>
      <c r="C228" s="1233">
        <f>0/(100)</f>
        <v>0</v>
      </c>
      <c r="D228" s="1233">
        <f t="shared" si="52"/>
        <v>0</v>
      </c>
      <c r="E228" s="1229">
        <f>1970.6/(100)</f>
        <v>19.706</v>
      </c>
      <c r="F228" s="1229">
        <f t="shared" si="46"/>
        <v>0</v>
      </c>
      <c r="G228" s="1220">
        <f t="shared" si="47"/>
        <v>19.706</v>
      </c>
    </row>
    <row r="229" spans="1:7">
      <c r="A229" s="702" t="s">
        <v>4134</v>
      </c>
      <c r="B229" s="1233">
        <f t="shared" si="51"/>
        <v>0</v>
      </c>
      <c r="C229" s="1233">
        <f>0/(100)</f>
        <v>0</v>
      </c>
      <c r="D229" s="1233">
        <f t="shared" si="52"/>
        <v>0</v>
      </c>
      <c r="E229" s="1233">
        <f>0/(100)</f>
        <v>0</v>
      </c>
      <c r="F229" s="1229">
        <f t="shared" si="46"/>
        <v>0</v>
      </c>
      <c r="G229" s="1220">
        <f t="shared" si="47"/>
        <v>0</v>
      </c>
    </row>
    <row r="230" spans="1:7">
      <c r="A230" s="702" t="s">
        <v>4135</v>
      </c>
      <c r="B230" s="1233">
        <f t="shared" si="51"/>
        <v>0</v>
      </c>
      <c r="C230" s="1229">
        <f>15009/(100)</f>
        <v>150.09</v>
      </c>
      <c r="D230" s="1233">
        <f t="shared" si="52"/>
        <v>0</v>
      </c>
      <c r="E230" s="1229">
        <f>15009/(100)</f>
        <v>150.09</v>
      </c>
      <c r="F230" s="1229">
        <f t="shared" si="46"/>
        <v>150.09</v>
      </c>
      <c r="G230" s="1220">
        <f t="shared" si="47"/>
        <v>150.09</v>
      </c>
    </row>
    <row r="231" spans="1:7">
      <c r="A231" s="702" t="s">
        <v>4136</v>
      </c>
      <c r="B231" s="1233">
        <f t="shared" si="51"/>
        <v>0</v>
      </c>
      <c r="C231" s="1233">
        <f>0/(100)</f>
        <v>0</v>
      </c>
      <c r="D231" s="1233">
        <f t="shared" si="52"/>
        <v>0</v>
      </c>
      <c r="E231" s="1233">
        <f>0/(100)</f>
        <v>0</v>
      </c>
      <c r="F231" s="1229">
        <f t="shared" si="46"/>
        <v>0</v>
      </c>
      <c r="G231" s="1220">
        <f t="shared" si="47"/>
        <v>0</v>
      </c>
    </row>
    <row r="232" spans="1:7">
      <c r="A232" s="702" t="s">
        <v>4137</v>
      </c>
      <c r="B232" s="1233">
        <f t="shared" si="51"/>
        <v>0</v>
      </c>
      <c r="C232" s="1229">
        <f>466276.62/(100)</f>
        <v>4662.7662</v>
      </c>
      <c r="D232" s="1233">
        <f t="shared" si="52"/>
        <v>0</v>
      </c>
      <c r="E232" s="1229">
        <f>1337634.94/(100)</f>
        <v>13376.349399999999</v>
      </c>
      <c r="F232" s="1229">
        <f t="shared" si="46"/>
        <v>4662.7662</v>
      </c>
      <c r="G232" s="1220">
        <f t="shared" si="47"/>
        <v>13376.349399999999</v>
      </c>
    </row>
    <row r="233" spans="1:7">
      <c r="A233" s="702" t="s">
        <v>4138</v>
      </c>
      <c r="B233" s="1229">
        <f>2506882/(100)</f>
        <v>25068.82</v>
      </c>
      <c r="C233" s="1233">
        <f t="shared" ref="C233:C238" si="53">0/(100)</f>
        <v>0</v>
      </c>
      <c r="D233" s="1229">
        <f>2506882/(100)</f>
        <v>25068.82</v>
      </c>
      <c r="E233" s="1233">
        <f>0/(100)</f>
        <v>0</v>
      </c>
      <c r="F233" s="1229">
        <f t="shared" si="46"/>
        <v>-25068.82</v>
      </c>
      <c r="G233" s="1220">
        <f t="shared" si="47"/>
        <v>-25068.82</v>
      </c>
    </row>
    <row r="234" spans="1:7">
      <c r="A234" s="702" t="s">
        <v>4139</v>
      </c>
      <c r="B234" s="1233">
        <f>0/(100)</f>
        <v>0</v>
      </c>
      <c r="C234" s="1233">
        <f t="shared" si="53"/>
        <v>0</v>
      </c>
      <c r="D234" s="1233">
        <f>0/(100)</f>
        <v>0</v>
      </c>
      <c r="E234" s="1229">
        <f>1092/(100)</f>
        <v>10.92</v>
      </c>
      <c r="F234" s="1229">
        <f t="shared" si="46"/>
        <v>0</v>
      </c>
      <c r="G234" s="1220">
        <f t="shared" si="47"/>
        <v>10.92</v>
      </c>
    </row>
    <row r="235" spans="1:7">
      <c r="A235" s="702" t="s">
        <v>4140</v>
      </c>
      <c r="B235" s="1229">
        <f>685/(100)</f>
        <v>6.85</v>
      </c>
      <c r="C235" s="1233">
        <f t="shared" si="53"/>
        <v>0</v>
      </c>
      <c r="D235" s="1229">
        <f>685/(100)</f>
        <v>6.85</v>
      </c>
      <c r="E235" s="1233">
        <f>0/(100)</f>
        <v>0</v>
      </c>
      <c r="F235" s="1229">
        <f t="shared" si="46"/>
        <v>-6.85</v>
      </c>
      <c r="G235" s="1220">
        <f t="shared" si="47"/>
        <v>-6.85</v>
      </c>
    </row>
    <row r="236" spans="1:7">
      <c r="A236" s="702" t="s">
        <v>4141</v>
      </c>
      <c r="B236" s="1229">
        <f>12018/(100)</f>
        <v>120.18</v>
      </c>
      <c r="C236" s="1233">
        <f t="shared" si="53"/>
        <v>0</v>
      </c>
      <c r="D236" s="1229">
        <f>12018/(100)</f>
        <v>120.18</v>
      </c>
      <c r="E236" s="1233">
        <f>0/(100)</f>
        <v>0</v>
      </c>
      <c r="F236" s="1229">
        <f t="shared" si="46"/>
        <v>-120.18</v>
      </c>
      <c r="G236" s="1220">
        <f t="shared" si="47"/>
        <v>-120.18</v>
      </c>
    </row>
    <row r="237" spans="1:7">
      <c r="A237" s="702" t="s">
        <v>4142</v>
      </c>
      <c r="B237" s="1229">
        <f>858960/(100)</f>
        <v>8589.6</v>
      </c>
      <c r="C237" s="1233">
        <f t="shared" si="53"/>
        <v>0</v>
      </c>
      <c r="D237" s="1233">
        <f>0/(100)</f>
        <v>0</v>
      </c>
      <c r="E237" s="1229">
        <f>605340/(100)</f>
        <v>6053.4</v>
      </c>
      <c r="F237" s="1229">
        <f t="shared" si="46"/>
        <v>-8589.6</v>
      </c>
      <c r="G237" s="1220">
        <f t="shared" si="47"/>
        <v>6053.4</v>
      </c>
    </row>
    <row r="238" spans="1:7">
      <c r="A238" s="702" t="s">
        <v>4143</v>
      </c>
      <c r="B238" s="1233">
        <f>0/(100)</f>
        <v>0</v>
      </c>
      <c r="C238" s="1233">
        <f t="shared" si="53"/>
        <v>0</v>
      </c>
      <c r="D238" s="1233">
        <f>0/(100)</f>
        <v>0</v>
      </c>
      <c r="E238" s="1229">
        <f>818720/(100)</f>
        <v>8187.2</v>
      </c>
      <c r="F238" s="1229">
        <f t="shared" si="46"/>
        <v>0</v>
      </c>
      <c r="G238" s="1220">
        <f t="shared" si="47"/>
        <v>8187.2</v>
      </c>
    </row>
    <row r="239" spans="1:7">
      <c r="A239" s="702" t="s">
        <v>4144</v>
      </c>
      <c r="B239" s="1233">
        <f>0/(100)</f>
        <v>0</v>
      </c>
      <c r="C239" s="1229">
        <f>43233/(100)</f>
        <v>432.33</v>
      </c>
      <c r="D239" s="1233">
        <f>0/(100)</f>
        <v>0</v>
      </c>
      <c r="E239" s="1229">
        <f>59974.84/(100)</f>
        <v>599.74839999999995</v>
      </c>
      <c r="F239" s="1229">
        <f t="shared" si="46"/>
        <v>432.33</v>
      </c>
      <c r="G239" s="1220">
        <f t="shared" si="47"/>
        <v>599.74839999999995</v>
      </c>
    </row>
    <row r="240" spans="1:7">
      <c r="A240" s="702" t="s">
        <v>4145</v>
      </c>
      <c r="B240" s="1233">
        <f>0/(100)</f>
        <v>0</v>
      </c>
      <c r="C240" s="1233">
        <f>0/(100)</f>
        <v>0</v>
      </c>
      <c r="D240" s="1233">
        <f>0/(100)</f>
        <v>0</v>
      </c>
      <c r="E240" s="1233">
        <f>0/(100)</f>
        <v>0</v>
      </c>
      <c r="F240" s="1229">
        <f t="shared" si="46"/>
        <v>0</v>
      </c>
      <c r="G240" s="1220">
        <f t="shared" si="47"/>
        <v>0</v>
      </c>
    </row>
    <row r="241" spans="1:7">
      <c r="A241" s="702" t="s">
        <v>4146</v>
      </c>
      <c r="B241" s="1229">
        <f>5310/(100)</f>
        <v>53.1</v>
      </c>
      <c r="C241" s="1233">
        <f>0/(100)</f>
        <v>0</v>
      </c>
      <c r="D241" s="1229">
        <f>5310/(100)</f>
        <v>53.1</v>
      </c>
      <c r="E241" s="1233">
        <f>0/(100)</f>
        <v>0</v>
      </c>
      <c r="F241" s="1229">
        <f t="shared" si="46"/>
        <v>-53.1</v>
      </c>
      <c r="G241" s="1220">
        <f t="shared" si="47"/>
        <v>-53.1</v>
      </c>
    </row>
    <row r="242" spans="1:7">
      <c r="A242" s="702" t="s">
        <v>4147</v>
      </c>
      <c r="B242" s="1233">
        <f t="shared" ref="B242:B254" si="54">0/(100)</f>
        <v>0</v>
      </c>
      <c r="C242" s="1229">
        <f>159600/(100)</f>
        <v>1596</v>
      </c>
      <c r="D242" s="1233">
        <f>0/(100)</f>
        <v>0</v>
      </c>
      <c r="E242" s="1233">
        <f>0/(100)</f>
        <v>0</v>
      </c>
      <c r="F242" s="1229">
        <f t="shared" si="46"/>
        <v>1596</v>
      </c>
      <c r="G242" s="1220">
        <f t="shared" si="47"/>
        <v>0</v>
      </c>
    </row>
    <row r="243" spans="1:7">
      <c r="A243" s="702" t="s">
        <v>4148</v>
      </c>
      <c r="B243" s="1233">
        <f t="shared" si="54"/>
        <v>0</v>
      </c>
      <c r="C243" s="1233">
        <f>0/(100)</f>
        <v>0</v>
      </c>
      <c r="D243" s="1233">
        <f>0/(100)</f>
        <v>0</v>
      </c>
      <c r="E243" s="1229">
        <f>170640/(100)</f>
        <v>1706.4</v>
      </c>
      <c r="F243" s="1229">
        <f t="shared" si="46"/>
        <v>0</v>
      </c>
      <c r="G243" s="1220">
        <f t="shared" si="47"/>
        <v>1706.4</v>
      </c>
    </row>
    <row r="244" spans="1:7">
      <c r="A244" s="702" t="s">
        <v>4149</v>
      </c>
      <c r="B244" s="1233">
        <f t="shared" si="54"/>
        <v>0</v>
      </c>
      <c r="C244" s="1233">
        <f>0/(100)</f>
        <v>0</v>
      </c>
      <c r="D244" s="1233">
        <f>0/(100)</f>
        <v>0</v>
      </c>
      <c r="E244" s="1229">
        <f>130038.36/(100)</f>
        <v>1300.3836000000001</v>
      </c>
      <c r="F244" s="1229">
        <f t="shared" si="46"/>
        <v>0</v>
      </c>
      <c r="G244" s="1220">
        <f t="shared" si="47"/>
        <v>1300.3836000000001</v>
      </c>
    </row>
    <row r="245" spans="1:7">
      <c r="A245" s="702" t="s">
        <v>4150</v>
      </c>
      <c r="B245" s="1233">
        <f t="shared" si="54"/>
        <v>0</v>
      </c>
      <c r="C245" s="1233">
        <f>0/(100)</f>
        <v>0</v>
      </c>
      <c r="D245" s="1233">
        <f>0/(100)</f>
        <v>0</v>
      </c>
      <c r="E245" s="1233">
        <f>0/(100)</f>
        <v>0</v>
      </c>
      <c r="F245" s="1229">
        <f t="shared" si="46"/>
        <v>0</v>
      </c>
      <c r="G245" s="1220">
        <f t="shared" si="47"/>
        <v>0</v>
      </c>
    </row>
    <row r="246" spans="1:7">
      <c r="A246" s="702" t="s">
        <v>4151</v>
      </c>
      <c r="B246" s="1233">
        <f t="shared" si="54"/>
        <v>0</v>
      </c>
      <c r="C246" s="1233">
        <f>0/(100)</f>
        <v>0</v>
      </c>
      <c r="D246" s="1229">
        <f>22500/(100)</f>
        <v>225</v>
      </c>
      <c r="E246" s="1233">
        <f>0/(100)</f>
        <v>0</v>
      </c>
      <c r="F246" s="1229">
        <f t="shared" si="46"/>
        <v>0</v>
      </c>
      <c r="G246" s="1220">
        <f t="shared" si="47"/>
        <v>-225</v>
      </c>
    </row>
    <row r="247" spans="1:7">
      <c r="A247" s="702" t="s">
        <v>4152</v>
      </c>
      <c r="B247" s="1233">
        <f t="shared" si="54"/>
        <v>0</v>
      </c>
      <c r="C247" s="1233">
        <f>0/(100)</f>
        <v>0</v>
      </c>
      <c r="D247" s="1233">
        <f t="shared" ref="D247:D252" si="55">0/(100)</f>
        <v>0</v>
      </c>
      <c r="E247" s="1229">
        <f>171/(100)</f>
        <v>1.71</v>
      </c>
      <c r="F247" s="1229">
        <f t="shared" si="46"/>
        <v>0</v>
      </c>
      <c r="G247" s="1220">
        <f t="shared" si="47"/>
        <v>1.71</v>
      </c>
    </row>
    <row r="248" spans="1:7">
      <c r="A248" s="702" t="s">
        <v>4153</v>
      </c>
      <c r="B248" s="1233">
        <f t="shared" si="54"/>
        <v>0</v>
      </c>
      <c r="C248" s="1229">
        <f>6818/(100)</f>
        <v>68.180000000000007</v>
      </c>
      <c r="D248" s="1233">
        <f t="shared" si="55"/>
        <v>0</v>
      </c>
      <c r="E248" s="1229">
        <f>11361/(100)</f>
        <v>113.61</v>
      </c>
      <c r="F248" s="1229">
        <f t="shared" si="46"/>
        <v>68.180000000000007</v>
      </c>
      <c r="G248" s="1220">
        <f t="shared" si="47"/>
        <v>113.61</v>
      </c>
    </row>
    <row r="249" spans="1:7">
      <c r="A249" s="702" t="s">
        <v>4154</v>
      </c>
      <c r="B249" s="1233">
        <f t="shared" si="54"/>
        <v>0</v>
      </c>
      <c r="C249" s="1233">
        <f>0/(100)</f>
        <v>0</v>
      </c>
      <c r="D249" s="1233">
        <f t="shared" si="55"/>
        <v>0</v>
      </c>
      <c r="E249" s="1229">
        <f>531000/(100)</f>
        <v>5310</v>
      </c>
      <c r="F249" s="1229">
        <f t="shared" si="46"/>
        <v>0</v>
      </c>
      <c r="G249" s="1220">
        <f t="shared" si="47"/>
        <v>5310</v>
      </c>
    </row>
    <row r="250" spans="1:7">
      <c r="A250" s="702" t="s">
        <v>4155</v>
      </c>
      <c r="B250" s="1233">
        <f t="shared" si="54"/>
        <v>0</v>
      </c>
      <c r="C250" s="1233">
        <f>0/(100)</f>
        <v>0</v>
      </c>
      <c r="D250" s="1233">
        <f t="shared" si="55"/>
        <v>0</v>
      </c>
      <c r="E250" s="1229">
        <f>3160/(100)</f>
        <v>31.6</v>
      </c>
      <c r="F250" s="1229">
        <f t="shared" si="46"/>
        <v>0</v>
      </c>
      <c r="G250" s="1220">
        <f t="shared" si="47"/>
        <v>31.6</v>
      </c>
    </row>
    <row r="251" spans="1:7">
      <c r="A251" s="702" t="s">
        <v>4156</v>
      </c>
      <c r="B251" s="1233">
        <f t="shared" si="54"/>
        <v>0</v>
      </c>
      <c r="C251" s="1229">
        <f>13200/(100)</f>
        <v>132</v>
      </c>
      <c r="D251" s="1233">
        <f t="shared" si="55"/>
        <v>0</v>
      </c>
      <c r="E251" s="1233">
        <f>0/(100)</f>
        <v>0</v>
      </c>
      <c r="F251" s="1229">
        <f t="shared" si="46"/>
        <v>132</v>
      </c>
      <c r="G251" s="1220">
        <f t="shared" si="47"/>
        <v>0</v>
      </c>
    </row>
    <row r="252" spans="1:7">
      <c r="A252" s="702" t="s">
        <v>4157</v>
      </c>
      <c r="B252" s="1233">
        <f t="shared" si="54"/>
        <v>0</v>
      </c>
      <c r="C252" s="1233">
        <f>0/(100)</f>
        <v>0</v>
      </c>
      <c r="D252" s="1233">
        <f t="shared" si="55"/>
        <v>0</v>
      </c>
      <c r="E252" s="1229">
        <f>289067.97/(100)</f>
        <v>2890.6796999999997</v>
      </c>
      <c r="F252" s="1229">
        <f t="shared" si="46"/>
        <v>0</v>
      </c>
      <c r="G252" s="1220">
        <f t="shared" si="47"/>
        <v>2890.6796999999997</v>
      </c>
    </row>
    <row r="253" spans="1:7">
      <c r="A253" s="702" t="s">
        <v>4158</v>
      </c>
      <c r="B253" s="1233">
        <f t="shared" si="54"/>
        <v>0</v>
      </c>
      <c r="C253" s="1229">
        <f>493844/(100)</f>
        <v>4938.4399999999996</v>
      </c>
      <c r="D253" s="1229">
        <f>799.84/(100)</f>
        <v>7.9984000000000002</v>
      </c>
      <c r="E253" s="1233">
        <f>0/(100)</f>
        <v>0</v>
      </c>
      <c r="F253" s="1229">
        <f t="shared" si="46"/>
        <v>4938.4399999999996</v>
      </c>
      <c r="G253" s="1220">
        <f t="shared" si="47"/>
        <v>-7.9984000000000002</v>
      </c>
    </row>
    <row r="254" spans="1:7">
      <c r="A254" s="702" t="s">
        <v>3597</v>
      </c>
      <c r="B254" s="1233">
        <f t="shared" si="54"/>
        <v>0</v>
      </c>
      <c r="C254" s="1229">
        <f>1325502621.2/(100)</f>
        <v>13255026.212000001</v>
      </c>
      <c r="D254" s="1233">
        <f>0/(100)</f>
        <v>0</v>
      </c>
      <c r="E254" s="1229">
        <f>1155652092.2/(100)</f>
        <v>11556520.922</v>
      </c>
      <c r="F254" s="1229">
        <f t="shared" si="46"/>
        <v>13255026.212000001</v>
      </c>
      <c r="G254" s="1220">
        <f t="shared" si="47"/>
        <v>11556520.922</v>
      </c>
    </row>
    <row r="255" spans="1:7">
      <c r="A255" s="702" t="s">
        <v>4159</v>
      </c>
      <c r="B255" s="1229">
        <f>58500000/(100)</f>
        <v>585000</v>
      </c>
      <c r="C255" s="1233">
        <f>0/(100)</f>
        <v>0</v>
      </c>
      <c r="D255" s="1229">
        <f>69000000/(100)</f>
        <v>690000</v>
      </c>
      <c r="E255" s="1233">
        <f>0/(100)</f>
        <v>0</v>
      </c>
      <c r="F255" s="1229">
        <f t="shared" si="46"/>
        <v>-585000</v>
      </c>
      <c r="G255" s="1220">
        <f t="shared" si="47"/>
        <v>-690000</v>
      </c>
    </row>
    <row r="256" spans="1:7">
      <c r="A256" s="702" t="s">
        <v>4160</v>
      </c>
      <c r="B256" s="1233">
        <f t="shared" ref="B256:B267" si="56">0/(100)</f>
        <v>0</v>
      </c>
      <c r="C256" s="1233">
        <f>0/(100)</f>
        <v>0</v>
      </c>
      <c r="D256" s="1233">
        <f t="shared" ref="D256:D261" si="57">0/(100)</f>
        <v>0</v>
      </c>
      <c r="E256" s="1233">
        <f>0/(100)</f>
        <v>0</v>
      </c>
      <c r="F256" s="1229">
        <f t="shared" si="46"/>
        <v>0</v>
      </c>
      <c r="G256" s="1220">
        <f t="shared" si="47"/>
        <v>0</v>
      </c>
    </row>
    <row r="257" spans="1:7">
      <c r="A257" s="702" t="s">
        <v>4161</v>
      </c>
      <c r="B257" s="1233">
        <f t="shared" si="56"/>
        <v>0</v>
      </c>
      <c r="C257" s="1229">
        <f>121794.4/(100)</f>
        <v>1217.944</v>
      </c>
      <c r="D257" s="1233">
        <f t="shared" si="57"/>
        <v>0</v>
      </c>
      <c r="E257" s="1229">
        <f>121794.4/(100)</f>
        <v>1217.944</v>
      </c>
      <c r="F257" s="1229">
        <f t="shared" si="46"/>
        <v>1217.944</v>
      </c>
      <c r="G257" s="1220">
        <f t="shared" si="47"/>
        <v>1217.944</v>
      </c>
    </row>
    <row r="258" spans="1:7">
      <c r="A258" s="702" t="s">
        <v>4162</v>
      </c>
      <c r="B258" s="1233">
        <f t="shared" si="56"/>
        <v>0</v>
      </c>
      <c r="C258" s="1229">
        <f>9000.3/(100)</f>
        <v>90.002999999999986</v>
      </c>
      <c r="D258" s="1233">
        <f t="shared" si="57"/>
        <v>0</v>
      </c>
      <c r="E258" s="1229">
        <f>9000.3/(100)</f>
        <v>90.002999999999986</v>
      </c>
      <c r="F258" s="1229">
        <f t="shared" si="46"/>
        <v>90.002999999999986</v>
      </c>
      <c r="G258" s="1220">
        <f t="shared" si="47"/>
        <v>90.002999999999986</v>
      </c>
    </row>
    <row r="259" spans="1:7">
      <c r="A259" s="702" t="s">
        <v>4163</v>
      </c>
      <c r="B259" s="1233">
        <f t="shared" si="56"/>
        <v>0</v>
      </c>
      <c r="C259" s="1229">
        <f>11700/(100)</f>
        <v>117</v>
      </c>
      <c r="D259" s="1233">
        <f t="shared" si="57"/>
        <v>0</v>
      </c>
      <c r="E259" s="1233">
        <f>0/(100)</f>
        <v>0</v>
      </c>
      <c r="F259" s="1229">
        <f t="shared" si="46"/>
        <v>117</v>
      </c>
      <c r="G259" s="1220">
        <f t="shared" si="47"/>
        <v>0</v>
      </c>
    </row>
    <row r="260" spans="1:7">
      <c r="A260" s="702" t="s">
        <v>4164</v>
      </c>
      <c r="B260" s="1233">
        <f t="shared" si="56"/>
        <v>0</v>
      </c>
      <c r="C260" s="1233">
        <f>0/(100)</f>
        <v>0</v>
      </c>
      <c r="D260" s="1233">
        <f t="shared" si="57"/>
        <v>0</v>
      </c>
      <c r="E260" s="1229">
        <f>64800/(100)</f>
        <v>648</v>
      </c>
      <c r="F260" s="1229">
        <f t="shared" si="46"/>
        <v>0</v>
      </c>
      <c r="G260" s="1220">
        <f t="shared" si="47"/>
        <v>648</v>
      </c>
    </row>
    <row r="261" spans="1:7">
      <c r="A261" s="702" t="s">
        <v>4165</v>
      </c>
      <c r="B261" s="1233">
        <f t="shared" si="56"/>
        <v>0</v>
      </c>
      <c r="C261" s="1229">
        <f>5197/(100)</f>
        <v>51.97</v>
      </c>
      <c r="D261" s="1233">
        <f t="shared" si="57"/>
        <v>0</v>
      </c>
      <c r="E261" s="1229">
        <f>5197/(100)</f>
        <v>51.97</v>
      </c>
      <c r="F261" s="1229">
        <f t="shared" ref="F261:F324" si="58">C261-B261</f>
        <v>51.97</v>
      </c>
      <c r="G261" s="1220">
        <f t="shared" ref="G261:G324" si="59">E261-D261</f>
        <v>51.97</v>
      </c>
    </row>
    <row r="262" spans="1:7">
      <c r="A262" s="702" t="s">
        <v>4166</v>
      </c>
      <c r="B262" s="1233">
        <f t="shared" si="56"/>
        <v>0</v>
      </c>
      <c r="C262" s="1229">
        <f>114460/(100)</f>
        <v>1144.5999999999999</v>
      </c>
      <c r="D262" s="1229">
        <f>11800/(100)</f>
        <v>118</v>
      </c>
      <c r="E262" s="1233">
        <f>0/(100)</f>
        <v>0</v>
      </c>
      <c r="F262" s="1229">
        <f t="shared" si="58"/>
        <v>1144.5999999999999</v>
      </c>
      <c r="G262" s="1220">
        <f t="shared" si="59"/>
        <v>-118</v>
      </c>
    </row>
    <row r="263" spans="1:7">
      <c r="A263" s="702" t="s">
        <v>4167</v>
      </c>
      <c r="B263" s="1233">
        <f t="shared" si="56"/>
        <v>0</v>
      </c>
      <c r="C263" s="1229">
        <f>26366539/(100)</f>
        <v>263665.39</v>
      </c>
      <c r="D263" s="1233">
        <f>0/(100)</f>
        <v>0</v>
      </c>
      <c r="E263" s="1229">
        <f>24918699/(100)</f>
        <v>249186.99</v>
      </c>
      <c r="F263" s="1229">
        <f t="shared" si="58"/>
        <v>263665.39</v>
      </c>
      <c r="G263" s="1220">
        <f t="shared" si="59"/>
        <v>249186.99</v>
      </c>
    </row>
    <row r="264" spans="1:7">
      <c r="A264" s="702" t="s">
        <v>4168</v>
      </c>
      <c r="B264" s="1233">
        <f t="shared" si="56"/>
        <v>0</v>
      </c>
      <c r="C264" s="1233">
        <f>0/(100)</f>
        <v>0</v>
      </c>
      <c r="D264" s="1233">
        <f>0/(100)</f>
        <v>0</v>
      </c>
      <c r="E264" s="1229">
        <f>282909/(100)</f>
        <v>2829.09</v>
      </c>
      <c r="F264" s="1229">
        <f t="shared" si="58"/>
        <v>0</v>
      </c>
      <c r="G264" s="1220">
        <f t="shared" si="59"/>
        <v>2829.09</v>
      </c>
    </row>
    <row r="265" spans="1:7">
      <c r="A265" s="702" t="s">
        <v>4169</v>
      </c>
      <c r="B265" s="1233">
        <f t="shared" si="56"/>
        <v>0</v>
      </c>
      <c r="C265" s="1233">
        <f>0/(100)</f>
        <v>0</v>
      </c>
      <c r="D265" s="1233">
        <f>0/(100)</f>
        <v>0</v>
      </c>
      <c r="E265" s="1229">
        <f>1933/(100)</f>
        <v>19.329999999999998</v>
      </c>
      <c r="F265" s="1229">
        <f t="shared" si="58"/>
        <v>0</v>
      </c>
      <c r="G265" s="1220">
        <f t="shared" si="59"/>
        <v>19.329999999999998</v>
      </c>
    </row>
    <row r="266" spans="1:7">
      <c r="A266" s="702" t="s">
        <v>4170</v>
      </c>
      <c r="B266" s="1233">
        <f t="shared" si="56"/>
        <v>0</v>
      </c>
      <c r="C266" s="1233">
        <f>0/(100)</f>
        <v>0</v>
      </c>
      <c r="D266" s="1233">
        <f>0/(100)</f>
        <v>0</v>
      </c>
      <c r="E266" s="1229">
        <f>88260/(100)</f>
        <v>882.6</v>
      </c>
      <c r="F266" s="1229">
        <f t="shared" si="58"/>
        <v>0</v>
      </c>
      <c r="G266" s="1220">
        <f t="shared" si="59"/>
        <v>882.6</v>
      </c>
    </row>
    <row r="267" spans="1:7">
      <c r="A267" s="702" t="s">
        <v>4171</v>
      </c>
      <c r="B267" s="1233">
        <f t="shared" si="56"/>
        <v>0</v>
      </c>
      <c r="C267" s="1233">
        <f>0/(100)</f>
        <v>0</v>
      </c>
      <c r="D267" s="1233">
        <f>0/(100)</f>
        <v>0</v>
      </c>
      <c r="E267" s="1229">
        <f>579150/(100)</f>
        <v>5791.5</v>
      </c>
      <c r="F267" s="1229">
        <f t="shared" si="58"/>
        <v>0</v>
      </c>
      <c r="G267" s="1220">
        <f t="shared" si="59"/>
        <v>5791.5</v>
      </c>
    </row>
    <row r="268" spans="1:7">
      <c r="A268" s="702" t="s">
        <v>4172</v>
      </c>
      <c r="B268" s="1229">
        <f>830/(100)</f>
        <v>8.3000000000000007</v>
      </c>
      <c r="C268" s="1233">
        <f>0/(100)</f>
        <v>0</v>
      </c>
      <c r="D268" s="1229">
        <f>830/(100)</f>
        <v>8.3000000000000007</v>
      </c>
      <c r="E268" s="1233">
        <f>0/(100)</f>
        <v>0</v>
      </c>
      <c r="F268" s="1229">
        <f t="shared" si="58"/>
        <v>-8.3000000000000007</v>
      </c>
      <c r="G268" s="1220">
        <f t="shared" si="59"/>
        <v>-8.3000000000000007</v>
      </c>
    </row>
    <row r="269" spans="1:7">
      <c r="A269" s="702" t="s">
        <v>4173</v>
      </c>
      <c r="B269" s="1233">
        <f t="shared" ref="B269:B277" si="60">0/(100)</f>
        <v>0</v>
      </c>
      <c r="C269" s="1229">
        <f>90000/(100)</f>
        <v>900</v>
      </c>
      <c r="D269" s="1229">
        <f>45000/(100)</f>
        <v>450</v>
      </c>
      <c r="E269" s="1233">
        <f>0/(100)</f>
        <v>0</v>
      </c>
      <c r="F269" s="1229">
        <f t="shared" si="58"/>
        <v>900</v>
      </c>
      <c r="G269" s="1220">
        <f t="shared" si="59"/>
        <v>-450</v>
      </c>
    </row>
    <row r="270" spans="1:7">
      <c r="A270" s="702" t="s">
        <v>4174</v>
      </c>
      <c r="B270" s="1233">
        <f t="shared" si="60"/>
        <v>0</v>
      </c>
      <c r="C270" s="1233">
        <f>0/(100)</f>
        <v>0</v>
      </c>
      <c r="D270" s="1233">
        <f>0/(100)</f>
        <v>0</v>
      </c>
      <c r="E270" s="1229">
        <f>91640/(100)</f>
        <v>916.4</v>
      </c>
      <c r="F270" s="1229">
        <f t="shared" si="58"/>
        <v>0</v>
      </c>
      <c r="G270" s="1220">
        <f t="shared" si="59"/>
        <v>916.4</v>
      </c>
    </row>
    <row r="271" spans="1:7">
      <c r="A271" s="702" t="s">
        <v>4175</v>
      </c>
      <c r="B271" s="1233">
        <f t="shared" si="60"/>
        <v>0</v>
      </c>
      <c r="C271" s="1233">
        <f>0/(100)</f>
        <v>0</v>
      </c>
      <c r="D271" s="1233">
        <f>0/(100)</f>
        <v>0</v>
      </c>
      <c r="E271" s="1229">
        <f>4309000/(100)</f>
        <v>43090</v>
      </c>
      <c r="F271" s="1229">
        <f t="shared" si="58"/>
        <v>0</v>
      </c>
      <c r="G271" s="1220">
        <f t="shared" si="59"/>
        <v>43090</v>
      </c>
    </row>
    <row r="272" spans="1:7">
      <c r="A272" s="702" t="s">
        <v>4176</v>
      </c>
      <c r="B272" s="1233">
        <f t="shared" si="60"/>
        <v>0</v>
      </c>
      <c r="C272" s="1229">
        <f>4813/(100)</f>
        <v>48.13</v>
      </c>
      <c r="D272" s="1233">
        <f t="shared" ref="D272:D277" si="61">0/(100)</f>
        <v>0</v>
      </c>
      <c r="E272" s="1229">
        <f>4813/(100)</f>
        <v>48.13</v>
      </c>
      <c r="F272" s="1229">
        <f t="shared" si="58"/>
        <v>48.13</v>
      </c>
      <c r="G272" s="1220">
        <f t="shared" si="59"/>
        <v>48.13</v>
      </c>
    </row>
    <row r="273" spans="1:7">
      <c r="A273" s="702" t="s">
        <v>4177</v>
      </c>
      <c r="B273" s="1233">
        <f t="shared" si="60"/>
        <v>0</v>
      </c>
      <c r="C273" s="1229">
        <f>15535.26/(100)</f>
        <v>155.3526</v>
      </c>
      <c r="D273" s="1233">
        <f t="shared" si="61"/>
        <v>0</v>
      </c>
      <c r="E273" s="1229">
        <f>19076.68/(100)</f>
        <v>190.76679999999999</v>
      </c>
      <c r="F273" s="1229">
        <f t="shared" si="58"/>
        <v>155.3526</v>
      </c>
      <c r="G273" s="1220">
        <f t="shared" si="59"/>
        <v>190.76679999999999</v>
      </c>
    </row>
    <row r="274" spans="1:7">
      <c r="A274" s="702" t="s">
        <v>4178</v>
      </c>
      <c r="B274" s="1233">
        <f t="shared" si="60"/>
        <v>0</v>
      </c>
      <c r="C274" s="1233">
        <f>0/(100)</f>
        <v>0</v>
      </c>
      <c r="D274" s="1233">
        <f t="shared" si="61"/>
        <v>0</v>
      </c>
      <c r="E274" s="1229">
        <f>12390/(100)</f>
        <v>123.9</v>
      </c>
      <c r="F274" s="1229">
        <f t="shared" si="58"/>
        <v>0</v>
      </c>
      <c r="G274" s="1220">
        <f t="shared" si="59"/>
        <v>123.9</v>
      </c>
    </row>
    <row r="275" spans="1:7">
      <c r="A275" s="702" t="s">
        <v>4179</v>
      </c>
      <c r="B275" s="1233">
        <f t="shared" si="60"/>
        <v>0</v>
      </c>
      <c r="C275" s="1233">
        <f>0/(100)</f>
        <v>0</v>
      </c>
      <c r="D275" s="1233">
        <f t="shared" si="61"/>
        <v>0</v>
      </c>
      <c r="E275" s="1229">
        <f>251980/(100)</f>
        <v>2519.8000000000002</v>
      </c>
      <c r="F275" s="1229">
        <f t="shared" si="58"/>
        <v>0</v>
      </c>
      <c r="G275" s="1220">
        <f t="shared" si="59"/>
        <v>2519.8000000000002</v>
      </c>
    </row>
    <row r="276" spans="1:7">
      <c r="A276" s="702" t="s">
        <v>4180</v>
      </c>
      <c r="B276" s="1233">
        <f t="shared" si="60"/>
        <v>0</v>
      </c>
      <c r="C276" s="1233">
        <f>0/(100)</f>
        <v>0</v>
      </c>
      <c r="D276" s="1233">
        <f t="shared" si="61"/>
        <v>0</v>
      </c>
      <c r="E276" s="1229">
        <f>1034127/(100)</f>
        <v>10341.27</v>
      </c>
      <c r="F276" s="1229">
        <f t="shared" si="58"/>
        <v>0</v>
      </c>
      <c r="G276" s="1220">
        <f t="shared" si="59"/>
        <v>10341.27</v>
      </c>
    </row>
    <row r="277" spans="1:7">
      <c r="A277" s="702" t="s">
        <v>4181</v>
      </c>
      <c r="B277" s="1233">
        <f t="shared" si="60"/>
        <v>0</v>
      </c>
      <c r="C277" s="1233">
        <f>0/(100)</f>
        <v>0</v>
      </c>
      <c r="D277" s="1233">
        <f t="shared" si="61"/>
        <v>0</v>
      </c>
      <c r="E277" s="1229">
        <f>3523/(100)</f>
        <v>35.229999999999997</v>
      </c>
      <c r="F277" s="1229">
        <f t="shared" si="58"/>
        <v>0</v>
      </c>
      <c r="G277" s="1220">
        <f t="shared" si="59"/>
        <v>35.229999999999997</v>
      </c>
    </row>
    <row r="278" spans="1:7">
      <c r="A278" s="702" t="s">
        <v>4182</v>
      </c>
      <c r="B278" s="1229">
        <f>78182/(100)</f>
        <v>781.82</v>
      </c>
      <c r="C278" s="1233">
        <f>0/(100)</f>
        <v>0</v>
      </c>
      <c r="D278" s="1229">
        <f>78182/(100)</f>
        <v>781.82</v>
      </c>
      <c r="E278" s="1233">
        <f>0/(100)</f>
        <v>0</v>
      </c>
      <c r="F278" s="1229">
        <f t="shared" si="58"/>
        <v>-781.82</v>
      </c>
      <c r="G278" s="1220">
        <f t="shared" si="59"/>
        <v>-781.82</v>
      </c>
    </row>
    <row r="279" spans="1:7">
      <c r="A279" s="702" t="s">
        <v>4183</v>
      </c>
      <c r="B279" s="1233">
        <f t="shared" ref="B279:B292" si="62">0/(100)</f>
        <v>0</v>
      </c>
      <c r="C279" s="1229">
        <f>98650/(100)</f>
        <v>986.5</v>
      </c>
      <c r="D279" s="1233">
        <f t="shared" ref="D279:D288" si="63">0/(100)</f>
        <v>0</v>
      </c>
      <c r="E279" s="1229">
        <f>2336850/(100)</f>
        <v>23368.5</v>
      </c>
      <c r="F279" s="1229">
        <f t="shared" si="58"/>
        <v>986.5</v>
      </c>
      <c r="G279" s="1220">
        <f t="shared" si="59"/>
        <v>23368.5</v>
      </c>
    </row>
    <row r="280" spans="1:7">
      <c r="A280" s="702" t="s">
        <v>4184</v>
      </c>
      <c r="B280" s="1233">
        <f t="shared" si="62"/>
        <v>0</v>
      </c>
      <c r="C280" s="1229">
        <f>52296/(100)</f>
        <v>522.96</v>
      </c>
      <c r="D280" s="1233">
        <f t="shared" si="63"/>
        <v>0</v>
      </c>
      <c r="E280" s="1229">
        <f>52296/(100)</f>
        <v>522.96</v>
      </c>
      <c r="F280" s="1229">
        <f t="shared" si="58"/>
        <v>522.96</v>
      </c>
      <c r="G280" s="1220">
        <f t="shared" si="59"/>
        <v>522.96</v>
      </c>
    </row>
    <row r="281" spans="1:7">
      <c r="A281" s="702" t="s">
        <v>4185</v>
      </c>
      <c r="B281" s="1233">
        <f t="shared" si="62"/>
        <v>0</v>
      </c>
      <c r="C281" s="1233">
        <f>0/(100)</f>
        <v>0</v>
      </c>
      <c r="D281" s="1233">
        <f t="shared" si="63"/>
        <v>0</v>
      </c>
      <c r="E281" s="1233">
        <f>0/(100)</f>
        <v>0</v>
      </c>
      <c r="F281" s="1229">
        <f t="shared" si="58"/>
        <v>0</v>
      </c>
      <c r="G281" s="1220">
        <f t="shared" si="59"/>
        <v>0</v>
      </c>
    </row>
    <row r="282" spans="1:7">
      <c r="A282" s="702" t="s">
        <v>4186</v>
      </c>
      <c r="B282" s="1233">
        <f t="shared" si="62"/>
        <v>0</v>
      </c>
      <c r="C282" s="1233">
        <f>0/(100)</f>
        <v>0</v>
      </c>
      <c r="D282" s="1233">
        <f t="shared" si="63"/>
        <v>0</v>
      </c>
      <c r="E282" s="1229">
        <f>2386.31/(100)</f>
        <v>23.863099999999999</v>
      </c>
      <c r="F282" s="1229">
        <f t="shared" si="58"/>
        <v>0</v>
      </c>
      <c r="G282" s="1220">
        <f t="shared" si="59"/>
        <v>23.863099999999999</v>
      </c>
    </row>
    <row r="283" spans="1:7">
      <c r="A283" s="702" t="s">
        <v>4187</v>
      </c>
      <c r="B283" s="1233">
        <f t="shared" si="62"/>
        <v>0</v>
      </c>
      <c r="C283" s="1233">
        <f>0/(100)</f>
        <v>0</v>
      </c>
      <c r="D283" s="1233">
        <f t="shared" si="63"/>
        <v>0</v>
      </c>
      <c r="E283" s="1229">
        <f>90000/(100)</f>
        <v>900</v>
      </c>
      <c r="F283" s="1229">
        <f t="shared" si="58"/>
        <v>0</v>
      </c>
      <c r="G283" s="1220">
        <f t="shared" si="59"/>
        <v>900</v>
      </c>
    </row>
    <row r="284" spans="1:7">
      <c r="A284" s="702" t="s">
        <v>947</v>
      </c>
      <c r="B284" s="1233">
        <f t="shared" si="62"/>
        <v>0</v>
      </c>
      <c r="C284" s="1229">
        <f>3272708/(100)</f>
        <v>32727.08</v>
      </c>
      <c r="D284" s="1233">
        <f t="shared" si="63"/>
        <v>0</v>
      </c>
      <c r="E284" s="1229">
        <f>1471106.5/(100)</f>
        <v>14711.065000000001</v>
      </c>
      <c r="F284" s="1229">
        <f t="shared" si="58"/>
        <v>32727.08</v>
      </c>
      <c r="G284" s="1220">
        <f t="shared" si="59"/>
        <v>14711.065000000001</v>
      </c>
    </row>
    <row r="285" spans="1:7">
      <c r="A285" s="702" t="s">
        <v>4188</v>
      </c>
      <c r="B285" s="1233">
        <f t="shared" si="62"/>
        <v>0</v>
      </c>
      <c r="C285" s="1229">
        <f>27000/(100)</f>
        <v>270</v>
      </c>
      <c r="D285" s="1233">
        <f t="shared" si="63"/>
        <v>0</v>
      </c>
      <c r="E285" s="1229">
        <f>32400/(100)</f>
        <v>324</v>
      </c>
      <c r="F285" s="1229">
        <f t="shared" si="58"/>
        <v>270</v>
      </c>
      <c r="G285" s="1220">
        <f t="shared" si="59"/>
        <v>324</v>
      </c>
    </row>
    <row r="286" spans="1:7">
      <c r="A286" s="702" t="s">
        <v>4189</v>
      </c>
      <c r="B286" s="1233">
        <f t="shared" si="62"/>
        <v>0</v>
      </c>
      <c r="C286" s="1229">
        <f>1740500/(100)</f>
        <v>17405</v>
      </c>
      <c r="D286" s="1233">
        <f t="shared" si="63"/>
        <v>0</v>
      </c>
      <c r="E286" s="1233">
        <f>0/(100)</f>
        <v>0</v>
      </c>
      <c r="F286" s="1229">
        <f t="shared" si="58"/>
        <v>17405</v>
      </c>
      <c r="G286" s="1220">
        <f t="shared" si="59"/>
        <v>0</v>
      </c>
    </row>
    <row r="287" spans="1:7">
      <c r="A287" s="702" t="s">
        <v>4190</v>
      </c>
      <c r="B287" s="1233">
        <f t="shared" si="62"/>
        <v>0</v>
      </c>
      <c r="C287" s="1229">
        <f>10813/(100)</f>
        <v>108.13</v>
      </c>
      <c r="D287" s="1233">
        <f t="shared" si="63"/>
        <v>0</v>
      </c>
      <c r="E287" s="1229">
        <f>10813/(100)</f>
        <v>108.13</v>
      </c>
      <c r="F287" s="1229">
        <f t="shared" si="58"/>
        <v>108.13</v>
      </c>
      <c r="G287" s="1220">
        <f t="shared" si="59"/>
        <v>108.13</v>
      </c>
    </row>
    <row r="288" spans="1:7">
      <c r="A288" s="702" t="s">
        <v>4191</v>
      </c>
      <c r="B288" s="1233">
        <f t="shared" si="62"/>
        <v>0</v>
      </c>
      <c r="C288" s="1229">
        <f>6300/(100)</f>
        <v>63</v>
      </c>
      <c r="D288" s="1233">
        <f t="shared" si="63"/>
        <v>0</v>
      </c>
      <c r="E288" s="1229">
        <f>6300/(100)</f>
        <v>63</v>
      </c>
      <c r="F288" s="1229">
        <f t="shared" si="58"/>
        <v>63</v>
      </c>
      <c r="G288" s="1220">
        <f t="shared" si="59"/>
        <v>63</v>
      </c>
    </row>
    <row r="289" spans="1:7">
      <c r="A289" s="702" t="s">
        <v>4192</v>
      </c>
      <c r="B289" s="1233">
        <f t="shared" si="62"/>
        <v>0</v>
      </c>
      <c r="C289" s="1233">
        <f>0/(100)</f>
        <v>0</v>
      </c>
      <c r="D289" s="1229">
        <f>15000/(100)</f>
        <v>150</v>
      </c>
      <c r="E289" s="1233">
        <f>0/(100)</f>
        <v>0</v>
      </c>
      <c r="F289" s="1229">
        <f t="shared" si="58"/>
        <v>0</v>
      </c>
      <c r="G289" s="1220">
        <f t="shared" si="59"/>
        <v>-150</v>
      </c>
    </row>
    <row r="290" spans="1:7">
      <c r="A290" s="702" t="s">
        <v>4193</v>
      </c>
      <c r="B290" s="1233">
        <f t="shared" si="62"/>
        <v>0</v>
      </c>
      <c r="C290" s="1233">
        <f>0/(100)</f>
        <v>0</v>
      </c>
      <c r="D290" s="1233">
        <f t="shared" ref="D290:D298" si="64">0/(100)</f>
        <v>0</v>
      </c>
      <c r="E290" s="1229">
        <f>4720/(100)</f>
        <v>47.2</v>
      </c>
      <c r="F290" s="1229">
        <f t="shared" si="58"/>
        <v>0</v>
      </c>
      <c r="G290" s="1220">
        <f t="shared" si="59"/>
        <v>47.2</v>
      </c>
    </row>
    <row r="291" spans="1:7">
      <c r="A291" s="702" t="s">
        <v>4194</v>
      </c>
      <c r="B291" s="1233">
        <f t="shared" si="62"/>
        <v>0</v>
      </c>
      <c r="C291" s="1229">
        <f>14846/(100)</f>
        <v>148.46</v>
      </c>
      <c r="D291" s="1233">
        <f t="shared" si="64"/>
        <v>0</v>
      </c>
      <c r="E291" s="1229">
        <f>14846/(100)</f>
        <v>148.46</v>
      </c>
      <c r="F291" s="1229">
        <f t="shared" si="58"/>
        <v>148.46</v>
      </c>
      <c r="G291" s="1220">
        <f t="shared" si="59"/>
        <v>148.46</v>
      </c>
    </row>
    <row r="292" spans="1:7">
      <c r="A292" s="702" t="s">
        <v>948</v>
      </c>
      <c r="B292" s="1233">
        <f t="shared" si="62"/>
        <v>0</v>
      </c>
      <c r="C292" s="1229">
        <f>191701/(100)</f>
        <v>1917.01</v>
      </c>
      <c r="D292" s="1233">
        <f t="shared" si="64"/>
        <v>0</v>
      </c>
      <c r="E292" s="1229">
        <f>1157636/(100)</f>
        <v>11576.36</v>
      </c>
      <c r="F292" s="1229">
        <f t="shared" si="58"/>
        <v>1917.01</v>
      </c>
      <c r="G292" s="1220">
        <f t="shared" si="59"/>
        <v>11576.36</v>
      </c>
    </row>
    <row r="293" spans="1:7">
      <c r="A293" s="702" t="s">
        <v>4195</v>
      </c>
      <c r="B293" s="1229">
        <f>11747130.71/(100)</f>
        <v>117471.30710000001</v>
      </c>
      <c r="C293" s="1233">
        <f t="shared" ref="C293:C302" si="65">0/(100)</f>
        <v>0</v>
      </c>
      <c r="D293" s="1233">
        <f t="shared" si="64"/>
        <v>0</v>
      </c>
      <c r="E293" s="1229">
        <f>1059734.29/(100)</f>
        <v>10597.3429</v>
      </c>
      <c r="F293" s="1229">
        <f t="shared" si="58"/>
        <v>-117471.30710000001</v>
      </c>
      <c r="G293" s="1220">
        <f t="shared" si="59"/>
        <v>10597.3429</v>
      </c>
    </row>
    <row r="294" spans="1:7">
      <c r="A294" s="702" t="s">
        <v>4196</v>
      </c>
      <c r="B294" s="1233">
        <f>0/(100)</f>
        <v>0</v>
      </c>
      <c r="C294" s="1233">
        <f t="shared" si="65"/>
        <v>0</v>
      </c>
      <c r="D294" s="1233">
        <f t="shared" si="64"/>
        <v>0</v>
      </c>
      <c r="E294" s="1233">
        <f>0/(100)</f>
        <v>0</v>
      </c>
      <c r="F294" s="1229">
        <f t="shared" si="58"/>
        <v>0</v>
      </c>
      <c r="G294" s="1220">
        <f t="shared" si="59"/>
        <v>0</v>
      </c>
    </row>
    <row r="295" spans="1:7">
      <c r="A295" s="702" t="s">
        <v>588</v>
      </c>
      <c r="B295" s="1233">
        <f>0/(100)</f>
        <v>0</v>
      </c>
      <c r="C295" s="1233">
        <f t="shared" si="65"/>
        <v>0</v>
      </c>
      <c r="D295" s="1233">
        <f t="shared" si="64"/>
        <v>0</v>
      </c>
      <c r="E295" s="1233">
        <f>0/(100)</f>
        <v>0</v>
      </c>
      <c r="F295" s="1229">
        <f t="shared" si="58"/>
        <v>0</v>
      </c>
      <c r="G295" s="1220">
        <f t="shared" si="59"/>
        <v>0</v>
      </c>
    </row>
    <row r="296" spans="1:7">
      <c r="A296" s="702" t="s">
        <v>4197</v>
      </c>
      <c r="B296" s="1233">
        <f>0/(100)</f>
        <v>0</v>
      </c>
      <c r="C296" s="1233">
        <f t="shared" si="65"/>
        <v>0</v>
      </c>
      <c r="D296" s="1233">
        <f t="shared" si="64"/>
        <v>0</v>
      </c>
      <c r="E296" s="1229">
        <f>3540/(100)</f>
        <v>35.4</v>
      </c>
      <c r="F296" s="1229">
        <f t="shared" si="58"/>
        <v>0</v>
      </c>
      <c r="G296" s="1220">
        <f t="shared" si="59"/>
        <v>35.4</v>
      </c>
    </row>
    <row r="297" spans="1:7">
      <c r="A297" s="702" t="s">
        <v>4198</v>
      </c>
      <c r="B297" s="1233">
        <f>0/(100)</f>
        <v>0</v>
      </c>
      <c r="C297" s="1233">
        <f t="shared" si="65"/>
        <v>0</v>
      </c>
      <c r="D297" s="1233">
        <f t="shared" si="64"/>
        <v>0</v>
      </c>
      <c r="E297" s="1233">
        <f>0/(100)</f>
        <v>0</v>
      </c>
      <c r="F297" s="1229">
        <f t="shared" si="58"/>
        <v>0</v>
      </c>
      <c r="G297" s="1220">
        <f t="shared" si="59"/>
        <v>0</v>
      </c>
    </row>
    <row r="298" spans="1:7">
      <c r="A298" s="702" t="s">
        <v>4199</v>
      </c>
      <c r="B298" s="1233">
        <f>0/(100)</f>
        <v>0</v>
      </c>
      <c r="C298" s="1233">
        <f t="shared" si="65"/>
        <v>0</v>
      </c>
      <c r="D298" s="1233">
        <f t="shared" si="64"/>
        <v>0</v>
      </c>
      <c r="E298" s="1229">
        <f>91521/(100)</f>
        <v>915.21</v>
      </c>
      <c r="F298" s="1229">
        <f t="shared" si="58"/>
        <v>0</v>
      </c>
      <c r="G298" s="1220">
        <f t="shared" si="59"/>
        <v>915.21</v>
      </c>
    </row>
    <row r="299" spans="1:7">
      <c r="A299" s="702" t="s">
        <v>1371</v>
      </c>
      <c r="B299" s="1229">
        <f>200401776/(100)</f>
        <v>2004017.76</v>
      </c>
      <c r="C299" s="1233">
        <f t="shared" si="65"/>
        <v>0</v>
      </c>
      <c r="D299" s="1229">
        <f>300503946/(100)</f>
        <v>3005039.46</v>
      </c>
      <c r="E299" s="1233">
        <f>0/(100)</f>
        <v>0</v>
      </c>
      <c r="F299" s="1229">
        <f t="shared" si="58"/>
        <v>-2004017.76</v>
      </c>
      <c r="G299" s="1220">
        <f t="shared" si="59"/>
        <v>-3005039.46</v>
      </c>
    </row>
    <row r="300" spans="1:7">
      <c r="A300" s="702" t="s">
        <v>4200</v>
      </c>
      <c r="B300" s="1233">
        <f>0/(100)</f>
        <v>0</v>
      </c>
      <c r="C300" s="1233">
        <f t="shared" si="65"/>
        <v>0</v>
      </c>
      <c r="D300" s="1229">
        <f>27000/(100)</f>
        <v>270</v>
      </c>
      <c r="E300" s="1233">
        <f>0/(100)</f>
        <v>0</v>
      </c>
      <c r="F300" s="1229">
        <f t="shared" si="58"/>
        <v>0</v>
      </c>
      <c r="G300" s="1220">
        <f t="shared" si="59"/>
        <v>-270</v>
      </c>
    </row>
    <row r="301" spans="1:7">
      <c r="A301" s="702" t="s">
        <v>4201</v>
      </c>
      <c r="B301" s="1229">
        <f>1050000/(100)</f>
        <v>10500</v>
      </c>
      <c r="C301" s="1233">
        <f t="shared" si="65"/>
        <v>0</v>
      </c>
      <c r="D301" s="1229">
        <f>1050000/(100)</f>
        <v>10500</v>
      </c>
      <c r="E301" s="1233">
        <f>0/(100)</f>
        <v>0</v>
      </c>
      <c r="F301" s="1229">
        <f t="shared" si="58"/>
        <v>-10500</v>
      </c>
      <c r="G301" s="1220">
        <f t="shared" si="59"/>
        <v>-10500</v>
      </c>
    </row>
    <row r="302" spans="1:7">
      <c r="A302" s="702" t="s">
        <v>4202</v>
      </c>
      <c r="B302" s="1233">
        <f>0/(100)</f>
        <v>0</v>
      </c>
      <c r="C302" s="1233">
        <f t="shared" si="65"/>
        <v>0</v>
      </c>
      <c r="D302" s="1233">
        <f>0/(100)</f>
        <v>0</v>
      </c>
      <c r="E302" s="1229">
        <f>17700/(100)</f>
        <v>177</v>
      </c>
      <c r="F302" s="1229">
        <f t="shared" si="58"/>
        <v>0</v>
      </c>
      <c r="G302" s="1220">
        <f t="shared" si="59"/>
        <v>177</v>
      </c>
    </row>
    <row r="303" spans="1:7">
      <c r="A303" s="702" t="s">
        <v>4203</v>
      </c>
      <c r="B303" s="1233">
        <f>0/(100)</f>
        <v>0</v>
      </c>
      <c r="C303" s="1229">
        <f>170118/(100)</f>
        <v>1701.18</v>
      </c>
      <c r="D303" s="1233">
        <f>0/(100)</f>
        <v>0</v>
      </c>
      <c r="E303" s="1233">
        <f>0/(100)</f>
        <v>0</v>
      </c>
      <c r="F303" s="1229">
        <f t="shared" si="58"/>
        <v>1701.18</v>
      </c>
      <c r="G303" s="1220">
        <f t="shared" si="59"/>
        <v>0</v>
      </c>
    </row>
    <row r="304" spans="1:7">
      <c r="A304" s="702" t="s">
        <v>4204</v>
      </c>
      <c r="B304" s="1233">
        <f>0/(100)</f>
        <v>0</v>
      </c>
      <c r="C304" s="1229">
        <f>124114/(100)</f>
        <v>1241.1400000000001</v>
      </c>
      <c r="D304" s="1233">
        <f>0/(100)</f>
        <v>0</v>
      </c>
      <c r="E304" s="1229">
        <f>124114/(100)</f>
        <v>1241.1400000000001</v>
      </c>
      <c r="F304" s="1229">
        <f t="shared" si="58"/>
        <v>1241.1400000000001</v>
      </c>
      <c r="G304" s="1220">
        <f t="shared" si="59"/>
        <v>1241.1400000000001</v>
      </c>
    </row>
    <row r="305" spans="1:7">
      <c r="A305" s="702" t="s">
        <v>4205</v>
      </c>
      <c r="B305" s="1233">
        <f>0/(100)</f>
        <v>0</v>
      </c>
      <c r="C305" s="1233">
        <f>0/(100)</f>
        <v>0</v>
      </c>
      <c r="D305" s="1233">
        <f>0/(100)</f>
        <v>0</v>
      </c>
      <c r="E305" s="1229">
        <f>183/(100)</f>
        <v>1.83</v>
      </c>
      <c r="F305" s="1229">
        <f t="shared" si="58"/>
        <v>0</v>
      </c>
      <c r="G305" s="1220">
        <f t="shared" si="59"/>
        <v>1.83</v>
      </c>
    </row>
    <row r="306" spans="1:7">
      <c r="A306" s="702" t="s">
        <v>4206</v>
      </c>
      <c r="B306" s="1233">
        <f>0/(100)</f>
        <v>0</v>
      </c>
      <c r="C306" s="1229">
        <f>42389/(100)</f>
        <v>423.89</v>
      </c>
      <c r="D306" s="1233">
        <f>0/(100)</f>
        <v>0</v>
      </c>
      <c r="E306" s="1229">
        <f>42389/(100)</f>
        <v>423.89</v>
      </c>
      <c r="F306" s="1229">
        <f t="shared" si="58"/>
        <v>423.89</v>
      </c>
      <c r="G306" s="1220">
        <f t="shared" si="59"/>
        <v>423.89</v>
      </c>
    </row>
    <row r="307" spans="1:7">
      <c r="A307" s="702" t="s">
        <v>4207</v>
      </c>
      <c r="B307" s="1229">
        <f>96319/(100)</f>
        <v>963.19</v>
      </c>
      <c r="C307" s="1233">
        <f>0/(100)</f>
        <v>0</v>
      </c>
      <c r="D307" s="1229">
        <f>88000/(100)</f>
        <v>880</v>
      </c>
      <c r="E307" s="1233">
        <f>0/(100)</f>
        <v>0</v>
      </c>
      <c r="F307" s="1229">
        <f t="shared" si="58"/>
        <v>-963.19</v>
      </c>
      <c r="G307" s="1220">
        <f t="shared" si="59"/>
        <v>-880</v>
      </c>
    </row>
    <row r="308" spans="1:7">
      <c r="A308" s="702" t="s">
        <v>4208</v>
      </c>
      <c r="B308" s="1233">
        <f t="shared" ref="B308:B320" si="66">0/(100)</f>
        <v>0</v>
      </c>
      <c r="C308" s="1229">
        <f>6230/(100)</f>
        <v>62.3</v>
      </c>
      <c r="D308" s="1229">
        <f>12/(100)</f>
        <v>0.12</v>
      </c>
      <c r="E308" s="1233">
        <f>0/(100)</f>
        <v>0</v>
      </c>
      <c r="F308" s="1229">
        <f t="shared" si="58"/>
        <v>62.3</v>
      </c>
      <c r="G308" s="1220">
        <f t="shared" si="59"/>
        <v>-0.12</v>
      </c>
    </row>
    <row r="309" spans="1:7">
      <c r="A309" s="702" t="s">
        <v>4209</v>
      </c>
      <c r="B309" s="1233">
        <f t="shared" si="66"/>
        <v>0</v>
      </c>
      <c r="C309" s="1233">
        <f>0/(100)</f>
        <v>0</v>
      </c>
      <c r="D309" s="1233">
        <f>0/(100)</f>
        <v>0</v>
      </c>
      <c r="E309" s="1233">
        <f>0/(100)</f>
        <v>0</v>
      </c>
      <c r="F309" s="1229">
        <f t="shared" si="58"/>
        <v>0</v>
      </c>
      <c r="G309" s="1220">
        <f t="shared" si="59"/>
        <v>0</v>
      </c>
    </row>
    <row r="310" spans="1:7">
      <c r="A310" s="702" t="s">
        <v>4210</v>
      </c>
      <c r="B310" s="1233">
        <f t="shared" si="66"/>
        <v>0</v>
      </c>
      <c r="C310" s="1233">
        <f>0/(100)</f>
        <v>0</v>
      </c>
      <c r="D310" s="1229">
        <f>18647/(100)</f>
        <v>186.47</v>
      </c>
      <c r="E310" s="1233">
        <f>0/(100)</f>
        <v>0</v>
      </c>
      <c r="F310" s="1229">
        <f t="shared" si="58"/>
        <v>0</v>
      </c>
      <c r="G310" s="1220">
        <f t="shared" si="59"/>
        <v>-186.47</v>
      </c>
    </row>
    <row r="311" spans="1:7">
      <c r="A311" s="702" t="s">
        <v>4211</v>
      </c>
      <c r="B311" s="1233">
        <f t="shared" si="66"/>
        <v>0</v>
      </c>
      <c r="C311" s="1229">
        <f>15253/(100)</f>
        <v>152.53</v>
      </c>
      <c r="D311" s="1233">
        <f>0/(100)</f>
        <v>0</v>
      </c>
      <c r="E311" s="1229">
        <f>15253/(100)</f>
        <v>152.53</v>
      </c>
      <c r="F311" s="1229">
        <f t="shared" si="58"/>
        <v>152.53</v>
      </c>
      <c r="G311" s="1220">
        <f t="shared" si="59"/>
        <v>152.53</v>
      </c>
    </row>
    <row r="312" spans="1:7">
      <c r="A312" s="702" t="s">
        <v>4212</v>
      </c>
      <c r="B312" s="1233">
        <f t="shared" si="66"/>
        <v>0</v>
      </c>
      <c r="C312" s="1229">
        <f>58333/(100)</f>
        <v>583.33000000000004</v>
      </c>
      <c r="D312" s="1233">
        <f>0/(100)</f>
        <v>0</v>
      </c>
      <c r="E312" s="1229">
        <f>58333/(100)</f>
        <v>583.33000000000004</v>
      </c>
      <c r="F312" s="1229">
        <f t="shared" si="58"/>
        <v>583.33000000000004</v>
      </c>
      <c r="G312" s="1220">
        <f t="shared" si="59"/>
        <v>583.33000000000004</v>
      </c>
    </row>
    <row r="313" spans="1:7">
      <c r="A313" s="702" t="s">
        <v>4213</v>
      </c>
      <c r="B313" s="1233">
        <f t="shared" si="66"/>
        <v>0</v>
      </c>
      <c r="C313" s="1229">
        <f>63885/(100)</f>
        <v>638.85</v>
      </c>
      <c r="D313" s="1233">
        <f>0/(100)</f>
        <v>0</v>
      </c>
      <c r="E313" s="1229">
        <f>63885/(100)</f>
        <v>638.85</v>
      </c>
      <c r="F313" s="1229">
        <f t="shared" si="58"/>
        <v>638.85</v>
      </c>
      <c r="G313" s="1220">
        <f t="shared" si="59"/>
        <v>638.85</v>
      </c>
    </row>
    <row r="314" spans="1:7">
      <c r="A314" s="702" t="s">
        <v>4214</v>
      </c>
      <c r="B314" s="1233">
        <f t="shared" si="66"/>
        <v>0</v>
      </c>
      <c r="C314" s="1229">
        <f>18972/(100)</f>
        <v>189.72</v>
      </c>
      <c r="D314" s="1233">
        <f>0/(100)</f>
        <v>0</v>
      </c>
      <c r="E314" s="1229">
        <f>18972/(100)</f>
        <v>189.72</v>
      </c>
      <c r="F314" s="1229">
        <f t="shared" si="58"/>
        <v>189.72</v>
      </c>
      <c r="G314" s="1220">
        <f t="shared" si="59"/>
        <v>189.72</v>
      </c>
    </row>
    <row r="315" spans="1:7">
      <c r="A315" s="702" t="s">
        <v>981</v>
      </c>
      <c r="B315" s="1233">
        <f t="shared" si="66"/>
        <v>0</v>
      </c>
      <c r="C315" s="1229">
        <f>640917/(100)</f>
        <v>6409.17</v>
      </c>
      <c r="D315" s="1229">
        <f>450/(100)</f>
        <v>4.5</v>
      </c>
      <c r="E315" s="1233">
        <f>0/(100)</f>
        <v>0</v>
      </c>
      <c r="F315" s="1229">
        <f t="shared" si="58"/>
        <v>6409.17</v>
      </c>
      <c r="G315" s="1220">
        <f t="shared" si="59"/>
        <v>-4.5</v>
      </c>
    </row>
    <row r="316" spans="1:7">
      <c r="A316" s="702" t="s">
        <v>4215</v>
      </c>
      <c r="B316" s="1233">
        <f t="shared" si="66"/>
        <v>0</v>
      </c>
      <c r="C316" s="1229">
        <f>28261/(100)</f>
        <v>282.61</v>
      </c>
      <c r="D316" s="1233">
        <f>0/(100)</f>
        <v>0</v>
      </c>
      <c r="E316" s="1229">
        <f>28261/(100)</f>
        <v>282.61</v>
      </c>
      <c r="F316" s="1229">
        <f t="shared" si="58"/>
        <v>282.61</v>
      </c>
      <c r="G316" s="1220">
        <f t="shared" si="59"/>
        <v>282.61</v>
      </c>
    </row>
    <row r="317" spans="1:7">
      <c r="A317" s="702" t="s">
        <v>4216</v>
      </c>
      <c r="B317" s="1233">
        <f t="shared" si="66"/>
        <v>0</v>
      </c>
      <c r="C317" s="1233">
        <f>0/(100)</f>
        <v>0</v>
      </c>
      <c r="D317" s="1233">
        <f>0/(100)</f>
        <v>0</v>
      </c>
      <c r="E317" s="1233">
        <f>0/(100)</f>
        <v>0</v>
      </c>
      <c r="F317" s="1229">
        <f t="shared" si="58"/>
        <v>0</v>
      </c>
      <c r="G317" s="1220">
        <f t="shared" si="59"/>
        <v>0</v>
      </c>
    </row>
    <row r="318" spans="1:7">
      <c r="A318" s="702" t="s">
        <v>4217</v>
      </c>
      <c r="B318" s="1233">
        <f t="shared" si="66"/>
        <v>0</v>
      </c>
      <c r="C318" s="1233">
        <f>0/(100)</f>
        <v>0</v>
      </c>
      <c r="D318" s="1233">
        <f>0/(100)</f>
        <v>0</v>
      </c>
      <c r="E318" s="1229">
        <f>28800/(100)</f>
        <v>288</v>
      </c>
      <c r="F318" s="1229">
        <f t="shared" si="58"/>
        <v>0</v>
      </c>
      <c r="G318" s="1220">
        <f t="shared" si="59"/>
        <v>288</v>
      </c>
    </row>
    <row r="319" spans="1:7">
      <c r="A319" s="702" t="s">
        <v>4218</v>
      </c>
      <c r="B319" s="1233">
        <f t="shared" si="66"/>
        <v>0</v>
      </c>
      <c r="C319" s="1229">
        <f>15647/(100)</f>
        <v>156.47</v>
      </c>
      <c r="D319" s="1233">
        <f>0/(100)</f>
        <v>0</v>
      </c>
      <c r="E319" s="1229">
        <f>15647/(100)</f>
        <v>156.47</v>
      </c>
      <c r="F319" s="1229">
        <f t="shared" si="58"/>
        <v>156.47</v>
      </c>
      <c r="G319" s="1220">
        <f t="shared" si="59"/>
        <v>156.47</v>
      </c>
    </row>
    <row r="320" spans="1:7">
      <c r="A320" s="702" t="s">
        <v>3320</v>
      </c>
      <c r="B320" s="1233">
        <f t="shared" si="66"/>
        <v>0</v>
      </c>
      <c r="C320" s="1233">
        <f>0/(100)</f>
        <v>0</v>
      </c>
      <c r="D320" s="1233">
        <f>0/(100)</f>
        <v>0</v>
      </c>
      <c r="E320" s="1233">
        <f>0/(100)</f>
        <v>0</v>
      </c>
      <c r="F320" s="1229">
        <f t="shared" si="58"/>
        <v>0</v>
      </c>
      <c r="G320" s="1220">
        <f t="shared" si="59"/>
        <v>0</v>
      </c>
    </row>
    <row r="321" spans="1:7">
      <c r="A321" s="702" t="s">
        <v>4219</v>
      </c>
      <c r="B321" s="1229">
        <f>17275/(100)</f>
        <v>172.75</v>
      </c>
      <c r="C321" s="1233">
        <f>0/(100)</f>
        <v>0</v>
      </c>
      <c r="D321" s="1229">
        <f>17275/(100)</f>
        <v>172.75</v>
      </c>
      <c r="E321" s="1233">
        <f>0/(100)</f>
        <v>0</v>
      </c>
      <c r="F321" s="1229">
        <f t="shared" si="58"/>
        <v>-172.75</v>
      </c>
      <c r="G321" s="1220">
        <f t="shared" si="59"/>
        <v>-172.75</v>
      </c>
    </row>
    <row r="322" spans="1:7">
      <c r="A322" s="702" t="s">
        <v>4220</v>
      </c>
      <c r="B322" s="1233">
        <f t="shared" ref="B322:B330" si="67">0/(100)</f>
        <v>0</v>
      </c>
      <c r="C322" s="1229">
        <f>33669.08/(100)</f>
        <v>336.69080000000002</v>
      </c>
      <c r="D322" s="1233">
        <f t="shared" ref="D322:D330" si="68">0/(100)</f>
        <v>0</v>
      </c>
      <c r="E322" s="1229">
        <f>49307.88/(100)</f>
        <v>493.0788</v>
      </c>
      <c r="F322" s="1229">
        <f t="shared" si="58"/>
        <v>336.69080000000002</v>
      </c>
      <c r="G322" s="1220">
        <f t="shared" si="59"/>
        <v>493.0788</v>
      </c>
    </row>
    <row r="323" spans="1:7">
      <c r="A323" s="702" t="s">
        <v>4221</v>
      </c>
      <c r="B323" s="1233">
        <f t="shared" si="67"/>
        <v>0</v>
      </c>
      <c r="C323" s="1229">
        <f>484704/(100)</f>
        <v>4847.04</v>
      </c>
      <c r="D323" s="1233">
        <f t="shared" si="68"/>
        <v>0</v>
      </c>
      <c r="E323" s="1229">
        <f>484704/(100)</f>
        <v>4847.04</v>
      </c>
      <c r="F323" s="1229">
        <f t="shared" si="58"/>
        <v>4847.04</v>
      </c>
      <c r="G323" s="1220">
        <f t="shared" si="59"/>
        <v>4847.04</v>
      </c>
    </row>
    <row r="324" spans="1:7">
      <c r="A324" s="702" t="s">
        <v>4222</v>
      </c>
      <c r="B324" s="1233">
        <f t="shared" si="67"/>
        <v>0</v>
      </c>
      <c r="C324" s="1229">
        <f>2941/(100)</f>
        <v>29.41</v>
      </c>
      <c r="D324" s="1233">
        <f t="shared" si="68"/>
        <v>0</v>
      </c>
      <c r="E324" s="1229">
        <f>2941/(100)</f>
        <v>29.41</v>
      </c>
      <c r="F324" s="1229">
        <f t="shared" si="58"/>
        <v>29.41</v>
      </c>
      <c r="G324" s="1220">
        <f t="shared" si="59"/>
        <v>29.41</v>
      </c>
    </row>
    <row r="325" spans="1:7">
      <c r="A325" s="702" t="s">
        <v>4223</v>
      </c>
      <c r="B325" s="1233">
        <f t="shared" si="67"/>
        <v>0</v>
      </c>
      <c r="C325" s="1233">
        <f>0/(100)</f>
        <v>0</v>
      </c>
      <c r="D325" s="1233">
        <f t="shared" si="68"/>
        <v>0</v>
      </c>
      <c r="E325" s="1233">
        <f>0/(100)</f>
        <v>0</v>
      </c>
      <c r="F325" s="1229">
        <f t="shared" ref="F325:F388" si="69">C325-B325</f>
        <v>0</v>
      </c>
      <c r="G325" s="1220">
        <f t="shared" ref="G325:G388" si="70">E325-D325</f>
        <v>0</v>
      </c>
    </row>
    <row r="326" spans="1:7">
      <c r="A326" s="702" t="s">
        <v>4224</v>
      </c>
      <c r="B326" s="1233">
        <f t="shared" si="67"/>
        <v>0</v>
      </c>
      <c r="C326" s="1229">
        <f>3302.45/(100)</f>
        <v>33.024499999999996</v>
      </c>
      <c r="D326" s="1233">
        <f t="shared" si="68"/>
        <v>0</v>
      </c>
      <c r="E326" s="1229">
        <f>3302.45/(100)</f>
        <v>33.024499999999996</v>
      </c>
      <c r="F326" s="1229">
        <f t="shared" si="69"/>
        <v>33.024499999999996</v>
      </c>
      <c r="G326" s="1220">
        <f t="shared" si="70"/>
        <v>33.024499999999996</v>
      </c>
    </row>
    <row r="327" spans="1:7">
      <c r="A327" s="702" t="s">
        <v>4225</v>
      </c>
      <c r="B327" s="1233">
        <f t="shared" si="67"/>
        <v>0</v>
      </c>
      <c r="C327" s="1233">
        <f>0/(100)</f>
        <v>0</v>
      </c>
      <c r="D327" s="1233">
        <f t="shared" si="68"/>
        <v>0</v>
      </c>
      <c r="E327" s="1229">
        <f>20520/(100)</f>
        <v>205.2</v>
      </c>
      <c r="F327" s="1229">
        <f t="shared" si="69"/>
        <v>0</v>
      </c>
      <c r="G327" s="1220">
        <f t="shared" si="70"/>
        <v>205.2</v>
      </c>
    </row>
    <row r="328" spans="1:7">
      <c r="A328" s="702" t="s">
        <v>4226</v>
      </c>
      <c r="B328" s="1233">
        <f t="shared" si="67"/>
        <v>0</v>
      </c>
      <c r="C328" s="1233">
        <f>0/(100)</f>
        <v>0</v>
      </c>
      <c r="D328" s="1233">
        <f t="shared" si="68"/>
        <v>0</v>
      </c>
      <c r="E328" s="1229">
        <f>1950/(100)</f>
        <v>19.5</v>
      </c>
      <c r="F328" s="1229">
        <f t="shared" si="69"/>
        <v>0</v>
      </c>
      <c r="G328" s="1220">
        <f t="shared" si="70"/>
        <v>19.5</v>
      </c>
    </row>
    <row r="329" spans="1:7">
      <c r="A329" s="702" t="s">
        <v>4227</v>
      </c>
      <c r="B329" s="1233">
        <f t="shared" si="67"/>
        <v>0</v>
      </c>
      <c r="C329" s="1233">
        <f>0/(100)</f>
        <v>0</v>
      </c>
      <c r="D329" s="1233">
        <f t="shared" si="68"/>
        <v>0</v>
      </c>
      <c r="E329" s="1229">
        <f>5836995/(100)</f>
        <v>58369.95</v>
      </c>
      <c r="F329" s="1229">
        <f t="shared" si="69"/>
        <v>0</v>
      </c>
      <c r="G329" s="1220">
        <f t="shared" si="70"/>
        <v>58369.95</v>
      </c>
    </row>
    <row r="330" spans="1:7">
      <c r="A330" s="702" t="s">
        <v>4228</v>
      </c>
      <c r="B330" s="1233">
        <f t="shared" si="67"/>
        <v>0</v>
      </c>
      <c r="C330" s="1233">
        <f>0/(100)</f>
        <v>0</v>
      </c>
      <c r="D330" s="1233">
        <f t="shared" si="68"/>
        <v>0</v>
      </c>
      <c r="E330" s="1229">
        <f>6950/(100)</f>
        <v>69.5</v>
      </c>
      <c r="F330" s="1229">
        <f t="shared" si="69"/>
        <v>0</v>
      </c>
      <c r="G330" s="1220">
        <f t="shared" si="70"/>
        <v>69.5</v>
      </c>
    </row>
    <row r="331" spans="1:7">
      <c r="A331" s="702" t="s">
        <v>4229</v>
      </c>
      <c r="B331" s="1229">
        <f>26550/(100)</f>
        <v>265.5</v>
      </c>
      <c r="C331" s="1233">
        <f>0/(100)</f>
        <v>0</v>
      </c>
      <c r="D331" s="1229">
        <f>26550/(100)</f>
        <v>265.5</v>
      </c>
      <c r="E331" s="1233">
        <f>0/(100)</f>
        <v>0</v>
      </c>
      <c r="F331" s="1229">
        <f t="shared" si="69"/>
        <v>-265.5</v>
      </c>
      <c r="G331" s="1220">
        <f t="shared" si="70"/>
        <v>-265.5</v>
      </c>
    </row>
    <row r="332" spans="1:7">
      <c r="A332" s="702" t="s">
        <v>4230</v>
      </c>
      <c r="B332" s="1233">
        <f t="shared" ref="B332:B342" si="71">0/(100)</f>
        <v>0</v>
      </c>
      <c r="C332" s="1229">
        <f>10083/(100)</f>
        <v>100.83</v>
      </c>
      <c r="D332" s="1233">
        <f>0/(100)</f>
        <v>0</v>
      </c>
      <c r="E332" s="1229">
        <f>10083/(100)</f>
        <v>100.83</v>
      </c>
      <c r="F332" s="1229">
        <f t="shared" si="69"/>
        <v>100.83</v>
      </c>
      <c r="G332" s="1220">
        <f t="shared" si="70"/>
        <v>100.83</v>
      </c>
    </row>
    <row r="333" spans="1:7">
      <c r="A333" s="702" t="s">
        <v>4231</v>
      </c>
      <c r="B333" s="1233">
        <f t="shared" si="71"/>
        <v>0</v>
      </c>
      <c r="C333" s="1233">
        <f>0/(100)</f>
        <v>0</v>
      </c>
      <c r="D333" s="1233">
        <f>0/(100)</f>
        <v>0</v>
      </c>
      <c r="E333" s="1229">
        <f>2250/(100)</f>
        <v>22.5</v>
      </c>
      <c r="F333" s="1229">
        <f t="shared" si="69"/>
        <v>0</v>
      </c>
      <c r="G333" s="1220">
        <f t="shared" si="70"/>
        <v>22.5</v>
      </c>
    </row>
    <row r="334" spans="1:7">
      <c r="A334" s="702" t="s">
        <v>1458</v>
      </c>
      <c r="B334" s="1233">
        <f t="shared" si="71"/>
        <v>0</v>
      </c>
      <c r="C334" s="1233">
        <f>0/(100)</f>
        <v>0</v>
      </c>
      <c r="D334" s="1233">
        <f>0/(100)</f>
        <v>0</v>
      </c>
      <c r="E334" s="1233">
        <f>0/(100)</f>
        <v>0</v>
      </c>
      <c r="F334" s="1229">
        <f t="shared" si="69"/>
        <v>0</v>
      </c>
      <c r="G334" s="1220">
        <f t="shared" si="70"/>
        <v>0</v>
      </c>
    </row>
    <row r="335" spans="1:7">
      <c r="A335" s="702" t="s">
        <v>4232</v>
      </c>
      <c r="B335" s="1233">
        <f t="shared" si="71"/>
        <v>0</v>
      </c>
      <c r="C335" s="1229">
        <f>6480/(100)</f>
        <v>64.8</v>
      </c>
      <c r="D335" s="1229">
        <f>10142/(100)</f>
        <v>101.42</v>
      </c>
      <c r="E335" s="1233">
        <f>0/(100)</f>
        <v>0</v>
      </c>
      <c r="F335" s="1229">
        <f t="shared" si="69"/>
        <v>64.8</v>
      </c>
      <c r="G335" s="1220">
        <f t="shared" si="70"/>
        <v>-101.42</v>
      </c>
    </row>
    <row r="336" spans="1:7">
      <c r="A336" s="702" t="s">
        <v>4233</v>
      </c>
      <c r="B336" s="1233">
        <f t="shared" si="71"/>
        <v>0</v>
      </c>
      <c r="C336" s="1233">
        <f>0/(100)</f>
        <v>0</v>
      </c>
      <c r="D336" s="1229">
        <f>8849/(100)</f>
        <v>88.49</v>
      </c>
      <c r="E336" s="1233">
        <f>0/(100)</f>
        <v>0</v>
      </c>
      <c r="F336" s="1229">
        <f t="shared" si="69"/>
        <v>0</v>
      </c>
      <c r="G336" s="1220">
        <f t="shared" si="70"/>
        <v>-88.49</v>
      </c>
    </row>
    <row r="337" spans="1:7">
      <c r="A337" s="702" t="s">
        <v>1460</v>
      </c>
      <c r="B337" s="1233">
        <f t="shared" si="71"/>
        <v>0</v>
      </c>
      <c r="C337" s="1229">
        <f>21139/(100)</f>
        <v>211.39</v>
      </c>
      <c r="D337" s="1233">
        <f t="shared" ref="D337:D342" si="72">0/(100)</f>
        <v>0</v>
      </c>
      <c r="E337" s="1229">
        <f>5518/(100)</f>
        <v>55.18</v>
      </c>
      <c r="F337" s="1229">
        <f t="shared" si="69"/>
        <v>211.39</v>
      </c>
      <c r="G337" s="1220">
        <f t="shared" si="70"/>
        <v>55.18</v>
      </c>
    </row>
    <row r="338" spans="1:7">
      <c r="A338" s="702" t="s">
        <v>4234</v>
      </c>
      <c r="B338" s="1233">
        <f t="shared" si="71"/>
        <v>0</v>
      </c>
      <c r="C338" s="1229">
        <f>7555.7/(100)</f>
        <v>75.557000000000002</v>
      </c>
      <c r="D338" s="1233">
        <f t="shared" si="72"/>
        <v>0</v>
      </c>
      <c r="E338" s="1229">
        <f>7555.7/(100)</f>
        <v>75.557000000000002</v>
      </c>
      <c r="F338" s="1229">
        <f t="shared" si="69"/>
        <v>75.557000000000002</v>
      </c>
      <c r="G338" s="1220">
        <f t="shared" si="70"/>
        <v>75.557000000000002</v>
      </c>
    </row>
    <row r="339" spans="1:7">
      <c r="A339" s="702" t="s">
        <v>4235</v>
      </c>
      <c r="B339" s="1233">
        <f t="shared" si="71"/>
        <v>0</v>
      </c>
      <c r="C339" s="1233">
        <f>0/(100)</f>
        <v>0</v>
      </c>
      <c r="D339" s="1233">
        <f t="shared" si="72"/>
        <v>0</v>
      </c>
      <c r="E339" s="1233">
        <f t="shared" ref="E339:E344" si="73">0/(100)</f>
        <v>0</v>
      </c>
      <c r="F339" s="1229">
        <f t="shared" si="69"/>
        <v>0</v>
      </c>
      <c r="G339" s="1220">
        <f t="shared" si="70"/>
        <v>0</v>
      </c>
    </row>
    <row r="340" spans="1:7">
      <c r="A340" s="702" t="s">
        <v>920</v>
      </c>
      <c r="B340" s="1233">
        <f t="shared" si="71"/>
        <v>0</v>
      </c>
      <c r="C340" s="1233">
        <f>0/(100)</f>
        <v>0</v>
      </c>
      <c r="D340" s="1233">
        <f t="shared" si="72"/>
        <v>0</v>
      </c>
      <c r="E340" s="1233">
        <f t="shared" si="73"/>
        <v>0</v>
      </c>
      <c r="F340" s="1229">
        <f t="shared" si="69"/>
        <v>0</v>
      </c>
      <c r="G340" s="1220">
        <f t="shared" si="70"/>
        <v>0</v>
      </c>
    </row>
    <row r="341" spans="1:7">
      <c r="A341" s="702" t="s">
        <v>4236</v>
      </c>
      <c r="B341" s="1233">
        <f t="shared" si="71"/>
        <v>0</v>
      </c>
      <c r="C341" s="1229">
        <f>569645/(100)</f>
        <v>5696.45</v>
      </c>
      <c r="D341" s="1233">
        <f t="shared" si="72"/>
        <v>0</v>
      </c>
      <c r="E341" s="1233">
        <f t="shared" si="73"/>
        <v>0</v>
      </c>
      <c r="F341" s="1229">
        <f t="shared" si="69"/>
        <v>5696.45</v>
      </c>
      <c r="G341" s="1220">
        <f t="shared" si="70"/>
        <v>0</v>
      </c>
    </row>
    <row r="342" spans="1:7">
      <c r="A342" s="702" t="s">
        <v>590</v>
      </c>
      <c r="B342" s="1233">
        <f t="shared" si="71"/>
        <v>0</v>
      </c>
      <c r="C342" s="1229">
        <f>15888/(100)</f>
        <v>158.88</v>
      </c>
      <c r="D342" s="1233">
        <f t="shared" si="72"/>
        <v>0</v>
      </c>
      <c r="E342" s="1233">
        <f t="shared" si="73"/>
        <v>0</v>
      </c>
      <c r="F342" s="1229">
        <f t="shared" si="69"/>
        <v>158.88</v>
      </c>
      <c r="G342" s="1220">
        <f t="shared" si="70"/>
        <v>0</v>
      </c>
    </row>
    <row r="343" spans="1:7">
      <c r="A343" s="702" t="s">
        <v>4237</v>
      </c>
      <c r="B343" s="1229">
        <f>500/(100)</f>
        <v>5</v>
      </c>
      <c r="C343" s="1233">
        <f>0/(100)</f>
        <v>0</v>
      </c>
      <c r="D343" s="1229">
        <f>500/(100)</f>
        <v>5</v>
      </c>
      <c r="E343" s="1233">
        <f t="shared" si="73"/>
        <v>0</v>
      </c>
      <c r="F343" s="1229">
        <f t="shared" si="69"/>
        <v>-5</v>
      </c>
      <c r="G343" s="1220">
        <f t="shared" si="70"/>
        <v>-5</v>
      </c>
    </row>
    <row r="344" spans="1:7">
      <c r="A344" s="702" t="s">
        <v>4238</v>
      </c>
      <c r="B344" s="1229">
        <f>1000000/(100)</f>
        <v>10000</v>
      </c>
      <c r="C344" s="1233">
        <f>0/(100)</f>
        <v>0</v>
      </c>
      <c r="D344" s="1229">
        <f>1000000/(100)</f>
        <v>10000</v>
      </c>
      <c r="E344" s="1233">
        <f t="shared" si="73"/>
        <v>0</v>
      </c>
      <c r="F344" s="1229">
        <f t="shared" si="69"/>
        <v>-10000</v>
      </c>
      <c r="G344" s="1220">
        <f t="shared" si="70"/>
        <v>-10000</v>
      </c>
    </row>
    <row r="345" spans="1:7">
      <c r="A345" s="702" t="s">
        <v>4239</v>
      </c>
      <c r="B345" s="1233">
        <f>0/(100)</f>
        <v>0</v>
      </c>
      <c r="C345" s="1229">
        <f>85719/(100)</f>
        <v>857.19</v>
      </c>
      <c r="D345" s="1233">
        <f>0/(100)</f>
        <v>0</v>
      </c>
      <c r="E345" s="1229">
        <f>85719/(100)</f>
        <v>857.19</v>
      </c>
      <c r="F345" s="1229">
        <f t="shared" si="69"/>
        <v>857.19</v>
      </c>
      <c r="G345" s="1220">
        <f t="shared" si="70"/>
        <v>857.19</v>
      </c>
    </row>
    <row r="346" spans="1:7">
      <c r="A346" s="702" t="s">
        <v>4240</v>
      </c>
      <c r="B346" s="1233">
        <f>0/(100)</f>
        <v>0</v>
      </c>
      <c r="C346" s="1233">
        <f t="shared" ref="C346:C351" si="74">0/(100)</f>
        <v>0</v>
      </c>
      <c r="D346" s="1233">
        <f>0/(100)</f>
        <v>0</v>
      </c>
      <c r="E346" s="1229">
        <f>389/(100)</f>
        <v>3.89</v>
      </c>
      <c r="F346" s="1229">
        <f t="shared" si="69"/>
        <v>0</v>
      </c>
      <c r="G346" s="1220">
        <f t="shared" si="70"/>
        <v>3.89</v>
      </c>
    </row>
    <row r="347" spans="1:7">
      <c r="A347" s="702" t="s">
        <v>4241</v>
      </c>
      <c r="B347" s="1229">
        <f>22410/(100)</f>
        <v>224.1</v>
      </c>
      <c r="C347" s="1233">
        <f t="shared" si="74"/>
        <v>0</v>
      </c>
      <c r="D347" s="1229">
        <f>22410/(100)</f>
        <v>224.1</v>
      </c>
      <c r="E347" s="1233">
        <f>0/(100)</f>
        <v>0</v>
      </c>
      <c r="F347" s="1229">
        <f t="shared" si="69"/>
        <v>-224.1</v>
      </c>
      <c r="G347" s="1220">
        <f t="shared" si="70"/>
        <v>-224.1</v>
      </c>
    </row>
    <row r="348" spans="1:7">
      <c r="A348" s="702" t="s">
        <v>4242</v>
      </c>
      <c r="B348" s="1233">
        <f t="shared" ref="B348:B367" si="75">0/(100)</f>
        <v>0</v>
      </c>
      <c r="C348" s="1233">
        <f t="shared" si="74"/>
        <v>0</v>
      </c>
      <c r="D348" s="1233">
        <f t="shared" ref="D348:D356" si="76">0/(100)</f>
        <v>0</v>
      </c>
      <c r="E348" s="1229">
        <f>330140.4/(100)</f>
        <v>3301.4040000000005</v>
      </c>
      <c r="F348" s="1229">
        <f t="shared" si="69"/>
        <v>0</v>
      </c>
      <c r="G348" s="1220">
        <f t="shared" si="70"/>
        <v>3301.4040000000005</v>
      </c>
    </row>
    <row r="349" spans="1:7">
      <c r="A349" s="702" t="s">
        <v>4243</v>
      </c>
      <c r="B349" s="1233">
        <f t="shared" si="75"/>
        <v>0</v>
      </c>
      <c r="C349" s="1233">
        <f t="shared" si="74"/>
        <v>0</v>
      </c>
      <c r="D349" s="1233">
        <f t="shared" si="76"/>
        <v>0</v>
      </c>
      <c r="E349" s="1229">
        <f>1734539/(100)</f>
        <v>17345.39</v>
      </c>
      <c r="F349" s="1229">
        <f t="shared" si="69"/>
        <v>0</v>
      </c>
      <c r="G349" s="1220">
        <f t="shared" si="70"/>
        <v>17345.39</v>
      </c>
    </row>
    <row r="350" spans="1:7">
      <c r="A350" s="702" t="s">
        <v>4244</v>
      </c>
      <c r="B350" s="1233">
        <f t="shared" si="75"/>
        <v>0</v>
      </c>
      <c r="C350" s="1233">
        <f t="shared" si="74"/>
        <v>0</v>
      </c>
      <c r="D350" s="1233">
        <f t="shared" si="76"/>
        <v>0</v>
      </c>
      <c r="E350" s="1233">
        <f>0/(100)</f>
        <v>0</v>
      </c>
      <c r="F350" s="1229">
        <f t="shared" si="69"/>
        <v>0</v>
      </c>
      <c r="G350" s="1220">
        <f t="shared" si="70"/>
        <v>0</v>
      </c>
    </row>
    <row r="351" spans="1:7">
      <c r="A351" s="702" t="s">
        <v>3488</v>
      </c>
      <c r="B351" s="1233">
        <f t="shared" si="75"/>
        <v>0</v>
      </c>
      <c r="C351" s="1233">
        <f t="shared" si="74"/>
        <v>0</v>
      </c>
      <c r="D351" s="1233">
        <f t="shared" si="76"/>
        <v>0</v>
      </c>
      <c r="E351" s="1229">
        <f>22400/(100)</f>
        <v>224</v>
      </c>
      <c r="F351" s="1229">
        <f t="shared" si="69"/>
        <v>0</v>
      </c>
      <c r="G351" s="1220">
        <f t="shared" si="70"/>
        <v>224</v>
      </c>
    </row>
    <row r="352" spans="1:7">
      <c r="A352" s="702" t="s">
        <v>4245</v>
      </c>
      <c r="B352" s="1233">
        <f t="shared" si="75"/>
        <v>0</v>
      </c>
      <c r="C352" s="1229">
        <f>3200/(100)</f>
        <v>32</v>
      </c>
      <c r="D352" s="1233">
        <f t="shared" si="76"/>
        <v>0</v>
      </c>
      <c r="E352" s="1229">
        <f>3200/(100)</f>
        <v>32</v>
      </c>
      <c r="F352" s="1229">
        <f t="shared" si="69"/>
        <v>32</v>
      </c>
      <c r="G352" s="1220">
        <f t="shared" si="70"/>
        <v>32</v>
      </c>
    </row>
    <row r="353" spans="1:7">
      <c r="A353" s="702" t="s">
        <v>4246</v>
      </c>
      <c r="B353" s="1233">
        <f t="shared" si="75"/>
        <v>0</v>
      </c>
      <c r="C353" s="1229">
        <f>81440/(100)</f>
        <v>814.4</v>
      </c>
      <c r="D353" s="1233">
        <f t="shared" si="76"/>
        <v>0</v>
      </c>
      <c r="E353" s="1229">
        <f>81440/(100)</f>
        <v>814.4</v>
      </c>
      <c r="F353" s="1229">
        <f t="shared" si="69"/>
        <v>814.4</v>
      </c>
      <c r="G353" s="1220">
        <f t="shared" si="70"/>
        <v>814.4</v>
      </c>
    </row>
    <row r="354" spans="1:7">
      <c r="A354" s="702" t="s">
        <v>4247</v>
      </c>
      <c r="B354" s="1233">
        <f t="shared" si="75"/>
        <v>0</v>
      </c>
      <c r="C354" s="1233">
        <f>0/(100)</f>
        <v>0</v>
      </c>
      <c r="D354" s="1233">
        <f t="shared" si="76"/>
        <v>0</v>
      </c>
      <c r="E354" s="1233">
        <f>0/(100)</f>
        <v>0</v>
      </c>
      <c r="F354" s="1229">
        <f t="shared" si="69"/>
        <v>0</v>
      </c>
      <c r="G354" s="1220">
        <f t="shared" si="70"/>
        <v>0</v>
      </c>
    </row>
    <row r="355" spans="1:7">
      <c r="A355" s="702" t="s">
        <v>4248</v>
      </c>
      <c r="B355" s="1233">
        <f t="shared" si="75"/>
        <v>0</v>
      </c>
      <c r="C355" s="1229">
        <f>19183/(100)</f>
        <v>191.83</v>
      </c>
      <c r="D355" s="1233">
        <f t="shared" si="76"/>
        <v>0</v>
      </c>
      <c r="E355" s="1229">
        <f>19183/(100)</f>
        <v>191.83</v>
      </c>
      <c r="F355" s="1229">
        <f t="shared" si="69"/>
        <v>191.83</v>
      </c>
      <c r="G355" s="1220">
        <f t="shared" si="70"/>
        <v>191.83</v>
      </c>
    </row>
    <row r="356" spans="1:7">
      <c r="A356" s="702" t="s">
        <v>4249</v>
      </c>
      <c r="B356" s="1233">
        <f t="shared" si="75"/>
        <v>0</v>
      </c>
      <c r="C356" s="1233">
        <f>0/(100)</f>
        <v>0</v>
      </c>
      <c r="D356" s="1233">
        <f t="shared" si="76"/>
        <v>0</v>
      </c>
      <c r="E356" s="1229">
        <f>837375/(100)</f>
        <v>8373.75</v>
      </c>
      <c r="F356" s="1229">
        <f t="shared" si="69"/>
        <v>0</v>
      </c>
      <c r="G356" s="1220">
        <f t="shared" si="70"/>
        <v>8373.75</v>
      </c>
    </row>
    <row r="357" spans="1:7">
      <c r="A357" s="702" t="s">
        <v>4250</v>
      </c>
      <c r="B357" s="1233">
        <f t="shared" si="75"/>
        <v>0</v>
      </c>
      <c r="C357" s="1229">
        <f>258168.8/(100)</f>
        <v>2581.6880000000001</v>
      </c>
      <c r="D357" s="1229">
        <f>15190.2/(100)</f>
        <v>151.90200000000002</v>
      </c>
      <c r="E357" s="1233">
        <f>0/(100)</f>
        <v>0</v>
      </c>
      <c r="F357" s="1229">
        <f t="shared" si="69"/>
        <v>2581.6880000000001</v>
      </c>
      <c r="G357" s="1220">
        <f t="shared" si="70"/>
        <v>-151.90200000000002</v>
      </c>
    </row>
    <row r="358" spans="1:7">
      <c r="A358" s="702" t="s">
        <v>4251</v>
      </c>
      <c r="B358" s="1233">
        <f t="shared" si="75"/>
        <v>0</v>
      </c>
      <c r="C358" s="1229">
        <f>125381/(100)</f>
        <v>1253.81</v>
      </c>
      <c r="D358" s="1233">
        <f>0/(100)</f>
        <v>0</v>
      </c>
      <c r="E358" s="1229">
        <f>5103.4/(100)</f>
        <v>51.033999999999999</v>
      </c>
      <c r="F358" s="1229">
        <f t="shared" si="69"/>
        <v>1253.81</v>
      </c>
      <c r="G358" s="1220">
        <f t="shared" si="70"/>
        <v>51.033999999999999</v>
      </c>
    </row>
    <row r="359" spans="1:7">
      <c r="A359" s="702" t="s">
        <v>4252</v>
      </c>
      <c r="B359" s="1233">
        <f t="shared" si="75"/>
        <v>0</v>
      </c>
      <c r="C359" s="1233">
        <f>0/(100)</f>
        <v>0</v>
      </c>
      <c r="D359" s="1233">
        <f>0/(100)</f>
        <v>0</v>
      </c>
      <c r="E359" s="1229">
        <f>133920/(100)</f>
        <v>1339.2</v>
      </c>
      <c r="F359" s="1229">
        <f t="shared" si="69"/>
        <v>0</v>
      </c>
      <c r="G359" s="1220">
        <f t="shared" si="70"/>
        <v>1339.2</v>
      </c>
    </row>
    <row r="360" spans="1:7">
      <c r="A360" s="702" t="s">
        <v>4253</v>
      </c>
      <c r="B360" s="1233">
        <f t="shared" si="75"/>
        <v>0</v>
      </c>
      <c r="C360" s="1233">
        <f>0/(100)</f>
        <v>0</v>
      </c>
      <c r="D360" s="1229">
        <f>68250/(100)</f>
        <v>682.5</v>
      </c>
      <c r="E360" s="1233">
        <f>0/(100)</f>
        <v>0</v>
      </c>
      <c r="F360" s="1229">
        <f t="shared" si="69"/>
        <v>0</v>
      </c>
      <c r="G360" s="1220">
        <f t="shared" si="70"/>
        <v>-682.5</v>
      </c>
    </row>
    <row r="361" spans="1:7">
      <c r="A361" s="702" t="s">
        <v>4254</v>
      </c>
      <c r="B361" s="1233">
        <f t="shared" si="75"/>
        <v>0</v>
      </c>
      <c r="C361" s="1233">
        <f>0/(100)</f>
        <v>0</v>
      </c>
      <c r="D361" s="1229">
        <f>1755468/(100)</f>
        <v>17554.68</v>
      </c>
      <c r="E361" s="1233">
        <f>0/(100)</f>
        <v>0</v>
      </c>
      <c r="F361" s="1229">
        <f t="shared" si="69"/>
        <v>0</v>
      </c>
      <c r="G361" s="1220">
        <f t="shared" si="70"/>
        <v>-17554.68</v>
      </c>
    </row>
    <row r="362" spans="1:7">
      <c r="A362" s="702" t="s">
        <v>4255</v>
      </c>
      <c r="B362" s="1233">
        <f t="shared" si="75"/>
        <v>0</v>
      </c>
      <c r="C362" s="1233">
        <f>0/(100)</f>
        <v>0</v>
      </c>
      <c r="D362" s="1233">
        <f t="shared" ref="D362:D367" si="77">0/(100)</f>
        <v>0</v>
      </c>
      <c r="E362" s="1229">
        <f>9500/(100)</f>
        <v>95</v>
      </c>
      <c r="F362" s="1229">
        <f t="shared" si="69"/>
        <v>0</v>
      </c>
      <c r="G362" s="1220">
        <f t="shared" si="70"/>
        <v>95</v>
      </c>
    </row>
    <row r="363" spans="1:7">
      <c r="A363" s="702" t="s">
        <v>4256</v>
      </c>
      <c r="B363" s="1233">
        <f t="shared" si="75"/>
        <v>0</v>
      </c>
      <c r="C363" s="1233">
        <f>0/(100)</f>
        <v>0</v>
      </c>
      <c r="D363" s="1233">
        <f t="shared" si="77"/>
        <v>0</v>
      </c>
      <c r="E363" s="1229">
        <f>39521.16/(100)</f>
        <v>395.21160000000003</v>
      </c>
      <c r="F363" s="1229">
        <f t="shared" si="69"/>
        <v>0</v>
      </c>
      <c r="G363" s="1220">
        <f t="shared" si="70"/>
        <v>395.21160000000003</v>
      </c>
    </row>
    <row r="364" spans="1:7">
      <c r="A364" s="702" t="s">
        <v>4257</v>
      </c>
      <c r="B364" s="1233">
        <f t="shared" si="75"/>
        <v>0</v>
      </c>
      <c r="C364" s="1229">
        <f>15538/(100)</f>
        <v>155.38</v>
      </c>
      <c r="D364" s="1233">
        <f t="shared" si="77"/>
        <v>0</v>
      </c>
      <c r="E364" s="1233">
        <f>0/(100)</f>
        <v>0</v>
      </c>
      <c r="F364" s="1229">
        <f t="shared" si="69"/>
        <v>155.38</v>
      </c>
      <c r="G364" s="1220">
        <f t="shared" si="70"/>
        <v>0</v>
      </c>
    </row>
    <row r="365" spans="1:7">
      <c r="A365" s="702" t="s">
        <v>4258</v>
      </c>
      <c r="B365" s="1233">
        <f t="shared" si="75"/>
        <v>0</v>
      </c>
      <c r="C365" s="1229">
        <f>21294/(100)</f>
        <v>212.94</v>
      </c>
      <c r="D365" s="1233">
        <f t="shared" si="77"/>
        <v>0</v>
      </c>
      <c r="E365" s="1229">
        <f>21294/(100)</f>
        <v>212.94</v>
      </c>
      <c r="F365" s="1229">
        <f t="shared" si="69"/>
        <v>212.94</v>
      </c>
      <c r="G365" s="1220">
        <f t="shared" si="70"/>
        <v>212.94</v>
      </c>
    </row>
    <row r="366" spans="1:7">
      <c r="A366" s="702" t="s">
        <v>4259</v>
      </c>
      <c r="B366" s="1233">
        <f t="shared" si="75"/>
        <v>0</v>
      </c>
      <c r="C366" s="1233">
        <f>0/(100)</f>
        <v>0</v>
      </c>
      <c r="D366" s="1233">
        <f t="shared" si="77"/>
        <v>0</v>
      </c>
      <c r="E366" s="1233">
        <f>0/(100)</f>
        <v>0</v>
      </c>
      <c r="F366" s="1229">
        <f t="shared" si="69"/>
        <v>0</v>
      </c>
      <c r="G366" s="1220">
        <f t="shared" si="70"/>
        <v>0</v>
      </c>
    </row>
    <row r="367" spans="1:7">
      <c r="A367" s="702" t="s">
        <v>4260</v>
      </c>
      <c r="B367" s="1233">
        <f t="shared" si="75"/>
        <v>0</v>
      </c>
      <c r="C367" s="1229">
        <f>15382/(100)</f>
        <v>153.82</v>
      </c>
      <c r="D367" s="1233">
        <f t="shared" si="77"/>
        <v>0</v>
      </c>
      <c r="E367" s="1233">
        <f>0/(100)</f>
        <v>0</v>
      </c>
      <c r="F367" s="1229">
        <f t="shared" si="69"/>
        <v>153.82</v>
      </c>
      <c r="G367" s="1220">
        <f t="shared" si="70"/>
        <v>0</v>
      </c>
    </row>
    <row r="368" spans="1:7">
      <c r="A368" s="702" t="s">
        <v>4261</v>
      </c>
      <c r="B368" s="1229">
        <f>220633/(100)</f>
        <v>2206.33</v>
      </c>
      <c r="C368" s="1233">
        <f>0/(100)</f>
        <v>0</v>
      </c>
      <c r="D368" s="1229">
        <f>220633/(100)</f>
        <v>2206.33</v>
      </c>
      <c r="E368" s="1233">
        <f>0/(100)</f>
        <v>0</v>
      </c>
      <c r="F368" s="1229">
        <f t="shared" si="69"/>
        <v>-2206.33</v>
      </c>
      <c r="G368" s="1220">
        <f t="shared" si="70"/>
        <v>-2206.33</v>
      </c>
    </row>
    <row r="369" spans="1:7">
      <c r="A369" s="702" t="s">
        <v>4262</v>
      </c>
      <c r="B369" s="1233">
        <f t="shared" ref="B369:B376" si="78">0/(100)</f>
        <v>0</v>
      </c>
      <c r="C369" s="1233">
        <f>0/(100)</f>
        <v>0</v>
      </c>
      <c r="D369" s="1233">
        <f t="shared" ref="D369:D379" si="79">0/(100)</f>
        <v>0</v>
      </c>
      <c r="E369" s="1229">
        <f>36000/(100)</f>
        <v>360</v>
      </c>
      <c r="F369" s="1229">
        <f t="shared" si="69"/>
        <v>0</v>
      </c>
      <c r="G369" s="1220">
        <f t="shared" si="70"/>
        <v>360</v>
      </c>
    </row>
    <row r="370" spans="1:7">
      <c r="A370" s="702" t="s">
        <v>4263</v>
      </c>
      <c r="B370" s="1233">
        <f t="shared" si="78"/>
        <v>0</v>
      </c>
      <c r="C370" s="1233">
        <f>0/(100)</f>
        <v>0</v>
      </c>
      <c r="D370" s="1233">
        <f t="shared" si="79"/>
        <v>0</v>
      </c>
      <c r="E370" s="1229">
        <f>60543/(100)</f>
        <v>605.42999999999995</v>
      </c>
      <c r="F370" s="1229">
        <f t="shared" si="69"/>
        <v>0</v>
      </c>
      <c r="G370" s="1220">
        <f t="shared" si="70"/>
        <v>605.42999999999995</v>
      </c>
    </row>
    <row r="371" spans="1:7">
      <c r="A371" s="702" t="s">
        <v>4264</v>
      </c>
      <c r="B371" s="1233">
        <f t="shared" si="78"/>
        <v>0</v>
      </c>
      <c r="C371" s="1233">
        <f>0/(100)</f>
        <v>0</v>
      </c>
      <c r="D371" s="1233">
        <f t="shared" si="79"/>
        <v>0</v>
      </c>
      <c r="E371" s="1233">
        <f>0/(100)</f>
        <v>0</v>
      </c>
      <c r="F371" s="1229">
        <f t="shared" si="69"/>
        <v>0</v>
      </c>
      <c r="G371" s="1220">
        <f t="shared" si="70"/>
        <v>0</v>
      </c>
    </row>
    <row r="372" spans="1:7">
      <c r="A372" s="702" t="s">
        <v>4265</v>
      </c>
      <c r="B372" s="1233">
        <f t="shared" si="78"/>
        <v>0</v>
      </c>
      <c r="C372" s="1233">
        <f>0/(100)</f>
        <v>0</v>
      </c>
      <c r="D372" s="1233">
        <f t="shared" si="79"/>
        <v>0</v>
      </c>
      <c r="E372" s="1229">
        <f>17000.01/(100)</f>
        <v>170.00009999999997</v>
      </c>
      <c r="F372" s="1229">
        <f t="shared" si="69"/>
        <v>0</v>
      </c>
      <c r="G372" s="1220">
        <f t="shared" si="70"/>
        <v>170.00009999999997</v>
      </c>
    </row>
    <row r="373" spans="1:7">
      <c r="A373" s="702" t="s">
        <v>4266</v>
      </c>
      <c r="B373" s="1233">
        <f t="shared" si="78"/>
        <v>0</v>
      </c>
      <c r="C373" s="1229">
        <f>6796/(100)</f>
        <v>67.959999999999994</v>
      </c>
      <c r="D373" s="1233">
        <f t="shared" si="79"/>
        <v>0</v>
      </c>
      <c r="E373" s="1229">
        <f>6796/(100)</f>
        <v>67.959999999999994</v>
      </c>
      <c r="F373" s="1229">
        <f t="shared" si="69"/>
        <v>67.959999999999994</v>
      </c>
      <c r="G373" s="1220">
        <f t="shared" si="70"/>
        <v>67.959999999999994</v>
      </c>
    </row>
    <row r="374" spans="1:7">
      <c r="A374" s="702" t="s">
        <v>4267</v>
      </c>
      <c r="B374" s="1233">
        <f t="shared" si="78"/>
        <v>0</v>
      </c>
      <c r="C374" s="1233">
        <f>0/(100)</f>
        <v>0</v>
      </c>
      <c r="D374" s="1233">
        <f t="shared" si="79"/>
        <v>0</v>
      </c>
      <c r="E374" s="1229">
        <f>11793.07/(100)</f>
        <v>117.9307</v>
      </c>
      <c r="F374" s="1229">
        <f t="shared" si="69"/>
        <v>0</v>
      </c>
      <c r="G374" s="1220">
        <f t="shared" si="70"/>
        <v>117.9307</v>
      </c>
    </row>
    <row r="375" spans="1:7">
      <c r="A375" s="702" t="s">
        <v>4268</v>
      </c>
      <c r="B375" s="1233">
        <f t="shared" si="78"/>
        <v>0</v>
      </c>
      <c r="C375" s="1233">
        <f>0/(100)</f>
        <v>0</v>
      </c>
      <c r="D375" s="1233">
        <f t="shared" si="79"/>
        <v>0</v>
      </c>
      <c r="E375" s="1229">
        <f>10446.29/(100)</f>
        <v>104.4629</v>
      </c>
      <c r="F375" s="1229">
        <f t="shared" si="69"/>
        <v>0</v>
      </c>
      <c r="G375" s="1220">
        <f t="shared" si="70"/>
        <v>104.4629</v>
      </c>
    </row>
    <row r="376" spans="1:7">
      <c r="A376" s="702" t="s">
        <v>4269</v>
      </c>
      <c r="B376" s="1233">
        <f t="shared" si="78"/>
        <v>0</v>
      </c>
      <c r="C376" s="1229">
        <f>21171/(100)</f>
        <v>211.71</v>
      </c>
      <c r="D376" s="1233">
        <f t="shared" si="79"/>
        <v>0</v>
      </c>
      <c r="E376" s="1229">
        <f>21171/(100)</f>
        <v>211.71</v>
      </c>
      <c r="F376" s="1229">
        <f t="shared" si="69"/>
        <v>211.71</v>
      </c>
      <c r="G376" s="1220">
        <f t="shared" si="70"/>
        <v>211.71</v>
      </c>
    </row>
    <row r="377" spans="1:7">
      <c r="A377" s="702" t="s">
        <v>4270</v>
      </c>
      <c r="B377" s="1229">
        <f>4954.65/(100)</f>
        <v>49.546499999999995</v>
      </c>
      <c r="C377" s="1233">
        <f>0/(100)</f>
        <v>0</v>
      </c>
      <c r="D377" s="1233">
        <f t="shared" si="79"/>
        <v>0</v>
      </c>
      <c r="E377" s="1229">
        <f>75285/(100)</f>
        <v>752.85</v>
      </c>
      <c r="F377" s="1229">
        <f t="shared" si="69"/>
        <v>-49.546499999999995</v>
      </c>
      <c r="G377" s="1220">
        <f t="shared" si="70"/>
        <v>752.85</v>
      </c>
    </row>
    <row r="378" spans="1:7">
      <c r="A378" s="702" t="s">
        <v>4271</v>
      </c>
      <c r="B378" s="1233">
        <f>0/(100)</f>
        <v>0</v>
      </c>
      <c r="C378" s="1233">
        <f>0/(100)</f>
        <v>0</v>
      </c>
      <c r="D378" s="1233">
        <f t="shared" si="79"/>
        <v>0</v>
      </c>
      <c r="E378" s="1229">
        <f>1911.6/(100)</f>
        <v>19.116</v>
      </c>
      <c r="F378" s="1229">
        <f t="shared" si="69"/>
        <v>0</v>
      </c>
      <c r="G378" s="1220">
        <f t="shared" si="70"/>
        <v>19.116</v>
      </c>
    </row>
    <row r="379" spans="1:7">
      <c r="A379" s="702" t="s">
        <v>4272</v>
      </c>
      <c r="B379" s="1233">
        <f>0/(100)</f>
        <v>0</v>
      </c>
      <c r="C379" s="1229">
        <f>4500/(100)</f>
        <v>45</v>
      </c>
      <c r="D379" s="1233">
        <f t="shared" si="79"/>
        <v>0</v>
      </c>
      <c r="E379" s="1229">
        <f>4500/(100)</f>
        <v>45</v>
      </c>
      <c r="F379" s="1229">
        <f t="shared" si="69"/>
        <v>45</v>
      </c>
      <c r="G379" s="1220">
        <f t="shared" si="70"/>
        <v>45</v>
      </c>
    </row>
    <row r="380" spans="1:7">
      <c r="A380" s="702" t="s">
        <v>4273</v>
      </c>
      <c r="B380" s="1233">
        <f>0/(100)</f>
        <v>0</v>
      </c>
      <c r="C380" s="1233">
        <f>0/(100)</f>
        <v>0</v>
      </c>
      <c r="D380" s="1229">
        <f>28369/(100)</f>
        <v>283.69</v>
      </c>
      <c r="E380" s="1233">
        <f>0/(100)</f>
        <v>0</v>
      </c>
      <c r="F380" s="1229">
        <f t="shared" si="69"/>
        <v>0</v>
      </c>
      <c r="G380" s="1220">
        <f t="shared" si="70"/>
        <v>-283.69</v>
      </c>
    </row>
    <row r="381" spans="1:7">
      <c r="A381" s="702" t="s">
        <v>917</v>
      </c>
      <c r="B381" s="1229">
        <f>1580256/(100)</f>
        <v>15802.56</v>
      </c>
      <c r="C381" s="1233">
        <f>0/(100)</f>
        <v>0</v>
      </c>
      <c r="D381" s="1233">
        <f>0/(100)</f>
        <v>0</v>
      </c>
      <c r="E381" s="1229">
        <f>28293/(100)</f>
        <v>282.93</v>
      </c>
      <c r="F381" s="1229">
        <f t="shared" si="69"/>
        <v>-15802.56</v>
      </c>
      <c r="G381" s="1220">
        <f t="shared" si="70"/>
        <v>282.93</v>
      </c>
    </row>
    <row r="382" spans="1:7">
      <c r="A382" s="702" t="s">
        <v>4274</v>
      </c>
      <c r="B382" s="1233">
        <f t="shared" ref="B382:B388" si="80">0/(100)</f>
        <v>0</v>
      </c>
      <c r="C382" s="1233">
        <f>0/(100)</f>
        <v>0</v>
      </c>
      <c r="D382" s="1233">
        <f>0/(100)</f>
        <v>0</v>
      </c>
      <c r="E382" s="1233">
        <f>0/(100)</f>
        <v>0</v>
      </c>
      <c r="F382" s="1229">
        <f t="shared" si="69"/>
        <v>0</v>
      </c>
      <c r="G382" s="1220">
        <f t="shared" si="70"/>
        <v>0</v>
      </c>
    </row>
    <row r="383" spans="1:7">
      <c r="A383" s="702" t="s">
        <v>4275</v>
      </c>
      <c r="B383" s="1233">
        <f t="shared" si="80"/>
        <v>0</v>
      </c>
      <c r="C383" s="1229">
        <f>21691985/(100)</f>
        <v>216919.85</v>
      </c>
      <c r="D383" s="1229">
        <f>48489598.68/(100)</f>
        <v>484895.98680000001</v>
      </c>
      <c r="E383" s="1233">
        <f>0/(100)</f>
        <v>0</v>
      </c>
      <c r="F383" s="1229">
        <f t="shared" si="69"/>
        <v>216919.85</v>
      </c>
      <c r="G383" s="1220">
        <f t="shared" si="70"/>
        <v>-484895.98680000001</v>
      </c>
    </row>
    <row r="384" spans="1:7">
      <c r="A384" s="702" t="s">
        <v>934</v>
      </c>
      <c r="B384" s="1233">
        <f t="shared" si="80"/>
        <v>0</v>
      </c>
      <c r="C384" s="1229">
        <f>415918/(100)</f>
        <v>4159.18</v>
      </c>
      <c r="D384" s="1229">
        <f>110/(100)</f>
        <v>1.1000000000000001</v>
      </c>
      <c r="E384" s="1233">
        <f>0/(100)</f>
        <v>0</v>
      </c>
      <c r="F384" s="1229">
        <f t="shared" si="69"/>
        <v>4159.18</v>
      </c>
      <c r="G384" s="1220">
        <f t="shared" si="70"/>
        <v>-1.1000000000000001</v>
      </c>
    </row>
    <row r="385" spans="1:7">
      <c r="A385" s="702" t="s">
        <v>4276</v>
      </c>
      <c r="B385" s="1233">
        <f t="shared" si="80"/>
        <v>0</v>
      </c>
      <c r="C385" s="1233">
        <f t="shared" ref="C385:D387" si="81">0/(100)</f>
        <v>0</v>
      </c>
      <c r="D385" s="1233">
        <f t="shared" si="81"/>
        <v>0</v>
      </c>
      <c r="E385" s="1233">
        <f>0/(100)</f>
        <v>0</v>
      </c>
      <c r="F385" s="1229">
        <f t="shared" si="69"/>
        <v>0</v>
      </c>
      <c r="G385" s="1220">
        <f t="shared" si="70"/>
        <v>0</v>
      </c>
    </row>
    <row r="386" spans="1:7">
      <c r="A386" s="702" t="s">
        <v>4277</v>
      </c>
      <c r="B386" s="1233">
        <f t="shared" si="80"/>
        <v>0</v>
      </c>
      <c r="C386" s="1233">
        <f t="shared" si="81"/>
        <v>0</v>
      </c>
      <c r="D386" s="1233">
        <f t="shared" si="81"/>
        <v>0</v>
      </c>
      <c r="E386" s="1229">
        <f>755048/(100)</f>
        <v>7550.48</v>
      </c>
      <c r="F386" s="1229">
        <f t="shared" si="69"/>
        <v>0</v>
      </c>
      <c r="G386" s="1220">
        <f t="shared" si="70"/>
        <v>7550.48</v>
      </c>
    </row>
    <row r="387" spans="1:7">
      <c r="A387" s="702" t="s">
        <v>4278</v>
      </c>
      <c r="B387" s="1233">
        <f t="shared" si="80"/>
        <v>0</v>
      </c>
      <c r="C387" s="1233">
        <f t="shared" si="81"/>
        <v>0</v>
      </c>
      <c r="D387" s="1233">
        <f t="shared" si="81"/>
        <v>0</v>
      </c>
      <c r="E387" s="1229">
        <f>21300/(100)</f>
        <v>213</v>
      </c>
      <c r="F387" s="1229">
        <f t="shared" si="69"/>
        <v>0</v>
      </c>
      <c r="G387" s="1220">
        <f t="shared" si="70"/>
        <v>213</v>
      </c>
    </row>
    <row r="388" spans="1:7">
      <c r="A388" s="702" t="s">
        <v>4279</v>
      </c>
      <c r="B388" s="1233">
        <f t="shared" si="80"/>
        <v>0</v>
      </c>
      <c r="C388" s="1229">
        <f>20700/(100)</f>
        <v>207</v>
      </c>
      <c r="D388" s="1233">
        <f>0/(100)</f>
        <v>0</v>
      </c>
      <c r="E388" s="1229">
        <f>20700/(100)</f>
        <v>207</v>
      </c>
      <c r="F388" s="1229">
        <f t="shared" si="69"/>
        <v>207</v>
      </c>
      <c r="G388" s="1220">
        <f t="shared" si="70"/>
        <v>207</v>
      </c>
    </row>
    <row r="389" spans="1:7">
      <c r="A389" s="702" t="s">
        <v>916</v>
      </c>
      <c r="B389" s="1229">
        <f>10225503/(100)</f>
        <v>102255.03</v>
      </c>
      <c r="C389" s="1233">
        <f>0/(100)</f>
        <v>0</v>
      </c>
      <c r="D389" s="1229">
        <f>279664/(100)</f>
        <v>2796.64</v>
      </c>
      <c r="E389" s="1233">
        <f>0/(100)</f>
        <v>0</v>
      </c>
      <c r="F389" s="1229">
        <f t="shared" ref="F389:F452" si="82">C389-B389</f>
        <v>-102255.03</v>
      </c>
      <c r="G389" s="1220">
        <f t="shared" ref="G389:G452" si="83">E389-D389</f>
        <v>-2796.64</v>
      </c>
    </row>
    <row r="390" spans="1:7">
      <c r="A390" s="702" t="s">
        <v>4280</v>
      </c>
      <c r="B390" s="1233">
        <f>0/(100)</f>
        <v>0</v>
      </c>
      <c r="C390" s="1233">
        <f>0/(100)</f>
        <v>0</v>
      </c>
      <c r="D390" s="1229">
        <f>1792500/(100)</f>
        <v>17925</v>
      </c>
      <c r="E390" s="1233">
        <f>0/(100)</f>
        <v>0</v>
      </c>
      <c r="F390" s="1229">
        <f t="shared" si="82"/>
        <v>0</v>
      </c>
      <c r="G390" s="1220">
        <f t="shared" si="83"/>
        <v>-17925</v>
      </c>
    </row>
    <row r="391" spans="1:7">
      <c r="A391" s="702" t="s">
        <v>4281</v>
      </c>
      <c r="B391" s="1233">
        <f>0/(100)</f>
        <v>0</v>
      </c>
      <c r="C391" s="1233">
        <f>0/(100)</f>
        <v>0</v>
      </c>
      <c r="D391" s="1233">
        <f>0/(100)</f>
        <v>0</v>
      </c>
      <c r="E391" s="1233">
        <f>0/(100)</f>
        <v>0</v>
      </c>
      <c r="F391" s="1229">
        <f t="shared" si="82"/>
        <v>0</v>
      </c>
      <c r="G391" s="1220">
        <f t="shared" si="83"/>
        <v>0</v>
      </c>
    </row>
    <row r="392" spans="1:7">
      <c r="A392" s="702" t="s">
        <v>4282</v>
      </c>
      <c r="B392" s="1229">
        <f>915412/(100)</f>
        <v>9154.1200000000008</v>
      </c>
      <c r="C392" s="1233">
        <f>0/(100)</f>
        <v>0</v>
      </c>
      <c r="D392" s="1229">
        <f>915412/(100)</f>
        <v>9154.1200000000008</v>
      </c>
      <c r="E392" s="1233">
        <f>0/(100)</f>
        <v>0</v>
      </c>
      <c r="F392" s="1229">
        <f t="shared" si="82"/>
        <v>-9154.1200000000008</v>
      </c>
      <c r="G392" s="1220">
        <f t="shared" si="83"/>
        <v>-9154.1200000000008</v>
      </c>
    </row>
    <row r="393" spans="1:7">
      <c r="A393" s="702" t="s">
        <v>1506</v>
      </c>
      <c r="B393" s="1233">
        <f>0/(100)</f>
        <v>0</v>
      </c>
      <c r="C393" s="1229">
        <f>341403.35/(100)</f>
        <v>3414.0334999999995</v>
      </c>
      <c r="D393" s="1233">
        <f>0/(100)</f>
        <v>0</v>
      </c>
      <c r="E393" s="1229">
        <f>285674.9/(100)</f>
        <v>2856.7490000000003</v>
      </c>
      <c r="F393" s="1229">
        <f t="shared" si="82"/>
        <v>3414.0334999999995</v>
      </c>
      <c r="G393" s="1220">
        <f t="shared" si="83"/>
        <v>2856.7490000000003</v>
      </c>
    </row>
    <row r="394" spans="1:7">
      <c r="A394" s="702" t="s">
        <v>4283</v>
      </c>
      <c r="B394" s="1229">
        <f>525890/(100)</f>
        <v>5258.9</v>
      </c>
      <c r="C394" s="1233">
        <f>0/(100)</f>
        <v>0</v>
      </c>
      <c r="D394" s="1229">
        <f>199517/(100)</f>
        <v>1995.17</v>
      </c>
      <c r="E394" s="1233">
        <f>0/(100)</f>
        <v>0</v>
      </c>
      <c r="F394" s="1229">
        <f t="shared" si="82"/>
        <v>-5258.9</v>
      </c>
      <c r="G394" s="1220">
        <f t="shared" si="83"/>
        <v>-1995.17</v>
      </c>
    </row>
    <row r="395" spans="1:7">
      <c r="A395" s="702" t="s">
        <v>4284</v>
      </c>
      <c r="B395" s="1233">
        <f>0/(100)</f>
        <v>0</v>
      </c>
      <c r="C395" s="1229">
        <f>17700/(100)</f>
        <v>177</v>
      </c>
      <c r="D395" s="1233">
        <f>0/(100)</f>
        <v>0</v>
      </c>
      <c r="E395" s="1229">
        <f>17700/(100)</f>
        <v>177</v>
      </c>
      <c r="F395" s="1229">
        <f t="shared" si="82"/>
        <v>177</v>
      </c>
      <c r="G395" s="1220">
        <f t="shared" si="83"/>
        <v>177</v>
      </c>
    </row>
    <row r="396" spans="1:7">
      <c r="A396" s="702" t="s">
        <v>4285</v>
      </c>
      <c r="B396" s="1233">
        <f>0/(100)</f>
        <v>0</v>
      </c>
      <c r="C396" s="1233">
        <f>0/(100)</f>
        <v>0</v>
      </c>
      <c r="D396" s="1233">
        <f>0/(100)</f>
        <v>0</v>
      </c>
      <c r="E396" s="1229">
        <f>226597.2/(100)</f>
        <v>2265.9720000000002</v>
      </c>
      <c r="F396" s="1229">
        <f t="shared" si="82"/>
        <v>0</v>
      </c>
      <c r="G396" s="1220">
        <f t="shared" si="83"/>
        <v>2265.9720000000002</v>
      </c>
    </row>
    <row r="397" spans="1:7">
      <c r="A397" s="702" t="s">
        <v>4286</v>
      </c>
      <c r="B397" s="1229">
        <f>56695/(100)</f>
        <v>566.95000000000005</v>
      </c>
      <c r="C397" s="1233">
        <f>0/(100)</f>
        <v>0</v>
      </c>
      <c r="D397" s="1229">
        <f>56695/(100)</f>
        <v>566.95000000000005</v>
      </c>
      <c r="E397" s="1233">
        <f>0/(100)</f>
        <v>0</v>
      </c>
      <c r="F397" s="1229">
        <f t="shared" si="82"/>
        <v>-566.95000000000005</v>
      </c>
      <c r="G397" s="1220">
        <f t="shared" si="83"/>
        <v>-566.95000000000005</v>
      </c>
    </row>
    <row r="398" spans="1:7">
      <c r="A398" s="702" t="s">
        <v>4287</v>
      </c>
      <c r="B398" s="1233">
        <f t="shared" ref="B398:B403" si="84">0/(100)</f>
        <v>0</v>
      </c>
      <c r="C398" s="1233">
        <f>0/(100)</f>
        <v>0</v>
      </c>
      <c r="D398" s="1233">
        <f t="shared" ref="D398:D403" si="85">0/(100)</f>
        <v>0</v>
      </c>
      <c r="E398" s="1233">
        <f>0/(100)</f>
        <v>0</v>
      </c>
      <c r="F398" s="1229">
        <f t="shared" si="82"/>
        <v>0</v>
      </c>
      <c r="G398" s="1220">
        <f t="shared" si="83"/>
        <v>0</v>
      </c>
    </row>
    <row r="399" spans="1:7">
      <c r="A399" s="702" t="s">
        <v>4288</v>
      </c>
      <c r="B399" s="1233">
        <f t="shared" si="84"/>
        <v>0</v>
      </c>
      <c r="C399" s="1229">
        <f>8380/(100)</f>
        <v>83.8</v>
      </c>
      <c r="D399" s="1233">
        <f t="shared" si="85"/>
        <v>0</v>
      </c>
      <c r="E399" s="1229">
        <f>8380/(100)</f>
        <v>83.8</v>
      </c>
      <c r="F399" s="1229">
        <f t="shared" si="82"/>
        <v>83.8</v>
      </c>
      <c r="G399" s="1220">
        <f t="shared" si="83"/>
        <v>83.8</v>
      </c>
    </row>
    <row r="400" spans="1:7">
      <c r="A400" s="702" t="s">
        <v>4289</v>
      </c>
      <c r="B400" s="1233">
        <f t="shared" si="84"/>
        <v>0</v>
      </c>
      <c r="C400" s="1229">
        <f>25943/(100)</f>
        <v>259.43</v>
      </c>
      <c r="D400" s="1233">
        <f t="shared" si="85"/>
        <v>0</v>
      </c>
      <c r="E400" s="1233">
        <f>0/(100)</f>
        <v>0</v>
      </c>
      <c r="F400" s="1229">
        <f t="shared" si="82"/>
        <v>259.43</v>
      </c>
      <c r="G400" s="1220">
        <f t="shared" si="83"/>
        <v>0</v>
      </c>
    </row>
    <row r="401" spans="1:7">
      <c r="A401" s="702" t="s">
        <v>4290</v>
      </c>
      <c r="B401" s="1233">
        <f t="shared" si="84"/>
        <v>0</v>
      </c>
      <c r="C401" s="1229">
        <f>6726/(100)</f>
        <v>67.260000000000005</v>
      </c>
      <c r="D401" s="1233">
        <f t="shared" si="85"/>
        <v>0</v>
      </c>
      <c r="E401" s="1229">
        <f>6726/(100)</f>
        <v>67.260000000000005</v>
      </c>
      <c r="F401" s="1229">
        <f t="shared" si="82"/>
        <v>67.260000000000005</v>
      </c>
      <c r="G401" s="1220">
        <f t="shared" si="83"/>
        <v>67.260000000000005</v>
      </c>
    </row>
    <row r="402" spans="1:7">
      <c r="A402" s="702" t="s">
        <v>4291</v>
      </c>
      <c r="B402" s="1233">
        <f t="shared" si="84"/>
        <v>0</v>
      </c>
      <c r="C402" s="1229">
        <f>112995/(100)</f>
        <v>1129.95</v>
      </c>
      <c r="D402" s="1233">
        <f t="shared" si="85"/>
        <v>0</v>
      </c>
      <c r="E402" s="1229">
        <f>11263/(100)</f>
        <v>112.63</v>
      </c>
      <c r="F402" s="1229">
        <f t="shared" si="82"/>
        <v>1129.95</v>
      </c>
      <c r="G402" s="1220">
        <f t="shared" si="83"/>
        <v>112.63</v>
      </c>
    </row>
    <row r="403" spans="1:7">
      <c r="A403" s="702" t="s">
        <v>4292</v>
      </c>
      <c r="B403" s="1233">
        <f t="shared" si="84"/>
        <v>0</v>
      </c>
      <c r="C403" s="1233">
        <f>0/(100)</f>
        <v>0</v>
      </c>
      <c r="D403" s="1233">
        <f t="shared" si="85"/>
        <v>0</v>
      </c>
      <c r="E403" s="1233">
        <f>0/(100)</f>
        <v>0</v>
      </c>
      <c r="F403" s="1229">
        <f t="shared" si="82"/>
        <v>0</v>
      </c>
      <c r="G403" s="1220">
        <f t="shared" si="83"/>
        <v>0</v>
      </c>
    </row>
    <row r="404" spans="1:7">
      <c r="A404" s="702" t="s">
        <v>4293</v>
      </c>
      <c r="B404" s="1229">
        <f>4146/(100)</f>
        <v>41.46</v>
      </c>
      <c r="C404" s="1233">
        <f>0/(100)</f>
        <v>0</v>
      </c>
      <c r="D404" s="1229">
        <f>4146/(100)</f>
        <v>41.46</v>
      </c>
      <c r="E404" s="1233">
        <f>0/(100)</f>
        <v>0</v>
      </c>
      <c r="F404" s="1229">
        <f t="shared" si="82"/>
        <v>-41.46</v>
      </c>
      <c r="G404" s="1220">
        <f t="shared" si="83"/>
        <v>-41.46</v>
      </c>
    </row>
    <row r="405" spans="1:7">
      <c r="A405" s="702" t="s">
        <v>4294</v>
      </c>
      <c r="B405" s="1233">
        <f t="shared" ref="B405:B413" si="86">0/(100)</f>
        <v>0</v>
      </c>
      <c r="C405" s="1229">
        <f>4720/(100)</f>
        <v>47.2</v>
      </c>
      <c r="D405" s="1233">
        <f t="shared" ref="D405:D413" si="87">0/(100)</f>
        <v>0</v>
      </c>
      <c r="E405" s="1229">
        <f>4720/(100)</f>
        <v>47.2</v>
      </c>
      <c r="F405" s="1229">
        <f t="shared" si="82"/>
        <v>47.2</v>
      </c>
      <c r="G405" s="1220">
        <f t="shared" si="83"/>
        <v>47.2</v>
      </c>
    </row>
    <row r="406" spans="1:7">
      <c r="A406" s="702" t="s">
        <v>4295</v>
      </c>
      <c r="B406" s="1233">
        <f t="shared" si="86"/>
        <v>0</v>
      </c>
      <c r="C406" s="1229">
        <f>157175.34/(100)</f>
        <v>1571.7534000000001</v>
      </c>
      <c r="D406" s="1233">
        <f t="shared" si="87"/>
        <v>0</v>
      </c>
      <c r="E406" s="1229">
        <f>209208.62/(100)</f>
        <v>2092.0861999999997</v>
      </c>
      <c r="F406" s="1229">
        <f t="shared" si="82"/>
        <v>1571.7534000000001</v>
      </c>
      <c r="G406" s="1220">
        <f t="shared" si="83"/>
        <v>2092.0861999999997</v>
      </c>
    </row>
    <row r="407" spans="1:7">
      <c r="A407" s="702" t="s">
        <v>4296</v>
      </c>
      <c r="B407" s="1233">
        <f t="shared" si="86"/>
        <v>0</v>
      </c>
      <c r="C407" s="1233">
        <f>0/(100)</f>
        <v>0</v>
      </c>
      <c r="D407" s="1233">
        <f t="shared" si="87"/>
        <v>0</v>
      </c>
      <c r="E407" s="1233">
        <f>0/(100)</f>
        <v>0</v>
      </c>
      <c r="F407" s="1229">
        <f t="shared" si="82"/>
        <v>0</v>
      </c>
      <c r="G407" s="1220">
        <f t="shared" si="83"/>
        <v>0</v>
      </c>
    </row>
    <row r="408" spans="1:7">
      <c r="A408" s="702" t="s">
        <v>4297</v>
      </c>
      <c r="B408" s="1233">
        <f t="shared" si="86"/>
        <v>0</v>
      </c>
      <c r="C408" s="1233">
        <f>0/(100)</f>
        <v>0</v>
      </c>
      <c r="D408" s="1233">
        <f t="shared" si="87"/>
        <v>0</v>
      </c>
      <c r="E408" s="1233">
        <f>0/(100)</f>
        <v>0</v>
      </c>
      <c r="F408" s="1229">
        <f t="shared" si="82"/>
        <v>0</v>
      </c>
      <c r="G408" s="1220">
        <f t="shared" si="83"/>
        <v>0</v>
      </c>
    </row>
    <row r="409" spans="1:7">
      <c r="A409" s="702" t="s">
        <v>3415</v>
      </c>
      <c r="B409" s="1233">
        <f t="shared" si="86"/>
        <v>0</v>
      </c>
      <c r="C409" s="1229">
        <f>741234.59/(100)</f>
        <v>7412.3458999999993</v>
      </c>
      <c r="D409" s="1233">
        <f t="shared" si="87"/>
        <v>0</v>
      </c>
      <c r="E409" s="1229">
        <f>167150.99/(100)</f>
        <v>1671.5099</v>
      </c>
      <c r="F409" s="1229">
        <f t="shared" si="82"/>
        <v>7412.3458999999993</v>
      </c>
      <c r="G409" s="1220">
        <f t="shared" si="83"/>
        <v>1671.5099</v>
      </c>
    </row>
    <row r="410" spans="1:7">
      <c r="A410" s="702" t="s">
        <v>4298</v>
      </c>
      <c r="B410" s="1233">
        <f t="shared" si="86"/>
        <v>0</v>
      </c>
      <c r="C410" s="1229">
        <f>29468/(100)</f>
        <v>294.68</v>
      </c>
      <c r="D410" s="1233">
        <f t="shared" si="87"/>
        <v>0</v>
      </c>
      <c r="E410" s="1233">
        <f>0/(100)</f>
        <v>0</v>
      </c>
      <c r="F410" s="1229">
        <f t="shared" si="82"/>
        <v>294.68</v>
      </c>
      <c r="G410" s="1220">
        <f t="shared" si="83"/>
        <v>0</v>
      </c>
    </row>
    <row r="411" spans="1:7">
      <c r="A411" s="702" t="s">
        <v>4299</v>
      </c>
      <c r="B411" s="1233">
        <f t="shared" si="86"/>
        <v>0</v>
      </c>
      <c r="C411" s="1229">
        <f>28570/(100)</f>
        <v>285.7</v>
      </c>
      <c r="D411" s="1233">
        <f t="shared" si="87"/>
        <v>0</v>
      </c>
      <c r="E411" s="1229">
        <f>4842/(100)</f>
        <v>48.42</v>
      </c>
      <c r="F411" s="1229">
        <f t="shared" si="82"/>
        <v>285.7</v>
      </c>
      <c r="G411" s="1220">
        <f t="shared" si="83"/>
        <v>48.42</v>
      </c>
    </row>
    <row r="412" spans="1:7">
      <c r="A412" s="702" t="s">
        <v>933</v>
      </c>
      <c r="B412" s="1233">
        <f t="shared" si="86"/>
        <v>0</v>
      </c>
      <c r="C412" s="1229">
        <f>539094/(100)</f>
        <v>5390.94</v>
      </c>
      <c r="D412" s="1233">
        <f t="shared" si="87"/>
        <v>0</v>
      </c>
      <c r="E412" s="1229">
        <f>365406.6/(100)</f>
        <v>3654.0659999999998</v>
      </c>
      <c r="F412" s="1229">
        <f t="shared" si="82"/>
        <v>5390.94</v>
      </c>
      <c r="G412" s="1220">
        <f t="shared" si="83"/>
        <v>3654.0659999999998</v>
      </c>
    </row>
    <row r="413" spans="1:7">
      <c r="A413" s="702" t="s">
        <v>4300</v>
      </c>
      <c r="B413" s="1233">
        <f t="shared" si="86"/>
        <v>0</v>
      </c>
      <c r="C413" s="1229">
        <f>109200/(100)</f>
        <v>1092</v>
      </c>
      <c r="D413" s="1233">
        <f t="shared" si="87"/>
        <v>0</v>
      </c>
      <c r="E413" s="1229">
        <f>109200/(100)</f>
        <v>1092</v>
      </c>
      <c r="F413" s="1229">
        <f t="shared" si="82"/>
        <v>1092</v>
      </c>
      <c r="G413" s="1220">
        <f t="shared" si="83"/>
        <v>1092</v>
      </c>
    </row>
    <row r="414" spans="1:7">
      <c r="A414" s="702" t="s">
        <v>4301</v>
      </c>
      <c r="B414" s="1229">
        <f>45931/(100)</f>
        <v>459.31</v>
      </c>
      <c r="C414" s="1233">
        <f t="shared" ref="C414:C419" si="88">0/(100)</f>
        <v>0</v>
      </c>
      <c r="D414" s="1229">
        <f>45931/(100)</f>
        <v>459.31</v>
      </c>
      <c r="E414" s="1233">
        <f>0/(100)</f>
        <v>0</v>
      </c>
      <c r="F414" s="1229">
        <f t="shared" si="82"/>
        <v>-459.31</v>
      </c>
      <c r="G414" s="1220">
        <f t="shared" si="83"/>
        <v>-459.31</v>
      </c>
    </row>
    <row r="415" spans="1:7">
      <c r="A415" s="702" t="s">
        <v>4302</v>
      </c>
      <c r="B415" s="1233">
        <f>0/(100)</f>
        <v>0</v>
      </c>
      <c r="C415" s="1233">
        <f t="shared" si="88"/>
        <v>0</v>
      </c>
      <c r="D415" s="1229">
        <f>62168/(100)</f>
        <v>621.67999999999995</v>
      </c>
      <c r="E415" s="1233">
        <f>0/(100)</f>
        <v>0</v>
      </c>
      <c r="F415" s="1229">
        <f t="shared" si="82"/>
        <v>0</v>
      </c>
      <c r="G415" s="1220">
        <f t="shared" si="83"/>
        <v>-621.67999999999995</v>
      </c>
    </row>
    <row r="416" spans="1:7">
      <c r="A416" s="702" t="s">
        <v>4303</v>
      </c>
      <c r="B416" s="1229">
        <f>6022.48/(100)</f>
        <v>60.224799999999995</v>
      </c>
      <c r="C416" s="1233">
        <f t="shared" si="88"/>
        <v>0</v>
      </c>
      <c r="D416" s="1229">
        <f>6022.48/(100)</f>
        <v>60.224799999999995</v>
      </c>
      <c r="E416" s="1233">
        <f>0/(100)</f>
        <v>0</v>
      </c>
      <c r="F416" s="1229">
        <f t="shared" si="82"/>
        <v>-60.224799999999995</v>
      </c>
      <c r="G416" s="1220">
        <f t="shared" si="83"/>
        <v>-60.224799999999995</v>
      </c>
    </row>
    <row r="417" spans="1:7">
      <c r="A417" s="702" t="s">
        <v>4304</v>
      </c>
      <c r="B417" s="1233">
        <f t="shared" ref="B417:B427" si="89">0/(100)</f>
        <v>0</v>
      </c>
      <c r="C417" s="1233">
        <f t="shared" si="88"/>
        <v>0</v>
      </c>
      <c r="D417" s="1233">
        <f t="shared" ref="D417:D422" si="90">0/(100)</f>
        <v>0</v>
      </c>
      <c r="E417" s="1233">
        <f>0/(100)</f>
        <v>0</v>
      </c>
      <c r="F417" s="1229">
        <f t="shared" si="82"/>
        <v>0</v>
      </c>
      <c r="G417" s="1220">
        <f t="shared" si="83"/>
        <v>0</v>
      </c>
    </row>
    <row r="418" spans="1:7">
      <c r="A418" s="702" t="s">
        <v>4305</v>
      </c>
      <c r="B418" s="1233">
        <f t="shared" si="89"/>
        <v>0</v>
      </c>
      <c r="C418" s="1233">
        <f t="shared" si="88"/>
        <v>0</v>
      </c>
      <c r="D418" s="1233">
        <f t="shared" si="90"/>
        <v>0</v>
      </c>
      <c r="E418" s="1229">
        <f>13965/(100)</f>
        <v>139.65</v>
      </c>
      <c r="F418" s="1229">
        <f t="shared" si="82"/>
        <v>0</v>
      </c>
      <c r="G418" s="1220">
        <f t="shared" si="83"/>
        <v>139.65</v>
      </c>
    </row>
    <row r="419" spans="1:7">
      <c r="A419" s="702" t="s">
        <v>4306</v>
      </c>
      <c r="B419" s="1233">
        <f t="shared" si="89"/>
        <v>0</v>
      </c>
      <c r="C419" s="1233">
        <f t="shared" si="88"/>
        <v>0</v>
      </c>
      <c r="D419" s="1233">
        <f t="shared" si="90"/>
        <v>0</v>
      </c>
      <c r="E419" s="1233">
        <f>0/(100)</f>
        <v>0</v>
      </c>
      <c r="F419" s="1229">
        <f t="shared" si="82"/>
        <v>0</v>
      </c>
      <c r="G419" s="1220">
        <f t="shared" si="83"/>
        <v>0</v>
      </c>
    </row>
    <row r="420" spans="1:7">
      <c r="A420" s="702" t="s">
        <v>4307</v>
      </c>
      <c r="B420" s="1233">
        <f t="shared" si="89"/>
        <v>0</v>
      </c>
      <c r="C420" s="1229">
        <f>1148000/(100)</f>
        <v>11480</v>
      </c>
      <c r="D420" s="1233">
        <f t="shared" si="90"/>
        <v>0</v>
      </c>
      <c r="E420" s="1229">
        <f>37400/(100)</f>
        <v>374</v>
      </c>
      <c r="F420" s="1229">
        <f t="shared" si="82"/>
        <v>11480</v>
      </c>
      <c r="G420" s="1220">
        <f t="shared" si="83"/>
        <v>374</v>
      </c>
    </row>
    <row r="421" spans="1:7">
      <c r="A421" s="702" t="s">
        <v>4308</v>
      </c>
      <c r="B421" s="1233">
        <f t="shared" si="89"/>
        <v>0</v>
      </c>
      <c r="C421" s="1233">
        <f>0/(100)</f>
        <v>0</v>
      </c>
      <c r="D421" s="1233">
        <f t="shared" si="90"/>
        <v>0</v>
      </c>
      <c r="E421" s="1229">
        <f>11300/(100)</f>
        <v>113</v>
      </c>
      <c r="F421" s="1229">
        <f t="shared" si="82"/>
        <v>0</v>
      </c>
      <c r="G421" s="1220">
        <f t="shared" si="83"/>
        <v>113</v>
      </c>
    </row>
    <row r="422" spans="1:7">
      <c r="A422" s="702" t="s">
        <v>4309</v>
      </c>
      <c r="B422" s="1233">
        <f t="shared" si="89"/>
        <v>0</v>
      </c>
      <c r="C422" s="1233">
        <f>0/(100)</f>
        <v>0</v>
      </c>
      <c r="D422" s="1233">
        <f t="shared" si="90"/>
        <v>0</v>
      </c>
      <c r="E422" s="1233">
        <f>0/(100)</f>
        <v>0</v>
      </c>
      <c r="F422" s="1229">
        <f t="shared" si="82"/>
        <v>0</v>
      </c>
      <c r="G422" s="1220">
        <f t="shared" si="83"/>
        <v>0</v>
      </c>
    </row>
    <row r="423" spans="1:7">
      <c r="A423" s="702" t="s">
        <v>4310</v>
      </c>
      <c r="B423" s="1233">
        <f t="shared" si="89"/>
        <v>0</v>
      </c>
      <c r="C423" s="1229">
        <f>15958/(100)</f>
        <v>159.58000000000001</v>
      </c>
      <c r="D423" s="1229">
        <f>221642/(100)</f>
        <v>2216.42</v>
      </c>
      <c r="E423" s="1233">
        <f>0/(100)</f>
        <v>0</v>
      </c>
      <c r="F423" s="1229">
        <f t="shared" si="82"/>
        <v>159.58000000000001</v>
      </c>
      <c r="G423" s="1220">
        <f t="shared" si="83"/>
        <v>-2216.42</v>
      </c>
    </row>
    <row r="424" spans="1:7">
      <c r="A424" s="702" t="s">
        <v>597</v>
      </c>
      <c r="B424" s="1233">
        <f t="shared" si="89"/>
        <v>0</v>
      </c>
      <c r="C424" s="1233">
        <f>0/(100)</f>
        <v>0</v>
      </c>
      <c r="D424" s="1233">
        <f>0/(100)</f>
        <v>0</v>
      </c>
      <c r="E424" s="1233">
        <f>0/(100)</f>
        <v>0</v>
      </c>
      <c r="F424" s="1229">
        <f t="shared" si="82"/>
        <v>0</v>
      </c>
      <c r="G424" s="1220">
        <f t="shared" si="83"/>
        <v>0</v>
      </c>
    </row>
    <row r="425" spans="1:7">
      <c r="A425" s="702" t="s">
        <v>4311</v>
      </c>
      <c r="B425" s="1233">
        <f t="shared" si="89"/>
        <v>0</v>
      </c>
      <c r="C425" s="1229">
        <f>9672/(100)</f>
        <v>96.72</v>
      </c>
      <c r="D425" s="1233">
        <f>0/(100)</f>
        <v>0</v>
      </c>
      <c r="E425" s="1233">
        <f>0/(100)</f>
        <v>0</v>
      </c>
      <c r="F425" s="1229">
        <f t="shared" si="82"/>
        <v>96.72</v>
      </c>
      <c r="G425" s="1220">
        <f t="shared" si="83"/>
        <v>0</v>
      </c>
    </row>
    <row r="426" spans="1:7">
      <c r="A426" s="702" t="s">
        <v>4312</v>
      </c>
      <c r="B426" s="1233">
        <f t="shared" si="89"/>
        <v>0</v>
      </c>
      <c r="C426" s="1233">
        <f>0/(100)</f>
        <v>0</v>
      </c>
      <c r="D426" s="1233">
        <f>0/(100)</f>
        <v>0</v>
      </c>
      <c r="E426" s="1229">
        <f>9895/(100)</f>
        <v>98.95</v>
      </c>
      <c r="F426" s="1229">
        <f t="shared" si="82"/>
        <v>0</v>
      </c>
      <c r="G426" s="1220">
        <f t="shared" si="83"/>
        <v>98.95</v>
      </c>
    </row>
    <row r="427" spans="1:7">
      <c r="A427" s="702" t="s">
        <v>3325</v>
      </c>
      <c r="B427" s="1233">
        <f t="shared" si="89"/>
        <v>0</v>
      </c>
      <c r="C427" s="1229">
        <f>56357.6/(100)</f>
        <v>563.57600000000002</v>
      </c>
      <c r="D427" s="1233">
        <f>0/(100)</f>
        <v>0</v>
      </c>
      <c r="E427" s="1229">
        <f>95015.6/(100)</f>
        <v>950.15600000000006</v>
      </c>
      <c r="F427" s="1229">
        <f t="shared" si="82"/>
        <v>563.57600000000002</v>
      </c>
      <c r="G427" s="1220">
        <f t="shared" si="83"/>
        <v>950.15600000000006</v>
      </c>
    </row>
    <row r="428" spans="1:7">
      <c r="A428" s="702" t="s">
        <v>4313</v>
      </c>
      <c r="B428" s="1229">
        <f>31900/(100)</f>
        <v>319</v>
      </c>
      <c r="C428" s="1233">
        <f>0/(100)</f>
        <v>0</v>
      </c>
      <c r="D428" s="1229">
        <f>31900/(100)</f>
        <v>319</v>
      </c>
      <c r="E428" s="1233">
        <f>0/(100)</f>
        <v>0</v>
      </c>
      <c r="F428" s="1229">
        <f t="shared" si="82"/>
        <v>-319</v>
      </c>
      <c r="G428" s="1220">
        <f t="shared" si="83"/>
        <v>-319</v>
      </c>
    </row>
    <row r="429" spans="1:7">
      <c r="A429" s="702" t="s">
        <v>4314</v>
      </c>
      <c r="B429" s="1229">
        <f>49/(100)</f>
        <v>0.49</v>
      </c>
      <c r="C429" s="1233">
        <f>0/(100)</f>
        <v>0</v>
      </c>
      <c r="D429" s="1229">
        <f>49/(100)</f>
        <v>0.49</v>
      </c>
      <c r="E429" s="1233">
        <f>0/(100)</f>
        <v>0</v>
      </c>
      <c r="F429" s="1229">
        <f t="shared" si="82"/>
        <v>-0.49</v>
      </c>
      <c r="G429" s="1220">
        <f t="shared" si="83"/>
        <v>-0.49</v>
      </c>
    </row>
    <row r="430" spans="1:7">
      <c r="A430" s="702" t="s">
        <v>4315</v>
      </c>
      <c r="B430" s="1233">
        <f t="shared" ref="B430:B437" si="91">0/(100)</f>
        <v>0</v>
      </c>
      <c r="C430" s="1229">
        <f>171361.15/(100)</f>
        <v>1713.6115</v>
      </c>
      <c r="D430" s="1233">
        <f>0/(100)</f>
        <v>0</v>
      </c>
      <c r="E430" s="1229">
        <f>55890.15/(100)</f>
        <v>558.90150000000006</v>
      </c>
      <c r="F430" s="1229">
        <f t="shared" si="82"/>
        <v>1713.6115</v>
      </c>
      <c r="G430" s="1220">
        <f t="shared" si="83"/>
        <v>558.90150000000006</v>
      </c>
    </row>
    <row r="431" spans="1:7">
      <c r="A431" s="702" t="s">
        <v>4316</v>
      </c>
      <c r="B431" s="1233">
        <f t="shared" si="91"/>
        <v>0</v>
      </c>
      <c r="C431" s="1233">
        <f>0/(100)</f>
        <v>0</v>
      </c>
      <c r="D431" s="1229">
        <f>10000/(100)</f>
        <v>100</v>
      </c>
      <c r="E431" s="1233">
        <f>0/(100)</f>
        <v>0</v>
      </c>
      <c r="F431" s="1229">
        <f t="shared" si="82"/>
        <v>0</v>
      </c>
      <c r="G431" s="1220">
        <f t="shared" si="83"/>
        <v>-100</v>
      </c>
    </row>
    <row r="432" spans="1:7">
      <c r="A432" s="702" t="s">
        <v>4317</v>
      </c>
      <c r="B432" s="1233">
        <f t="shared" si="91"/>
        <v>0</v>
      </c>
      <c r="C432" s="1233">
        <f>0/(100)</f>
        <v>0</v>
      </c>
      <c r="D432" s="1233">
        <f>0/(100)</f>
        <v>0</v>
      </c>
      <c r="E432" s="1229">
        <f>259697.94/(100)</f>
        <v>2596.9794000000002</v>
      </c>
      <c r="F432" s="1229">
        <f t="shared" si="82"/>
        <v>0</v>
      </c>
      <c r="G432" s="1220">
        <f t="shared" si="83"/>
        <v>2596.9794000000002</v>
      </c>
    </row>
    <row r="433" spans="1:7">
      <c r="A433" s="702" t="s">
        <v>4318</v>
      </c>
      <c r="B433" s="1233">
        <f t="shared" si="91"/>
        <v>0</v>
      </c>
      <c r="C433" s="1233">
        <f>0/(100)</f>
        <v>0</v>
      </c>
      <c r="D433" s="1233">
        <f>0/(100)</f>
        <v>0</v>
      </c>
      <c r="E433" s="1233">
        <f>0/(100)</f>
        <v>0</v>
      </c>
      <c r="F433" s="1229">
        <f t="shared" si="82"/>
        <v>0</v>
      </c>
      <c r="G433" s="1220">
        <f t="shared" si="83"/>
        <v>0</v>
      </c>
    </row>
    <row r="434" spans="1:7">
      <c r="A434" s="702" t="s">
        <v>4319</v>
      </c>
      <c r="B434" s="1233">
        <f t="shared" si="91"/>
        <v>0</v>
      </c>
      <c r="C434" s="1233">
        <f>0/(100)</f>
        <v>0</v>
      </c>
      <c r="D434" s="1233">
        <f>0/(100)</f>
        <v>0</v>
      </c>
      <c r="E434" s="1229">
        <f>2849.25/(100)</f>
        <v>28.4925</v>
      </c>
      <c r="F434" s="1229">
        <f t="shared" si="82"/>
        <v>0</v>
      </c>
      <c r="G434" s="1220">
        <f t="shared" si="83"/>
        <v>28.4925</v>
      </c>
    </row>
    <row r="435" spans="1:7">
      <c r="A435" s="702" t="s">
        <v>4320</v>
      </c>
      <c r="B435" s="1233">
        <f t="shared" si="91"/>
        <v>0</v>
      </c>
      <c r="C435" s="1229">
        <f>6006638.14/(100)</f>
        <v>60066.381399999998</v>
      </c>
      <c r="D435" s="1233">
        <f>0/(100)</f>
        <v>0</v>
      </c>
      <c r="E435" s="1229">
        <f>3606346.55/(100)</f>
        <v>36063.465499999998</v>
      </c>
      <c r="F435" s="1229">
        <f t="shared" si="82"/>
        <v>60066.381399999998</v>
      </c>
      <c r="G435" s="1220">
        <f t="shared" si="83"/>
        <v>36063.465499999998</v>
      </c>
    </row>
    <row r="436" spans="1:7">
      <c r="A436" s="702" t="s">
        <v>4321</v>
      </c>
      <c r="B436" s="1233">
        <f t="shared" si="91"/>
        <v>0</v>
      </c>
      <c r="C436" s="1229">
        <f>28497/(100)</f>
        <v>284.97000000000003</v>
      </c>
      <c r="D436" s="1233">
        <f>0/(100)</f>
        <v>0</v>
      </c>
      <c r="E436" s="1233">
        <f>0/(100)</f>
        <v>0</v>
      </c>
      <c r="F436" s="1229">
        <f t="shared" si="82"/>
        <v>284.97000000000003</v>
      </c>
      <c r="G436" s="1220">
        <f t="shared" si="83"/>
        <v>0</v>
      </c>
    </row>
    <row r="437" spans="1:7">
      <c r="A437" s="702" t="s">
        <v>4322</v>
      </c>
      <c r="B437" s="1233">
        <f t="shared" si="91"/>
        <v>0</v>
      </c>
      <c r="C437" s="1233">
        <f t="shared" ref="C437:C443" si="92">0/(100)</f>
        <v>0</v>
      </c>
      <c r="D437" s="1229">
        <f>35000/(100)</f>
        <v>350</v>
      </c>
      <c r="E437" s="1233">
        <f>0/(100)</f>
        <v>0</v>
      </c>
      <c r="F437" s="1229">
        <f t="shared" si="82"/>
        <v>0</v>
      </c>
      <c r="G437" s="1220">
        <f t="shared" si="83"/>
        <v>-350</v>
      </c>
    </row>
    <row r="438" spans="1:7">
      <c r="A438" s="702" t="s">
        <v>4323</v>
      </c>
      <c r="B438" s="1229">
        <f>48970/(100)</f>
        <v>489.7</v>
      </c>
      <c r="C438" s="1233">
        <f t="shared" si="92"/>
        <v>0</v>
      </c>
      <c r="D438" s="1229">
        <f>48970/(100)</f>
        <v>489.7</v>
      </c>
      <c r="E438" s="1233">
        <f>0/(100)</f>
        <v>0</v>
      </c>
      <c r="F438" s="1229">
        <f t="shared" si="82"/>
        <v>-489.7</v>
      </c>
      <c r="G438" s="1220">
        <f t="shared" si="83"/>
        <v>-489.7</v>
      </c>
    </row>
    <row r="439" spans="1:7">
      <c r="A439" s="702" t="s">
        <v>4324</v>
      </c>
      <c r="B439" s="1233">
        <f>0/(100)</f>
        <v>0</v>
      </c>
      <c r="C439" s="1233">
        <f t="shared" si="92"/>
        <v>0</v>
      </c>
      <c r="D439" s="1233">
        <f>0/(100)</f>
        <v>0</v>
      </c>
      <c r="E439" s="1229">
        <f>7410.4/(100)</f>
        <v>74.103999999999999</v>
      </c>
      <c r="F439" s="1229">
        <f t="shared" si="82"/>
        <v>0</v>
      </c>
      <c r="G439" s="1220">
        <f t="shared" si="83"/>
        <v>74.103999999999999</v>
      </c>
    </row>
    <row r="440" spans="1:7">
      <c r="A440" s="702" t="s">
        <v>4325</v>
      </c>
      <c r="B440" s="1233">
        <f>0/(100)</f>
        <v>0</v>
      </c>
      <c r="C440" s="1233">
        <f t="shared" si="92"/>
        <v>0</v>
      </c>
      <c r="D440" s="1233">
        <f>0/(100)</f>
        <v>0</v>
      </c>
      <c r="E440" s="1229">
        <f>1675.6/(100)</f>
        <v>16.756</v>
      </c>
      <c r="F440" s="1229">
        <f t="shared" si="82"/>
        <v>0</v>
      </c>
      <c r="G440" s="1220">
        <f t="shared" si="83"/>
        <v>16.756</v>
      </c>
    </row>
    <row r="441" spans="1:7">
      <c r="A441" s="702" t="s">
        <v>4326</v>
      </c>
      <c r="B441" s="1233">
        <f>0/(100)</f>
        <v>0</v>
      </c>
      <c r="C441" s="1233">
        <f t="shared" si="92"/>
        <v>0</v>
      </c>
      <c r="D441" s="1233">
        <f>0/(100)</f>
        <v>0</v>
      </c>
      <c r="E441" s="1229">
        <f>90/(100)</f>
        <v>0.9</v>
      </c>
      <c r="F441" s="1229">
        <f t="shared" si="82"/>
        <v>0</v>
      </c>
      <c r="G441" s="1220">
        <f t="shared" si="83"/>
        <v>0.9</v>
      </c>
    </row>
    <row r="442" spans="1:7">
      <c r="A442" s="702" t="s">
        <v>4327</v>
      </c>
      <c r="B442" s="1229">
        <f>2120000/(100)</f>
        <v>21200</v>
      </c>
      <c r="C442" s="1233">
        <f t="shared" si="92"/>
        <v>0</v>
      </c>
      <c r="D442" s="1229">
        <f>2120000/(100)</f>
        <v>21200</v>
      </c>
      <c r="E442" s="1233">
        <f>0/(100)</f>
        <v>0</v>
      </c>
      <c r="F442" s="1229">
        <f t="shared" si="82"/>
        <v>-21200</v>
      </c>
      <c r="G442" s="1220">
        <f t="shared" si="83"/>
        <v>-21200</v>
      </c>
    </row>
    <row r="443" spans="1:7">
      <c r="A443" s="702" t="s">
        <v>1464</v>
      </c>
      <c r="B443" s="1233">
        <f>0/(100)</f>
        <v>0</v>
      </c>
      <c r="C443" s="1233">
        <f t="shared" si="92"/>
        <v>0</v>
      </c>
      <c r="D443" s="1233">
        <f>0/(100)</f>
        <v>0</v>
      </c>
      <c r="E443" s="1233">
        <f>0/(100)</f>
        <v>0</v>
      </c>
      <c r="F443" s="1229">
        <f t="shared" si="82"/>
        <v>0</v>
      </c>
      <c r="G443" s="1220">
        <f t="shared" si="83"/>
        <v>0</v>
      </c>
    </row>
    <row r="444" spans="1:7">
      <c r="A444" s="702" t="s">
        <v>4328</v>
      </c>
      <c r="B444" s="1233">
        <f>0/(100)</f>
        <v>0</v>
      </c>
      <c r="C444" s="1229">
        <f>2755457/(100)</f>
        <v>27554.57</v>
      </c>
      <c r="D444" s="1233">
        <f>0/(100)</f>
        <v>0</v>
      </c>
      <c r="E444" s="1229">
        <f>2755457/(100)</f>
        <v>27554.57</v>
      </c>
      <c r="F444" s="1229">
        <f t="shared" si="82"/>
        <v>27554.57</v>
      </c>
      <c r="G444" s="1220">
        <f t="shared" si="83"/>
        <v>27554.57</v>
      </c>
    </row>
    <row r="445" spans="1:7">
      <c r="A445" s="702" t="s">
        <v>4329</v>
      </c>
      <c r="B445" s="1233">
        <f>0/(100)</f>
        <v>0</v>
      </c>
      <c r="C445" s="1229">
        <f>48600/(100)</f>
        <v>486</v>
      </c>
      <c r="D445" s="1233">
        <f>0/(100)</f>
        <v>0</v>
      </c>
      <c r="E445" s="1229">
        <f>48600/(100)</f>
        <v>486</v>
      </c>
      <c r="F445" s="1229">
        <f t="shared" si="82"/>
        <v>486</v>
      </c>
      <c r="G445" s="1220">
        <f t="shared" si="83"/>
        <v>486</v>
      </c>
    </row>
    <row r="446" spans="1:7">
      <c r="A446" s="702" t="s">
        <v>4330</v>
      </c>
      <c r="B446" s="1229">
        <f>16143/(100)</f>
        <v>161.43</v>
      </c>
      <c r="C446" s="1233">
        <f>0/(100)</f>
        <v>0</v>
      </c>
      <c r="D446" s="1233">
        <f>0/(100)</f>
        <v>0</v>
      </c>
      <c r="E446" s="1229">
        <f>1623217/(100)</f>
        <v>16232.17</v>
      </c>
      <c r="F446" s="1229">
        <f t="shared" si="82"/>
        <v>-161.43</v>
      </c>
      <c r="G446" s="1220">
        <f t="shared" si="83"/>
        <v>16232.17</v>
      </c>
    </row>
    <row r="447" spans="1:7">
      <c r="A447" s="702" t="s">
        <v>4331</v>
      </c>
      <c r="B447" s="1229">
        <f>4112/(100)</f>
        <v>41.12</v>
      </c>
      <c r="C447" s="1233">
        <f>0/(100)</f>
        <v>0</v>
      </c>
      <c r="D447" s="1229">
        <f>4112/(100)</f>
        <v>41.12</v>
      </c>
      <c r="E447" s="1233">
        <f>0/(100)</f>
        <v>0</v>
      </c>
      <c r="F447" s="1229">
        <f t="shared" si="82"/>
        <v>-41.12</v>
      </c>
      <c r="G447" s="1220">
        <f t="shared" si="83"/>
        <v>-41.12</v>
      </c>
    </row>
    <row r="448" spans="1:7">
      <c r="A448" s="702" t="s">
        <v>4332</v>
      </c>
      <c r="B448" s="1233">
        <f>0/(100)</f>
        <v>0</v>
      </c>
      <c r="C448" s="1233">
        <f>0/(100)</f>
        <v>0</v>
      </c>
      <c r="D448" s="1229">
        <f>949440/(100)</f>
        <v>9494.4</v>
      </c>
      <c r="E448" s="1233">
        <f>0/(100)</f>
        <v>0</v>
      </c>
      <c r="F448" s="1229">
        <f t="shared" si="82"/>
        <v>0</v>
      </c>
      <c r="G448" s="1220">
        <f t="shared" si="83"/>
        <v>-9494.4</v>
      </c>
    </row>
    <row r="449" spans="1:7">
      <c r="A449" s="702" t="s">
        <v>4333</v>
      </c>
      <c r="B449" s="1233">
        <f>0/(100)</f>
        <v>0</v>
      </c>
      <c r="C449" s="1229">
        <f>28320/(100)</f>
        <v>283.2</v>
      </c>
      <c r="D449" s="1233">
        <f>0/(100)</f>
        <v>0</v>
      </c>
      <c r="E449" s="1229">
        <f>28320/(100)</f>
        <v>283.2</v>
      </c>
      <c r="F449" s="1229">
        <f t="shared" si="82"/>
        <v>283.2</v>
      </c>
      <c r="G449" s="1220">
        <f t="shared" si="83"/>
        <v>283.2</v>
      </c>
    </row>
    <row r="450" spans="1:7">
      <c r="A450" s="702" t="s">
        <v>4334</v>
      </c>
      <c r="B450" s="1229">
        <f>29500/(100)</f>
        <v>295</v>
      </c>
      <c r="C450" s="1233">
        <f>0/(100)</f>
        <v>0</v>
      </c>
      <c r="D450" s="1229">
        <f>29500/(100)</f>
        <v>295</v>
      </c>
      <c r="E450" s="1233">
        <f>0/(100)</f>
        <v>0</v>
      </c>
      <c r="F450" s="1229">
        <f t="shared" si="82"/>
        <v>-295</v>
      </c>
      <c r="G450" s="1220">
        <f t="shared" si="83"/>
        <v>-295</v>
      </c>
    </row>
    <row r="451" spans="1:7">
      <c r="A451" s="702" t="s">
        <v>4335</v>
      </c>
      <c r="B451" s="1233">
        <f t="shared" ref="B451:B458" si="93">0/(100)</f>
        <v>0</v>
      </c>
      <c r="C451" s="1229">
        <f>318983.36/(100)</f>
        <v>3189.8335999999999</v>
      </c>
      <c r="D451" s="1233">
        <f>0/(100)</f>
        <v>0</v>
      </c>
      <c r="E451" s="1229">
        <f>318983.36/(100)</f>
        <v>3189.8335999999999</v>
      </c>
      <c r="F451" s="1229">
        <f t="shared" si="82"/>
        <v>3189.8335999999999</v>
      </c>
      <c r="G451" s="1220">
        <f t="shared" si="83"/>
        <v>3189.8335999999999</v>
      </c>
    </row>
    <row r="452" spans="1:7">
      <c r="A452" s="702" t="s">
        <v>4336</v>
      </c>
      <c r="B452" s="1233">
        <f t="shared" si="93"/>
        <v>0</v>
      </c>
      <c r="C452" s="1229">
        <f>26735/(100)</f>
        <v>267.35000000000002</v>
      </c>
      <c r="D452" s="1233">
        <f>0/(100)</f>
        <v>0</v>
      </c>
      <c r="E452" s="1229">
        <f>32047.12/(100)</f>
        <v>320.47120000000001</v>
      </c>
      <c r="F452" s="1229">
        <f t="shared" si="82"/>
        <v>267.35000000000002</v>
      </c>
      <c r="G452" s="1220">
        <f t="shared" si="83"/>
        <v>320.47120000000001</v>
      </c>
    </row>
    <row r="453" spans="1:7">
      <c r="A453" s="702" t="s">
        <v>4337</v>
      </c>
      <c r="B453" s="1233">
        <f t="shared" si="93"/>
        <v>0</v>
      </c>
      <c r="C453" s="1229">
        <f>185192/(100)</f>
        <v>1851.92</v>
      </c>
      <c r="D453" s="1233">
        <f>0/(100)</f>
        <v>0</v>
      </c>
      <c r="E453" s="1229">
        <f>185192/(100)</f>
        <v>1851.92</v>
      </c>
      <c r="F453" s="1229">
        <f t="shared" ref="F453:F516" si="94">C453-B453</f>
        <v>1851.92</v>
      </c>
      <c r="G453" s="1220">
        <f t="shared" ref="G453:G516" si="95">E453-D453</f>
        <v>1851.92</v>
      </c>
    </row>
    <row r="454" spans="1:7">
      <c r="A454" s="702" t="s">
        <v>4338</v>
      </c>
      <c r="B454" s="1233">
        <f t="shared" si="93"/>
        <v>0</v>
      </c>
      <c r="C454" s="1229">
        <f>8538.16/(100)</f>
        <v>85.381599999999992</v>
      </c>
      <c r="D454" s="1233">
        <f>0/(100)</f>
        <v>0</v>
      </c>
      <c r="E454" s="1229">
        <f>8538.16/(100)</f>
        <v>85.381599999999992</v>
      </c>
      <c r="F454" s="1229">
        <f t="shared" si="94"/>
        <v>85.381599999999992</v>
      </c>
      <c r="G454" s="1220">
        <f t="shared" si="95"/>
        <v>85.381599999999992</v>
      </c>
    </row>
    <row r="455" spans="1:7">
      <c r="A455" s="702" t="s">
        <v>4339</v>
      </c>
      <c r="B455" s="1233">
        <f t="shared" si="93"/>
        <v>0</v>
      </c>
      <c r="C455" s="1229">
        <f>34110/(100)</f>
        <v>341.1</v>
      </c>
      <c r="D455" s="1233">
        <f>0/(100)</f>
        <v>0</v>
      </c>
      <c r="E455" s="1229">
        <f>34110/(100)</f>
        <v>341.1</v>
      </c>
      <c r="F455" s="1229">
        <f t="shared" si="94"/>
        <v>341.1</v>
      </c>
      <c r="G455" s="1220">
        <f t="shared" si="95"/>
        <v>341.1</v>
      </c>
    </row>
    <row r="456" spans="1:7">
      <c r="A456" s="702" t="s">
        <v>4340</v>
      </c>
      <c r="B456" s="1233">
        <f t="shared" si="93"/>
        <v>0</v>
      </c>
      <c r="C456" s="1233">
        <f>0/(100)</f>
        <v>0</v>
      </c>
      <c r="D456" s="1229">
        <f>303024/(100)</f>
        <v>3030.24</v>
      </c>
      <c r="E456" s="1233">
        <f>0/(100)</f>
        <v>0</v>
      </c>
      <c r="F456" s="1229">
        <f t="shared" si="94"/>
        <v>0</v>
      </c>
      <c r="G456" s="1220">
        <f t="shared" si="95"/>
        <v>-3030.24</v>
      </c>
    </row>
    <row r="457" spans="1:7">
      <c r="A457" s="702" t="s">
        <v>4341</v>
      </c>
      <c r="B457" s="1233">
        <f t="shared" si="93"/>
        <v>0</v>
      </c>
      <c r="C457" s="1233">
        <f>0/(100)</f>
        <v>0</v>
      </c>
      <c r="D457" s="1233">
        <f>0/(100)</f>
        <v>0</v>
      </c>
      <c r="E457" s="1233">
        <f>0/(100)</f>
        <v>0</v>
      </c>
      <c r="F457" s="1229">
        <f t="shared" si="94"/>
        <v>0</v>
      </c>
      <c r="G457" s="1220">
        <f t="shared" si="95"/>
        <v>0</v>
      </c>
    </row>
    <row r="458" spans="1:7">
      <c r="A458" s="702" t="s">
        <v>4342</v>
      </c>
      <c r="B458" s="1233">
        <f t="shared" si="93"/>
        <v>0</v>
      </c>
      <c r="C458" s="1233">
        <f>0/(100)</f>
        <v>0</v>
      </c>
      <c r="D458" s="1233">
        <f>0/(100)</f>
        <v>0</v>
      </c>
      <c r="E458" s="1229">
        <f>2598/(100)</f>
        <v>25.98</v>
      </c>
      <c r="F458" s="1229">
        <f t="shared" si="94"/>
        <v>0</v>
      </c>
      <c r="G458" s="1220">
        <f t="shared" si="95"/>
        <v>25.98</v>
      </c>
    </row>
    <row r="459" spans="1:7">
      <c r="A459" s="702" t="s">
        <v>4343</v>
      </c>
      <c r="B459" s="1229">
        <f>2932510/(100)</f>
        <v>29325.1</v>
      </c>
      <c r="C459" s="1233">
        <f>0/(100)</f>
        <v>0</v>
      </c>
      <c r="D459" s="1233">
        <f>0/(100)</f>
        <v>0</v>
      </c>
      <c r="E459" s="1229">
        <f>360590/(100)</f>
        <v>3605.9</v>
      </c>
      <c r="F459" s="1229">
        <f t="shared" si="94"/>
        <v>-29325.1</v>
      </c>
      <c r="G459" s="1220">
        <f t="shared" si="95"/>
        <v>3605.9</v>
      </c>
    </row>
    <row r="460" spans="1:7">
      <c r="A460" s="702" t="s">
        <v>4344</v>
      </c>
      <c r="B460" s="1233">
        <f>0/(100)</f>
        <v>0</v>
      </c>
      <c r="C460" s="1229">
        <f>1268204/(100)</f>
        <v>12682.04</v>
      </c>
      <c r="D460" s="1233">
        <f>0/(100)</f>
        <v>0</v>
      </c>
      <c r="E460" s="1229">
        <f>1268204/(100)</f>
        <v>12682.04</v>
      </c>
      <c r="F460" s="1229">
        <f t="shared" si="94"/>
        <v>12682.04</v>
      </c>
      <c r="G460" s="1220">
        <f t="shared" si="95"/>
        <v>12682.04</v>
      </c>
    </row>
    <row r="461" spans="1:7">
      <c r="A461" s="702" t="s">
        <v>1470</v>
      </c>
      <c r="B461" s="1233">
        <f>0/(100)</f>
        <v>0</v>
      </c>
      <c r="C461" s="1229">
        <f>50489.34/(100)</f>
        <v>504.89339999999999</v>
      </c>
      <c r="D461" s="1233">
        <f>0/(100)</f>
        <v>0</v>
      </c>
      <c r="E461" s="1229">
        <f>41850.34/(100)</f>
        <v>418.50339999999994</v>
      </c>
      <c r="F461" s="1229">
        <f t="shared" si="94"/>
        <v>504.89339999999999</v>
      </c>
      <c r="G461" s="1220">
        <f t="shared" si="95"/>
        <v>418.50339999999994</v>
      </c>
    </row>
    <row r="462" spans="1:7">
      <c r="A462" s="702" t="s">
        <v>4345</v>
      </c>
      <c r="B462" s="1229">
        <f>106917/(100)</f>
        <v>1069.17</v>
      </c>
      <c r="C462" s="1233">
        <f>0/(100)</f>
        <v>0</v>
      </c>
      <c r="D462" s="1229">
        <f>106917/(100)</f>
        <v>1069.17</v>
      </c>
      <c r="E462" s="1233">
        <f>0/(100)</f>
        <v>0</v>
      </c>
      <c r="F462" s="1229">
        <f t="shared" si="94"/>
        <v>-1069.17</v>
      </c>
      <c r="G462" s="1220">
        <f t="shared" si="95"/>
        <v>-1069.17</v>
      </c>
    </row>
    <row r="463" spans="1:7">
      <c r="A463" s="702" t="s">
        <v>4346</v>
      </c>
      <c r="B463" s="1233">
        <f t="shared" ref="B463:B476" si="96">0/(100)</f>
        <v>0</v>
      </c>
      <c r="C463" s="1229">
        <f>32394/(100)</f>
        <v>323.94</v>
      </c>
      <c r="D463" s="1233">
        <f t="shared" ref="D463:D475" si="97">0/(100)</f>
        <v>0</v>
      </c>
      <c r="E463" s="1229">
        <f>32394/(100)</f>
        <v>323.94</v>
      </c>
      <c r="F463" s="1229">
        <f t="shared" si="94"/>
        <v>323.94</v>
      </c>
      <c r="G463" s="1220">
        <f t="shared" si="95"/>
        <v>323.94</v>
      </c>
    </row>
    <row r="464" spans="1:7">
      <c r="A464" s="702" t="s">
        <v>4347</v>
      </c>
      <c r="B464" s="1233">
        <f t="shared" si="96"/>
        <v>0</v>
      </c>
      <c r="C464" s="1229">
        <f>59359.49/(100)</f>
        <v>593.59489999999994</v>
      </c>
      <c r="D464" s="1233">
        <f t="shared" si="97"/>
        <v>0</v>
      </c>
      <c r="E464" s="1229">
        <f>59359.49/(100)</f>
        <v>593.59489999999994</v>
      </c>
      <c r="F464" s="1229">
        <f t="shared" si="94"/>
        <v>593.59489999999994</v>
      </c>
      <c r="G464" s="1220">
        <f t="shared" si="95"/>
        <v>593.59489999999994</v>
      </c>
    </row>
    <row r="465" spans="1:7">
      <c r="A465" s="702" t="s">
        <v>4348</v>
      </c>
      <c r="B465" s="1233">
        <f t="shared" si="96"/>
        <v>0</v>
      </c>
      <c r="C465" s="1233">
        <f>0/(100)</f>
        <v>0</v>
      </c>
      <c r="D465" s="1233">
        <f t="shared" si="97"/>
        <v>0</v>
      </c>
      <c r="E465" s="1229">
        <f>71868.01/(100)</f>
        <v>718.68009999999992</v>
      </c>
      <c r="F465" s="1229">
        <f t="shared" si="94"/>
        <v>0</v>
      </c>
      <c r="G465" s="1220">
        <f t="shared" si="95"/>
        <v>718.68009999999992</v>
      </c>
    </row>
    <row r="466" spans="1:7">
      <c r="A466" s="702" t="s">
        <v>4349</v>
      </c>
      <c r="B466" s="1233">
        <f t="shared" si="96"/>
        <v>0</v>
      </c>
      <c r="C466" s="1229">
        <f>458735/(100)</f>
        <v>4587.3500000000004</v>
      </c>
      <c r="D466" s="1233">
        <f t="shared" si="97"/>
        <v>0</v>
      </c>
      <c r="E466" s="1229">
        <f>590971/(100)</f>
        <v>5909.71</v>
      </c>
      <c r="F466" s="1229">
        <f t="shared" si="94"/>
        <v>4587.3500000000004</v>
      </c>
      <c r="G466" s="1220">
        <f t="shared" si="95"/>
        <v>5909.71</v>
      </c>
    </row>
    <row r="467" spans="1:7">
      <c r="A467" s="702" t="s">
        <v>4350</v>
      </c>
      <c r="B467" s="1233">
        <f t="shared" si="96"/>
        <v>0</v>
      </c>
      <c r="C467" s="1233">
        <f>0/(100)</f>
        <v>0</v>
      </c>
      <c r="D467" s="1233">
        <f t="shared" si="97"/>
        <v>0</v>
      </c>
      <c r="E467" s="1229">
        <f>11209/(100)</f>
        <v>112.09</v>
      </c>
      <c r="F467" s="1229">
        <f t="shared" si="94"/>
        <v>0</v>
      </c>
      <c r="G467" s="1220">
        <f t="shared" si="95"/>
        <v>112.09</v>
      </c>
    </row>
    <row r="468" spans="1:7">
      <c r="A468" s="702" t="s">
        <v>4351</v>
      </c>
      <c r="B468" s="1233">
        <f t="shared" si="96"/>
        <v>0</v>
      </c>
      <c r="C468" s="1229">
        <f>9210/(100)</f>
        <v>92.1</v>
      </c>
      <c r="D468" s="1233">
        <f t="shared" si="97"/>
        <v>0</v>
      </c>
      <c r="E468" s="1229">
        <f>9210/(100)</f>
        <v>92.1</v>
      </c>
      <c r="F468" s="1229">
        <f t="shared" si="94"/>
        <v>92.1</v>
      </c>
      <c r="G468" s="1220">
        <f t="shared" si="95"/>
        <v>92.1</v>
      </c>
    </row>
    <row r="469" spans="1:7">
      <c r="A469" s="702" t="s">
        <v>4352</v>
      </c>
      <c r="B469" s="1233">
        <f t="shared" si="96"/>
        <v>0</v>
      </c>
      <c r="C469" s="1233">
        <f>0/(100)</f>
        <v>0</v>
      </c>
      <c r="D469" s="1233">
        <f t="shared" si="97"/>
        <v>0</v>
      </c>
      <c r="E469" s="1229">
        <f>6985.6/(100)</f>
        <v>69.856000000000009</v>
      </c>
      <c r="F469" s="1229">
        <f t="shared" si="94"/>
        <v>0</v>
      </c>
      <c r="G469" s="1220">
        <f t="shared" si="95"/>
        <v>69.856000000000009</v>
      </c>
    </row>
    <row r="470" spans="1:7">
      <c r="A470" s="702" t="s">
        <v>4353</v>
      </c>
      <c r="B470" s="1233">
        <f t="shared" si="96"/>
        <v>0</v>
      </c>
      <c r="C470" s="1233">
        <f>0/(100)</f>
        <v>0</v>
      </c>
      <c r="D470" s="1233">
        <f t="shared" si="97"/>
        <v>0</v>
      </c>
      <c r="E470" s="1229">
        <f>18966/(100)</f>
        <v>189.66</v>
      </c>
      <c r="F470" s="1229">
        <f t="shared" si="94"/>
        <v>0</v>
      </c>
      <c r="G470" s="1220">
        <f t="shared" si="95"/>
        <v>189.66</v>
      </c>
    </row>
    <row r="471" spans="1:7">
      <c r="A471" s="702" t="s">
        <v>4354</v>
      </c>
      <c r="B471" s="1233">
        <f t="shared" si="96"/>
        <v>0</v>
      </c>
      <c r="C471" s="1229">
        <f>77550/(100)</f>
        <v>775.5</v>
      </c>
      <c r="D471" s="1233">
        <f t="shared" si="97"/>
        <v>0</v>
      </c>
      <c r="E471" s="1229">
        <f>77550/(100)</f>
        <v>775.5</v>
      </c>
      <c r="F471" s="1229">
        <f t="shared" si="94"/>
        <v>775.5</v>
      </c>
      <c r="G471" s="1220">
        <f t="shared" si="95"/>
        <v>775.5</v>
      </c>
    </row>
    <row r="472" spans="1:7">
      <c r="A472" s="702" t="s">
        <v>4355</v>
      </c>
      <c r="B472" s="1233">
        <f t="shared" si="96"/>
        <v>0</v>
      </c>
      <c r="C472" s="1229">
        <f>66022/(100)</f>
        <v>660.22</v>
      </c>
      <c r="D472" s="1233">
        <f t="shared" si="97"/>
        <v>0</v>
      </c>
      <c r="E472" s="1229">
        <f>747340/(100)</f>
        <v>7473.4</v>
      </c>
      <c r="F472" s="1229">
        <f t="shared" si="94"/>
        <v>660.22</v>
      </c>
      <c r="G472" s="1220">
        <f t="shared" si="95"/>
        <v>7473.4</v>
      </c>
    </row>
    <row r="473" spans="1:7">
      <c r="A473" s="702" t="s">
        <v>954</v>
      </c>
      <c r="B473" s="1233">
        <f t="shared" si="96"/>
        <v>0</v>
      </c>
      <c r="C473" s="1229">
        <f>921733/(100)</f>
        <v>9217.33</v>
      </c>
      <c r="D473" s="1233">
        <f t="shared" si="97"/>
        <v>0</v>
      </c>
      <c r="E473" s="1229">
        <f>50/(100)</f>
        <v>0.5</v>
      </c>
      <c r="F473" s="1229">
        <f t="shared" si="94"/>
        <v>9217.33</v>
      </c>
      <c r="G473" s="1220">
        <f t="shared" si="95"/>
        <v>0.5</v>
      </c>
    </row>
    <row r="474" spans="1:7" ht="24">
      <c r="A474" s="1234" t="s">
        <v>4356</v>
      </c>
      <c r="B474" s="1233">
        <f t="shared" si="96"/>
        <v>0</v>
      </c>
      <c r="C474" s="1229">
        <f>50109/(100)</f>
        <v>501.09</v>
      </c>
      <c r="D474" s="1233">
        <f t="shared" si="97"/>
        <v>0</v>
      </c>
      <c r="E474" s="1229">
        <f>198219/(100)</f>
        <v>1982.19</v>
      </c>
      <c r="F474" s="1229">
        <f t="shared" si="94"/>
        <v>501.09</v>
      </c>
      <c r="G474" s="1220">
        <f t="shared" si="95"/>
        <v>1982.19</v>
      </c>
    </row>
    <row r="475" spans="1:7">
      <c r="A475" s="702" t="s">
        <v>4357</v>
      </c>
      <c r="B475" s="1233">
        <f t="shared" si="96"/>
        <v>0</v>
      </c>
      <c r="C475" s="1229">
        <f>45000/(100)</f>
        <v>450</v>
      </c>
      <c r="D475" s="1233">
        <f t="shared" si="97"/>
        <v>0</v>
      </c>
      <c r="E475" s="1229">
        <f>67500/(100)</f>
        <v>675</v>
      </c>
      <c r="F475" s="1229">
        <f t="shared" si="94"/>
        <v>450</v>
      </c>
      <c r="G475" s="1220">
        <f t="shared" si="95"/>
        <v>675</v>
      </c>
    </row>
    <row r="476" spans="1:7">
      <c r="A476" s="702" t="s">
        <v>4358</v>
      </c>
      <c r="B476" s="1233">
        <f t="shared" si="96"/>
        <v>0</v>
      </c>
      <c r="C476" s="1233">
        <f>0/(100)</f>
        <v>0</v>
      </c>
      <c r="D476" s="1229">
        <f>71868745/(100)</f>
        <v>718687.45</v>
      </c>
      <c r="E476" s="1233">
        <f>0/(100)</f>
        <v>0</v>
      </c>
      <c r="F476" s="1229">
        <f t="shared" si="94"/>
        <v>0</v>
      </c>
      <c r="G476" s="1220">
        <f t="shared" si="95"/>
        <v>-718687.45</v>
      </c>
    </row>
    <row r="477" spans="1:7">
      <c r="A477" s="702" t="s">
        <v>4359</v>
      </c>
      <c r="B477" s="1229">
        <f>3200/(100)</f>
        <v>32</v>
      </c>
      <c r="C477" s="1233">
        <f>0/(100)</f>
        <v>0</v>
      </c>
      <c r="D477" s="1229">
        <f>3200/(100)</f>
        <v>32</v>
      </c>
      <c r="E477" s="1233">
        <f>0/(100)</f>
        <v>0</v>
      </c>
      <c r="F477" s="1229">
        <f t="shared" si="94"/>
        <v>-32</v>
      </c>
      <c r="G477" s="1220">
        <f t="shared" si="95"/>
        <v>-32</v>
      </c>
    </row>
    <row r="478" spans="1:7">
      <c r="A478" s="702" t="s">
        <v>4360</v>
      </c>
      <c r="B478" s="1233">
        <f t="shared" ref="B478:B487" si="98">0/(100)</f>
        <v>0</v>
      </c>
      <c r="C478" s="1233">
        <f>0/(100)</f>
        <v>0</v>
      </c>
      <c r="D478" s="1233">
        <f t="shared" ref="D478:D487" si="99">0/(100)</f>
        <v>0</v>
      </c>
      <c r="E478" s="1233">
        <f>0/(100)</f>
        <v>0</v>
      </c>
      <c r="F478" s="1229">
        <f t="shared" si="94"/>
        <v>0</v>
      </c>
      <c r="G478" s="1220">
        <f t="shared" si="95"/>
        <v>0</v>
      </c>
    </row>
    <row r="479" spans="1:7">
      <c r="A479" s="702" t="s">
        <v>4361</v>
      </c>
      <c r="B479" s="1233">
        <f t="shared" si="98"/>
        <v>0</v>
      </c>
      <c r="C479" s="1233">
        <f>0/(100)</f>
        <v>0</v>
      </c>
      <c r="D479" s="1233">
        <f t="shared" si="99"/>
        <v>0</v>
      </c>
      <c r="E479" s="1229">
        <f>41990/(100)</f>
        <v>419.9</v>
      </c>
      <c r="F479" s="1229">
        <f t="shared" si="94"/>
        <v>0</v>
      </c>
      <c r="G479" s="1220">
        <f t="shared" si="95"/>
        <v>419.9</v>
      </c>
    </row>
    <row r="480" spans="1:7">
      <c r="A480" s="702" t="s">
        <v>4362</v>
      </c>
      <c r="B480" s="1233">
        <f t="shared" si="98"/>
        <v>0</v>
      </c>
      <c r="C480" s="1233">
        <f>0/(100)</f>
        <v>0</v>
      </c>
      <c r="D480" s="1233">
        <f t="shared" si="99"/>
        <v>0</v>
      </c>
      <c r="E480" s="1233">
        <f>0/(100)</f>
        <v>0</v>
      </c>
      <c r="F480" s="1229">
        <f t="shared" si="94"/>
        <v>0</v>
      </c>
      <c r="G480" s="1220">
        <f t="shared" si="95"/>
        <v>0</v>
      </c>
    </row>
    <row r="481" spans="1:7">
      <c r="A481" s="702" t="s">
        <v>4363</v>
      </c>
      <c r="B481" s="1233">
        <f t="shared" si="98"/>
        <v>0</v>
      </c>
      <c r="C481" s="1229">
        <f>7570/(100)</f>
        <v>75.7</v>
      </c>
      <c r="D481" s="1233">
        <f t="shared" si="99"/>
        <v>0</v>
      </c>
      <c r="E481" s="1229">
        <f>7570/(100)</f>
        <v>75.7</v>
      </c>
      <c r="F481" s="1229">
        <f t="shared" si="94"/>
        <v>75.7</v>
      </c>
      <c r="G481" s="1220">
        <f t="shared" si="95"/>
        <v>75.7</v>
      </c>
    </row>
    <row r="482" spans="1:7">
      <c r="A482" s="702" t="s">
        <v>4364</v>
      </c>
      <c r="B482" s="1233">
        <f t="shared" si="98"/>
        <v>0</v>
      </c>
      <c r="C482" s="1229">
        <f>1380771.14/(100)</f>
        <v>13807.711399999998</v>
      </c>
      <c r="D482" s="1233">
        <f t="shared" si="99"/>
        <v>0</v>
      </c>
      <c r="E482" s="1229">
        <f>1025752.96/(100)</f>
        <v>10257.5296</v>
      </c>
      <c r="F482" s="1229">
        <f t="shared" si="94"/>
        <v>13807.711399999998</v>
      </c>
      <c r="G482" s="1220">
        <f t="shared" si="95"/>
        <v>10257.5296</v>
      </c>
    </row>
    <row r="483" spans="1:7">
      <c r="A483" s="702" t="s">
        <v>4365</v>
      </c>
      <c r="B483" s="1233">
        <f t="shared" si="98"/>
        <v>0</v>
      </c>
      <c r="C483" s="1229">
        <f>5900.2/(100)</f>
        <v>59.001999999999995</v>
      </c>
      <c r="D483" s="1233">
        <f t="shared" si="99"/>
        <v>0</v>
      </c>
      <c r="E483" s="1229">
        <f>5900.2/(100)</f>
        <v>59.001999999999995</v>
      </c>
      <c r="F483" s="1229">
        <f t="shared" si="94"/>
        <v>59.001999999999995</v>
      </c>
      <c r="G483" s="1220">
        <f t="shared" si="95"/>
        <v>59.001999999999995</v>
      </c>
    </row>
    <row r="484" spans="1:7">
      <c r="A484" s="702" t="s">
        <v>4366</v>
      </c>
      <c r="B484" s="1233">
        <f t="shared" si="98"/>
        <v>0</v>
      </c>
      <c r="C484" s="1229">
        <f>12980/(100)</f>
        <v>129.80000000000001</v>
      </c>
      <c r="D484" s="1233">
        <f t="shared" si="99"/>
        <v>0</v>
      </c>
      <c r="E484" s="1229">
        <f>12980/(100)</f>
        <v>129.80000000000001</v>
      </c>
      <c r="F484" s="1229">
        <f t="shared" si="94"/>
        <v>129.80000000000001</v>
      </c>
      <c r="G484" s="1220">
        <f t="shared" si="95"/>
        <v>129.80000000000001</v>
      </c>
    </row>
    <row r="485" spans="1:7">
      <c r="A485" s="702" t="s">
        <v>4367</v>
      </c>
      <c r="B485" s="1233">
        <f t="shared" si="98"/>
        <v>0</v>
      </c>
      <c r="C485" s="1229">
        <f>51250/(100)</f>
        <v>512.5</v>
      </c>
      <c r="D485" s="1233">
        <f t="shared" si="99"/>
        <v>0</v>
      </c>
      <c r="E485" s="1229">
        <f>51250/(100)</f>
        <v>512.5</v>
      </c>
      <c r="F485" s="1229">
        <f t="shared" si="94"/>
        <v>512.5</v>
      </c>
      <c r="G485" s="1220">
        <f t="shared" si="95"/>
        <v>512.5</v>
      </c>
    </row>
    <row r="486" spans="1:7">
      <c r="A486" s="702" t="s">
        <v>4368</v>
      </c>
      <c r="B486" s="1233">
        <f t="shared" si="98"/>
        <v>0</v>
      </c>
      <c r="C486" s="1233">
        <f>0/(100)</f>
        <v>0</v>
      </c>
      <c r="D486" s="1233">
        <f t="shared" si="99"/>
        <v>0</v>
      </c>
      <c r="E486" s="1233">
        <f>0/(100)</f>
        <v>0</v>
      </c>
      <c r="F486" s="1229">
        <f t="shared" si="94"/>
        <v>0</v>
      </c>
      <c r="G486" s="1220">
        <f t="shared" si="95"/>
        <v>0</v>
      </c>
    </row>
    <row r="487" spans="1:7">
      <c r="A487" s="702" t="s">
        <v>969</v>
      </c>
      <c r="B487" s="1233">
        <f t="shared" si="98"/>
        <v>0</v>
      </c>
      <c r="C487" s="1229">
        <f>6546/(100)</f>
        <v>65.459999999999994</v>
      </c>
      <c r="D487" s="1233">
        <f t="shared" si="99"/>
        <v>0</v>
      </c>
      <c r="E487" s="1229">
        <f>10919/(100)</f>
        <v>109.19</v>
      </c>
      <c r="F487" s="1229">
        <f t="shared" si="94"/>
        <v>65.459999999999994</v>
      </c>
      <c r="G487" s="1220">
        <f t="shared" si="95"/>
        <v>109.19</v>
      </c>
    </row>
    <row r="488" spans="1:7">
      <c r="A488" s="702" t="s">
        <v>4369</v>
      </c>
      <c r="B488" s="1229">
        <f>3942/(100)</f>
        <v>39.42</v>
      </c>
      <c r="C488" s="1233">
        <f>0/(100)</f>
        <v>0</v>
      </c>
      <c r="D488" s="1229">
        <f>33102/(100)</f>
        <v>331.02</v>
      </c>
      <c r="E488" s="1233">
        <f>0/(100)</f>
        <v>0</v>
      </c>
      <c r="F488" s="1229">
        <f t="shared" si="94"/>
        <v>-39.42</v>
      </c>
      <c r="G488" s="1220">
        <f t="shared" si="95"/>
        <v>-331.02</v>
      </c>
    </row>
    <row r="489" spans="1:7">
      <c r="A489" s="702" t="s">
        <v>4370</v>
      </c>
      <c r="B489" s="1233">
        <f>0/(100)</f>
        <v>0</v>
      </c>
      <c r="C489" s="1229">
        <f>2974/(100)</f>
        <v>29.74</v>
      </c>
      <c r="D489" s="1233">
        <f>0/(100)</f>
        <v>0</v>
      </c>
      <c r="E489" s="1229">
        <f>2974/(100)</f>
        <v>29.74</v>
      </c>
      <c r="F489" s="1229">
        <f t="shared" si="94"/>
        <v>29.74</v>
      </c>
      <c r="G489" s="1220">
        <f t="shared" si="95"/>
        <v>29.74</v>
      </c>
    </row>
    <row r="490" spans="1:7">
      <c r="A490" s="702" t="s">
        <v>937</v>
      </c>
      <c r="B490" s="1229">
        <f>14153000/(100)</f>
        <v>141530</v>
      </c>
      <c r="C490" s="1233">
        <f>0/(100)</f>
        <v>0</v>
      </c>
      <c r="D490" s="1233">
        <f>0/(100)</f>
        <v>0</v>
      </c>
      <c r="E490" s="1229">
        <f>701200/(100)</f>
        <v>7012</v>
      </c>
      <c r="F490" s="1229">
        <f t="shared" si="94"/>
        <v>-141530</v>
      </c>
      <c r="G490" s="1220">
        <f t="shared" si="95"/>
        <v>7012</v>
      </c>
    </row>
    <row r="491" spans="1:7">
      <c r="A491" s="702" t="s">
        <v>4371</v>
      </c>
      <c r="B491" s="1233">
        <f>0/(100)</f>
        <v>0</v>
      </c>
      <c r="C491" s="1229">
        <f>81413/(100)</f>
        <v>814.13</v>
      </c>
      <c r="D491" s="1233">
        <f>0/(100)</f>
        <v>0</v>
      </c>
      <c r="E491" s="1229">
        <f>81413/(100)</f>
        <v>814.13</v>
      </c>
      <c r="F491" s="1229">
        <f t="shared" si="94"/>
        <v>814.13</v>
      </c>
      <c r="G491" s="1220">
        <f t="shared" si="95"/>
        <v>814.13</v>
      </c>
    </row>
    <row r="492" spans="1:7">
      <c r="A492" s="702" t="s">
        <v>4372</v>
      </c>
      <c r="B492" s="1229">
        <f>291852/(100)</f>
        <v>2918.52</v>
      </c>
      <c r="C492" s="1233">
        <f>0/(100)</f>
        <v>0</v>
      </c>
      <c r="D492" s="1229">
        <f>291852/(100)</f>
        <v>2918.52</v>
      </c>
      <c r="E492" s="1233">
        <f>0/(100)</f>
        <v>0</v>
      </c>
      <c r="F492" s="1229">
        <f t="shared" si="94"/>
        <v>-2918.52</v>
      </c>
      <c r="G492" s="1220">
        <f t="shared" si="95"/>
        <v>-2918.52</v>
      </c>
    </row>
    <row r="493" spans="1:7">
      <c r="A493" s="702" t="s">
        <v>4373</v>
      </c>
      <c r="B493" s="1233">
        <f>0/(100)</f>
        <v>0</v>
      </c>
      <c r="C493" s="1233">
        <f>0/(100)</f>
        <v>0</v>
      </c>
      <c r="D493" s="1229">
        <f>10000000/(100)</f>
        <v>100000</v>
      </c>
      <c r="E493" s="1233">
        <f>0/(100)</f>
        <v>0</v>
      </c>
      <c r="F493" s="1229">
        <f t="shared" si="94"/>
        <v>0</v>
      </c>
      <c r="G493" s="1220">
        <f t="shared" si="95"/>
        <v>-100000</v>
      </c>
    </row>
    <row r="494" spans="1:7">
      <c r="A494" s="702" t="s">
        <v>4374</v>
      </c>
      <c r="B494" s="1233">
        <f>0/(100)</f>
        <v>0</v>
      </c>
      <c r="C494" s="1233">
        <f>0/(100)</f>
        <v>0</v>
      </c>
      <c r="D494" s="1233">
        <f>0/(100)</f>
        <v>0</v>
      </c>
      <c r="E494" s="1229">
        <f>542041/(100)</f>
        <v>5420.41</v>
      </c>
      <c r="F494" s="1229">
        <f t="shared" si="94"/>
        <v>0</v>
      </c>
      <c r="G494" s="1220">
        <f t="shared" si="95"/>
        <v>5420.41</v>
      </c>
    </row>
    <row r="495" spans="1:7">
      <c r="A495" s="702" t="s">
        <v>4375</v>
      </c>
      <c r="B495" s="1233">
        <f>0/(100)</f>
        <v>0</v>
      </c>
      <c r="C495" s="1229">
        <f>371678.77/(100)</f>
        <v>3716.7877000000003</v>
      </c>
      <c r="D495" s="1233">
        <f>0/(100)</f>
        <v>0</v>
      </c>
      <c r="E495" s="1229">
        <f>200086.88/(100)</f>
        <v>2000.8688</v>
      </c>
      <c r="F495" s="1229">
        <f t="shared" si="94"/>
        <v>3716.7877000000003</v>
      </c>
      <c r="G495" s="1220">
        <f t="shared" si="95"/>
        <v>2000.8688</v>
      </c>
    </row>
    <row r="496" spans="1:7">
      <c r="A496" s="702" t="s">
        <v>4376</v>
      </c>
      <c r="B496" s="1233">
        <f>0/(100)</f>
        <v>0</v>
      </c>
      <c r="C496" s="1229">
        <f>18149/(100)</f>
        <v>181.49</v>
      </c>
      <c r="D496" s="1233">
        <f>0/(100)</f>
        <v>0</v>
      </c>
      <c r="E496" s="1229">
        <f>18149/(100)</f>
        <v>181.49</v>
      </c>
      <c r="F496" s="1229">
        <f t="shared" si="94"/>
        <v>181.49</v>
      </c>
      <c r="G496" s="1220">
        <f t="shared" si="95"/>
        <v>181.49</v>
      </c>
    </row>
    <row r="497" spans="1:7">
      <c r="A497" s="702" t="s">
        <v>4377</v>
      </c>
      <c r="B497" s="1233">
        <f>0/(100)</f>
        <v>0</v>
      </c>
      <c r="C497" s="1233">
        <f t="shared" ref="C497:C504" si="100">0/(100)</f>
        <v>0</v>
      </c>
      <c r="D497" s="1233">
        <f>0/(100)</f>
        <v>0</v>
      </c>
      <c r="E497" s="1229">
        <f>52215/(100)</f>
        <v>522.15</v>
      </c>
      <c r="F497" s="1229">
        <f t="shared" si="94"/>
        <v>0</v>
      </c>
      <c r="G497" s="1220">
        <f t="shared" si="95"/>
        <v>522.15</v>
      </c>
    </row>
    <row r="498" spans="1:7">
      <c r="A498" s="702" t="s">
        <v>4378</v>
      </c>
      <c r="B498" s="1229">
        <f>933/(100)</f>
        <v>9.33</v>
      </c>
      <c r="C498" s="1233">
        <f t="shared" si="100"/>
        <v>0</v>
      </c>
      <c r="D498" s="1229">
        <f>933/(100)</f>
        <v>9.33</v>
      </c>
      <c r="E498" s="1233">
        <f>0/(100)</f>
        <v>0</v>
      </c>
      <c r="F498" s="1229">
        <f t="shared" si="94"/>
        <v>-9.33</v>
      </c>
      <c r="G498" s="1220">
        <f t="shared" si="95"/>
        <v>-9.33</v>
      </c>
    </row>
    <row r="499" spans="1:7">
      <c r="A499" s="702" t="s">
        <v>4379</v>
      </c>
      <c r="B499" s="1233">
        <f t="shared" ref="B499:B506" si="101">0/(100)</f>
        <v>0</v>
      </c>
      <c r="C499" s="1233">
        <f t="shared" si="100"/>
        <v>0</v>
      </c>
      <c r="D499" s="1233">
        <f>0/(100)</f>
        <v>0</v>
      </c>
      <c r="E499" s="1229">
        <f>5921815/(100)</f>
        <v>59218.15</v>
      </c>
      <c r="F499" s="1229">
        <f t="shared" si="94"/>
        <v>0</v>
      </c>
      <c r="G499" s="1220">
        <f t="shared" si="95"/>
        <v>59218.15</v>
      </c>
    </row>
    <row r="500" spans="1:7">
      <c r="A500" s="702" t="s">
        <v>4380</v>
      </c>
      <c r="B500" s="1233">
        <f t="shared" si="101"/>
        <v>0</v>
      </c>
      <c r="C500" s="1233">
        <f t="shared" si="100"/>
        <v>0</v>
      </c>
      <c r="D500" s="1233">
        <f>0/(100)</f>
        <v>0</v>
      </c>
      <c r="E500" s="1229">
        <f>15104/(100)</f>
        <v>151.04</v>
      </c>
      <c r="F500" s="1229">
        <f t="shared" si="94"/>
        <v>0</v>
      </c>
      <c r="G500" s="1220">
        <f t="shared" si="95"/>
        <v>151.04</v>
      </c>
    </row>
    <row r="501" spans="1:7">
      <c r="A501" s="702" t="s">
        <v>3491</v>
      </c>
      <c r="B501" s="1233">
        <f t="shared" si="101"/>
        <v>0</v>
      </c>
      <c r="C501" s="1233">
        <f t="shared" si="100"/>
        <v>0</v>
      </c>
      <c r="D501" s="1233">
        <f>0/(100)</f>
        <v>0</v>
      </c>
      <c r="E501" s="1233">
        <f>0/(100)</f>
        <v>0</v>
      </c>
      <c r="F501" s="1229">
        <f t="shared" si="94"/>
        <v>0</v>
      </c>
      <c r="G501" s="1220">
        <f t="shared" si="95"/>
        <v>0</v>
      </c>
    </row>
    <row r="502" spans="1:7">
      <c r="A502" s="702" t="s">
        <v>4381</v>
      </c>
      <c r="B502" s="1233">
        <f t="shared" si="101"/>
        <v>0</v>
      </c>
      <c r="C502" s="1233">
        <f t="shared" si="100"/>
        <v>0</v>
      </c>
      <c r="D502" s="1233">
        <f>0/(100)</f>
        <v>0</v>
      </c>
      <c r="E502" s="1229">
        <f>2408400/(100)</f>
        <v>24084</v>
      </c>
      <c r="F502" s="1229">
        <f t="shared" si="94"/>
        <v>0</v>
      </c>
      <c r="G502" s="1220">
        <f t="shared" si="95"/>
        <v>24084</v>
      </c>
    </row>
    <row r="503" spans="1:7">
      <c r="A503" s="702" t="s">
        <v>4382</v>
      </c>
      <c r="B503" s="1233">
        <f t="shared" si="101"/>
        <v>0</v>
      </c>
      <c r="C503" s="1233">
        <f t="shared" si="100"/>
        <v>0</v>
      </c>
      <c r="D503" s="1233">
        <f>0/(100)</f>
        <v>0</v>
      </c>
      <c r="E503" s="1233">
        <f>0/(100)</f>
        <v>0</v>
      </c>
      <c r="F503" s="1229">
        <f t="shared" si="94"/>
        <v>0</v>
      </c>
      <c r="G503" s="1220">
        <f t="shared" si="95"/>
        <v>0</v>
      </c>
    </row>
    <row r="504" spans="1:7">
      <c r="A504" s="702" t="s">
        <v>4383</v>
      </c>
      <c r="B504" s="1233">
        <f t="shared" si="101"/>
        <v>0</v>
      </c>
      <c r="C504" s="1233">
        <f t="shared" si="100"/>
        <v>0</v>
      </c>
      <c r="D504" s="1229">
        <f>50500/(100)</f>
        <v>505</v>
      </c>
      <c r="E504" s="1233">
        <f>0/(100)</f>
        <v>0</v>
      </c>
      <c r="F504" s="1229">
        <f t="shared" si="94"/>
        <v>0</v>
      </c>
      <c r="G504" s="1220">
        <f t="shared" si="95"/>
        <v>-505</v>
      </c>
    </row>
    <row r="505" spans="1:7">
      <c r="A505" s="702" t="s">
        <v>3558</v>
      </c>
      <c r="B505" s="1233">
        <f t="shared" si="101"/>
        <v>0</v>
      </c>
      <c r="C505" s="1229">
        <f>1299/(100)</f>
        <v>12.99</v>
      </c>
      <c r="D505" s="1233">
        <f>0/(100)</f>
        <v>0</v>
      </c>
      <c r="E505" s="1229">
        <f>27907.12/(100)</f>
        <v>279.07119999999998</v>
      </c>
      <c r="F505" s="1229">
        <f t="shared" si="94"/>
        <v>12.99</v>
      </c>
      <c r="G505" s="1220">
        <f t="shared" si="95"/>
        <v>279.07119999999998</v>
      </c>
    </row>
    <row r="506" spans="1:7">
      <c r="A506" s="702" t="s">
        <v>3559</v>
      </c>
      <c r="B506" s="1233">
        <f t="shared" si="101"/>
        <v>0</v>
      </c>
      <c r="C506" s="1233">
        <f>0/(100)</f>
        <v>0</v>
      </c>
      <c r="D506" s="1233">
        <f>0/(100)</f>
        <v>0</v>
      </c>
      <c r="E506" s="1229">
        <f>170100/(100)</f>
        <v>1701</v>
      </c>
      <c r="F506" s="1229">
        <f t="shared" si="94"/>
        <v>0</v>
      </c>
      <c r="G506" s="1220">
        <f t="shared" si="95"/>
        <v>1701</v>
      </c>
    </row>
    <row r="507" spans="1:7">
      <c r="A507" s="702" t="s">
        <v>4384</v>
      </c>
      <c r="B507" s="1229">
        <f>148000/(100)</f>
        <v>1480</v>
      </c>
      <c r="C507" s="1233">
        <f>0/(100)</f>
        <v>0</v>
      </c>
      <c r="D507" s="1229">
        <f>148000/(100)</f>
        <v>1480</v>
      </c>
      <c r="E507" s="1233">
        <f>0/(100)</f>
        <v>0</v>
      </c>
      <c r="F507" s="1229">
        <f t="shared" si="94"/>
        <v>-1480</v>
      </c>
      <c r="G507" s="1220">
        <f t="shared" si="95"/>
        <v>-1480</v>
      </c>
    </row>
    <row r="508" spans="1:7">
      <c r="A508" s="702" t="s">
        <v>4385</v>
      </c>
      <c r="B508" s="1233">
        <f t="shared" ref="B508:B514" si="102">0/(100)</f>
        <v>0</v>
      </c>
      <c r="C508" s="1229">
        <f>35000/(100)</f>
        <v>350</v>
      </c>
      <c r="D508" s="1233">
        <f>0/(100)</f>
        <v>0</v>
      </c>
      <c r="E508" s="1229">
        <f>35000/(100)</f>
        <v>350</v>
      </c>
      <c r="F508" s="1229">
        <f t="shared" si="94"/>
        <v>350</v>
      </c>
      <c r="G508" s="1220">
        <f t="shared" si="95"/>
        <v>350</v>
      </c>
    </row>
    <row r="509" spans="1:7">
      <c r="A509" s="702" t="s">
        <v>4386</v>
      </c>
      <c r="B509" s="1233">
        <f t="shared" si="102"/>
        <v>0</v>
      </c>
      <c r="C509" s="1229">
        <f>12150/(100)</f>
        <v>121.5</v>
      </c>
      <c r="D509" s="1233">
        <f>0/(100)</f>
        <v>0</v>
      </c>
      <c r="E509" s="1233">
        <f>0/(100)</f>
        <v>0</v>
      </c>
      <c r="F509" s="1229">
        <f t="shared" si="94"/>
        <v>121.5</v>
      </c>
      <c r="G509" s="1220">
        <f t="shared" si="95"/>
        <v>0</v>
      </c>
    </row>
    <row r="510" spans="1:7">
      <c r="A510" s="702" t="s">
        <v>4387</v>
      </c>
      <c r="B510" s="1233">
        <f t="shared" si="102"/>
        <v>0</v>
      </c>
      <c r="C510" s="1233">
        <f>0/(100)</f>
        <v>0</v>
      </c>
      <c r="D510" s="1233">
        <f>0/(100)</f>
        <v>0</v>
      </c>
      <c r="E510" s="1229">
        <f>1088.99/(100)</f>
        <v>10.889900000000001</v>
      </c>
      <c r="F510" s="1229">
        <f t="shared" si="94"/>
        <v>0</v>
      </c>
      <c r="G510" s="1220">
        <f t="shared" si="95"/>
        <v>10.889900000000001</v>
      </c>
    </row>
    <row r="511" spans="1:7">
      <c r="A511" s="702" t="s">
        <v>4388</v>
      </c>
      <c r="B511" s="1233">
        <f t="shared" si="102"/>
        <v>0</v>
      </c>
      <c r="C511" s="1233">
        <f>0/(100)</f>
        <v>0</v>
      </c>
      <c r="D511" s="1233">
        <f>0/(100)</f>
        <v>0</v>
      </c>
      <c r="E511" s="1233">
        <f>0/(100)</f>
        <v>0</v>
      </c>
      <c r="F511" s="1229">
        <f t="shared" si="94"/>
        <v>0</v>
      </c>
      <c r="G511" s="1220">
        <f t="shared" si="95"/>
        <v>0</v>
      </c>
    </row>
    <row r="512" spans="1:7">
      <c r="A512" s="702" t="s">
        <v>4389</v>
      </c>
      <c r="B512" s="1233">
        <f t="shared" si="102"/>
        <v>0</v>
      </c>
      <c r="C512" s="1233">
        <f>0/(100)</f>
        <v>0</v>
      </c>
      <c r="D512" s="1229">
        <f>250000/(100)</f>
        <v>2500</v>
      </c>
      <c r="E512" s="1233">
        <f>0/(100)</f>
        <v>0</v>
      </c>
      <c r="F512" s="1229">
        <f t="shared" si="94"/>
        <v>0</v>
      </c>
      <c r="G512" s="1220">
        <f t="shared" si="95"/>
        <v>-2500</v>
      </c>
    </row>
    <row r="513" spans="1:7">
      <c r="A513" s="702" t="s">
        <v>4390</v>
      </c>
      <c r="B513" s="1233">
        <f t="shared" si="102"/>
        <v>0</v>
      </c>
      <c r="C513" s="1233">
        <f>0/(100)</f>
        <v>0</v>
      </c>
      <c r="D513" s="1233">
        <f>0/(100)</f>
        <v>0</v>
      </c>
      <c r="E513" s="1229">
        <f>12744/(100)</f>
        <v>127.44</v>
      </c>
      <c r="F513" s="1229">
        <f t="shared" si="94"/>
        <v>0</v>
      </c>
      <c r="G513" s="1220">
        <f t="shared" si="95"/>
        <v>127.44</v>
      </c>
    </row>
    <row r="514" spans="1:7">
      <c r="A514" s="702" t="s">
        <v>4391</v>
      </c>
      <c r="B514" s="1233">
        <f t="shared" si="102"/>
        <v>0</v>
      </c>
      <c r="C514" s="1229">
        <f>538490/(100)</f>
        <v>5384.9</v>
      </c>
      <c r="D514" s="1233">
        <f>0/(100)</f>
        <v>0</v>
      </c>
      <c r="E514" s="1229">
        <f>538490/(100)</f>
        <v>5384.9</v>
      </c>
      <c r="F514" s="1229">
        <f t="shared" si="94"/>
        <v>5384.9</v>
      </c>
      <c r="G514" s="1220">
        <f t="shared" si="95"/>
        <v>5384.9</v>
      </c>
    </row>
    <row r="515" spans="1:7">
      <c r="A515" s="702" t="s">
        <v>4392</v>
      </c>
      <c r="B515" s="1229">
        <f>4000000/(100)</f>
        <v>40000</v>
      </c>
      <c r="C515" s="1233">
        <f>0/(100)</f>
        <v>0</v>
      </c>
      <c r="D515" s="1229">
        <f>4000000/(100)</f>
        <v>40000</v>
      </c>
      <c r="E515" s="1233">
        <f>0/(100)</f>
        <v>0</v>
      </c>
      <c r="F515" s="1229">
        <f t="shared" si="94"/>
        <v>-40000</v>
      </c>
      <c r="G515" s="1220">
        <f t="shared" si="95"/>
        <v>-40000</v>
      </c>
    </row>
    <row r="516" spans="1:7">
      <c r="A516" s="702" t="s">
        <v>4393</v>
      </c>
      <c r="B516" s="1233">
        <f>0/(100)</f>
        <v>0</v>
      </c>
      <c r="C516" s="1233">
        <f>0/(100)</f>
        <v>0</v>
      </c>
      <c r="D516" s="1233">
        <f>0/(100)</f>
        <v>0</v>
      </c>
      <c r="E516" s="1229">
        <f>853070/(100)</f>
        <v>8530.7000000000007</v>
      </c>
      <c r="F516" s="1229">
        <f t="shared" si="94"/>
        <v>0</v>
      </c>
      <c r="G516" s="1220">
        <f t="shared" si="95"/>
        <v>8530.7000000000007</v>
      </c>
    </row>
    <row r="517" spans="1:7">
      <c r="A517" s="702" t="s">
        <v>929</v>
      </c>
      <c r="B517" s="1233">
        <f>0/(100)</f>
        <v>0</v>
      </c>
      <c r="C517" s="1229">
        <f>911446/(100)</f>
        <v>9114.4599999999991</v>
      </c>
      <c r="D517" s="1233">
        <f>0/(100)</f>
        <v>0</v>
      </c>
      <c r="E517" s="1229">
        <f>1692729.97/(100)</f>
        <v>16927.2997</v>
      </c>
      <c r="F517" s="1229">
        <f t="shared" ref="F517:F580" si="103">C517-B517</f>
        <v>9114.4599999999991</v>
      </c>
      <c r="G517" s="1220">
        <f t="shared" ref="G517:G580" si="104">E517-D517</f>
        <v>16927.2997</v>
      </c>
    </row>
    <row r="518" spans="1:7">
      <c r="A518" s="702" t="s">
        <v>4394</v>
      </c>
      <c r="B518" s="1233">
        <f>0/(100)</f>
        <v>0</v>
      </c>
      <c r="C518" s="1233">
        <f>0/(100)</f>
        <v>0</v>
      </c>
      <c r="D518" s="1233">
        <f>0/(100)</f>
        <v>0</v>
      </c>
      <c r="E518" s="1229">
        <f>1722.8/(100)</f>
        <v>17.227999999999998</v>
      </c>
      <c r="F518" s="1229">
        <f t="shared" si="103"/>
        <v>0</v>
      </c>
      <c r="G518" s="1220">
        <f t="shared" si="104"/>
        <v>17.227999999999998</v>
      </c>
    </row>
    <row r="519" spans="1:7">
      <c r="A519" s="702" t="s">
        <v>4395</v>
      </c>
      <c r="B519" s="1233">
        <f>0/(100)</f>
        <v>0</v>
      </c>
      <c r="C519" s="1229">
        <f>425200.75/(100)</f>
        <v>4252.0074999999997</v>
      </c>
      <c r="D519" s="1233">
        <f>0/(100)</f>
        <v>0</v>
      </c>
      <c r="E519" s="1229">
        <f>430756.45/(100)</f>
        <v>4307.5645000000004</v>
      </c>
      <c r="F519" s="1229">
        <f t="shared" si="103"/>
        <v>4252.0074999999997</v>
      </c>
      <c r="G519" s="1220">
        <f t="shared" si="104"/>
        <v>4307.5645000000004</v>
      </c>
    </row>
    <row r="520" spans="1:7">
      <c r="A520" s="702" t="s">
        <v>4396</v>
      </c>
      <c r="B520" s="1229">
        <f>22089/(100)</f>
        <v>220.89</v>
      </c>
      <c r="C520" s="1233">
        <f>0/(100)</f>
        <v>0</v>
      </c>
      <c r="D520" s="1229">
        <f>22089/(100)</f>
        <v>220.89</v>
      </c>
      <c r="E520" s="1233">
        <f>0/(100)</f>
        <v>0</v>
      </c>
      <c r="F520" s="1229">
        <f t="shared" si="103"/>
        <v>-220.89</v>
      </c>
      <c r="G520" s="1220">
        <f t="shared" si="104"/>
        <v>-220.89</v>
      </c>
    </row>
    <row r="521" spans="1:7">
      <c r="A521" s="702" t="s">
        <v>4397</v>
      </c>
      <c r="B521" s="1233">
        <f>0/(100)</f>
        <v>0</v>
      </c>
      <c r="C521" s="1229">
        <f>42091/(100)</f>
        <v>420.91</v>
      </c>
      <c r="D521" s="1233">
        <f>0/(100)</f>
        <v>0</v>
      </c>
      <c r="E521" s="1229">
        <f>52782/(100)</f>
        <v>527.82000000000005</v>
      </c>
      <c r="F521" s="1229">
        <f t="shared" si="103"/>
        <v>420.91</v>
      </c>
      <c r="G521" s="1220">
        <f t="shared" si="104"/>
        <v>527.82000000000005</v>
      </c>
    </row>
    <row r="522" spans="1:7">
      <c r="A522" s="702" t="s">
        <v>4398</v>
      </c>
      <c r="B522" s="1233">
        <f>0/(100)</f>
        <v>0</v>
      </c>
      <c r="C522" s="1233">
        <f>0/(100)</f>
        <v>0</v>
      </c>
      <c r="D522" s="1233">
        <f>0/(100)</f>
        <v>0</v>
      </c>
      <c r="E522" s="1233">
        <f>0/(100)</f>
        <v>0</v>
      </c>
      <c r="F522" s="1229">
        <f t="shared" si="103"/>
        <v>0</v>
      </c>
      <c r="G522" s="1220">
        <f t="shared" si="104"/>
        <v>0</v>
      </c>
    </row>
    <row r="523" spans="1:7">
      <c r="A523" s="702" t="s">
        <v>4399</v>
      </c>
      <c r="B523" s="1233">
        <f>0/(100)</f>
        <v>0</v>
      </c>
      <c r="C523" s="1233">
        <f>0/(100)</f>
        <v>0</v>
      </c>
      <c r="D523" s="1233">
        <f>0/(100)</f>
        <v>0</v>
      </c>
      <c r="E523" s="1229">
        <f>25614/(100)</f>
        <v>256.14</v>
      </c>
      <c r="F523" s="1229">
        <f t="shared" si="103"/>
        <v>0</v>
      </c>
      <c r="G523" s="1220">
        <f t="shared" si="104"/>
        <v>256.14</v>
      </c>
    </row>
    <row r="524" spans="1:7">
      <c r="A524" s="702" t="s">
        <v>942</v>
      </c>
      <c r="B524" s="1233">
        <f>0/(100)</f>
        <v>0</v>
      </c>
      <c r="C524" s="1229">
        <f>223679/(100)</f>
        <v>2236.79</v>
      </c>
      <c r="D524" s="1233">
        <f>0/(100)</f>
        <v>0</v>
      </c>
      <c r="E524" s="1229">
        <f>459645/(100)</f>
        <v>4596.45</v>
      </c>
      <c r="F524" s="1229">
        <f t="shared" si="103"/>
        <v>2236.79</v>
      </c>
      <c r="G524" s="1220">
        <f t="shared" si="104"/>
        <v>4596.45</v>
      </c>
    </row>
    <row r="525" spans="1:7">
      <c r="A525" s="702" t="s">
        <v>4400</v>
      </c>
      <c r="B525" s="1229">
        <f>138575/(100)</f>
        <v>1385.75</v>
      </c>
      <c r="C525" s="1233">
        <f>0/(100)</f>
        <v>0</v>
      </c>
      <c r="D525" s="1229">
        <f>138575/(100)</f>
        <v>1385.75</v>
      </c>
      <c r="E525" s="1233">
        <f>0/(100)</f>
        <v>0</v>
      </c>
      <c r="F525" s="1229">
        <f t="shared" si="103"/>
        <v>-1385.75</v>
      </c>
      <c r="G525" s="1220">
        <f t="shared" si="104"/>
        <v>-1385.75</v>
      </c>
    </row>
    <row r="526" spans="1:7">
      <c r="A526" s="702" t="s">
        <v>4401</v>
      </c>
      <c r="B526" s="1233">
        <f t="shared" ref="B526:B538" si="105">0/(100)</f>
        <v>0</v>
      </c>
      <c r="C526" s="1229">
        <f>22656/(100)</f>
        <v>226.56</v>
      </c>
      <c r="D526" s="1233">
        <f t="shared" ref="D526:D538" si="106">0/(100)</f>
        <v>0</v>
      </c>
      <c r="E526" s="1229">
        <f>22656/(100)</f>
        <v>226.56</v>
      </c>
      <c r="F526" s="1229">
        <f t="shared" si="103"/>
        <v>226.56</v>
      </c>
      <c r="G526" s="1220">
        <f t="shared" si="104"/>
        <v>226.56</v>
      </c>
    </row>
    <row r="527" spans="1:7">
      <c r="A527" s="702" t="s">
        <v>4402</v>
      </c>
      <c r="B527" s="1233">
        <f t="shared" si="105"/>
        <v>0</v>
      </c>
      <c r="C527" s="1229">
        <f>1062/(100)</f>
        <v>10.62</v>
      </c>
      <c r="D527" s="1233">
        <f t="shared" si="106"/>
        <v>0</v>
      </c>
      <c r="E527" s="1229">
        <f>1062/(100)</f>
        <v>10.62</v>
      </c>
      <c r="F527" s="1229">
        <f t="shared" si="103"/>
        <v>10.62</v>
      </c>
      <c r="G527" s="1220">
        <f t="shared" si="104"/>
        <v>10.62</v>
      </c>
    </row>
    <row r="528" spans="1:7">
      <c r="A528" s="702" t="s">
        <v>4403</v>
      </c>
      <c r="B528" s="1233">
        <f t="shared" si="105"/>
        <v>0</v>
      </c>
      <c r="C528" s="1229">
        <f>141128/(100)</f>
        <v>1411.28</v>
      </c>
      <c r="D528" s="1233">
        <f t="shared" si="106"/>
        <v>0</v>
      </c>
      <c r="E528" s="1229">
        <f>141128/(100)</f>
        <v>1411.28</v>
      </c>
      <c r="F528" s="1229">
        <f t="shared" si="103"/>
        <v>1411.28</v>
      </c>
      <c r="G528" s="1220">
        <f t="shared" si="104"/>
        <v>1411.28</v>
      </c>
    </row>
    <row r="529" spans="1:7">
      <c r="A529" s="702" t="s">
        <v>4404</v>
      </c>
      <c r="B529" s="1233">
        <f t="shared" si="105"/>
        <v>0</v>
      </c>
      <c r="C529" s="1229">
        <f>31986/(100)</f>
        <v>319.86</v>
      </c>
      <c r="D529" s="1233">
        <f t="shared" si="106"/>
        <v>0</v>
      </c>
      <c r="E529" s="1229">
        <f>31986/(100)</f>
        <v>319.86</v>
      </c>
      <c r="F529" s="1229">
        <f t="shared" si="103"/>
        <v>319.86</v>
      </c>
      <c r="G529" s="1220">
        <f t="shared" si="104"/>
        <v>319.86</v>
      </c>
    </row>
    <row r="530" spans="1:7">
      <c r="A530" s="702" t="s">
        <v>4405</v>
      </c>
      <c r="B530" s="1233">
        <f t="shared" si="105"/>
        <v>0</v>
      </c>
      <c r="C530" s="1233">
        <f>0/(100)</f>
        <v>0</v>
      </c>
      <c r="D530" s="1233">
        <f t="shared" si="106"/>
        <v>0</v>
      </c>
      <c r="E530" s="1229">
        <f>1300/(100)</f>
        <v>13</v>
      </c>
      <c r="F530" s="1229">
        <f t="shared" si="103"/>
        <v>0</v>
      </c>
      <c r="G530" s="1220">
        <f t="shared" si="104"/>
        <v>13</v>
      </c>
    </row>
    <row r="531" spans="1:7">
      <c r="A531" s="702" t="s">
        <v>4406</v>
      </c>
      <c r="B531" s="1233">
        <f t="shared" si="105"/>
        <v>0</v>
      </c>
      <c r="C531" s="1233">
        <f>0/(100)</f>
        <v>0</v>
      </c>
      <c r="D531" s="1233">
        <f t="shared" si="106"/>
        <v>0</v>
      </c>
      <c r="E531" s="1229">
        <f>2140899.04/(100)</f>
        <v>21408.990399999999</v>
      </c>
      <c r="F531" s="1229">
        <f t="shared" si="103"/>
        <v>0</v>
      </c>
      <c r="G531" s="1220">
        <f t="shared" si="104"/>
        <v>21408.990399999999</v>
      </c>
    </row>
    <row r="532" spans="1:7">
      <c r="A532" s="702" t="s">
        <v>957</v>
      </c>
      <c r="B532" s="1233">
        <f t="shared" si="105"/>
        <v>0</v>
      </c>
      <c r="C532" s="1229">
        <f>2653954/(100)</f>
        <v>26539.54</v>
      </c>
      <c r="D532" s="1233">
        <f t="shared" si="106"/>
        <v>0</v>
      </c>
      <c r="E532" s="1229">
        <f>800931/(100)</f>
        <v>8009.31</v>
      </c>
      <c r="F532" s="1229">
        <f t="shared" si="103"/>
        <v>26539.54</v>
      </c>
      <c r="G532" s="1220">
        <f t="shared" si="104"/>
        <v>8009.31</v>
      </c>
    </row>
    <row r="533" spans="1:7">
      <c r="A533" s="702" t="s">
        <v>4407</v>
      </c>
      <c r="B533" s="1233">
        <f t="shared" si="105"/>
        <v>0</v>
      </c>
      <c r="C533" s="1233">
        <f>0/(100)</f>
        <v>0</v>
      </c>
      <c r="D533" s="1233">
        <f t="shared" si="106"/>
        <v>0</v>
      </c>
      <c r="E533" s="1233">
        <f>0/(100)</f>
        <v>0</v>
      </c>
      <c r="F533" s="1229">
        <f t="shared" si="103"/>
        <v>0</v>
      </c>
      <c r="G533" s="1220">
        <f t="shared" si="104"/>
        <v>0</v>
      </c>
    </row>
    <row r="534" spans="1:7">
      <c r="A534" s="702" t="s">
        <v>4408</v>
      </c>
      <c r="B534" s="1233">
        <f t="shared" si="105"/>
        <v>0</v>
      </c>
      <c r="C534" s="1233">
        <f>0/(100)</f>
        <v>0</v>
      </c>
      <c r="D534" s="1233">
        <f t="shared" si="106"/>
        <v>0</v>
      </c>
      <c r="E534" s="1229">
        <f>3216/(100)</f>
        <v>32.159999999999997</v>
      </c>
      <c r="F534" s="1229">
        <f t="shared" si="103"/>
        <v>0</v>
      </c>
      <c r="G534" s="1220">
        <f t="shared" si="104"/>
        <v>32.159999999999997</v>
      </c>
    </row>
    <row r="535" spans="1:7">
      <c r="A535" s="702" t="s">
        <v>4409</v>
      </c>
      <c r="B535" s="1233">
        <f t="shared" si="105"/>
        <v>0</v>
      </c>
      <c r="C535" s="1233">
        <f>0/(100)</f>
        <v>0</v>
      </c>
      <c r="D535" s="1233">
        <f t="shared" si="106"/>
        <v>0</v>
      </c>
      <c r="E535" s="1233">
        <f>0/(100)</f>
        <v>0</v>
      </c>
      <c r="F535" s="1229">
        <f t="shared" si="103"/>
        <v>0</v>
      </c>
      <c r="G535" s="1220">
        <f t="shared" si="104"/>
        <v>0</v>
      </c>
    </row>
    <row r="536" spans="1:7">
      <c r="A536" s="702" t="s">
        <v>4410</v>
      </c>
      <c r="B536" s="1233">
        <f t="shared" si="105"/>
        <v>0</v>
      </c>
      <c r="C536" s="1229">
        <f>7704/(100)</f>
        <v>77.040000000000006</v>
      </c>
      <c r="D536" s="1233">
        <f t="shared" si="106"/>
        <v>0</v>
      </c>
      <c r="E536" s="1229">
        <f>7704/(100)</f>
        <v>77.040000000000006</v>
      </c>
      <c r="F536" s="1229">
        <f t="shared" si="103"/>
        <v>77.040000000000006</v>
      </c>
      <c r="G536" s="1220">
        <f t="shared" si="104"/>
        <v>77.040000000000006</v>
      </c>
    </row>
    <row r="537" spans="1:7">
      <c r="A537" s="702" t="s">
        <v>4411</v>
      </c>
      <c r="B537" s="1233">
        <f t="shared" si="105"/>
        <v>0</v>
      </c>
      <c r="C537" s="1233">
        <f>0/(100)</f>
        <v>0</v>
      </c>
      <c r="D537" s="1233">
        <f t="shared" si="106"/>
        <v>0</v>
      </c>
      <c r="E537" s="1233">
        <f>0/(100)</f>
        <v>0</v>
      </c>
      <c r="F537" s="1229">
        <f t="shared" si="103"/>
        <v>0</v>
      </c>
      <c r="G537" s="1220">
        <f t="shared" si="104"/>
        <v>0</v>
      </c>
    </row>
    <row r="538" spans="1:7">
      <c r="A538" s="702" t="s">
        <v>4412</v>
      </c>
      <c r="B538" s="1233">
        <f t="shared" si="105"/>
        <v>0</v>
      </c>
      <c r="C538" s="1229">
        <f>277479/(100)</f>
        <v>2774.79</v>
      </c>
      <c r="D538" s="1233">
        <f t="shared" si="106"/>
        <v>0</v>
      </c>
      <c r="E538" s="1229">
        <f>277479/(100)</f>
        <v>2774.79</v>
      </c>
      <c r="F538" s="1229">
        <f t="shared" si="103"/>
        <v>2774.79</v>
      </c>
      <c r="G538" s="1220">
        <f t="shared" si="104"/>
        <v>2774.79</v>
      </c>
    </row>
    <row r="539" spans="1:7">
      <c r="A539" s="702" t="s">
        <v>4413</v>
      </c>
      <c r="B539" s="1229">
        <f>449423.9/(100)</f>
        <v>4494.2390000000005</v>
      </c>
      <c r="C539" s="1233">
        <f>0/(100)</f>
        <v>0</v>
      </c>
      <c r="D539" s="1229">
        <f>557995.9/(100)</f>
        <v>5579.9589999999998</v>
      </c>
      <c r="E539" s="1233">
        <f>0/(100)</f>
        <v>0</v>
      </c>
      <c r="F539" s="1229">
        <f t="shared" si="103"/>
        <v>-4494.2390000000005</v>
      </c>
      <c r="G539" s="1220">
        <f t="shared" si="104"/>
        <v>-5579.9589999999998</v>
      </c>
    </row>
    <row r="540" spans="1:7">
      <c r="A540" s="702" t="s">
        <v>949</v>
      </c>
      <c r="B540" s="1233">
        <f>0/(100)</f>
        <v>0</v>
      </c>
      <c r="C540" s="1229">
        <f>106200/(100)</f>
        <v>1062</v>
      </c>
      <c r="D540" s="1233">
        <f>0/(100)</f>
        <v>0</v>
      </c>
      <c r="E540" s="1233">
        <f>0/(100)</f>
        <v>0</v>
      </c>
      <c r="F540" s="1229">
        <f t="shared" si="103"/>
        <v>1062</v>
      </c>
      <c r="G540" s="1220">
        <f t="shared" si="104"/>
        <v>0</v>
      </c>
    </row>
    <row r="541" spans="1:7">
      <c r="A541" s="702" t="s">
        <v>4414</v>
      </c>
      <c r="B541" s="1233">
        <f>0/(100)</f>
        <v>0</v>
      </c>
      <c r="C541" s="1229">
        <f>44740/(100)</f>
        <v>447.4</v>
      </c>
      <c r="D541" s="1233">
        <f>0/(100)</f>
        <v>0</v>
      </c>
      <c r="E541" s="1229">
        <f>24247/(100)</f>
        <v>242.47</v>
      </c>
      <c r="F541" s="1229">
        <f t="shared" si="103"/>
        <v>447.4</v>
      </c>
      <c r="G541" s="1220">
        <f t="shared" si="104"/>
        <v>242.47</v>
      </c>
    </row>
    <row r="542" spans="1:7">
      <c r="A542" s="702" t="s">
        <v>1478</v>
      </c>
      <c r="B542" s="1233">
        <f>0/(100)</f>
        <v>0</v>
      </c>
      <c r="C542" s="1229">
        <f>3543456.42/(100)</f>
        <v>35434.564200000001</v>
      </c>
      <c r="D542" s="1233">
        <f>0/(100)</f>
        <v>0</v>
      </c>
      <c r="E542" s="1229">
        <f>1314808.75/(100)</f>
        <v>13148.0875</v>
      </c>
      <c r="F542" s="1229">
        <f t="shared" si="103"/>
        <v>35434.564200000001</v>
      </c>
      <c r="G542" s="1220">
        <f t="shared" si="104"/>
        <v>13148.0875</v>
      </c>
    </row>
    <row r="543" spans="1:7">
      <c r="A543" s="702" t="s">
        <v>4415</v>
      </c>
      <c r="B543" s="1229">
        <f>32574.68/(100)</f>
        <v>325.74680000000001</v>
      </c>
      <c r="C543" s="1233">
        <f>0/(100)</f>
        <v>0</v>
      </c>
      <c r="D543" s="1229">
        <f>83575.68/(100)</f>
        <v>835.75679999999988</v>
      </c>
      <c r="E543" s="1233">
        <f>0/(100)</f>
        <v>0</v>
      </c>
      <c r="F543" s="1229">
        <f t="shared" si="103"/>
        <v>-325.74680000000001</v>
      </c>
      <c r="G543" s="1220">
        <f t="shared" si="104"/>
        <v>-835.75679999999988</v>
      </c>
    </row>
    <row r="544" spans="1:7">
      <c r="A544" s="702" t="s">
        <v>4416</v>
      </c>
      <c r="B544" s="1233">
        <f t="shared" ref="B544:B569" si="107">0/(100)</f>
        <v>0</v>
      </c>
      <c r="C544" s="1229">
        <f>11800/(100)</f>
        <v>118</v>
      </c>
      <c r="D544" s="1233">
        <f>0/(100)</f>
        <v>0</v>
      </c>
      <c r="E544" s="1229">
        <f>5900/(100)</f>
        <v>59</v>
      </c>
      <c r="F544" s="1229">
        <f t="shared" si="103"/>
        <v>118</v>
      </c>
      <c r="G544" s="1220">
        <f t="shared" si="104"/>
        <v>59</v>
      </c>
    </row>
    <row r="545" spans="1:7">
      <c r="A545" s="702" t="s">
        <v>4417</v>
      </c>
      <c r="B545" s="1233">
        <f t="shared" si="107"/>
        <v>0</v>
      </c>
      <c r="C545" s="1229">
        <f>26798.24/(100)</f>
        <v>267.98240000000004</v>
      </c>
      <c r="D545" s="1233">
        <f>0/(100)</f>
        <v>0</v>
      </c>
      <c r="E545" s="1229">
        <f>26798.24/(100)</f>
        <v>267.98240000000004</v>
      </c>
      <c r="F545" s="1229">
        <f t="shared" si="103"/>
        <v>267.98240000000004</v>
      </c>
      <c r="G545" s="1220">
        <f t="shared" si="104"/>
        <v>267.98240000000004</v>
      </c>
    </row>
    <row r="546" spans="1:7">
      <c r="A546" s="702" t="s">
        <v>1481</v>
      </c>
      <c r="B546" s="1233">
        <f t="shared" si="107"/>
        <v>0</v>
      </c>
      <c r="C546" s="1229">
        <f>112312/(100)</f>
        <v>1123.1199999999999</v>
      </c>
      <c r="D546" s="1233">
        <f>0/(100)</f>
        <v>0</v>
      </c>
      <c r="E546" s="1229">
        <f>120952/(100)</f>
        <v>1209.52</v>
      </c>
      <c r="F546" s="1229">
        <f t="shared" si="103"/>
        <v>1123.1199999999999</v>
      </c>
      <c r="G546" s="1220">
        <f t="shared" si="104"/>
        <v>1209.52</v>
      </c>
    </row>
    <row r="547" spans="1:7">
      <c r="A547" s="702" t="s">
        <v>4418</v>
      </c>
      <c r="B547" s="1233">
        <f t="shared" si="107"/>
        <v>0</v>
      </c>
      <c r="C547" s="1229">
        <f>906086/(100)</f>
        <v>9060.86</v>
      </c>
      <c r="D547" s="1229">
        <f>9346/(100)</f>
        <v>93.46</v>
      </c>
      <c r="E547" s="1233">
        <f>0/(100)</f>
        <v>0</v>
      </c>
      <c r="F547" s="1229">
        <f t="shared" si="103"/>
        <v>9060.86</v>
      </c>
      <c r="G547" s="1220">
        <f t="shared" si="104"/>
        <v>-93.46</v>
      </c>
    </row>
    <row r="548" spans="1:7">
      <c r="A548" s="702" t="s">
        <v>4419</v>
      </c>
      <c r="B548" s="1233">
        <f t="shared" si="107"/>
        <v>0</v>
      </c>
      <c r="C548" s="1229">
        <f>106249/(100)</f>
        <v>1062.49</v>
      </c>
      <c r="D548" s="1233">
        <f t="shared" ref="D548:D563" si="108">0/(100)</f>
        <v>0</v>
      </c>
      <c r="E548" s="1233">
        <f>0/(100)</f>
        <v>0</v>
      </c>
      <c r="F548" s="1229">
        <f t="shared" si="103"/>
        <v>1062.49</v>
      </c>
      <c r="G548" s="1220">
        <f t="shared" si="104"/>
        <v>0</v>
      </c>
    </row>
    <row r="549" spans="1:7">
      <c r="A549" s="702" t="s">
        <v>4420</v>
      </c>
      <c r="B549" s="1233">
        <f t="shared" si="107"/>
        <v>0</v>
      </c>
      <c r="C549" s="1229">
        <f>156656.82/(100)</f>
        <v>1566.5682000000002</v>
      </c>
      <c r="D549" s="1233">
        <f t="shared" si="108"/>
        <v>0</v>
      </c>
      <c r="E549" s="1229">
        <f>485523.32/(100)</f>
        <v>4855.2331999999997</v>
      </c>
      <c r="F549" s="1229">
        <f t="shared" si="103"/>
        <v>1566.5682000000002</v>
      </c>
      <c r="G549" s="1220">
        <f t="shared" si="104"/>
        <v>4855.2331999999997</v>
      </c>
    </row>
    <row r="550" spans="1:7">
      <c r="A550" s="702" t="s">
        <v>4421</v>
      </c>
      <c r="B550" s="1233">
        <f t="shared" si="107"/>
        <v>0</v>
      </c>
      <c r="C550" s="1233">
        <f>0/(100)</f>
        <v>0</v>
      </c>
      <c r="D550" s="1233">
        <f t="shared" si="108"/>
        <v>0</v>
      </c>
      <c r="E550" s="1229">
        <f>398/(100)</f>
        <v>3.98</v>
      </c>
      <c r="F550" s="1229">
        <f t="shared" si="103"/>
        <v>0</v>
      </c>
      <c r="G550" s="1220">
        <f t="shared" si="104"/>
        <v>3.98</v>
      </c>
    </row>
    <row r="551" spans="1:7">
      <c r="A551" s="702" t="s">
        <v>4422</v>
      </c>
      <c r="B551" s="1233">
        <f t="shared" si="107"/>
        <v>0</v>
      </c>
      <c r="C551" s="1229">
        <f>1800644.84/(100)</f>
        <v>18006.448400000001</v>
      </c>
      <c r="D551" s="1233">
        <f t="shared" si="108"/>
        <v>0</v>
      </c>
      <c r="E551" s="1229">
        <f>872236.24/(100)</f>
        <v>8722.3624</v>
      </c>
      <c r="F551" s="1229">
        <f t="shared" si="103"/>
        <v>18006.448400000001</v>
      </c>
      <c r="G551" s="1220">
        <f t="shared" si="104"/>
        <v>8722.3624</v>
      </c>
    </row>
    <row r="552" spans="1:7">
      <c r="A552" s="702" t="s">
        <v>4423</v>
      </c>
      <c r="B552" s="1233">
        <f t="shared" si="107"/>
        <v>0</v>
      </c>
      <c r="C552" s="1233">
        <f>0/(100)</f>
        <v>0</v>
      </c>
      <c r="D552" s="1233">
        <f t="shared" si="108"/>
        <v>0</v>
      </c>
      <c r="E552" s="1233">
        <f>0/(100)</f>
        <v>0</v>
      </c>
      <c r="F552" s="1229">
        <f t="shared" si="103"/>
        <v>0</v>
      </c>
      <c r="G552" s="1220">
        <f t="shared" si="104"/>
        <v>0</v>
      </c>
    </row>
    <row r="553" spans="1:7">
      <c r="A553" s="702" t="s">
        <v>4424</v>
      </c>
      <c r="B553" s="1233">
        <f t="shared" si="107"/>
        <v>0</v>
      </c>
      <c r="C553" s="1233">
        <f>0/(100)</f>
        <v>0</v>
      </c>
      <c r="D553" s="1233">
        <f t="shared" si="108"/>
        <v>0</v>
      </c>
      <c r="E553" s="1229">
        <f>150044/(100)</f>
        <v>1500.44</v>
      </c>
      <c r="F553" s="1229">
        <f t="shared" si="103"/>
        <v>0</v>
      </c>
      <c r="G553" s="1220">
        <f t="shared" si="104"/>
        <v>1500.44</v>
      </c>
    </row>
    <row r="554" spans="1:7">
      <c r="A554" s="702" t="s">
        <v>4425</v>
      </c>
      <c r="B554" s="1233">
        <f t="shared" si="107"/>
        <v>0</v>
      </c>
      <c r="C554" s="1229">
        <f>17101/(100)</f>
        <v>171.01</v>
      </c>
      <c r="D554" s="1233">
        <f t="shared" si="108"/>
        <v>0</v>
      </c>
      <c r="E554" s="1233">
        <f>0/(100)</f>
        <v>0</v>
      </c>
      <c r="F554" s="1229">
        <f t="shared" si="103"/>
        <v>171.01</v>
      </c>
      <c r="G554" s="1220">
        <f t="shared" si="104"/>
        <v>0</v>
      </c>
    </row>
    <row r="555" spans="1:7">
      <c r="A555" s="702" t="s">
        <v>4426</v>
      </c>
      <c r="B555" s="1233">
        <f t="shared" si="107"/>
        <v>0</v>
      </c>
      <c r="C555" s="1233">
        <f>0/(100)</f>
        <v>0</v>
      </c>
      <c r="D555" s="1233">
        <f t="shared" si="108"/>
        <v>0</v>
      </c>
      <c r="E555" s="1233">
        <f>0/(100)</f>
        <v>0</v>
      </c>
      <c r="F555" s="1229">
        <f t="shared" si="103"/>
        <v>0</v>
      </c>
      <c r="G555" s="1220">
        <f t="shared" si="104"/>
        <v>0</v>
      </c>
    </row>
    <row r="556" spans="1:7">
      <c r="A556" s="702" t="s">
        <v>4427</v>
      </c>
      <c r="B556" s="1233">
        <f t="shared" si="107"/>
        <v>0</v>
      </c>
      <c r="C556" s="1229">
        <f>6300/(100)</f>
        <v>63</v>
      </c>
      <c r="D556" s="1233">
        <f t="shared" si="108"/>
        <v>0</v>
      </c>
      <c r="E556" s="1229">
        <f>6300/(100)</f>
        <v>63</v>
      </c>
      <c r="F556" s="1229">
        <f t="shared" si="103"/>
        <v>63</v>
      </c>
      <c r="G556" s="1220">
        <f t="shared" si="104"/>
        <v>63</v>
      </c>
    </row>
    <row r="557" spans="1:7">
      <c r="A557" s="702" t="s">
        <v>4428</v>
      </c>
      <c r="B557" s="1233">
        <f t="shared" si="107"/>
        <v>0</v>
      </c>
      <c r="C557" s="1229">
        <f>654.16/(100)</f>
        <v>6.5415999999999999</v>
      </c>
      <c r="D557" s="1233">
        <f t="shared" si="108"/>
        <v>0</v>
      </c>
      <c r="E557" s="1229">
        <f>26703480.16/(100)</f>
        <v>267034.80160000001</v>
      </c>
      <c r="F557" s="1229">
        <f t="shared" si="103"/>
        <v>6.5415999999999999</v>
      </c>
      <c r="G557" s="1220">
        <f t="shared" si="104"/>
        <v>267034.80160000001</v>
      </c>
    </row>
    <row r="558" spans="1:7">
      <c r="A558" s="702" t="s">
        <v>4429</v>
      </c>
      <c r="B558" s="1233">
        <f t="shared" si="107"/>
        <v>0</v>
      </c>
      <c r="C558" s="1233">
        <f>0/(100)</f>
        <v>0</v>
      </c>
      <c r="D558" s="1233">
        <f t="shared" si="108"/>
        <v>0</v>
      </c>
      <c r="E558" s="1229">
        <f>64900/(100)</f>
        <v>649</v>
      </c>
      <c r="F558" s="1229">
        <f t="shared" si="103"/>
        <v>0</v>
      </c>
      <c r="G558" s="1220">
        <f t="shared" si="104"/>
        <v>649</v>
      </c>
    </row>
    <row r="559" spans="1:7">
      <c r="A559" s="702" t="s">
        <v>4430</v>
      </c>
      <c r="B559" s="1233">
        <f t="shared" si="107"/>
        <v>0</v>
      </c>
      <c r="C559" s="1233">
        <f>0/(100)</f>
        <v>0</v>
      </c>
      <c r="D559" s="1233">
        <f t="shared" si="108"/>
        <v>0</v>
      </c>
      <c r="E559" s="1229">
        <f>62100/(100)</f>
        <v>621</v>
      </c>
      <c r="F559" s="1229">
        <f t="shared" si="103"/>
        <v>0</v>
      </c>
      <c r="G559" s="1220">
        <f t="shared" si="104"/>
        <v>621</v>
      </c>
    </row>
    <row r="560" spans="1:7">
      <c r="A560" s="702" t="s">
        <v>4431</v>
      </c>
      <c r="B560" s="1233">
        <f t="shared" si="107"/>
        <v>0</v>
      </c>
      <c r="C560" s="1229">
        <f>6351541/(100)</f>
        <v>63515.41</v>
      </c>
      <c r="D560" s="1233">
        <f t="shared" si="108"/>
        <v>0</v>
      </c>
      <c r="E560" s="1229">
        <f>4552041/(100)</f>
        <v>45520.41</v>
      </c>
      <c r="F560" s="1229">
        <f t="shared" si="103"/>
        <v>63515.41</v>
      </c>
      <c r="G560" s="1220">
        <f t="shared" si="104"/>
        <v>45520.41</v>
      </c>
    </row>
    <row r="561" spans="1:7">
      <c r="A561" s="702" t="s">
        <v>980</v>
      </c>
      <c r="B561" s="1233">
        <f t="shared" si="107"/>
        <v>0</v>
      </c>
      <c r="C561" s="1229">
        <f>137323/(100)</f>
        <v>1373.23</v>
      </c>
      <c r="D561" s="1233">
        <f t="shared" si="108"/>
        <v>0</v>
      </c>
      <c r="E561" s="1229">
        <f>27986/(100)</f>
        <v>279.86</v>
      </c>
      <c r="F561" s="1229">
        <f t="shared" si="103"/>
        <v>1373.23</v>
      </c>
      <c r="G561" s="1220">
        <f t="shared" si="104"/>
        <v>279.86</v>
      </c>
    </row>
    <row r="562" spans="1:7">
      <c r="A562" s="702" t="s">
        <v>955</v>
      </c>
      <c r="B562" s="1233">
        <f t="shared" si="107"/>
        <v>0</v>
      </c>
      <c r="C562" s="1229">
        <f>2277361/(100)</f>
        <v>22773.61</v>
      </c>
      <c r="D562" s="1233">
        <f t="shared" si="108"/>
        <v>0</v>
      </c>
      <c r="E562" s="1229">
        <f>8928/(100)</f>
        <v>89.28</v>
      </c>
      <c r="F562" s="1229">
        <f t="shared" si="103"/>
        <v>22773.61</v>
      </c>
      <c r="G562" s="1220">
        <f t="shared" si="104"/>
        <v>89.28</v>
      </c>
    </row>
    <row r="563" spans="1:7">
      <c r="A563" s="702" t="s">
        <v>4432</v>
      </c>
      <c r="B563" s="1233">
        <f t="shared" si="107"/>
        <v>0</v>
      </c>
      <c r="C563" s="1233">
        <f>0/(100)</f>
        <v>0</v>
      </c>
      <c r="D563" s="1233">
        <f t="shared" si="108"/>
        <v>0</v>
      </c>
      <c r="E563" s="1229">
        <f>30960.6/(100)</f>
        <v>309.60599999999999</v>
      </c>
      <c r="F563" s="1229">
        <f t="shared" si="103"/>
        <v>0</v>
      </c>
      <c r="G563" s="1220">
        <f t="shared" si="104"/>
        <v>309.60599999999999</v>
      </c>
    </row>
    <row r="564" spans="1:7">
      <c r="A564" s="702" t="s">
        <v>4433</v>
      </c>
      <c r="B564" s="1233">
        <f t="shared" si="107"/>
        <v>0</v>
      </c>
      <c r="C564" s="1233">
        <f>0/(100)</f>
        <v>0</v>
      </c>
      <c r="D564" s="1229">
        <f>82060.97/(100)</f>
        <v>820.60969999999998</v>
      </c>
      <c r="E564" s="1233">
        <f>0/(100)</f>
        <v>0</v>
      </c>
      <c r="F564" s="1229">
        <f t="shared" si="103"/>
        <v>0</v>
      </c>
      <c r="G564" s="1220">
        <f t="shared" si="104"/>
        <v>-820.60969999999998</v>
      </c>
    </row>
    <row r="565" spans="1:7">
      <c r="A565" s="702" t="s">
        <v>502</v>
      </c>
      <c r="B565" s="1233">
        <f t="shared" si="107"/>
        <v>0</v>
      </c>
      <c r="C565" s="1229">
        <f>2129440.4/(100)</f>
        <v>21294.403999999999</v>
      </c>
      <c r="D565" s="1233">
        <f>0/(100)</f>
        <v>0</v>
      </c>
      <c r="E565" s="1229">
        <f>1764772.64/(100)</f>
        <v>17647.7264</v>
      </c>
      <c r="F565" s="1229">
        <f t="shared" si="103"/>
        <v>21294.403999999999</v>
      </c>
      <c r="G565" s="1220">
        <f t="shared" si="104"/>
        <v>17647.7264</v>
      </c>
    </row>
    <row r="566" spans="1:7">
      <c r="A566" s="702" t="s">
        <v>3453</v>
      </c>
      <c r="B566" s="1233">
        <f t="shared" si="107"/>
        <v>0</v>
      </c>
      <c r="C566" s="1229">
        <f>194636/(100)</f>
        <v>1946.36</v>
      </c>
      <c r="D566" s="1233">
        <f>0/(100)</f>
        <v>0</v>
      </c>
      <c r="E566" s="1229">
        <f>389047/(100)</f>
        <v>3890.47</v>
      </c>
      <c r="F566" s="1229">
        <f t="shared" si="103"/>
        <v>1946.36</v>
      </c>
      <c r="G566" s="1220">
        <f t="shared" si="104"/>
        <v>3890.47</v>
      </c>
    </row>
    <row r="567" spans="1:7">
      <c r="A567" s="702" t="s">
        <v>4434</v>
      </c>
      <c r="B567" s="1233">
        <f t="shared" si="107"/>
        <v>0</v>
      </c>
      <c r="C567" s="1233">
        <f>0/(100)</f>
        <v>0</v>
      </c>
      <c r="D567" s="1233">
        <f>0/(100)</f>
        <v>0</v>
      </c>
      <c r="E567" s="1229">
        <f>36663/(100)</f>
        <v>366.63</v>
      </c>
      <c r="F567" s="1229">
        <f t="shared" si="103"/>
        <v>0</v>
      </c>
      <c r="G567" s="1220">
        <f t="shared" si="104"/>
        <v>366.63</v>
      </c>
    </row>
    <row r="568" spans="1:7">
      <c r="A568" s="702" t="s">
        <v>4435</v>
      </c>
      <c r="B568" s="1233">
        <f t="shared" si="107"/>
        <v>0</v>
      </c>
      <c r="C568" s="1229">
        <f>4860/(100)</f>
        <v>48.6</v>
      </c>
      <c r="D568" s="1229">
        <f>24300/(100)</f>
        <v>243</v>
      </c>
      <c r="E568" s="1233">
        <f>0/(100)</f>
        <v>0</v>
      </c>
      <c r="F568" s="1229">
        <f t="shared" si="103"/>
        <v>48.6</v>
      </c>
      <c r="G568" s="1220">
        <f t="shared" si="104"/>
        <v>-243</v>
      </c>
    </row>
    <row r="569" spans="1:7">
      <c r="A569" s="702" t="s">
        <v>4436</v>
      </c>
      <c r="B569" s="1233">
        <f t="shared" si="107"/>
        <v>0</v>
      </c>
      <c r="C569" s="1229">
        <f>508106.93/(100)</f>
        <v>5081.0693000000001</v>
      </c>
      <c r="D569" s="1233">
        <f>0/(100)</f>
        <v>0</v>
      </c>
      <c r="E569" s="1229">
        <f>1.93/(100)</f>
        <v>1.9299999999999998E-2</v>
      </c>
      <c r="F569" s="1229">
        <f t="shared" si="103"/>
        <v>5081.0693000000001</v>
      </c>
      <c r="G569" s="1220">
        <f t="shared" si="104"/>
        <v>1.9299999999999998E-2</v>
      </c>
    </row>
    <row r="570" spans="1:7">
      <c r="A570" s="702" t="s">
        <v>4437</v>
      </c>
      <c r="B570" s="1229">
        <f>1871/(100)</f>
        <v>18.71</v>
      </c>
      <c r="C570" s="1233">
        <f>0/(100)</f>
        <v>0</v>
      </c>
      <c r="D570" s="1229">
        <f>1871/(100)</f>
        <v>18.71</v>
      </c>
      <c r="E570" s="1233">
        <f>0/(100)</f>
        <v>0</v>
      </c>
      <c r="F570" s="1229">
        <f t="shared" si="103"/>
        <v>-18.71</v>
      </c>
      <c r="G570" s="1220">
        <f t="shared" si="104"/>
        <v>-18.71</v>
      </c>
    </row>
    <row r="571" spans="1:7">
      <c r="A571" s="702" t="s">
        <v>4438</v>
      </c>
      <c r="B571" s="1233">
        <f t="shared" ref="B571:B584" si="109">0/(100)</f>
        <v>0</v>
      </c>
      <c r="C571" s="1229">
        <f>4469/(100)</f>
        <v>44.69</v>
      </c>
      <c r="D571" s="1233">
        <f>0/(100)</f>
        <v>0</v>
      </c>
      <c r="E571" s="1229">
        <f>4469/(100)</f>
        <v>44.69</v>
      </c>
      <c r="F571" s="1229">
        <f t="shared" si="103"/>
        <v>44.69</v>
      </c>
      <c r="G571" s="1220">
        <f t="shared" si="104"/>
        <v>44.69</v>
      </c>
    </row>
    <row r="572" spans="1:7">
      <c r="A572" s="702" t="s">
        <v>4439</v>
      </c>
      <c r="B572" s="1233">
        <f t="shared" si="109"/>
        <v>0</v>
      </c>
      <c r="C572" s="1233">
        <f>0/(100)</f>
        <v>0</v>
      </c>
      <c r="D572" s="1229">
        <f>1004405.4/(100)</f>
        <v>10044.054</v>
      </c>
      <c r="E572" s="1233">
        <f>0/(100)</f>
        <v>0</v>
      </c>
      <c r="F572" s="1229">
        <f t="shared" si="103"/>
        <v>0</v>
      </c>
      <c r="G572" s="1220">
        <f t="shared" si="104"/>
        <v>-10044.054</v>
      </c>
    </row>
    <row r="573" spans="1:7">
      <c r="A573" s="702" t="s">
        <v>4440</v>
      </c>
      <c r="B573" s="1233">
        <f t="shared" si="109"/>
        <v>0</v>
      </c>
      <c r="C573" s="1229">
        <f>40500/(100)</f>
        <v>405</v>
      </c>
      <c r="D573" s="1229">
        <f>145350/(100)</f>
        <v>1453.5</v>
      </c>
      <c r="E573" s="1233">
        <f>0/(100)</f>
        <v>0</v>
      </c>
      <c r="F573" s="1229">
        <f t="shared" si="103"/>
        <v>405</v>
      </c>
      <c r="G573" s="1220">
        <f t="shared" si="104"/>
        <v>-1453.5</v>
      </c>
    </row>
    <row r="574" spans="1:7">
      <c r="A574" s="702" t="s">
        <v>4441</v>
      </c>
      <c r="B574" s="1233">
        <f t="shared" si="109"/>
        <v>0</v>
      </c>
      <c r="C574" s="1233">
        <f>0/(100)</f>
        <v>0</v>
      </c>
      <c r="D574" s="1233">
        <f>0/(100)</f>
        <v>0</v>
      </c>
      <c r="E574" s="1229">
        <f>946.46/(100)</f>
        <v>9.4646000000000008</v>
      </c>
      <c r="F574" s="1229">
        <f t="shared" si="103"/>
        <v>0</v>
      </c>
      <c r="G574" s="1220">
        <f t="shared" si="104"/>
        <v>9.4646000000000008</v>
      </c>
    </row>
    <row r="575" spans="1:7">
      <c r="A575" s="702" t="s">
        <v>4442</v>
      </c>
      <c r="B575" s="1233">
        <f t="shared" si="109"/>
        <v>0</v>
      </c>
      <c r="C575" s="1233">
        <f>0/(100)</f>
        <v>0</v>
      </c>
      <c r="D575" s="1233">
        <f>0/(100)</f>
        <v>0</v>
      </c>
      <c r="E575" s="1229">
        <f>9810/(100)</f>
        <v>98.1</v>
      </c>
      <c r="F575" s="1229">
        <f t="shared" si="103"/>
        <v>0</v>
      </c>
      <c r="G575" s="1220">
        <f t="shared" si="104"/>
        <v>98.1</v>
      </c>
    </row>
    <row r="576" spans="1:7">
      <c r="A576" s="702" t="s">
        <v>4443</v>
      </c>
      <c r="B576" s="1233">
        <f t="shared" si="109"/>
        <v>0</v>
      </c>
      <c r="C576" s="1229">
        <f>10834145/(100)</f>
        <v>108341.45</v>
      </c>
      <c r="D576" s="1233">
        <f>0/(100)</f>
        <v>0</v>
      </c>
      <c r="E576" s="1229">
        <f>525143.65/(100)</f>
        <v>5251.4364999999998</v>
      </c>
      <c r="F576" s="1229">
        <f t="shared" si="103"/>
        <v>108341.45</v>
      </c>
      <c r="G576" s="1220">
        <f t="shared" si="104"/>
        <v>5251.4364999999998</v>
      </c>
    </row>
    <row r="577" spans="1:7">
      <c r="A577" s="702" t="s">
        <v>4444</v>
      </c>
      <c r="B577" s="1233">
        <f t="shared" si="109"/>
        <v>0</v>
      </c>
      <c r="C577" s="1229">
        <f>1019012/(100)</f>
        <v>10190.120000000001</v>
      </c>
      <c r="D577" s="1229">
        <f>117564/(100)</f>
        <v>1175.6400000000001</v>
      </c>
      <c r="E577" s="1233">
        <f>0/(100)</f>
        <v>0</v>
      </c>
      <c r="F577" s="1229">
        <f t="shared" si="103"/>
        <v>10190.120000000001</v>
      </c>
      <c r="G577" s="1220">
        <f t="shared" si="104"/>
        <v>-1175.6400000000001</v>
      </c>
    </row>
    <row r="578" spans="1:7">
      <c r="A578" s="702" t="s">
        <v>4445</v>
      </c>
      <c r="B578" s="1233">
        <f t="shared" si="109"/>
        <v>0</v>
      </c>
      <c r="C578" s="1229">
        <f>23000/(100)</f>
        <v>230</v>
      </c>
      <c r="D578" s="1233">
        <f>0/(100)</f>
        <v>0</v>
      </c>
      <c r="E578" s="1229">
        <f>23000/(100)</f>
        <v>230</v>
      </c>
      <c r="F578" s="1229">
        <f t="shared" si="103"/>
        <v>230</v>
      </c>
      <c r="G578" s="1220">
        <f t="shared" si="104"/>
        <v>230</v>
      </c>
    </row>
    <row r="579" spans="1:7">
      <c r="A579" s="702" t="s">
        <v>4446</v>
      </c>
      <c r="B579" s="1233">
        <f t="shared" si="109"/>
        <v>0</v>
      </c>
      <c r="C579" s="1229">
        <f>12025/(100)</f>
        <v>120.25</v>
      </c>
      <c r="D579" s="1233">
        <f>0/(100)</f>
        <v>0</v>
      </c>
      <c r="E579" s="1229">
        <f>12025/(100)</f>
        <v>120.25</v>
      </c>
      <c r="F579" s="1229">
        <f t="shared" si="103"/>
        <v>120.25</v>
      </c>
      <c r="G579" s="1220">
        <f t="shared" si="104"/>
        <v>120.25</v>
      </c>
    </row>
    <row r="580" spans="1:7">
      <c r="A580" s="702" t="s">
        <v>4447</v>
      </c>
      <c r="B580" s="1233">
        <f t="shared" si="109"/>
        <v>0</v>
      </c>
      <c r="C580" s="1229">
        <f>290986/(100)</f>
        <v>2909.86</v>
      </c>
      <c r="D580" s="1233">
        <f>0/(100)</f>
        <v>0</v>
      </c>
      <c r="E580" s="1229">
        <f>424958.2/(100)</f>
        <v>4249.5820000000003</v>
      </c>
      <c r="F580" s="1229">
        <f t="shared" si="103"/>
        <v>2909.86</v>
      </c>
      <c r="G580" s="1220">
        <f t="shared" si="104"/>
        <v>4249.5820000000003</v>
      </c>
    </row>
    <row r="581" spans="1:7">
      <c r="A581" s="702" t="s">
        <v>4448</v>
      </c>
      <c r="B581" s="1233">
        <f t="shared" si="109"/>
        <v>0</v>
      </c>
      <c r="C581" s="1233">
        <f>0/(100)</f>
        <v>0</v>
      </c>
      <c r="D581" s="1229">
        <f>11600000/(100)</f>
        <v>116000</v>
      </c>
      <c r="E581" s="1233">
        <f>0/(100)</f>
        <v>0</v>
      </c>
      <c r="F581" s="1229">
        <f t="shared" ref="F581:F644" si="110">C581-B581</f>
        <v>0</v>
      </c>
      <c r="G581" s="1220">
        <f t="shared" ref="G581:G644" si="111">E581-D581</f>
        <v>-116000</v>
      </c>
    </row>
    <row r="582" spans="1:7">
      <c r="A582" s="702" t="s">
        <v>4449</v>
      </c>
      <c r="B582" s="1233">
        <f t="shared" si="109"/>
        <v>0</v>
      </c>
      <c r="C582" s="1233">
        <f>0/(100)</f>
        <v>0</v>
      </c>
      <c r="D582" s="1233">
        <f>0/(100)</f>
        <v>0</v>
      </c>
      <c r="E582" s="1229">
        <f>255559/(100)</f>
        <v>2555.59</v>
      </c>
      <c r="F582" s="1229">
        <f t="shared" si="110"/>
        <v>0</v>
      </c>
      <c r="G582" s="1220">
        <f t="shared" si="111"/>
        <v>2555.59</v>
      </c>
    </row>
    <row r="583" spans="1:7">
      <c r="A583" s="702" t="s">
        <v>4450</v>
      </c>
      <c r="B583" s="1233">
        <f t="shared" si="109"/>
        <v>0</v>
      </c>
      <c r="C583" s="1229">
        <f>41811/(100)</f>
        <v>418.11</v>
      </c>
      <c r="D583" s="1233">
        <f>0/(100)</f>
        <v>0</v>
      </c>
      <c r="E583" s="1229">
        <f>27674/(100)</f>
        <v>276.74</v>
      </c>
      <c r="F583" s="1229">
        <f t="shared" si="110"/>
        <v>418.11</v>
      </c>
      <c r="G583" s="1220">
        <f t="shared" si="111"/>
        <v>276.74</v>
      </c>
    </row>
    <row r="584" spans="1:7">
      <c r="A584" s="702" t="s">
        <v>4451</v>
      </c>
      <c r="B584" s="1233">
        <f t="shared" si="109"/>
        <v>0</v>
      </c>
      <c r="C584" s="1229">
        <f>323136/(100)</f>
        <v>3231.36</v>
      </c>
      <c r="D584" s="1233">
        <f>0/(100)</f>
        <v>0</v>
      </c>
      <c r="E584" s="1229">
        <f>323136/(100)</f>
        <v>3231.36</v>
      </c>
      <c r="F584" s="1229">
        <f t="shared" si="110"/>
        <v>3231.36</v>
      </c>
      <c r="G584" s="1220">
        <f t="shared" si="111"/>
        <v>3231.36</v>
      </c>
    </row>
    <row r="585" spans="1:7">
      <c r="A585" s="702" t="s">
        <v>4452</v>
      </c>
      <c r="B585" s="1229">
        <f>57286/(100)</f>
        <v>572.86</v>
      </c>
      <c r="C585" s="1233">
        <f>0/(100)</f>
        <v>0</v>
      </c>
      <c r="D585" s="1229">
        <f>57286/(100)</f>
        <v>572.86</v>
      </c>
      <c r="E585" s="1233">
        <f>0/(100)</f>
        <v>0</v>
      </c>
      <c r="F585" s="1229">
        <f t="shared" si="110"/>
        <v>-572.86</v>
      </c>
      <c r="G585" s="1220">
        <f t="shared" si="111"/>
        <v>-572.86</v>
      </c>
    </row>
    <row r="586" spans="1:7">
      <c r="A586" s="702" t="s">
        <v>604</v>
      </c>
      <c r="B586" s="1233">
        <f t="shared" ref="B586:B597" si="112">0/(100)</f>
        <v>0</v>
      </c>
      <c r="C586" s="1233">
        <f>0/(100)</f>
        <v>0</v>
      </c>
      <c r="D586" s="1229">
        <f>36000/(100)</f>
        <v>360</v>
      </c>
      <c r="E586" s="1233">
        <f>0/(100)</f>
        <v>0</v>
      </c>
      <c r="F586" s="1229">
        <f t="shared" si="110"/>
        <v>0</v>
      </c>
      <c r="G586" s="1220">
        <f t="shared" si="111"/>
        <v>-360</v>
      </c>
    </row>
    <row r="587" spans="1:7">
      <c r="A587" s="702" t="s">
        <v>4453</v>
      </c>
      <c r="B587" s="1233">
        <f t="shared" si="112"/>
        <v>0</v>
      </c>
      <c r="C587" s="1233">
        <f>0/(100)</f>
        <v>0</v>
      </c>
      <c r="D587" s="1233">
        <f>0/(100)</f>
        <v>0</v>
      </c>
      <c r="E587" s="1229">
        <f>1850/(100)</f>
        <v>18.5</v>
      </c>
      <c r="F587" s="1229">
        <f t="shared" si="110"/>
        <v>0</v>
      </c>
      <c r="G587" s="1220">
        <f t="shared" si="111"/>
        <v>18.5</v>
      </c>
    </row>
    <row r="588" spans="1:7">
      <c r="A588" s="702" t="s">
        <v>1513</v>
      </c>
      <c r="B588" s="1233">
        <f t="shared" si="112"/>
        <v>0</v>
      </c>
      <c r="C588" s="1229">
        <f>55860/(100)</f>
        <v>558.6</v>
      </c>
      <c r="D588" s="1233">
        <f>0/(100)</f>
        <v>0</v>
      </c>
      <c r="E588" s="1229">
        <f>63090/(100)</f>
        <v>630.9</v>
      </c>
      <c r="F588" s="1229">
        <f t="shared" si="110"/>
        <v>558.6</v>
      </c>
      <c r="G588" s="1220">
        <f t="shared" si="111"/>
        <v>630.9</v>
      </c>
    </row>
    <row r="589" spans="1:7">
      <c r="A589" s="702" t="s">
        <v>4454</v>
      </c>
      <c r="B589" s="1233">
        <f t="shared" si="112"/>
        <v>0</v>
      </c>
      <c r="C589" s="1233">
        <f>0/(100)</f>
        <v>0</v>
      </c>
      <c r="D589" s="1233">
        <f>0/(100)</f>
        <v>0</v>
      </c>
      <c r="E589" s="1229">
        <f>7200/(100)</f>
        <v>72</v>
      </c>
      <c r="F589" s="1229">
        <f t="shared" si="110"/>
        <v>0</v>
      </c>
      <c r="G589" s="1220">
        <f t="shared" si="111"/>
        <v>72</v>
      </c>
    </row>
    <row r="590" spans="1:7">
      <c r="A590" s="702" t="s">
        <v>4455</v>
      </c>
      <c r="B590" s="1233">
        <f t="shared" si="112"/>
        <v>0</v>
      </c>
      <c r="C590" s="1229">
        <f>171253/(100)</f>
        <v>1712.53</v>
      </c>
      <c r="D590" s="1229">
        <f>7578/(100)</f>
        <v>75.78</v>
      </c>
      <c r="E590" s="1233">
        <f>0/(100)</f>
        <v>0</v>
      </c>
      <c r="F590" s="1229">
        <f t="shared" si="110"/>
        <v>1712.53</v>
      </c>
      <c r="G590" s="1220">
        <f t="shared" si="111"/>
        <v>-75.78</v>
      </c>
    </row>
    <row r="591" spans="1:7">
      <c r="A591" s="702" t="s">
        <v>922</v>
      </c>
      <c r="B591" s="1233">
        <f t="shared" si="112"/>
        <v>0</v>
      </c>
      <c r="C591" s="1229">
        <f>2562287.19/(100)</f>
        <v>25622.871899999998</v>
      </c>
      <c r="D591" s="1233">
        <f>0/(100)</f>
        <v>0</v>
      </c>
      <c r="E591" s="1229">
        <f>355014.2/(100)</f>
        <v>3550.1420000000003</v>
      </c>
      <c r="F591" s="1229">
        <f t="shared" si="110"/>
        <v>25622.871899999998</v>
      </c>
      <c r="G591" s="1220">
        <f t="shared" si="111"/>
        <v>3550.1420000000003</v>
      </c>
    </row>
    <row r="592" spans="1:7">
      <c r="A592" s="702" t="s">
        <v>4456</v>
      </c>
      <c r="B592" s="1233">
        <f t="shared" si="112"/>
        <v>0</v>
      </c>
      <c r="C592" s="1229">
        <f>183/(100)</f>
        <v>1.83</v>
      </c>
      <c r="D592" s="1233">
        <f>0/(100)</f>
        <v>0</v>
      </c>
      <c r="E592" s="1229">
        <f>183/(100)</f>
        <v>1.83</v>
      </c>
      <c r="F592" s="1229">
        <f t="shared" si="110"/>
        <v>1.83</v>
      </c>
      <c r="G592" s="1220">
        <f t="shared" si="111"/>
        <v>1.83</v>
      </c>
    </row>
    <row r="593" spans="1:7">
      <c r="A593" s="702" t="s">
        <v>4457</v>
      </c>
      <c r="B593" s="1233">
        <f t="shared" si="112"/>
        <v>0</v>
      </c>
      <c r="C593" s="1229">
        <f>42524/(100)</f>
        <v>425.24</v>
      </c>
      <c r="D593" s="1233">
        <f>0/(100)</f>
        <v>0</v>
      </c>
      <c r="E593" s="1229">
        <f>42524/(100)</f>
        <v>425.24</v>
      </c>
      <c r="F593" s="1229">
        <f t="shared" si="110"/>
        <v>425.24</v>
      </c>
      <c r="G593" s="1220">
        <f t="shared" si="111"/>
        <v>425.24</v>
      </c>
    </row>
    <row r="594" spans="1:7">
      <c r="A594" s="702" t="s">
        <v>4458</v>
      </c>
      <c r="B594" s="1233">
        <f t="shared" si="112"/>
        <v>0</v>
      </c>
      <c r="C594" s="1233">
        <f>0/(100)</f>
        <v>0</v>
      </c>
      <c r="D594" s="1229">
        <f>29800/(100)</f>
        <v>298</v>
      </c>
      <c r="E594" s="1233">
        <f>0/(100)</f>
        <v>0</v>
      </c>
      <c r="F594" s="1229">
        <f t="shared" si="110"/>
        <v>0</v>
      </c>
      <c r="G594" s="1220">
        <f t="shared" si="111"/>
        <v>-298</v>
      </c>
    </row>
    <row r="595" spans="1:7">
      <c r="A595" s="702" t="s">
        <v>940</v>
      </c>
      <c r="B595" s="1233">
        <f t="shared" si="112"/>
        <v>0</v>
      </c>
      <c r="C595" s="1229">
        <f>405863/(100)</f>
        <v>4058.63</v>
      </c>
      <c r="D595" s="1233">
        <f>0/(100)</f>
        <v>0</v>
      </c>
      <c r="E595" s="1233">
        <f>0/(100)</f>
        <v>0</v>
      </c>
      <c r="F595" s="1229">
        <f t="shared" si="110"/>
        <v>4058.63</v>
      </c>
      <c r="G595" s="1220">
        <f t="shared" si="111"/>
        <v>0</v>
      </c>
    </row>
    <row r="596" spans="1:7">
      <c r="A596" s="702" t="s">
        <v>4459</v>
      </c>
      <c r="B596" s="1233">
        <f t="shared" si="112"/>
        <v>0</v>
      </c>
      <c r="C596" s="1233">
        <f>0/(100)</f>
        <v>0</v>
      </c>
      <c r="D596" s="1233">
        <f>0/(100)</f>
        <v>0</v>
      </c>
      <c r="E596" s="1229">
        <f>896619/(100)</f>
        <v>8966.19</v>
      </c>
      <c r="F596" s="1229">
        <f t="shared" si="110"/>
        <v>0</v>
      </c>
      <c r="G596" s="1220">
        <f t="shared" si="111"/>
        <v>8966.19</v>
      </c>
    </row>
    <row r="597" spans="1:7">
      <c r="A597" s="702" t="s">
        <v>4460</v>
      </c>
      <c r="B597" s="1233">
        <f t="shared" si="112"/>
        <v>0</v>
      </c>
      <c r="C597" s="1229">
        <f>64900/(100)</f>
        <v>649</v>
      </c>
      <c r="D597" s="1233">
        <f>0/(100)</f>
        <v>0</v>
      </c>
      <c r="E597" s="1233">
        <f>0/(100)</f>
        <v>0</v>
      </c>
      <c r="F597" s="1229">
        <f t="shared" si="110"/>
        <v>649</v>
      </c>
      <c r="G597" s="1220">
        <f t="shared" si="111"/>
        <v>0</v>
      </c>
    </row>
    <row r="598" spans="1:7">
      <c r="A598" s="702" t="s">
        <v>4461</v>
      </c>
      <c r="B598" s="1229">
        <f>421200/(100)</f>
        <v>4212</v>
      </c>
      <c r="C598" s="1233">
        <f>0/(100)</f>
        <v>0</v>
      </c>
      <c r="D598" s="1229">
        <f>421200/(100)</f>
        <v>4212</v>
      </c>
      <c r="E598" s="1233">
        <f>0/(100)</f>
        <v>0</v>
      </c>
      <c r="F598" s="1229">
        <f t="shared" si="110"/>
        <v>-4212</v>
      </c>
      <c r="G598" s="1220">
        <f t="shared" si="111"/>
        <v>-4212</v>
      </c>
    </row>
    <row r="599" spans="1:7">
      <c r="A599" s="702" t="s">
        <v>4462</v>
      </c>
      <c r="B599" s="1233">
        <f>0/(100)</f>
        <v>0</v>
      </c>
      <c r="C599" s="1229">
        <f>6310/(100)</f>
        <v>63.1</v>
      </c>
      <c r="D599" s="1233">
        <f>0/(100)</f>
        <v>0</v>
      </c>
      <c r="E599" s="1229">
        <f>6310/(100)</f>
        <v>63.1</v>
      </c>
      <c r="F599" s="1229">
        <f t="shared" si="110"/>
        <v>63.1</v>
      </c>
      <c r="G599" s="1220">
        <f t="shared" si="111"/>
        <v>63.1</v>
      </c>
    </row>
    <row r="600" spans="1:7">
      <c r="A600" s="702" t="s">
        <v>4463</v>
      </c>
      <c r="B600" s="1229">
        <f>34214/(100)</f>
        <v>342.14</v>
      </c>
      <c r="C600" s="1233">
        <f>0/(100)</f>
        <v>0</v>
      </c>
      <c r="D600" s="1229">
        <f>34214/(100)</f>
        <v>342.14</v>
      </c>
      <c r="E600" s="1233">
        <f>0/(100)</f>
        <v>0</v>
      </c>
      <c r="F600" s="1229">
        <f t="shared" si="110"/>
        <v>-342.14</v>
      </c>
      <c r="G600" s="1220">
        <f t="shared" si="111"/>
        <v>-342.14</v>
      </c>
    </row>
    <row r="601" spans="1:7">
      <c r="A601" s="702" t="s">
        <v>4464</v>
      </c>
      <c r="B601" s="1233">
        <f>0/(100)</f>
        <v>0</v>
      </c>
      <c r="C601" s="1229">
        <f>67000/(100)</f>
        <v>670</v>
      </c>
      <c r="D601" s="1233">
        <f>0/(100)</f>
        <v>0</v>
      </c>
      <c r="E601" s="1229">
        <f>37500/(100)</f>
        <v>375</v>
      </c>
      <c r="F601" s="1229">
        <f t="shared" si="110"/>
        <v>670</v>
      </c>
      <c r="G601" s="1220">
        <f t="shared" si="111"/>
        <v>375</v>
      </c>
    </row>
    <row r="602" spans="1:7">
      <c r="A602" s="702" t="s">
        <v>4465</v>
      </c>
      <c r="B602" s="1233">
        <f>0/(100)</f>
        <v>0</v>
      </c>
      <c r="C602" s="1229">
        <f>4954154/(100)</f>
        <v>49541.54</v>
      </c>
      <c r="D602" s="1233">
        <f>0/(100)</f>
        <v>0</v>
      </c>
      <c r="E602" s="1229">
        <f>3536606/(100)</f>
        <v>35366.06</v>
      </c>
      <c r="F602" s="1229">
        <f t="shared" si="110"/>
        <v>49541.54</v>
      </c>
      <c r="G602" s="1220">
        <f t="shared" si="111"/>
        <v>35366.06</v>
      </c>
    </row>
    <row r="603" spans="1:7">
      <c r="A603" s="702" t="s">
        <v>4466</v>
      </c>
      <c r="B603" s="1233">
        <f>0/(100)</f>
        <v>0</v>
      </c>
      <c r="C603" s="1229">
        <f>637740/(100)</f>
        <v>6377.4</v>
      </c>
      <c r="D603" s="1233">
        <f>0/(100)</f>
        <v>0</v>
      </c>
      <c r="E603" s="1229">
        <f>490896/(100)</f>
        <v>4908.96</v>
      </c>
      <c r="F603" s="1229">
        <f t="shared" si="110"/>
        <v>6377.4</v>
      </c>
      <c r="G603" s="1220">
        <f t="shared" si="111"/>
        <v>4908.96</v>
      </c>
    </row>
    <row r="604" spans="1:7">
      <c r="A604" s="702" t="s">
        <v>4467</v>
      </c>
      <c r="B604" s="1233">
        <f>0/(100)</f>
        <v>0</v>
      </c>
      <c r="C604" s="1229">
        <f>49170/(100)</f>
        <v>491.7</v>
      </c>
      <c r="D604" s="1233">
        <f>0/(100)</f>
        <v>0</v>
      </c>
      <c r="E604" s="1229">
        <f>49170/(100)</f>
        <v>491.7</v>
      </c>
      <c r="F604" s="1229">
        <f t="shared" si="110"/>
        <v>491.7</v>
      </c>
      <c r="G604" s="1220">
        <f t="shared" si="111"/>
        <v>491.7</v>
      </c>
    </row>
    <row r="605" spans="1:7">
      <c r="A605" s="702" t="s">
        <v>4468</v>
      </c>
      <c r="B605" s="1229">
        <f>1530/(100)</f>
        <v>15.3</v>
      </c>
      <c r="C605" s="1233">
        <f>0/(100)</f>
        <v>0</v>
      </c>
      <c r="D605" s="1229">
        <f>1530/(100)</f>
        <v>15.3</v>
      </c>
      <c r="E605" s="1233">
        <f t="shared" ref="E605:E611" si="113">0/(100)</f>
        <v>0</v>
      </c>
      <c r="F605" s="1229">
        <f t="shared" si="110"/>
        <v>-15.3</v>
      </c>
      <c r="G605" s="1220">
        <f t="shared" si="111"/>
        <v>-15.3</v>
      </c>
    </row>
    <row r="606" spans="1:7">
      <c r="A606" s="702" t="s">
        <v>4469</v>
      </c>
      <c r="B606" s="1233">
        <f t="shared" ref="B606:B612" si="114">0/(100)</f>
        <v>0</v>
      </c>
      <c r="C606" s="1229">
        <f>257420/(100)</f>
        <v>2574.1999999999998</v>
      </c>
      <c r="D606" s="1229">
        <f>791200/(100)</f>
        <v>7912</v>
      </c>
      <c r="E606" s="1233">
        <f t="shared" si="113"/>
        <v>0</v>
      </c>
      <c r="F606" s="1229">
        <f t="shared" si="110"/>
        <v>2574.1999999999998</v>
      </c>
      <c r="G606" s="1220">
        <f t="shared" si="111"/>
        <v>-7912</v>
      </c>
    </row>
    <row r="607" spans="1:7">
      <c r="A607" s="702" t="s">
        <v>4470</v>
      </c>
      <c r="B607" s="1233">
        <f t="shared" si="114"/>
        <v>0</v>
      </c>
      <c r="C607" s="1233">
        <f>0/(100)</f>
        <v>0</v>
      </c>
      <c r="D607" s="1229">
        <f>1770000/(100)</f>
        <v>17700</v>
      </c>
      <c r="E607" s="1233">
        <f t="shared" si="113"/>
        <v>0</v>
      </c>
      <c r="F607" s="1229">
        <f t="shared" si="110"/>
        <v>0</v>
      </c>
      <c r="G607" s="1220">
        <f t="shared" si="111"/>
        <v>-17700</v>
      </c>
    </row>
    <row r="608" spans="1:7">
      <c r="A608" s="702" t="s">
        <v>4471</v>
      </c>
      <c r="B608" s="1233">
        <f t="shared" si="114"/>
        <v>0</v>
      </c>
      <c r="C608" s="1233">
        <f>0/(100)</f>
        <v>0</v>
      </c>
      <c r="D608" s="1233">
        <f>0/(100)</f>
        <v>0</v>
      </c>
      <c r="E608" s="1233">
        <f t="shared" si="113"/>
        <v>0</v>
      </c>
      <c r="F608" s="1229">
        <f t="shared" si="110"/>
        <v>0</v>
      </c>
      <c r="G608" s="1220">
        <f t="shared" si="111"/>
        <v>0</v>
      </c>
    </row>
    <row r="609" spans="1:7">
      <c r="A609" s="702" t="s">
        <v>4472</v>
      </c>
      <c r="B609" s="1233">
        <f t="shared" si="114"/>
        <v>0</v>
      </c>
      <c r="C609" s="1233">
        <f>0/(100)</f>
        <v>0</v>
      </c>
      <c r="D609" s="1233">
        <f>0/(100)</f>
        <v>0</v>
      </c>
      <c r="E609" s="1233">
        <f t="shared" si="113"/>
        <v>0</v>
      </c>
      <c r="F609" s="1229">
        <f t="shared" si="110"/>
        <v>0</v>
      </c>
      <c r="G609" s="1220">
        <f t="shared" si="111"/>
        <v>0</v>
      </c>
    </row>
    <row r="610" spans="1:7">
      <c r="A610" s="702" t="s">
        <v>4473</v>
      </c>
      <c r="B610" s="1233">
        <f t="shared" si="114"/>
        <v>0</v>
      </c>
      <c r="C610" s="1233">
        <f>0/(100)</f>
        <v>0</v>
      </c>
      <c r="D610" s="1229">
        <f>42000/(100)</f>
        <v>420</v>
      </c>
      <c r="E610" s="1233">
        <f t="shared" si="113"/>
        <v>0</v>
      </c>
      <c r="F610" s="1229">
        <f t="shared" si="110"/>
        <v>0</v>
      </c>
      <c r="G610" s="1220">
        <f t="shared" si="111"/>
        <v>-420</v>
      </c>
    </row>
    <row r="611" spans="1:7">
      <c r="A611" s="702" t="s">
        <v>4474</v>
      </c>
      <c r="B611" s="1233">
        <f t="shared" si="114"/>
        <v>0</v>
      </c>
      <c r="C611" s="1233">
        <f>0/(100)</f>
        <v>0</v>
      </c>
      <c r="D611" s="1229">
        <f>363953/(100)</f>
        <v>3639.53</v>
      </c>
      <c r="E611" s="1233">
        <f t="shared" si="113"/>
        <v>0</v>
      </c>
      <c r="F611" s="1229">
        <f t="shared" si="110"/>
        <v>0</v>
      </c>
      <c r="G611" s="1220">
        <f t="shared" si="111"/>
        <v>-3639.53</v>
      </c>
    </row>
    <row r="612" spans="1:7">
      <c r="A612" s="702" t="s">
        <v>4475</v>
      </c>
      <c r="B612" s="1233">
        <f t="shared" si="114"/>
        <v>0</v>
      </c>
      <c r="C612" s="1229">
        <f>82753.64/(100)</f>
        <v>827.53639999999996</v>
      </c>
      <c r="D612" s="1233">
        <f>0/(100)</f>
        <v>0</v>
      </c>
      <c r="E612" s="1229">
        <f>82753.64/(100)</f>
        <v>827.53639999999996</v>
      </c>
      <c r="F612" s="1229">
        <f t="shared" si="110"/>
        <v>827.53639999999996</v>
      </c>
      <c r="G612" s="1220">
        <f t="shared" si="111"/>
        <v>827.53639999999996</v>
      </c>
    </row>
    <row r="613" spans="1:7">
      <c r="A613" s="702" t="s">
        <v>4476</v>
      </c>
      <c r="B613" s="1229">
        <f>17173/(100)</f>
        <v>171.73</v>
      </c>
      <c r="C613" s="1233">
        <f>0/(100)</f>
        <v>0</v>
      </c>
      <c r="D613" s="1229">
        <f>17173/(100)</f>
        <v>171.73</v>
      </c>
      <c r="E613" s="1233">
        <f>0/(100)</f>
        <v>0</v>
      </c>
      <c r="F613" s="1229">
        <f t="shared" si="110"/>
        <v>-171.73</v>
      </c>
      <c r="G613" s="1220">
        <f t="shared" si="111"/>
        <v>-171.73</v>
      </c>
    </row>
    <row r="614" spans="1:7">
      <c r="A614" s="702" t="s">
        <v>4477</v>
      </c>
      <c r="B614" s="1233">
        <f t="shared" ref="B614:B623" si="115">0/(100)</f>
        <v>0</v>
      </c>
      <c r="C614" s="1229">
        <f>106500/(100)</f>
        <v>1065</v>
      </c>
      <c r="D614" s="1233">
        <f>0/(100)</f>
        <v>0</v>
      </c>
      <c r="E614" s="1229">
        <f>106500/(100)</f>
        <v>1065</v>
      </c>
      <c r="F614" s="1229">
        <f t="shared" si="110"/>
        <v>1065</v>
      </c>
      <c r="G614" s="1220">
        <f t="shared" si="111"/>
        <v>1065</v>
      </c>
    </row>
    <row r="615" spans="1:7">
      <c r="A615" s="702" t="s">
        <v>4478</v>
      </c>
      <c r="B615" s="1233">
        <f t="shared" si="115"/>
        <v>0</v>
      </c>
      <c r="C615" s="1229">
        <f>827510/(100)</f>
        <v>8275.1</v>
      </c>
      <c r="D615" s="1233">
        <f>0/(100)</f>
        <v>0</v>
      </c>
      <c r="E615" s="1233">
        <f>0/(100)</f>
        <v>0</v>
      </c>
      <c r="F615" s="1229">
        <f t="shared" si="110"/>
        <v>8275.1</v>
      </c>
      <c r="G615" s="1220">
        <f t="shared" si="111"/>
        <v>0</v>
      </c>
    </row>
    <row r="616" spans="1:7">
      <c r="A616" s="702" t="s">
        <v>4479</v>
      </c>
      <c r="B616" s="1233">
        <f t="shared" si="115"/>
        <v>0</v>
      </c>
      <c r="C616" s="1233">
        <f>0/(100)</f>
        <v>0</v>
      </c>
      <c r="D616" s="1233">
        <f>0/(100)</f>
        <v>0</v>
      </c>
      <c r="E616" s="1229">
        <f>2124/(100)</f>
        <v>21.24</v>
      </c>
      <c r="F616" s="1229">
        <f t="shared" si="110"/>
        <v>0</v>
      </c>
      <c r="G616" s="1220">
        <f t="shared" si="111"/>
        <v>21.24</v>
      </c>
    </row>
    <row r="617" spans="1:7">
      <c r="A617" s="702" t="s">
        <v>4480</v>
      </c>
      <c r="B617" s="1233">
        <f t="shared" si="115"/>
        <v>0</v>
      </c>
      <c r="C617" s="1233">
        <f>0/(100)</f>
        <v>0</v>
      </c>
      <c r="D617" s="1229">
        <f>35285/(100)</f>
        <v>352.85</v>
      </c>
      <c r="E617" s="1233">
        <f>0/(100)</f>
        <v>0</v>
      </c>
      <c r="F617" s="1229">
        <f t="shared" si="110"/>
        <v>0</v>
      </c>
      <c r="G617" s="1220">
        <f t="shared" si="111"/>
        <v>-352.85</v>
      </c>
    </row>
    <row r="618" spans="1:7">
      <c r="A618" s="702" t="s">
        <v>4481</v>
      </c>
      <c r="B618" s="1233">
        <f t="shared" si="115"/>
        <v>0</v>
      </c>
      <c r="C618" s="1229">
        <f>4956/(100)</f>
        <v>49.56</v>
      </c>
      <c r="D618" s="1233">
        <f t="shared" ref="D618:D623" si="116">0/(100)</f>
        <v>0</v>
      </c>
      <c r="E618" s="1229">
        <f>4956/(100)</f>
        <v>49.56</v>
      </c>
      <c r="F618" s="1229">
        <f t="shared" si="110"/>
        <v>49.56</v>
      </c>
      <c r="G618" s="1220">
        <f t="shared" si="111"/>
        <v>49.56</v>
      </c>
    </row>
    <row r="619" spans="1:7">
      <c r="A619" s="702" t="s">
        <v>4482</v>
      </c>
      <c r="B619" s="1233">
        <f t="shared" si="115"/>
        <v>0</v>
      </c>
      <c r="C619" s="1229">
        <f>867625.61/(100)</f>
        <v>8676.2561000000005</v>
      </c>
      <c r="D619" s="1233">
        <f t="shared" si="116"/>
        <v>0</v>
      </c>
      <c r="E619" s="1229">
        <f>503135.61/(100)</f>
        <v>5031.3561</v>
      </c>
      <c r="F619" s="1229">
        <f t="shared" si="110"/>
        <v>8676.2561000000005</v>
      </c>
      <c r="G619" s="1220">
        <f t="shared" si="111"/>
        <v>5031.3561</v>
      </c>
    </row>
    <row r="620" spans="1:7">
      <c r="A620" s="702" t="s">
        <v>4483</v>
      </c>
      <c r="B620" s="1233">
        <f t="shared" si="115"/>
        <v>0</v>
      </c>
      <c r="C620" s="1229">
        <f>1925122/(100)</f>
        <v>19251.22</v>
      </c>
      <c r="D620" s="1233">
        <f t="shared" si="116"/>
        <v>0</v>
      </c>
      <c r="E620" s="1229">
        <f>27092/(100)</f>
        <v>270.92</v>
      </c>
      <c r="F620" s="1229">
        <f t="shared" si="110"/>
        <v>19251.22</v>
      </c>
      <c r="G620" s="1220">
        <f t="shared" si="111"/>
        <v>270.92</v>
      </c>
    </row>
    <row r="621" spans="1:7">
      <c r="A621" s="702" t="s">
        <v>4484</v>
      </c>
      <c r="B621" s="1233">
        <f t="shared" si="115"/>
        <v>0</v>
      </c>
      <c r="C621" s="1233">
        <f>0/(100)</f>
        <v>0</v>
      </c>
      <c r="D621" s="1233">
        <f t="shared" si="116"/>
        <v>0</v>
      </c>
      <c r="E621" s="1229">
        <f>10091/(100)</f>
        <v>100.91</v>
      </c>
      <c r="F621" s="1229">
        <f t="shared" si="110"/>
        <v>0</v>
      </c>
      <c r="G621" s="1220">
        <f t="shared" si="111"/>
        <v>100.91</v>
      </c>
    </row>
    <row r="622" spans="1:7">
      <c r="A622" s="702" t="s">
        <v>4485</v>
      </c>
      <c r="B622" s="1233">
        <f t="shared" si="115"/>
        <v>0</v>
      </c>
      <c r="C622" s="1229">
        <f>624810/(100)</f>
        <v>6248.1</v>
      </c>
      <c r="D622" s="1233">
        <f t="shared" si="116"/>
        <v>0</v>
      </c>
      <c r="E622" s="1229">
        <f>624810/(100)</f>
        <v>6248.1</v>
      </c>
      <c r="F622" s="1229">
        <f t="shared" si="110"/>
        <v>6248.1</v>
      </c>
      <c r="G622" s="1220">
        <f t="shared" si="111"/>
        <v>6248.1</v>
      </c>
    </row>
    <row r="623" spans="1:7">
      <c r="A623" s="702" t="s">
        <v>4486</v>
      </c>
      <c r="B623" s="1233">
        <f t="shared" si="115"/>
        <v>0</v>
      </c>
      <c r="C623" s="1233">
        <f>0/(100)</f>
        <v>0</v>
      </c>
      <c r="D623" s="1233">
        <f t="shared" si="116"/>
        <v>0</v>
      </c>
      <c r="E623" s="1229">
        <f>29408325/(100)</f>
        <v>294083.25</v>
      </c>
      <c r="F623" s="1229">
        <f t="shared" si="110"/>
        <v>0</v>
      </c>
      <c r="G623" s="1220">
        <f t="shared" si="111"/>
        <v>294083.25</v>
      </c>
    </row>
    <row r="624" spans="1:7">
      <c r="A624" s="702" t="s">
        <v>4487</v>
      </c>
      <c r="B624" s="1229">
        <f>1704410/(100)</f>
        <v>17044.099999999999</v>
      </c>
      <c r="C624" s="1233">
        <f>0/(100)</f>
        <v>0</v>
      </c>
      <c r="D624" s="1229">
        <f>1704410/(100)</f>
        <v>17044.099999999999</v>
      </c>
      <c r="E624" s="1233">
        <f>0/(100)</f>
        <v>0</v>
      </c>
      <c r="F624" s="1229">
        <f t="shared" si="110"/>
        <v>-17044.099999999999</v>
      </c>
      <c r="G624" s="1220">
        <f t="shared" si="111"/>
        <v>-17044.099999999999</v>
      </c>
    </row>
    <row r="625" spans="1:7">
      <c r="A625" s="702" t="s">
        <v>478</v>
      </c>
      <c r="B625" s="1229">
        <f>13006/(100)</f>
        <v>130.06</v>
      </c>
      <c r="C625" s="1233">
        <f>0/(100)</f>
        <v>0</v>
      </c>
      <c r="D625" s="1229">
        <f>608336/(100)</f>
        <v>6083.36</v>
      </c>
      <c r="E625" s="1233">
        <f>0/(100)</f>
        <v>0</v>
      </c>
      <c r="F625" s="1229">
        <f t="shared" si="110"/>
        <v>-130.06</v>
      </c>
      <c r="G625" s="1220">
        <f t="shared" si="111"/>
        <v>-6083.36</v>
      </c>
    </row>
    <row r="626" spans="1:7">
      <c r="A626" s="702" t="s">
        <v>4488</v>
      </c>
      <c r="B626" s="1233">
        <f>0/(100)</f>
        <v>0</v>
      </c>
      <c r="C626" s="1229">
        <f>536870.34/(100)</f>
        <v>5368.7033999999994</v>
      </c>
      <c r="D626" s="1233">
        <f>0/(100)</f>
        <v>0</v>
      </c>
      <c r="E626" s="1229">
        <f>436870.34/(100)</f>
        <v>4368.7034000000003</v>
      </c>
      <c r="F626" s="1229">
        <f t="shared" si="110"/>
        <v>5368.7033999999994</v>
      </c>
      <c r="G626" s="1220">
        <f t="shared" si="111"/>
        <v>4368.7034000000003</v>
      </c>
    </row>
    <row r="627" spans="1:7">
      <c r="A627" s="702" t="s">
        <v>4489</v>
      </c>
      <c r="B627" s="1233">
        <f>0/(100)</f>
        <v>0</v>
      </c>
      <c r="C627" s="1233">
        <f>0/(100)</f>
        <v>0</v>
      </c>
      <c r="D627" s="1233">
        <f>0/(100)</f>
        <v>0</v>
      </c>
      <c r="E627" s="1233">
        <f>0/(100)</f>
        <v>0</v>
      </c>
      <c r="F627" s="1229">
        <f t="shared" si="110"/>
        <v>0</v>
      </c>
      <c r="G627" s="1220">
        <f t="shared" si="111"/>
        <v>0</v>
      </c>
    </row>
    <row r="628" spans="1:7">
      <c r="A628" s="702" t="s">
        <v>4490</v>
      </c>
      <c r="B628" s="1233">
        <f>0/(100)</f>
        <v>0</v>
      </c>
      <c r="C628" s="1229">
        <f>717889/(100)</f>
        <v>7178.89</v>
      </c>
      <c r="D628" s="1233">
        <f>0/(100)</f>
        <v>0</v>
      </c>
      <c r="E628" s="1233">
        <f>0/(100)</f>
        <v>0</v>
      </c>
      <c r="F628" s="1229">
        <f t="shared" si="110"/>
        <v>7178.89</v>
      </c>
      <c r="G628" s="1220">
        <f t="shared" si="111"/>
        <v>0</v>
      </c>
    </row>
    <row r="629" spans="1:7">
      <c r="A629" s="702" t="s">
        <v>4491</v>
      </c>
      <c r="B629" s="1233">
        <f>0/(100)</f>
        <v>0</v>
      </c>
      <c r="C629" s="1233">
        <f>0/(100)</f>
        <v>0</v>
      </c>
      <c r="D629" s="1233">
        <f>0/(100)</f>
        <v>0</v>
      </c>
      <c r="E629" s="1233">
        <f>0/(100)</f>
        <v>0</v>
      </c>
      <c r="F629" s="1229">
        <f t="shared" si="110"/>
        <v>0</v>
      </c>
      <c r="G629" s="1220">
        <f t="shared" si="111"/>
        <v>0</v>
      </c>
    </row>
    <row r="630" spans="1:7">
      <c r="A630" s="702" t="s">
        <v>4492</v>
      </c>
      <c r="B630" s="1233">
        <f>0/(100)</f>
        <v>0</v>
      </c>
      <c r="C630" s="1233">
        <f>0/(100)</f>
        <v>0</v>
      </c>
      <c r="D630" s="1233">
        <f>0/(100)</f>
        <v>0</v>
      </c>
      <c r="E630" s="1229">
        <f>11908.84/(100)</f>
        <v>119.08840000000001</v>
      </c>
      <c r="F630" s="1229">
        <f t="shared" si="110"/>
        <v>0</v>
      </c>
      <c r="G630" s="1220">
        <f t="shared" si="111"/>
        <v>119.08840000000001</v>
      </c>
    </row>
    <row r="631" spans="1:7">
      <c r="A631" s="702" t="s">
        <v>4493</v>
      </c>
      <c r="B631" s="1229">
        <f>6362538/(100)</f>
        <v>63625.38</v>
      </c>
      <c r="C631" s="1233">
        <f>0/(100)</f>
        <v>0</v>
      </c>
      <c r="D631" s="1229">
        <f>3282538/(100)</f>
        <v>32825.379999999997</v>
      </c>
      <c r="E631" s="1233">
        <f>0/(100)</f>
        <v>0</v>
      </c>
      <c r="F631" s="1229">
        <f t="shared" si="110"/>
        <v>-63625.38</v>
      </c>
      <c r="G631" s="1220">
        <f t="shared" si="111"/>
        <v>-32825.379999999997</v>
      </c>
    </row>
    <row r="632" spans="1:7">
      <c r="A632" s="702" t="s">
        <v>4494</v>
      </c>
      <c r="B632" s="1233">
        <f>0/(100)</f>
        <v>0</v>
      </c>
      <c r="C632" s="1229">
        <f>34770/(100)</f>
        <v>347.7</v>
      </c>
      <c r="D632" s="1233">
        <f>0/(100)</f>
        <v>0</v>
      </c>
      <c r="E632" s="1229">
        <f>21870/(100)</f>
        <v>218.7</v>
      </c>
      <c r="F632" s="1229">
        <f t="shared" si="110"/>
        <v>347.7</v>
      </c>
      <c r="G632" s="1220">
        <f t="shared" si="111"/>
        <v>218.7</v>
      </c>
    </row>
    <row r="633" spans="1:7">
      <c r="A633" s="702" t="s">
        <v>4495</v>
      </c>
      <c r="B633" s="1233">
        <f>0/(100)</f>
        <v>0</v>
      </c>
      <c r="C633" s="1229">
        <f>181661/(100)</f>
        <v>1816.61</v>
      </c>
      <c r="D633" s="1233">
        <f>0/(100)</f>
        <v>0</v>
      </c>
      <c r="E633" s="1229">
        <f>246545/(100)</f>
        <v>2465.4499999999998</v>
      </c>
      <c r="F633" s="1229">
        <f t="shared" si="110"/>
        <v>1816.61</v>
      </c>
      <c r="G633" s="1220">
        <f t="shared" si="111"/>
        <v>2465.4499999999998</v>
      </c>
    </row>
    <row r="634" spans="1:7">
      <c r="A634" s="702" t="s">
        <v>4496</v>
      </c>
      <c r="B634" s="1229">
        <f>64427/(100)</f>
        <v>644.27</v>
      </c>
      <c r="C634" s="1233">
        <f>0/(100)</f>
        <v>0</v>
      </c>
      <c r="D634" s="1229">
        <f>64427/(100)</f>
        <v>644.27</v>
      </c>
      <c r="E634" s="1233">
        <f>0/(100)</f>
        <v>0</v>
      </c>
      <c r="F634" s="1229">
        <f t="shared" si="110"/>
        <v>-644.27</v>
      </c>
      <c r="G634" s="1220">
        <f t="shared" si="111"/>
        <v>-644.27</v>
      </c>
    </row>
    <row r="635" spans="1:7">
      <c r="A635" s="702" t="s">
        <v>4497</v>
      </c>
      <c r="B635" s="1233">
        <f>0/(100)</f>
        <v>0</v>
      </c>
      <c r="C635" s="1229">
        <f>2077949/(100)</f>
        <v>20779.490000000002</v>
      </c>
      <c r="D635" s="1233">
        <f>0/(100)</f>
        <v>0</v>
      </c>
      <c r="E635" s="1229">
        <f>9085/(100)</f>
        <v>90.85</v>
      </c>
      <c r="F635" s="1229">
        <f t="shared" si="110"/>
        <v>20779.490000000002</v>
      </c>
      <c r="G635" s="1220">
        <f t="shared" si="111"/>
        <v>90.85</v>
      </c>
    </row>
    <row r="636" spans="1:7">
      <c r="A636" s="702" t="s">
        <v>3560</v>
      </c>
      <c r="B636" s="1233">
        <f>0/(100)</f>
        <v>0</v>
      </c>
      <c r="C636" s="1229">
        <f>3301/(100)</f>
        <v>33.01</v>
      </c>
      <c r="D636" s="1233">
        <f>0/(100)</f>
        <v>0</v>
      </c>
      <c r="E636" s="1229">
        <f>12802907/(100)</f>
        <v>128029.07</v>
      </c>
      <c r="F636" s="1229">
        <f t="shared" si="110"/>
        <v>33.01</v>
      </c>
      <c r="G636" s="1220">
        <f t="shared" si="111"/>
        <v>128029.07</v>
      </c>
    </row>
    <row r="637" spans="1:7">
      <c r="A637" s="702" t="s">
        <v>4498</v>
      </c>
      <c r="B637" s="1233">
        <f>0/(100)</f>
        <v>0</v>
      </c>
      <c r="C637" s="1229">
        <f>2933820/(100)</f>
        <v>29338.2</v>
      </c>
      <c r="D637" s="1233">
        <f>0/(100)</f>
        <v>0</v>
      </c>
      <c r="E637" s="1229">
        <f>2933820/(100)</f>
        <v>29338.2</v>
      </c>
      <c r="F637" s="1229">
        <f t="shared" si="110"/>
        <v>29338.2</v>
      </c>
      <c r="G637" s="1220">
        <f t="shared" si="111"/>
        <v>29338.2</v>
      </c>
    </row>
    <row r="638" spans="1:7">
      <c r="A638" s="702" t="s">
        <v>4499</v>
      </c>
      <c r="B638" s="1229">
        <f>1035653/(100)</f>
        <v>10356.530000000001</v>
      </c>
      <c r="C638" s="1233">
        <f>0/(100)</f>
        <v>0</v>
      </c>
      <c r="D638" s="1229">
        <f>1035653/(100)</f>
        <v>10356.530000000001</v>
      </c>
      <c r="E638" s="1233">
        <f>0/(100)</f>
        <v>0</v>
      </c>
      <c r="F638" s="1229">
        <f t="shared" si="110"/>
        <v>-10356.530000000001</v>
      </c>
      <c r="G638" s="1220">
        <f t="shared" si="111"/>
        <v>-10356.530000000001</v>
      </c>
    </row>
    <row r="639" spans="1:7">
      <c r="A639" s="702" t="s">
        <v>4500</v>
      </c>
      <c r="B639" s="1229">
        <f>82721/(100)</f>
        <v>827.21</v>
      </c>
      <c r="C639" s="1233">
        <f>0/(100)</f>
        <v>0</v>
      </c>
      <c r="D639" s="1229">
        <f>82721/(100)</f>
        <v>827.21</v>
      </c>
      <c r="E639" s="1233">
        <f>0/(100)</f>
        <v>0</v>
      </c>
      <c r="F639" s="1229">
        <f t="shared" si="110"/>
        <v>-827.21</v>
      </c>
      <c r="G639" s="1220">
        <f t="shared" si="111"/>
        <v>-827.21</v>
      </c>
    </row>
    <row r="640" spans="1:7">
      <c r="A640" s="702" t="s">
        <v>4501</v>
      </c>
      <c r="B640" s="1233">
        <f>0/(100)</f>
        <v>0</v>
      </c>
      <c r="C640" s="1229">
        <f>87410/(100)</f>
        <v>874.1</v>
      </c>
      <c r="D640" s="1233">
        <f>0/(100)</f>
        <v>0</v>
      </c>
      <c r="E640" s="1229">
        <f>39810/(100)</f>
        <v>398.1</v>
      </c>
      <c r="F640" s="1229">
        <f t="shared" si="110"/>
        <v>874.1</v>
      </c>
      <c r="G640" s="1220">
        <f t="shared" si="111"/>
        <v>398.1</v>
      </c>
    </row>
    <row r="641" spans="1:7">
      <c r="A641" s="702" t="s">
        <v>4502</v>
      </c>
      <c r="B641" s="1233">
        <f>0/(100)</f>
        <v>0</v>
      </c>
      <c r="C641" s="1229">
        <f>1915033/(100)</f>
        <v>19150.330000000002</v>
      </c>
      <c r="D641" s="1233">
        <f>0/(100)</f>
        <v>0</v>
      </c>
      <c r="E641" s="1233">
        <f>0/(100)</f>
        <v>0</v>
      </c>
      <c r="F641" s="1229">
        <f t="shared" si="110"/>
        <v>19150.330000000002</v>
      </c>
      <c r="G641" s="1220">
        <f t="shared" si="111"/>
        <v>0</v>
      </c>
    </row>
    <row r="642" spans="1:7">
      <c r="A642" s="702" t="s">
        <v>4503</v>
      </c>
      <c r="B642" s="1233">
        <f>0/(100)</f>
        <v>0</v>
      </c>
      <c r="C642" s="1229">
        <f>10201605/(100)</f>
        <v>102016.05</v>
      </c>
      <c r="D642" s="1233">
        <f>0/(100)</f>
        <v>0</v>
      </c>
      <c r="E642" s="1229">
        <f>6032136/(100)</f>
        <v>60321.36</v>
      </c>
      <c r="F642" s="1229">
        <f t="shared" si="110"/>
        <v>102016.05</v>
      </c>
      <c r="G642" s="1220">
        <f t="shared" si="111"/>
        <v>60321.36</v>
      </c>
    </row>
    <row r="643" spans="1:7">
      <c r="A643" s="702" t="s">
        <v>4504</v>
      </c>
      <c r="B643" s="1233">
        <f>0/(100)</f>
        <v>0</v>
      </c>
      <c r="C643" s="1233">
        <f>0/(100)</f>
        <v>0</v>
      </c>
      <c r="D643" s="1229">
        <f>2878195/(100)</f>
        <v>28781.95</v>
      </c>
      <c r="E643" s="1233">
        <f>0/(100)</f>
        <v>0</v>
      </c>
      <c r="F643" s="1229">
        <f t="shared" si="110"/>
        <v>0</v>
      </c>
      <c r="G643" s="1220">
        <f t="shared" si="111"/>
        <v>-28781.95</v>
      </c>
    </row>
    <row r="644" spans="1:7">
      <c r="A644" s="702" t="s">
        <v>4505</v>
      </c>
      <c r="B644" s="1229">
        <f>1671/(100)</f>
        <v>16.71</v>
      </c>
      <c r="C644" s="1233">
        <f>0/(100)</f>
        <v>0</v>
      </c>
      <c r="D644" s="1229">
        <f>1671/(100)</f>
        <v>16.71</v>
      </c>
      <c r="E644" s="1233">
        <f>0/(100)</f>
        <v>0</v>
      </c>
      <c r="F644" s="1229">
        <f t="shared" si="110"/>
        <v>-16.71</v>
      </c>
      <c r="G644" s="1220">
        <f t="shared" si="111"/>
        <v>-16.71</v>
      </c>
    </row>
    <row r="645" spans="1:7">
      <c r="A645" s="702" t="s">
        <v>4506</v>
      </c>
      <c r="B645" s="1233">
        <f t="shared" ref="B645:B652" si="117">0/(100)</f>
        <v>0</v>
      </c>
      <c r="C645" s="1233">
        <f>0/(100)</f>
        <v>0</v>
      </c>
      <c r="D645" s="1233">
        <f t="shared" ref="D645:D652" si="118">0/(100)</f>
        <v>0</v>
      </c>
      <c r="E645" s="1229">
        <f>2249/(100)</f>
        <v>22.49</v>
      </c>
      <c r="F645" s="1229">
        <f t="shared" ref="F645:F703" si="119">C645-B645</f>
        <v>0</v>
      </c>
      <c r="G645" s="1220">
        <f t="shared" ref="G645:G703" si="120">E645-D645</f>
        <v>22.49</v>
      </c>
    </row>
    <row r="646" spans="1:7">
      <c r="A646" s="702" t="s">
        <v>4507</v>
      </c>
      <c r="B646" s="1233">
        <f t="shared" si="117"/>
        <v>0</v>
      </c>
      <c r="C646" s="1229">
        <f>943764/(100)</f>
        <v>9437.64</v>
      </c>
      <c r="D646" s="1233">
        <f t="shared" si="118"/>
        <v>0</v>
      </c>
      <c r="E646" s="1229">
        <f>943764/(100)</f>
        <v>9437.64</v>
      </c>
      <c r="F646" s="1229">
        <f t="shared" si="119"/>
        <v>9437.64</v>
      </c>
      <c r="G646" s="1220">
        <f t="shared" si="120"/>
        <v>9437.64</v>
      </c>
    </row>
    <row r="647" spans="1:7">
      <c r="A647" s="702" t="s">
        <v>4508</v>
      </c>
      <c r="B647" s="1233">
        <f t="shared" si="117"/>
        <v>0</v>
      </c>
      <c r="C647" s="1229">
        <f>28800/(100)</f>
        <v>288</v>
      </c>
      <c r="D647" s="1233">
        <f t="shared" si="118"/>
        <v>0</v>
      </c>
      <c r="E647" s="1229">
        <f>28800/(100)</f>
        <v>288</v>
      </c>
      <c r="F647" s="1229">
        <f t="shared" si="119"/>
        <v>288</v>
      </c>
      <c r="G647" s="1220">
        <f t="shared" si="120"/>
        <v>288</v>
      </c>
    </row>
    <row r="648" spans="1:7">
      <c r="A648" s="702" t="s">
        <v>4509</v>
      </c>
      <c r="B648" s="1233">
        <f t="shared" si="117"/>
        <v>0</v>
      </c>
      <c r="C648" s="1233">
        <f>0/(100)</f>
        <v>0</v>
      </c>
      <c r="D648" s="1233">
        <f t="shared" si="118"/>
        <v>0</v>
      </c>
      <c r="E648" s="1229">
        <f>47.2/(100)</f>
        <v>0.47200000000000003</v>
      </c>
      <c r="F648" s="1229">
        <f t="shared" si="119"/>
        <v>0</v>
      </c>
      <c r="G648" s="1220">
        <f t="shared" si="120"/>
        <v>0.47200000000000003</v>
      </c>
    </row>
    <row r="649" spans="1:7">
      <c r="A649" s="702" t="s">
        <v>4510</v>
      </c>
      <c r="B649" s="1233">
        <f t="shared" si="117"/>
        <v>0</v>
      </c>
      <c r="C649" s="1229">
        <f>241110/(100)</f>
        <v>2411.1</v>
      </c>
      <c r="D649" s="1233">
        <f t="shared" si="118"/>
        <v>0</v>
      </c>
      <c r="E649" s="1229">
        <f>241110/(100)</f>
        <v>2411.1</v>
      </c>
      <c r="F649" s="1229">
        <f t="shared" si="119"/>
        <v>2411.1</v>
      </c>
      <c r="G649" s="1220">
        <f t="shared" si="120"/>
        <v>2411.1</v>
      </c>
    </row>
    <row r="650" spans="1:7">
      <c r="A650" s="702" t="s">
        <v>4511</v>
      </c>
      <c r="B650" s="1233">
        <f t="shared" si="117"/>
        <v>0</v>
      </c>
      <c r="C650" s="1229">
        <f>4680/(100)</f>
        <v>46.8</v>
      </c>
      <c r="D650" s="1233">
        <f t="shared" si="118"/>
        <v>0</v>
      </c>
      <c r="E650" s="1229">
        <f>4680/(100)</f>
        <v>46.8</v>
      </c>
      <c r="F650" s="1229">
        <f t="shared" si="119"/>
        <v>46.8</v>
      </c>
      <c r="G650" s="1220">
        <f t="shared" si="120"/>
        <v>46.8</v>
      </c>
    </row>
    <row r="651" spans="1:7">
      <c r="A651" s="702" t="s">
        <v>4512</v>
      </c>
      <c r="B651" s="1233">
        <f t="shared" si="117"/>
        <v>0</v>
      </c>
      <c r="C651" s="1229">
        <f>9454/(100)</f>
        <v>94.54</v>
      </c>
      <c r="D651" s="1233">
        <f t="shared" si="118"/>
        <v>0</v>
      </c>
      <c r="E651" s="1229">
        <f>9454/(100)</f>
        <v>94.54</v>
      </c>
      <c r="F651" s="1229">
        <f t="shared" si="119"/>
        <v>94.54</v>
      </c>
      <c r="G651" s="1220">
        <f t="shared" si="120"/>
        <v>94.54</v>
      </c>
    </row>
    <row r="652" spans="1:7">
      <c r="A652" s="702" t="s">
        <v>4513</v>
      </c>
      <c r="B652" s="1233">
        <f t="shared" si="117"/>
        <v>0</v>
      </c>
      <c r="C652" s="1233">
        <f>0/(100)</f>
        <v>0</v>
      </c>
      <c r="D652" s="1233">
        <f t="shared" si="118"/>
        <v>0</v>
      </c>
      <c r="E652" s="1233">
        <f>0/(100)</f>
        <v>0</v>
      </c>
      <c r="F652" s="1229">
        <f t="shared" si="119"/>
        <v>0</v>
      </c>
      <c r="G652" s="1220">
        <f t="shared" si="120"/>
        <v>0</v>
      </c>
    </row>
    <row r="653" spans="1:7">
      <c r="A653" s="702" t="s">
        <v>4514</v>
      </c>
      <c r="B653" s="1229">
        <f>1398/(100)</f>
        <v>13.98</v>
      </c>
      <c r="C653" s="1233">
        <f>0/(100)</f>
        <v>0</v>
      </c>
      <c r="D653" s="1229">
        <f>1398/(100)</f>
        <v>13.98</v>
      </c>
      <c r="E653" s="1233">
        <f>0/(100)</f>
        <v>0</v>
      </c>
      <c r="F653" s="1229">
        <f t="shared" si="119"/>
        <v>-13.98</v>
      </c>
      <c r="G653" s="1220">
        <f t="shared" si="120"/>
        <v>-13.98</v>
      </c>
    </row>
    <row r="654" spans="1:7">
      <c r="A654" s="702" t="s">
        <v>977</v>
      </c>
      <c r="B654" s="1233">
        <f>0/(100)</f>
        <v>0</v>
      </c>
      <c r="C654" s="1233">
        <f>0/(100)</f>
        <v>0</v>
      </c>
      <c r="D654" s="1233">
        <f>0/(100)</f>
        <v>0</v>
      </c>
      <c r="E654" s="1229">
        <f>75992/(100)</f>
        <v>759.92</v>
      </c>
      <c r="F654" s="1229">
        <f t="shared" si="119"/>
        <v>0</v>
      </c>
      <c r="G654" s="1220">
        <f t="shared" si="120"/>
        <v>759.92</v>
      </c>
    </row>
    <row r="655" spans="1:7">
      <c r="A655" s="702" t="s">
        <v>4515</v>
      </c>
      <c r="B655" s="1233">
        <f>0/(100)</f>
        <v>0</v>
      </c>
      <c r="C655" s="1233">
        <f>0/(100)</f>
        <v>0</v>
      </c>
      <c r="D655" s="1229">
        <f>501500/(100)</f>
        <v>5015</v>
      </c>
      <c r="E655" s="1233">
        <f>0/(100)</f>
        <v>0</v>
      </c>
      <c r="F655" s="1229">
        <f t="shared" si="119"/>
        <v>0</v>
      </c>
      <c r="G655" s="1220">
        <f t="shared" si="120"/>
        <v>-5015</v>
      </c>
    </row>
    <row r="656" spans="1:7">
      <c r="A656" s="702" t="s">
        <v>4516</v>
      </c>
      <c r="B656" s="1229">
        <f>1000000/(100)</f>
        <v>10000</v>
      </c>
      <c r="C656" s="1233">
        <f>0/(100)</f>
        <v>0</v>
      </c>
      <c r="D656" s="1229">
        <f>1000000/(100)</f>
        <v>10000</v>
      </c>
      <c r="E656" s="1233">
        <f>0/(100)</f>
        <v>0</v>
      </c>
      <c r="F656" s="1229">
        <f t="shared" si="119"/>
        <v>-10000</v>
      </c>
      <c r="G656" s="1220">
        <f t="shared" si="120"/>
        <v>-10000</v>
      </c>
    </row>
    <row r="657" spans="1:7">
      <c r="A657" s="702" t="s">
        <v>4517</v>
      </c>
      <c r="B657" s="1233">
        <f>0/(100)</f>
        <v>0</v>
      </c>
      <c r="C657" s="1229">
        <f>9209/(100)</f>
        <v>92.09</v>
      </c>
      <c r="D657" s="1233">
        <f>0/(100)</f>
        <v>0</v>
      </c>
      <c r="E657" s="1229">
        <f>9209/(100)</f>
        <v>92.09</v>
      </c>
      <c r="F657" s="1229">
        <f t="shared" si="119"/>
        <v>92.09</v>
      </c>
      <c r="G657" s="1220">
        <f t="shared" si="120"/>
        <v>92.09</v>
      </c>
    </row>
    <row r="658" spans="1:7">
      <c r="A658" s="702" t="s">
        <v>863</v>
      </c>
      <c r="B658" s="1229">
        <f>194661.7/(100)</f>
        <v>1946.6170000000002</v>
      </c>
      <c r="C658" s="1233">
        <f>0/(100)</f>
        <v>0</v>
      </c>
      <c r="D658" s="1233">
        <f>0/(100)</f>
        <v>0</v>
      </c>
      <c r="E658" s="1229">
        <f>12420671.3/(100)</f>
        <v>124206.713</v>
      </c>
      <c r="F658" s="1229">
        <f t="shared" si="119"/>
        <v>-1946.6170000000002</v>
      </c>
      <c r="G658" s="1220">
        <f t="shared" si="120"/>
        <v>124206.713</v>
      </c>
    </row>
    <row r="659" spans="1:7">
      <c r="A659" s="702" t="s">
        <v>4518</v>
      </c>
      <c r="B659" s="1229">
        <f>21832/(100)</f>
        <v>218.32</v>
      </c>
      <c r="C659" s="1233">
        <f>0/(100)</f>
        <v>0</v>
      </c>
      <c r="D659" s="1229">
        <f>21832/(100)</f>
        <v>218.32</v>
      </c>
      <c r="E659" s="1233">
        <f t="shared" ref="E659:E664" si="121">0/(100)</f>
        <v>0</v>
      </c>
      <c r="F659" s="1229">
        <f t="shared" si="119"/>
        <v>-218.32</v>
      </c>
      <c r="G659" s="1220">
        <f t="shared" si="120"/>
        <v>-218.32</v>
      </c>
    </row>
    <row r="660" spans="1:7">
      <c r="A660" s="702" t="s">
        <v>4519</v>
      </c>
      <c r="B660" s="1229">
        <f>165000000/(100)</f>
        <v>1650000</v>
      </c>
      <c r="C660" s="1233">
        <f>0/(100)</f>
        <v>0</v>
      </c>
      <c r="D660" s="1229">
        <f>273990144/(100)</f>
        <v>2739901.44</v>
      </c>
      <c r="E660" s="1233">
        <f t="shared" si="121"/>
        <v>0</v>
      </c>
      <c r="F660" s="1229">
        <f t="shared" si="119"/>
        <v>-1650000</v>
      </c>
      <c r="G660" s="1220">
        <f t="shared" si="120"/>
        <v>-2739901.44</v>
      </c>
    </row>
    <row r="661" spans="1:7">
      <c r="A661" s="702" t="s">
        <v>4520</v>
      </c>
      <c r="B661" s="1233">
        <f>0/(100)</f>
        <v>0</v>
      </c>
      <c r="C661" s="1233">
        <f>0/(100)</f>
        <v>0</v>
      </c>
      <c r="D661" s="1229">
        <f>49560/(100)</f>
        <v>495.6</v>
      </c>
      <c r="E661" s="1233">
        <f t="shared" si="121"/>
        <v>0</v>
      </c>
      <c r="F661" s="1229">
        <f t="shared" si="119"/>
        <v>0</v>
      </c>
      <c r="G661" s="1220">
        <f t="shared" si="120"/>
        <v>-495.6</v>
      </c>
    </row>
    <row r="662" spans="1:7">
      <c r="A662" s="702" t="s">
        <v>4521</v>
      </c>
      <c r="B662" s="1229">
        <f>14800/(100)</f>
        <v>148</v>
      </c>
      <c r="C662" s="1233">
        <f>0/(100)</f>
        <v>0</v>
      </c>
      <c r="D662" s="1233">
        <f>0/(100)</f>
        <v>0</v>
      </c>
      <c r="E662" s="1233">
        <f t="shared" si="121"/>
        <v>0</v>
      </c>
      <c r="F662" s="1229">
        <f t="shared" si="119"/>
        <v>-148</v>
      </c>
      <c r="G662" s="1220">
        <f t="shared" si="120"/>
        <v>0</v>
      </c>
    </row>
    <row r="663" spans="1:7">
      <c r="A663" s="702" t="s">
        <v>4522</v>
      </c>
      <c r="B663" s="1233">
        <f>0/(100)</f>
        <v>0</v>
      </c>
      <c r="C663" s="1229">
        <f>37279/(100)</f>
        <v>372.79</v>
      </c>
      <c r="D663" s="1229">
        <f>560/(100)</f>
        <v>5.6</v>
      </c>
      <c r="E663" s="1233">
        <f t="shared" si="121"/>
        <v>0</v>
      </c>
      <c r="F663" s="1229">
        <f t="shared" si="119"/>
        <v>372.79</v>
      </c>
      <c r="G663" s="1220">
        <f t="shared" si="120"/>
        <v>-5.6</v>
      </c>
    </row>
    <row r="664" spans="1:7">
      <c r="A664" s="702" t="s">
        <v>4523</v>
      </c>
      <c r="B664" s="1233">
        <f>0/(100)</f>
        <v>0</v>
      </c>
      <c r="C664" s="1229">
        <f>290928.1/(100)</f>
        <v>2909.2809999999999</v>
      </c>
      <c r="D664" s="1233">
        <f>0/(100)</f>
        <v>0</v>
      </c>
      <c r="E664" s="1233">
        <f t="shared" si="121"/>
        <v>0</v>
      </c>
      <c r="F664" s="1229">
        <f t="shared" si="119"/>
        <v>2909.2809999999999</v>
      </c>
      <c r="G664" s="1220">
        <f t="shared" si="120"/>
        <v>0</v>
      </c>
    </row>
    <row r="665" spans="1:7">
      <c r="A665" s="702" t="s">
        <v>4524</v>
      </c>
      <c r="B665" s="1233">
        <f>0/(100)</f>
        <v>0</v>
      </c>
      <c r="C665" s="1233">
        <f>0/(100)</f>
        <v>0</v>
      </c>
      <c r="D665" s="1233">
        <f>0/(100)</f>
        <v>0</v>
      </c>
      <c r="E665" s="1229">
        <f>1752724/(100)</f>
        <v>17527.240000000002</v>
      </c>
      <c r="F665" s="1229">
        <f t="shared" si="119"/>
        <v>0</v>
      </c>
      <c r="G665" s="1220">
        <f t="shared" si="120"/>
        <v>17527.240000000002</v>
      </c>
    </row>
    <row r="666" spans="1:7">
      <c r="A666" s="702" t="s">
        <v>3327</v>
      </c>
      <c r="B666" s="1233">
        <f>0/(100)</f>
        <v>0</v>
      </c>
      <c r="C666" s="1229">
        <f>2333443/(100)</f>
        <v>23334.43</v>
      </c>
      <c r="D666" s="1233">
        <f>0/(100)</f>
        <v>0</v>
      </c>
      <c r="E666" s="1229">
        <f>2343719/(100)</f>
        <v>23437.19</v>
      </c>
      <c r="F666" s="1229">
        <f t="shared" si="119"/>
        <v>23334.43</v>
      </c>
      <c r="G666" s="1220">
        <f t="shared" si="120"/>
        <v>23437.19</v>
      </c>
    </row>
    <row r="667" spans="1:7">
      <c r="A667" s="702" t="s">
        <v>4525</v>
      </c>
      <c r="B667" s="1233">
        <f>0/(100)</f>
        <v>0</v>
      </c>
      <c r="C667" s="1233">
        <f>0/(100)</f>
        <v>0</v>
      </c>
      <c r="D667" s="1233">
        <f>0/(100)</f>
        <v>0</v>
      </c>
      <c r="E667" s="1229">
        <f>875/(100)</f>
        <v>8.75</v>
      </c>
      <c r="F667" s="1229">
        <f t="shared" si="119"/>
        <v>0</v>
      </c>
      <c r="G667" s="1220">
        <f t="shared" si="120"/>
        <v>8.75</v>
      </c>
    </row>
    <row r="668" spans="1:7">
      <c r="A668" s="702" t="s">
        <v>4526</v>
      </c>
      <c r="B668" s="1229">
        <f>441/(100)</f>
        <v>4.41</v>
      </c>
      <c r="C668" s="1233">
        <f>0/(100)</f>
        <v>0</v>
      </c>
      <c r="D668" s="1229">
        <f>441/(100)</f>
        <v>4.41</v>
      </c>
      <c r="E668" s="1233">
        <f>0/(100)</f>
        <v>0</v>
      </c>
      <c r="F668" s="1229">
        <f t="shared" si="119"/>
        <v>-4.41</v>
      </c>
      <c r="G668" s="1220">
        <f t="shared" si="120"/>
        <v>-4.41</v>
      </c>
    </row>
    <row r="669" spans="1:7">
      <c r="A669" s="702" t="s">
        <v>4527</v>
      </c>
      <c r="B669" s="1229">
        <f>55232/(100)</f>
        <v>552.32000000000005</v>
      </c>
      <c r="C669" s="1233">
        <f>0/(100)</f>
        <v>0</v>
      </c>
      <c r="D669" s="1229">
        <f>55232/(100)</f>
        <v>552.32000000000005</v>
      </c>
      <c r="E669" s="1233">
        <f>0/(100)</f>
        <v>0</v>
      </c>
      <c r="F669" s="1229">
        <f t="shared" si="119"/>
        <v>-552.32000000000005</v>
      </c>
      <c r="G669" s="1220">
        <f t="shared" si="120"/>
        <v>-552.32000000000005</v>
      </c>
    </row>
    <row r="670" spans="1:7">
      <c r="A670" s="702" t="s">
        <v>4528</v>
      </c>
      <c r="B670" s="1233">
        <f t="shared" ref="B670:B676" si="122">0/(100)</f>
        <v>0</v>
      </c>
      <c r="C670" s="1229">
        <f>1863594/(100)</f>
        <v>18635.939999999999</v>
      </c>
      <c r="D670" s="1233">
        <f t="shared" ref="D670:D676" si="123">0/(100)</f>
        <v>0</v>
      </c>
      <c r="E670" s="1229">
        <f>1863594/(100)</f>
        <v>18635.939999999999</v>
      </c>
      <c r="F670" s="1229">
        <f t="shared" si="119"/>
        <v>18635.939999999999</v>
      </c>
      <c r="G670" s="1220">
        <f t="shared" si="120"/>
        <v>18635.939999999999</v>
      </c>
    </row>
    <row r="671" spans="1:7">
      <c r="A671" s="702" t="s">
        <v>4529</v>
      </c>
      <c r="B671" s="1233">
        <f t="shared" si="122"/>
        <v>0</v>
      </c>
      <c r="C671" s="1233">
        <f>0/(100)</f>
        <v>0</v>
      </c>
      <c r="D671" s="1233">
        <f t="shared" si="123"/>
        <v>0</v>
      </c>
      <c r="E671" s="1233">
        <f>0/(100)</f>
        <v>0</v>
      </c>
      <c r="F671" s="1229">
        <f t="shared" si="119"/>
        <v>0</v>
      </c>
      <c r="G671" s="1220">
        <f t="shared" si="120"/>
        <v>0</v>
      </c>
    </row>
    <row r="672" spans="1:7">
      <c r="A672" s="702" t="s">
        <v>1490</v>
      </c>
      <c r="B672" s="1233">
        <f t="shared" si="122"/>
        <v>0</v>
      </c>
      <c r="C672" s="1233">
        <f>0/(100)</f>
        <v>0</v>
      </c>
      <c r="D672" s="1233">
        <f t="shared" si="123"/>
        <v>0</v>
      </c>
      <c r="E672" s="1233">
        <f>0/(100)</f>
        <v>0</v>
      </c>
      <c r="F672" s="1229">
        <f t="shared" si="119"/>
        <v>0</v>
      </c>
      <c r="G672" s="1220">
        <f t="shared" si="120"/>
        <v>0</v>
      </c>
    </row>
    <row r="673" spans="1:7">
      <c r="A673" s="702" t="s">
        <v>4530</v>
      </c>
      <c r="B673" s="1233">
        <f t="shared" si="122"/>
        <v>0</v>
      </c>
      <c r="C673" s="1233">
        <f>0/(100)</f>
        <v>0</v>
      </c>
      <c r="D673" s="1233">
        <f t="shared" si="123"/>
        <v>0</v>
      </c>
      <c r="E673" s="1229">
        <f>6166/(100)</f>
        <v>61.66</v>
      </c>
      <c r="F673" s="1229">
        <f t="shared" si="119"/>
        <v>0</v>
      </c>
      <c r="G673" s="1220">
        <f t="shared" si="120"/>
        <v>61.66</v>
      </c>
    </row>
    <row r="674" spans="1:7">
      <c r="A674" s="702" t="s">
        <v>4531</v>
      </c>
      <c r="B674" s="1233">
        <f t="shared" si="122"/>
        <v>0</v>
      </c>
      <c r="C674" s="1229">
        <f>509925/(100)</f>
        <v>5099.25</v>
      </c>
      <c r="D674" s="1233">
        <f t="shared" si="123"/>
        <v>0</v>
      </c>
      <c r="E674" s="1233">
        <f>0/(100)</f>
        <v>0</v>
      </c>
      <c r="F674" s="1229">
        <f t="shared" si="119"/>
        <v>5099.25</v>
      </c>
      <c r="G674" s="1220">
        <f t="shared" si="120"/>
        <v>0</v>
      </c>
    </row>
    <row r="675" spans="1:7">
      <c r="A675" s="702" t="s">
        <v>4532</v>
      </c>
      <c r="B675" s="1233">
        <f t="shared" si="122"/>
        <v>0</v>
      </c>
      <c r="C675" s="1233">
        <f t="shared" ref="C675:C681" si="124">0/(100)</f>
        <v>0</v>
      </c>
      <c r="D675" s="1233">
        <f t="shared" si="123"/>
        <v>0</v>
      </c>
      <c r="E675" s="1229">
        <f>27669/(100)</f>
        <v>276.69</v>
      </c>
      <c r="F675" s="1229">
        <f t="shared" si="119"/>
        <v>0</v>
      </c>
      <c r="G675" s="1220">
        <f t="shared" si="120"/>
        <v>276.69</v>
      </c>
    </row>
    <row r="676" spans="1:7">
      <c r="A676" s="702" t="s">
        <v>4533</v>
      </c>
      <c r="B676" s="1233">
        <f t="shared" si="122"/>
        <v>0</v>
      </c>
      <c r="C676" s="1233">
        <f t="shared" si="124"/>
        <v>0</v>
      </c>
      <c r="D676" s="1233">
        <f t="shared" si="123"/>
        <v>0</v>
      </c>
      <c r="E676" s="1229">
        <f>311/(100)</f>
        <v>3.11</v>
      </c>
      <c r="F676" s="1229">
        <f t="shared" si="119"/>
        <v>0</v>
      </c>
      <c r="G676" s="1220">
        <f t="shared" si="120"/>
        <v>3.11</v>
      </c>
    </row>
    <row r="677" spans="1:7">
      <c r="A677" s="702" t="s">
        <v>790</v>
      </c>
      <c r="B677" s="1229">
        <f>91026857.01/(100)</f>
        <v>910268.57010000001</v>
      </c>
      <c r="C677" s="1233">
        <f t="shared" si="124"/>
        <v>0</v>
      </c>
      <c r="D677" s="1229">
        <f>14798580.92/(100)</f>
        <v>147985.80919999999</v>
      </c>
      <c r="E677" s="1233">
        <f>0/(100)</f>
        <v>0</v>
      </c>
      <c r="F677" s="1229">
        <f t="shared" si="119"/>
        <v>-910268.57010000001</v>
      </c>
      <c r="G677" s="1220">
        <f t="shared" si="120"/>
        <v>-147985.80919999999</v>
      </c>
    </row>
    <row r="678" spans="1:7">
      <c r="A678" s="702" t="s">
        <v>1493</v>
      </c>
      <c r="B678" s="1233">
        <f>0/(100)</f>
        <v>0</v>
      </c>
      <c r="C678" s="1233">
        <f t="shared" si="124"/>
        <v>0</v>
      </c>
      <c r="D678" s="1229">
        <f>25000/(100)</f>
        <v>250</v>
      </c>
      <c r="E678" s="1233">
        <f>0/(100)</f>
        <v>0</v>
      </c>
      <c r="F678" s="1229">
        <f t="shared" si="119"/>
        <v>0</v>
      </c>
      <c r="G678" s="1220">
        <f t="shared" si="120"/>
        <v>-250</v>
      </c>
    </row>
    <row r="679" spans="1:7">
      <c r="A679" s="702" t="s">
        <v>4534</v>
      </c>
      <c r="B679" s="1229">
        <f>400/(100)</f>
        <v>4</v>
      </c>
      <c r="C679" s="1233">
        <f t="shared" si="124"/>
        <v>0</v>
      </c>
      <c r="D679" s="1229">
        <f>400/(100)</f>
        <v>4</v>
      </c>
      <c r="E679" s="1233">
        <f>0/(100)</f>
        <v>0</v>
      </c>
      <c r="F679" s="1229">
        <f t="shared" si="119"/>
        <v>-4</v>
      </c>
      <c r="G679" s="1220">
        <f t="shared" si="120"/>
        <v>-4</v>
      </c>
    </row>
    <row r="680" spans="1:7">
      <c r="A680" s="702" t="s">
        <v>4535</v>
      </c>
      <c r="B680" s="1233">
        <f>0/(100)</f>
        <v>0</v>
      </c>
      <c r="C680" s="1233">
        <f t="shared" si="124"/>
        <v>0</v>
      </c>
      <c r="D680" s="1233">
        <f>0/(100)</f>
        <v>0</v>
      </c>
      <c r="E680" s="1229">
        <f>7779.74/(100)</f>
        <v>77.797399999999996</v>
      </c>
      <c r="F680" s="1229">
        <f t="shared" si="119"/>
        <v>0</v>
      </c>
      <c r="G680" s="1220">
        <f t="shared" si="120"/>
        <v>77.797399999999996</v>
      </c>
    </row>
    <row r="681" spans="1:7">
      <c r="A681" s="702" t="s">
        <v>4536</v>
      </c>
      <c r="B681" s="1229">
        <f>929183.91/(100)</f>
        <v>9291.8391000000011</v>
      </c>
      <c r="C681" s="1233">
        <f t="shared" si="124"/>
        <v>0</v>
      </c>
      <c r="D681" s="1229">
        <f>929183.91/(100)</f>
        <v>9291.8391000000011</v>
      </c>
      <c r="E681" s="1233">
        <f>0/(100)</f>
        <v>0</v>
      </c>
      <c r="F681" s="1229">
        <f t="shared" si="119"/>
        <v>-9291.8391000000011</v>
      </c>
      <c r="G681" s="1220">
        <f t="shared" si="120"/>
        <v>-9291.8391000000011</v>
      </c>
    </row>
    <row r="682" spans="1:7">
      <c r="A682" s="702" t="s">
        <v>4537</v>
      </c>
      <c r="B682" s="1233">
        <f t="shared" ref="B682:B691" si="125">0/(100)</f>
        <v>0</v>
      </c>
      <c r="C682" s="1229">
        <f>6041902/(100)</f>
        <v>60419.02</v>
      </c>
      <c r="D682" s="1233">
        <f t="shared" ref="D682:D691" si="126">0/(100)</f>
        <v>0</v>
      </c>
      <c r="E682" s="1229">
        <f>9502608/(100)</f>
        <v>95026.08</v>
      </c>
      <c r="F682" s="1229">
        <f t="shared" si="119"/>
        <v>60419.02</v>
      </c>
      <c r="G682" s="1220">
        <f t="shared" si="120"/>
        <v>95026.08</v>
      </c>
    </row>
    <row r="683" spans="1:7">
      <c r="A683" s="702" t="s">
        <v>4538</v>
      </c>
      <c r="B683" s="1233">
        <f t="shared" si="125"/>
        <v>0</v>
      </c>
      <c r="C683" s="1233">
        <f>0/(100)</f>
        <v>0</v>
      </c>
      <c r="D683" s="1233">
        <f t="shared" si="126"/>
        <v>0</v>
      </c>
      <c r="E683" s="1233">
        <f>0/(100)</f>
        <v>0</v>
      </c>
      <c r="F683" s="1229">
        <f t="shared" si="119"/>
        <v>0</v>
      </c>
      <c r="G683" s="1220">
        <f t="shared" si="120"/>
        <v>0</v>
      </c>
    </row>
    <row r="684" spans="1:7">
      <c r="A684" s="702" t="s">
        <v>4539</v>
      </c>
      <c r="B684" s="1233">
        <f t="shared" si="125"/>
        <v>0</v>
      </c>
      <c r="C684" s="1229">
        <f>476190/(100)</f>
        <v>4761.8999999999996</v>
      </c>
      <c r="D684" s="1233">
        <f t="shared" si="126"/>
        <v>0</v>
      </c>
      <c r="E684" s="1233">
        <f>0/(100)</f>
        <v>0</v>
      </c>
      <c r="F684" s="1229">
        <f t="shared" si="119"/>
        <v>4761.8999999999996</v>
      </c>
      <c r="G684" s="1220">
        <f t="shared" si="120"/>
        <v>0</v>
      </c>
    </row>
    <row r="685" spans="1:7">
      <c r="A685" s="702" t="s">
        <v>4540</v>
      </c>
      <c r="B685" s="1233">
        <f t="shared" si="125"/>
        <v>0</v>
      </c>
      <c r="C685" s="1229">
        <f>43448.4/(100)</f>
        <v>434.48400000000004</v>
      </c>
      <c r="D685" s="1233">
        <f t="shared" si="126"/>
        <v>0</v>
      </c>
      <c r="E685" s="1229">
        <f>43448.4/(100)</f>
        <v>434.48400000000004</v>
      </c>
      <c r="F685" s="1229">
        <f t="shared" si="119"/>
        <v>434.48400000000004</v>
      </c>
      <c r="G685" s="1220">
        <f t="shared" si="120"/>
        <v>434.48400000000004</v>
      </c>
    </row>
    <row r="686" spans="1:7">
      <c r="A686" s="702" t="s">
        <v>4541</v>
      </c>
      <c r="B686" s="1233">
        <f t="shared" si="125"/>
        <v>0</v>
      </c>
      <c r="C686" s="1233">
        <f>0/(100)</f>
        <v>0</v>
      </c>
      <c r="D686" s="1233">
        <f t="shared" si="126"/>
        <v>0</v>
      </c>
      <c r="E686" s="1229">
        <f>23999.17/(100)</f>
        <v>239.99169999999998</v>
      </c>
      <c r="F686" s="1229">
        <f t="shared" si="119"/>
        <v>0</v>
      </c>
      <c r="G686" s="1220">
        <f t="shared" si="120"/>
        <v>239.99169999999998</v>
      </c>
    </row>
    <row r="687" spans="1:7">
      <c r="A687" s="702" t="s">
        <v>956</v>
      </c>
      <c r="B687" s="1233">
        <f t="shared" si="125"/>
        <v>0</v>
      </c>
      <c r="C687" s="1233">
        <f>0/(100)</f>
        <v>0</v>
      </c>
      <c r="D687" s="1233">
        <f t="shared" si="126"/>
        <v>0</v>
      </c>
      <c r="E687" s="1233">
        <f>0/(100)</f>
        <v>0</v>
      </c>
      <c r="F687" s="1229">
        <f t="shared" si="119"/>
        <v>0</v>
      </c>
      <c r="G687" s="1220">
        <f t="shared" si="120"/>
        <v>0</v>
      </c>
    </row>
    <row r="688" spans="1:7">
      <c r="A688" s="702" t="s">
        <v>932</v>
      </c>
      <c r="B688" s="1233">
        <f t="shared" si="125"/>
        <v>0</v>
      </c>
      <c r="C688" s="1229">
        <f>1126276/(100)</f>
        <v>11262.76</v>
      </c>
      <c r="D688" s="1233">
        <f t="shared" si="126"/>
        <v>0</v>
      </c>
      <c r="E688" s="1229">
        <f>1717493.22/(100)</f>
        <v>17174.932199999999</v>
      </c>
      <c r="F688" s="1229">
        <f t="shared" si="119"/>
        <v>11262.76</v>
      </c>
      <c r="G688" s="1220">
        <f t="shared" si="120"/>
        <v>17174.932199999999</v>
      </c>
    </row>
    <row r="689" spans="1:7">
      <c r="A689" s="702" t="s">
        <v>4542</v>
      </c>
      <c r="B689" s="1233">
        <f t="shared" si="125"/>
        <v>0</v>
      </c>
      <c r="C689" s="1229">
        <f>9058/(100)</f>
        <v>90.58</v>
      </c>
      <c r="D689" s="1233">
        <f t="shared" si="126"/>
        <v>0</v>
      </c>
      <c r="E689" s="1233">
        <f>0/(100)</f>
        <v>0</v>
      </c>
      <c r="F689" s="1229">
        <f t="shared" si="119"/>
        <v>90.58</v>
      </c>
      <c r="G689" s="1220">
        <f t="shared" si="120"/>
        <v>0</v>
      </c>
    </row>
    <row r="690" spans="1:7">
      <c r="A690" s="702" t="s">
        <v>4543</v>
      </c>
      <c r="B690" s="1233">
        <f t="shared" si="125"/>
        <v>0</v>
      </c>
      <c r="C690" s="1229">
        <f>13330/(100)</f>
        <v>133.30000000000001</v>
      </c>
      <c r="D690" s="1233">
        <f t="shared" si="126"/>
        <v>0</v>
      </c>
      <c r="E690" s="1229">
        <f>13330/(100)</f>
        <v>133.30000000000001</v>
      </c>
      <c r="F690" s="1229">
        <f t="shared" si="119"/>
        <v>133.30000000000001</v>
      </c>
      <c r="G690" s="1220">
        <f t="shared" si="120"/>
        <v>133.30000000000001</v>
      </c>
    </row>
    <row r="691" spans="1:7">
      <c r="A691" s="702" t="s">
        <v>4544</v>
      </c>
      <c r="B691" s="1233">
        <f t="shared" si="125"/>
        <v>0</v>
      </c>
      <c r="C691" s="1229">
        <f>91000/(100)</f>
        <v>910</v>
      </c>
      <c r="D691" s="1233">
        <f t="shared" si="126"/>
        <v>0</v>
      </c>
      <c r="E691" s="1229">
        <f>91000/(100)</f>
        <v>910</v>
      </c>
      <c r="F691" s="1229">
        <f t="shared" si="119"/>
        <v>910</v>
      </c>
      <c r="G691" s="1220">
        <f t="shared" si="120"/>
        <v>910</v>
      </c>
    </row>
    <row r="692" spans="1:7">
      <c r="A692" s="702" t="s">
        <v>4545</v>
      </c>
      <c r="B692" s="1229">
        <f>33532979.88/(100)</f>
        <v>335329.79879999999</v>
      </c>
      <c r="C692" s="1233">
        <f t="shared" ref="C692:C698" si="127">0/(100)</f>
        <v>0</v>
      </c>
      <c r="D692" s="1229">
        <f>33532979.88/(100)</f>
        <v>335329.79879999999</v>
      </c>
      <c r="E692" s="1233">
        <f>0/(100)</f>
        <v>0</v>
      </c>
      <c r="F692" s="1229">
        <f t="shared" si="119"/>
        <v>-335329.79879999999</v>
      </c>
      <c r="G692" s="1220">
        <f t="shared" si="120"/>
        <v>-335329.79879999999</v>
      </c>
    </row>
    <row r="693" spans="1:7">
      <c r="A693" s="702" t="s">
        <v>3532</v>
      </c>
      <c r="B693" s="1233">
        <f t="shared" ref="B693:B703" si="128">0/(100)</f>
        <v>0</v>
      </c>
      <c r="C693" s="1233">
        <f t="shared" si="127"/>
        <v>0</v>
      </c>
      <c r="D693" s="1233">
        <f>0/(100)</f>
        <v>0</v>
      </c>
      <c r="E693" s="1229">
        <f>27000/(100)</f>
        <v>270</v>
      </c>
      <c r="F693" s="1229">
        <f t="shared" si="119"/>
        <v>0</v>
      </c>
      <c r="G693" s="1220">
        <f t="shared" si="120"/>
        <v>270</v>
      </c>
    </row>
    <row r="694" spans="1:7">
      <c r="A694" s="702" t="s">
        <v>4546</v>
      </c>
      <c r="B694" s="1233">
        <f t="shared" si="128"/>
        <v>0</v>
      </c>
      <c r="C694" s="1233">
        <f t="shared" si="127"/>
        <v>0</v>
      </c>
      <c r="D694" s="1229">
        <f>27000/(100)</f>
        <v>270</v>
      </c>
      <c r="E694" s="1233">
        <f>0/(100)</f>
        <v>0</v>
      </c>
      <c r="F694" s="1229">
        <f t="shared" si="119"/>
        <v>0</v>
      </c>
      <c r="G694" s="1220">
        <f t="shared" si="120"/>
        <v>-270</v>
      </c>
    </row>
    <row r="695" spans="1:7">
      <c r="A695" s="702" t="s">
        <v>4547</v>
      </c>
      <c r="B695" s="1233">
        <f t="shared" si="128"/>
        <v>0</v>
      </c>
      <c r="C695" s="1233">
        <f t="shared" si="127"/>
        <v>0</v>
      </c>
      <c r="D695" s="1233">
        <f>0/(100)</f>
        <v>0</v>
      </c>
      <c r="E695" s="1229">
        <f>24691.07/(100)</f>
        <v>246.91069999999999</v>
      </c>
      <c r="F695" s="1229">
        <f t="shared" si="119"/>
        <v>0</v>
      </c>
      <c r="G695" s="1220">
        <f t="shared" si="120"/>
        <v>246.91069999999999</v>
      </c>
    </row>
    <row r="696" spans="1:7">
      <c r="A696" s="702" t="s">
        <v>4548</v>
      </c>
      <c r="B696" s="1233">
        <f t="shared" si="128"/>
        <v>0</v>
      </c>
      <c r="C696" s="1233">
        <f t="shared" si="127"/>
        <v>0</v>
      </c>
      <c r="D696" s="1233">
        <f>0/(100)</f>
        <v>0</v>
      </c>
      <c r="E696" s="1233">
        <f>0/(100)</f>
        <v>0</v>
      </c>
      <c r="F696" s="1229">
        <f t="shared" si="119"/>
        <v>0</v>
      </c>
      <c r="G696" s="1220">
        <f t="shared" si="120"/>
        <v>0</v>
      </c>
    </row>
    <row r="697" spans="1:7">
      <c r="A697" s="702" t="s">
        <v>4549</v>
      </c>
      <c r="B697" s="1233">
        <f t="shared" si="128"/>
        <v>0</v>
      </c>
      <c r="C697" s="1233">
        <f t="shared" si="127"/>
        <v>0</v>
      </c>
      <c r="D697" s="1229">
        <f>10800/(100)</f>
        <v>108</v>
      </c>
      <c r="E697" s="1233">
        <f>0/(100)</f>
        <v>0</v>
      </c>
      <c r="F697" s="1229">
        <f t="shared" si="119"/>
        <v>0</v>
      </c>
      <c r="G697" s="1220">
        <f t="shared" si="120"/>
        <v>-108</v>
      </c>
    </row>
    <row r="698" spans="1:7">
      <c r="A698" s="702" t="s">
        <v>4550</v>
      </c>
      <c r="B698" s="1233">
        <f t="shared" si="128"/>
        <v>0</v>
      </c>
      <c r="C698" s="1233">
        <f t="shared" si="127"/>
        <v>0</v>
      </c>
      <c r="D698" s="1233">
        <f t="shared" ref="D698:D703" si="129">0/(100)</f>
        <v>0</v>
      </c>
      <c r="E698" s="1229">
        <f>15120/(100)</f>
        <v>151.19999999999999</v>
      </c>
      <c r="F698" s="1229">
        <f t="shared" si="119"/>
        <v>0</v>
      </c>
      <c r="G698" s="1220">
        <f t="shared" si="120"/>
        <v>151.19999999999999</v>
      </c>
    </row>
    <row r="699" spans="1:7">
      <c r="A699" s="702" t="s">
        <v>4551</v>
      </c>
      <c r="B699" s="1233">
        <f t="shared" si="128"/>
        <v>0</v>
      </c>
      <c r="C699" s="1229">
        <f>33120/(100)</f>
        <v>331.2</v>
      </c>
      <c r="D699" s="1233">
        <f t="shared" si="129"/>
        <v>0</v>
      </c>
      <c r="E699" s="1229">
        <f>33120/(100)</f>
        <v>331.2</v>
      </c>
      <c r="F699" s="1229">
        <f t="shared" si="119"/>
        <v>331.2</v>
      </c>
      <c r="G699" s="1220">
        <f t="shared" si="120"/>
        <v>331.2</v>
      </c>
    </row>
    <row r="700" spans="1:7">
      <c r="A700" s="702" t="s">
        <v>4552</v>
      </c>
      <c r="B700" s="1233">
        <f t="shared" si="128"/>
        <v>0</v>
      </c>
      <c r="C700" s="1229">
        <f>24170/(100)</f>
        <v>241.7</v>
      </c>
      <c r="D700" s="1233">
        <f t="shared" si="129"/>
        <v>0</v>
      </c>
      <c r="E700" s="1229">
        <f>24170/(100)</f>
        <v>241.7</v>
      </c>
      <c r="F700" s="1229">
        <f t="shared" si="119"/>
        <v>241.7</v>
      </c>
      <c r="G700" s="1220">
        <f t="shared" si="120"/>
        <v>241.7</v>
      </c>
    </row>
    <row r="701" spans="1:7">
      <c r="A701" s="702" t="s">
        <v>4553</v>
      </c>
      <c r="B701" s="1233">
        <f t="shared" si="128"/>
        <v>0</v>
      </c>
      <c r="C701" s="1233">
        <f>0/(100)</f>
        <v>0</v>
      </c>
      <c r="D701" s="1233">
        <f t="shared" si="129"/>
        <v>0</v>
      </c>
      <c r="E701" s="1229">
        <f>1218548/(100)</f>
        <v>12185.48</v>
      </c>
      <c r="F701" s="1229">
        <f t="shared" si="119"/>
        <v>0</v>
      </c>
      <c r="G701" s="1220">
        <f t="shared" si="120"/>
        <v>12185.48</v>
      </c>
    </row>
    <row r="702" spans="1:7">
      <c r="A702" s="702" t="s">
        <v>927</v>
      </c>
      <c r="B702" s="1233">
        <f t="shared" si="128"/>
        <v>0</v>
      </c>
      <c r="C702" s="1229">
        <f>192313/(100)</f>
        <v>1923.13</v>
      </c>
      <c r="D702" s="1233">
        <f t="shared" si="129"/>
        <v>0</v>
      </c>
      <c r="E702" s="1229">
        <f>940245.4/(100)</f>
        <v>9402.4539999999997</v>
      </c>
      <c r="F702" s="1229">
        <f t="shared" si="119"/>
        <v>1923.13</v>
      </c>
      <c r="G702" s="1220">
        <f t="shared" si="120"/>
        <v>9402.4539999999997</v>
      </c>
    </row>
    <row r="703" spans="1:7">
      <c r="A703" s="702" t="s">
        <v>4554</v>
      </c>
      <c r="B703" s="1233">
        <f t="shared" si="128"/>
        <v>0</v>
      </c>
      <c r="C703" s="1229">
        <f>32757/(100)</f>
        <v>327.57</v>
      </c>
      <c r="D703" s="1233">
        <f t="shared" si="129"/>
        <v>0</v>
      </c>
      <c r="E703" s="1229">
        <f>41017/(100)</f>
        <v>410.17</v>
      </c>
      <c r="F703" s="1229">
        <f t="shared" si="119"/>
        <v>327.57</v>
      </c>
      <c r="G703" s="1220">
        <f t="shared" si="120"/>
        <v>410.17</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A68B8D-47D8-469E-BD5F-E79AE65D8F88}">
  <ds:schemaRefs>
    <ds:schemaRef ds:uri="http://schemas.microsoft.com/sharepoint/v3/contenttype/forms"/>
  </ds:schemaRefs>
</ds:datastoreItem>
</file>

<file path=customXml/itemProps2.xml><?xml version="1.0" encoding="utf-8"?>
<ds:datastoreItem xmlns:ds="http://schemas.openxmlformats.org/officeDocument/2006/customXml" ds:itemID="{6D5628BC-F8BC-4386-9274-5371A89BFCAF}">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CD479E07-3223-4FBC-B5FF-9D238D3C78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TM00587582</Template>
  <Application>Microsoft Excel</Application>
  <DocSecurity>0</DocSecurity>
  <ScaleCrop>false</ScaleCrop>
  <HeadingPairs>
    <vt:vector size="2" baseType="variant">
      <vt:variant>
        <vt:lpstr>Worksheets</vt:lpstr>
      </vt:variant>
      <vt:variant>
        <vt:i4>9</vt:i4>
      </vt:variant>
    </vt:vector>
  </HeadingPairs>
  <TitlesOfParts>
    <vt:vector size="9" baseType="lpstr">
      <vt:lpstr>ICICI</vt:lpstr>
      <vt:lpstr>SBI</vt:lpstr>
      <vt:lpstr>HDFC</vt:lpstr>
      <vt:lpstr>Federal</vt:lpstr>
      <vt:lpstr>Axis</vt:lpstr>
      <vt:lpstr>Yes</vt:lpstr>
      <vt:lpstr>Outflow</vt:lpstr>
      <vt:lpstr>Inflow</vt:lpstr>
      <vt:lpstr>CCC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2024-10-07T06:37:31Z</dcterms:created>
  <dcterms:modified xsi:type="dcterms:W3CDTF">2025-10-05T14:16:37Z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