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Oriana\Project D\Financials till 25\"/>
    </mc:Choice>
  </mc:AlternateContent>
  <xr:revisionPtr revIDLastSave="0" documentId="13_ncr:1_{B9D88337-A4FB-4636-B68D-ABD5056F8B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&amp;L" sheetId="16" r:id="rId1"/>
    <sheet name="Working Capital" sheetId="17" r:id="rId2"/>
    <sheet name="Ageing" sheetId="14" r:id="rId3"/>
    <sheet name="Compliance" sheetId="15" r:id="rId4"/>
    <sheet name="EMD" sheetId="13" r:id="rId5"/>
    <sheet name="Funds" sheetId="12" r:id="rId6"/>
  </sheets>
  <definedNames>
    <definedName name="_xlnm._FilterDatabase" localSheetId="0" hidden="1">'P&amp;L'!$A$1:$O$49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6" l="1"/>
  <c r="M31" i="16"/>
  <c r="L31" i="16"/>
  <c r="K31" i="16"/>
  <c r="J31" i="16"/>
  <c r="I31" i="16"/>
  <c r="N12" i="16"/>
  <c r="M12" i="16"/>
  <c r="L12" i="16"/>
  <c r="K12" i="16"/>
  <c r="J11" i="16"/>
  <c r="I11" i="16"/>
  <c r="I9" i="16"/>
  <c r="O16" i="16"/>
  <c r="O8" i="16"/>
  <c r="O6" i="16"/>
  <c r="O48" i="16"/>
  <c r="O47" i="16"/>
  <c r="O46" i="16"/>
  <c r="O44" i="16"/>
  <c r="O42" i="16"/>
  <c r="O38" i="16"/>
  <c r="O37" i="16"/>
  <c r="O36" i="16"/>
  <c r="O35" i="16"/>
  <c r="O34" i="16"/>
  <c r="O33" i="16"/>
  <c r="O32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5" i="16"/>
  <c r="O14" i="16"/>
  <c r="O13" i="16"/>
  <c r="O10" i="16"/>
  <c r="O7" i="16"/>
  <c r="O5" i="16"/>
  <c r="O2" i="16"/>
  <c r="H51" i="16"/>
  <c r="H44" i="16"/>
  <c r="I44" i="16"/>
  <c r="J44" i="16"/>
  <c r="K44" i="16"/>
  <c r="L44" i="16"/>
  <c r="M44" i="16"/>
  <c r="N44" i="16"/>
  <c r="H43" i="16"/>
  <c r="H42" i="16"/>
  <c r="I42" i="16"/>
  <c r="J42" i="16"/>
  <c r="K42" i="16"/>
  <c r="L42" i="16"/>
  <c r="M42" i="16"/>
  <c r="N42" i="16"/>
  <c r="H41" i="16"/>
  <c r="H40" i="16"/>
  <c r="H39" i="16"/>
  <c r="H30" i="16"/>
  <c r="I30" i="16"/>
  <c r="H27" i="16"/>
  <c r="I27" i="16"/>
  <c r="J27" i="16"/>
  <c r="K27" i="16"/>
  <c r="L27" i="16"/>
  <c r="M27" i="16"/>
  <c r="N27" i="16"/>
  <c r="H16" i="16"/>
  <c r="I16" i="16"/>
  <c r="J16" i="16"/>
  <c r="K16" i="16"/>
  <c r="L16" i="16"/>
  <c r="M16" i="16"/>
  <c r="N16" i="16"/>
  <c r="N8" i="16"/>
  <c r="M8" i="16"/>
  <c r="L8" i="16"/>
  <c r="K8" i="16"/>
  <c r="J8" i="16"/>
  <c r="I8" i="16"/>
  <c r="I48" i="16"/>
  <c r="J48" i="16" s="1"/>
  <c r="K48" i="16" s="1"/>
  <c r="L48" i="16" s="1"/>
  <c r="M48" i="16" s="1"/>
  <c r="N48" i="16" s="1"/>
  <c r="I47" i="16"/>
  <c r="J47" i="16" s="1"/>
  <c r="K47" i="16" s="1"/>
  <c r="L47" i="16" s="1"/>
  <c r="M47" i="16" s="1"/>
  <c r="N47" i="16" s="1"/>
  <c r="I46" i="16"/>
  <c r="J46" i="16" s="1"/>
  <c r="K46" i="16" s="1"/>
  <c r="L46" i="16" s="1"/>
  <c r="M46" i="16" s="1"/>
  <c r="N46" i="16" s="1"/>
  <c r="I38" i="16"/>
  <c r="J38" i="16" s="1"/>
  <c r="K38" i="16" s="1"/>
  <c r="L38" i="16" s="1"/>
  <c r="M38" i="16" s="1"/>
  <c r="N38" i="16" s="1"/>
  <c r="I37" i="16"/>
  <c r="J37" i="16" s="1"/>
  <c r="K37" i="16" s="1"/>
  <c r="L37" i="16" s="1"/>
  <c r="M37" i="16" s="1"/>
  <c r="N37" i="16" s="1"/>
  <c r="I36" i="16"/>
  <c r="J36" i="16" s="1"/>
  <c r="K36" i="16" s="1"/>
  <c r="L36" i="16" s="1"/>
  <c r="M36" i="16" s="1"/>
  <c r="N36" i="16" s="1"/>
  <c r="I35" i="16"/>
  <c r="J35" i="16" s="1"/>
  <c r="K35" i="16" s="1"/>
  <c r="L35" i="16" s="1"/>
  <c r="M35" i="16" s="1"/>
  <c r="N35" i="16" s="1"/>
  <c r="I34" i="16"/>
  <c r="J34" i="16" s="1"/>
  <c r="K34" i="16" s="1"/>
  <c r="L34" i="16" s="1"/>
  <c r="M34" i="16" s="1"/>
  <c r="N34" i="16" s="1"/>
  <c r="I33" i="16"/>
  <c r="J33" i="16" s="1"/>
  <c r="K33" i="16" s="1"/>
  <c r="L33" i="16" s="1"/>
  <c r="M33" i="16" s="1"/>
  <c r="N33" i="16" s="1"/>
  <c r="I32" i="16"/>
  <c r="J32" i="16" s="1"/>
  <c r="K32" i="16" s="1"/>
  <c r="L32" i="16" s="1"/>
  <c r="M32" i="16" s="1"/>
  <c r="N32" i="16" s="1"/>
  <c r="I29" i="16"/>
  <c r="J29" i="16" s="1"/>
  <c r="K29" i="16" s="1"/>
  <c r="L29" i="16" s="1"/>
  <c r="M29" i="16" s="1"/>
  <c r="N29" i="16" s="1"/>
  <c r="I28" i="16"/>
  <c r="J28" i="16" s="1"/>
  <c r="K28" i="16" s="1"/>
  <c r="L28" i="16" s="1"/>
  <c r="M28" i="16" s="1"/>
  <c r="N28" i="16" s="1"/>
  <c r="I26" i="16"/>
  <c r="J26" i="16" s="1"/>
  <c r="K26" i="16" s="1"/>
  <c r="L26" i="16" s="1"/>
  <c r="M26" i="16" s="1"/>
  <c r="N26" i="16" s="1"/>
  <c r="I25" i="16"/>
  <c r="J25" i="16" s="1"/>
  <c r="K25" i="16" s="1"/>
  <c r="L25" i="16" s="1"/>
  <c r="M25" i="16" s="1"/>
  <c r="N25" i="16" s="1"/>
  <c r="I24" i="16"/>
  <c r="J24" i="16" s="1"/>
  <c r="K24" i="16" s="1"/>
  <c r="L24" i="16" s="1"/>
  <c r="M24" i="16" s="1"/>
  <c r="N24" i="16" s="1"/>
  <c r="I23" i="16"/>
  <c r="J23" i="16" s="1"/>
  <c r="K23" i="16" s="1"/>
  <c r="L23" i="16" s="1"/>
  <c r="M23" i="16" s="1"/>
  <c r="N23" i="16" s="1"/>
  <c r="I22" i="16"/>
  <c r="J22" i="16" s="1"/>
  <c r="K22" i="16" s="1"/>
  <c r="L22" i="16" s="1"/>
  <c r="M22" i="16" s="1"/>
  <c r="N22" i="16" s="1"/>
  <c r="I21" i="16"/>
  <c r="J21" i="16" s="1"/>
  <c r="K21" i="16" s="1"/>
  <c r="L21" i="16" s="1"/>
  <c r="M21" i="16" s="1"/>
  <c r="N21" i="16" s="1"/>
  <c r="I20" i="16"/>
  <c r="J20" i="16" s="1"/>
  <c r="K20" i="16" s="1"/>
  <c r="L20" i="16" s="1"/>
  <c r="M20" i="16" s="1"/>
  <c r="N20" i="16" s="1"/>
  <c r="I19" i="16"/>
  <c r="J19" i="16" s="1"/>
  <c r="K19" i="16" s="1"/>
  <c r="L19" i="16" s="1"/>
  <c r="M19" i="16" s="1"/>
  <c r="N19" i="16" s="1"/>
  <c r="I18" i="16"/>
  <c r="J18" i="16" s="1"/>
  <c r="K18" i="16" s="1"/>
  <c r="L18" i="16" s="1"/>
  <c r="M18" i="16" s="1"/>
  <c r="N18" i="16" s="1"/>
  <c r="I17" i="16"/>
  <c r="J17" i="16" s="1"/>
  <c r="K17" i="16" s="1"/>
  <c r="L17" i="16" s="1"/>
  <c r="M17" i="16" s="1"/>
  <c r="N17" i="16" s="1"/>
  <c r="I15" i="16"/>
  <c r="J15" i="16" s="1"/>
  <c r="K15" i="16" s="1"/>
  <c r="L15" i="16" s="1"/>
  <c r="M15" i="16" s="1"/>
  <c r="N15" i="16" s="1"/>
  <c r="I14" i="16"/>
  <c r="J14" i="16" s="1"/>
  <c r="K14" i="16" s="1"/>
  <c r="L14" i="16" s="1"/>
  <c r="M14" i="16" s="1"/>
  <c r="N14" i="16" s="1"/>
  <c r="I13" i="16"/>
  <c r="J13" i="16" s="1"/>
  <c r="K13" i="16" s="1"/>
  <c r="L13" i="16" s="1"/>
  <c r="M13" i="16" s="1"/>
  <c r="N13" i="16" s="1"/>
  <c r="I12" i="16"/>
  <c r="J12" i="16" s="1"/>
  <c r="J9" i="16"/>
  <c r="I10" i="16"/>
  <c r="J10" i="16" s="1"/>
  <c r="K10" i="16" s="1"/>
  <c r="L10" i="16" s="1"/>
  <c r="M10" i="16" s="1"/>
  <c r="N10" i="16" s="1"/>
  <c r="I7" i="16"/>
  <c r="J7" i="16" s="1"/>
  <c r="K7" i="16" s="1"/>
  <c r="L7" i="16" s="1"/>
  <c r="M7" i="16" s="1"/>
  <c r="N7" i="16" s="1"/>
  <c r="I6" i="16"/>
  <c r="J6" i="16" s="1"/>
  <c r="K6" i="16" s="1"/>
  <c r="L6" i="16" s="1"/>
  <c r="M6" i="16" s="1"/>
  <c r="N6" i="16" s="1"/>
  <c r="I5" i="16"/>
  <c r="J5" i="16" s="1"/>
  <c r="K5" i="16" s="1"/>
  <c r="L5" i="16" s="1"/>
  <c r="M5" i="16" s="1"/>
  <c r="N5" i="16" s="1"/>
  <c r="J2" i="16"/>
  <c r="K2" i="16" s="1"/>
  <c r="L2" i="16" s="1"/>
  <c r="M2" i="16" s="1"/>
  <c r="N2" i="16" s="1"/>
  <c r="I2" i="16"/>
  <c r="H31" i="16"/>
  <c r="H24" i="16"/>
  <c r="F11" i="16"/>
  <c r="F19" i="16"/>
  <c r="F28" i="16"/>
  <c r="G28" i="16"/>
  <c r="E28" i="16"/>
  <c r="D28" i="16"/>
  <c r="C28" i="16"/>
  <c r="B14" i="16"/>
  <c r="B12" i="16"/>
  <c r="E44" i="16"/>
  <c r="F44" i="16" s="1"/>
  <c r="G44" i="16" s="1"/>
  <c r="D44" i="16"/>
  <c r="C4" i="16"/>
  <c r="B4" i="16"/>
  <c r="E42" i="16"/>
  <c r="F42" i="16" s="1"/>
  <c r="G42" i="16" s="1"/>
  <c r="D42" i="16"/>
  <c r="D3" i="16"/>
  <c r="F12" i="16"/>
  <c r="G12" i="16" s="1"/>
  <c r="E11" i="16"/>
  <c r="G26" i="16"/>
  <c r="G25" i="16"/>
  <c r="G21" i="16"/>
  <c r="H28" i="16"/>
  <c r="H26" i="16"/>
  <c r="H25" i="16"/>
  <c r="H21" i="16"/>
  <c r="G10" i="16"/>
  <c r="H12" i="16"/>
  <c r="E13" i="16"/>
  <c r="F13" i="16" s="1"/>
  <c r="G13" i="16" s="1"/>
  <c r="H13" i="16" s="1"/>
  <c r="G11" i="16"/>
  <c r="F15" i="16"/>
  <c r="G15" i="16" s="1"/>
  <c r="H15" i="16" s="1"/>
  <c r="F33" i="16"/>
  <c r="F31" i="16"/>
  <c r="G31" i="16"/>
  <c r="G19" i="16"/>
  <c r="F18" i="16"/>
  <c r="G18" i="16" s="1"/>
  <c r="H18" i="16" s="1"/>
  <c r="F17" i="16"/>
  <c r="G17" i="16" s="1"/>
  <c r="H17" i="16" s="1"/>
  <c r="F14" i="16"/>
  <c r="G14" i="16" s="1"/>
  <c r="H14" i="16" s="1"/>
  <c r="H10" i="16"/>
  <c r="B13" i="16"/>
  <c r="B22" i="16"/>
  <c r="B17" i="16"/>
  <c r="E23" i="16"/>
  <c r="F23" i="16" s="1"/>
  <c r="G23" i="16" s="1"/>
  <c r="H23" i="16" s="1"/>
  <c r="E24" i="16"/>
  <c r="F24" i="16" s="1"/>
  <c r="G24" i="16" s="1"/>
  <c r="C15" i="16"/>
  <c r="J30" i="16" l="1"/>
  <c r="J39" i="16" s="1"/>
  <c r="I39" i="16"/>
  <c r="O12" i="16"/>
  <c r="J51" i="16"/>
  <c r="J40" i="16"/>
  <c r="K11" i="16"/>
  <c r="H11" i="16"/>
  <c r="H19" i="16"/>
  <c r="E3" i="16"/>
  <c r="D4" i="16"/>
  <c r="F9" i="16"/>
  <c r="E9" i="16"/>
  <c r="D9" i="16"/>
  <c r="C9" i="16"/>
  <c r="B9" i="16"/>
  <c r="F16" i="16"/>
  <c r="E16" i="16"/>
  <c r="D16" i="16"/>
  <c r="C16" i="16"/>
  <c r="G27" i="16"/>
  <c r="F27" i="16"/>
  <c r="E27" i="16"/>
  <c r="C27" i="16"/>
  <c r="B27" i="16"/>
  <c r="F30" i="16"/>
  <c r="E30" i="16"/>
  <c r="D30" i="16"/>
  <c r="C30" i="16"/>
  <c r="B30" i="16"/>
  <c r="B16" i="16"/>
  <c r="B7" i="16"/>
  <c r="I51" i="16" l="1"/>
  <c r="I40" i="16"/>
  <c r="K30" i="16"/>
  <c r="L11" i="16"/>
  <c r="K9" i="16"/>
  <c r="K39" i="16" s="1"/>
  <c r="J43" i="16"/>
  <c r="J41" i="16"/>
  <c r="F3" i="16"/>
  <c r="E4" i="16"/>
  <c r="F39" i="16"/>
  <c r="F51" i="16" s="1"/>
  <c r="E39" i="16"/>
  <c r="E51" i="16" s="1"/>
  <c r="C39" i="16"/>
  <c r="C51" i="16" s="1"/>
  <c r="B39" i="16"/>
  <c r="B8" i="16"/>
  <c r="G38" i="16"/>
  <c r="G37" i="16"/>
  <c r="G36" i="16"/>
  <c r="G35" i="16"/>
  <c r="G34" i="16"/>
  <c r="H34" i="16" s="1"/>
  <c r="G33" i="16"/>
  <c r="G32" i="16"/>
  <c r="G22" i="16"/>
  <c r="G20" i="16"/>
  <c r="H20" i="16" s="1"/>
  <c r="D9" i="14"/>
  <c r="D10" i="14"/>
  <c r="D11" i="14"/>
  <c r="D12" i="14"/>
  <c r="D13" i="14"/>
  <c r="D8" i="14"/>
  <c r="C5" i="12"/>
  <c r="C6" i="12"/>
  <c r="I12" i="12"/>
  <c r="I11" i="12"/>
  <c r="D8" i="12"/>
  <c r="F8" i="12"/>
  <c r="H8" i="12"/>
  <c r="I16" i="12"/>
  <c r="E5" i="12"/>
  <c r="H5" i="12"/>
  <c r="G5" i="12"/>
  <c r="F5" i="12"/>
  <c r="D5" i="12"/>
  <c r="H10" i="12"/>
  <c r="H13" i="12" s="1"/>
  <c r="I7" i="12"/>
  <c r="I4" i="12"/>
  <c r="I3" i="12"/>
  <c r="I5" i="12"/>
  <c r="C8" i="12"/>
  <c r="E6" i="12"/>
  <c r="E8" i="12" s="1"/>
  <c r="G6" i="12"/>
  <c r="G8" i="12" s="1"/>
  <c r="I6" i="12"/>
  <c r="I8" i="12" s="1"/>
  <c r="C10" i="12"/>
  <c r="C13" i="12" s="1"/>
  <c r="D10" i="12"/>
  <c r="D13" i="12" s="1"/>
  <c r="E10" i="12"/>
  <c r="E13" i="12" s="1"/>
  <c r="F10" i="12"/>
  <c r="F13" i="12" s="1"/>
  <c r="G10" i="12"/>
  <c r="G13" i="12" s="1"/>
  <c r="I10" i="12"/>
  <c r="I13" i="12" s="1"/>
  <c r="C14" i="12"/>
  <c r="C15" i="12" s="1"/>
  <c r="D14" i="12"/>
  <c r="D15" i="12" s="1"/>
  <c r="D9" i="12" s="1"/>
  <c r="E14" i="12"/>
  <c r="E15" i="12" s="1"/>
  <c r="E9" i="12" s="1"/>
  <c r="F14" i="12"/>
  <c r="F15" i="12" s="1"/>
  <c r="F9" i="12" s="1"/>
  <c r="G14" i="12"/>
  <c r="G15" i="12" s="1"/>
  <c r="G9" i="12" s="1"/>
  <c r="H14" i="12"/>
  <c r="H15" i="12" s="1"/>
  <c r="H9" i="12" s="1"/>
  <c r="I14" i="12"/>
  <c r="L30" i="16" l="1"/>
  <c r="I43" i="16"/>
  <c r="I41" i="16"/>
  <c r="K51" i="16"/>
  <c r="K40" i="16"/>
  <c r="M11" i="16"/>
  <c r="L9" i="16"/>
  <c r="L39" i="16" s="1"/>
  <c r="B40" i="16"/>
  <c r="B41" i="16" s="1"/>
  <c r="B51" i="16"/>
  <c r="G3" i="16"/>
  <c r="F4" i="16"/>
  <c r="H22" i="16"/>
  <c r="H32" i="16"/>
  <c r="H35" i="16"/>
  <c r="H36" i="16"/>
  <c r="H37" i="16"/>
  <c r="H38" i="16"/>
  <c r="B43" i="16"/>
  <c r="B45" i="16" s="1"/>
  <c r="B49" i="16"/>
  <c r="B50" i="16" s="1"/>
  <c r="H33" i="16"/>
  <c r="G30" i="16"/>
  <c r="G16" i="16"/>
  <c r="G9" i="16"/>
  <c r="G39" i="16"/>
  <c r="G51" i="16" s="1"/>
  <c r="C9" i="12"/>
  <c r="I9" i="12" s="1"/>
  <c r="I15" i="12"/>
  <c r="M30" i="16" l="1"/>
  <c r="L51" i="16"/>
  <c r="L40" i="16"/>
  <c r="N11" i="16"/>
  <c r="M9" i="16"/>
  <c r="M39" i="16" s="1"/>
  <c r="K43" i="16"/>
  <c r="K41" i="16"/>
  <c r="H3" i="16"/>
  <c r="G4" i="16"/>
  <c r="H9" i="16"/>
  <c r="H45" i="16" l="1"/>
  <c r="H49" i="16" s="1"/>
  <c r="H50" i="16" s="1"/>
  <c r="I3" i="16"/>
  <c r="N30" i="16"/>
  <c r="O30" i="16" s="1"/>
  <c r="O31" i="16"/>
  <c r="M51" i="16"/>
  <c r="M40" i="16"/>
  <c r="N9" i="16"/>
  <c r="N39" i="16" s="1"/>
  <c r="O11" i="16"/>
  <c r="O9" i="16" s="1"/>
  <c r="L43" i="16"/>
  <c r="L41" i="16"/>
  <c r="H4" i="16"/>
  <c r="I4" i="16" s="1"/>
  <c r="J4" i="16" s="1"/>
  <c r="K4" i="16" s="1"/>
  <c r="L4" i="16" s="1"/>
  <c r="M4" i="16" s="1"/>
  <c r="N4" i="16" s="1"/>
  <c r="J3" i="16" l="1"/>
  <c r="I45" i="16"/>
  <c r="I49" i="16" s="1"/>
  <c r="I50" i="16" s="1"/>
  <c r="N51" i="16"/>
  <c r="N40" i="16"/>
  <c r="O39" i="16"/>
  <c r="M43" i="16"/>
  <c r="M41" i="16"/>
  <c r="C7" i="16"/>
  <c r="D7" i="16"/>
  <c r="K3" i="16" l="1"/>
  <c r="J45" i="16"/>
  <c r="J49" i="16" s="1"/>
  <c r="J50" i="16" s="1"/>
  <c r="O51" i="16"/>
  <c r="O40" i="16"/>
  <c r="N43" i="16"/>
  <c r="N41" i="16"/>
  <c r="D8" i="16"/>
  <c r="C8" i="16"/>
  <c r="C40" i="16"/>
  <c r="C41" i="16"/>
  <c r="C43" i="16"/>
  <c r="C45" i="16" s="1"/>
  <c r="C49" i="16" s="1"/>
  <c r="C50" i="16" s="1"/>
  <c r="L3" i="16" l="1"/>
  <c r="K45" i="16"/>
  <c r="K49" i="16" s="1"/>
  <c r="K50" i="16" s="1"/>
  <c r="O43" i="16"/>
  <c r="O41" i="16"/>
  <c r="E7" i="16"/>
  <c r="M3" i="16" l="1"/>
  <c r="L45" i="16"/>
  <c r="L49" i="16" s="1"/>
  <c r="L50" i="16" s="1"/>
  <c r="E8" i="16"/>
  <c r="E40" i="16"/>
  <c r="N3" i="16" l="1"/>
  <c r="M45" i="16"/>
  <c r="M49" i="16" s="1"/>
  <c r="M50" i="16" s="1"/>
  <c r="E41" i="16"/>
  <c r="E43" i="16"/>
  <c r="E45" i="16" s="1"/>
  <c r="E49" i="16" s="1"/>
  <c r="E50" i="16" s="1"/>
  <c r="N45" i="16" l="1"/>
  <c r="N49" i="16" s="1"/>
  <c r="N50" i="16" s="1"/>
  <c r="O3" i="16"/>
  <c r="F7" i="16"/>
  <c r="F40" i="16"/>
  <c r="F8" i="16"/>
  <c r="O4" i="16" l="1"/>
  <c r="O45" i="16"/>
  <c r="O49" i="16" s="1"/>
  <c r="O50" i="16" s="1"/>
  <c r="F41" i="16"/>
  <c r="F43" i="16"/>
  <c r="F45" i="16" s="1"/>
  <c r="F49" i="16" s="1"/>
  <c r="F50" i="16" s="1"/>
  <c r="G7" i="16" l="1"/>
  <c r="G8" i="16"/>
  <c r="G40" i="16"/>
  <c r="G41" i="16" l="1"/>
  <c r="G43" i="16"/>
  <c r="G45" i="16" s="1"/>
  <c r="G49" i="16" s="1"/>
  <c r="G50" i="16" s="1"/>
  <c r="H7" i="16" l="1"/>
  <c r="H8" i="16" l="1"/>
  <c r="D27" i="16" l="1"/>
  <c r="D39" i="16"/>
  <c r="D51" i="16" s="1"/>
  <c r="D40" i="16"/>
  <c r="D43" i="16" s="1"/>
  <c r="D45" i="16" s="1"/>
  <c r="D49" i="16" s="1"/>
  <c r="D50" i="16" s="1"/>
  <c r="D41" i="16"/>
</calcChain>
</file>

<file path=xl/sharedStrings.xml><?xml version="1.0" encoding="utf-8"?>
<sst xmlns="http://schemas.openxmlformats.org/spreadsheetml/2006/main" count="231" uniqueCount="171">
  <si>
    <t>DSO</t>
  </si>
  <si>
    <t>DPO</t>
  </si>
  <si>
    <t>DIO</t>
  </si>
  <si>
    <t>EBITDA</t>
  </si>
  <si>
    <t>Total</t>
  </si>
  <si>
    <t>Inventory</t>
  </si>
  <si>
    <t>YTD</t>
  </si>
  <si>
    <t>KPI</t>
  </si>
  <si>
    <t>Cash Conversion cycle</t>
  </si>
  <si>
    <t>CCC</t>
  </si>
  <si>
    <t>Heigh</t>
  </si>
  <si>
    <t>Low</t>
  </si>
  <si>
    <t>Working capital locked</t>
  </si>
  <si>
    <t xml:space="preserve">Excellent liquidity </t>
  </si>
  <si>
    <t>unhealthy cycle</t>
  </si>
  <si>
    <t>Slow-moving</t>
  </si>
  <si>
    <t>efficient inventory turnover</t>
  </si>
  <si>
    <t>90-150</t>
  </si>
  <si>
    <t>60-90</t>
  </si>
  <si>
    <t>30-90</t>
  </si>
  <si>
    <t>60-120</t>
  </si>
  <si>
    <t>Tender/Project</t>
  </si>
  <si>
    <t>Other cost</t>
  </si>
  <si>
    <t>TGGENCO​</t>
  </si>
  <si>
    <t>RVUNL​</t>
  </si>
  <si>
    <t>KPTCL​</t>
  </si>
  <si>
    <t>TNGECL​</t>
  </si>
  <si>
    <t>NVVN​</t>
  </si>
  <si>
    <t xml:space="preserve">NVVN </t>
  </si>
  <si>
    <t>Application Date</t>
  </si>
  <si>
    <t>Expiry Date</t>
  </si>
  <si>
    <t>Currently the project is in process of signing of BESPA. After that only, we'd be able to claim the EMD from department</t>
  </si>
  <si>
    <t>Could be returned by mid august 2025.</t>
  </si>
  <si>
    <t>Could be returned by end of august 2025.</t>
  </si>
  <si>
    <t>Could be return before 10/08/2025</t>
  </si>
  <si>
    <t>Not Refunded</t>
  </si>
  <si>
    <t>EMD Summary (Bess)</t>
  </si>
  <si>
    <t>Working Capital Review</t>
  </si>
  <si>
    <t>Receivables</t>
  </si>
  <si>
    <t>Payables</t>
  </si>
  <si>
    <t>Healthy cycle</t>
  </si>
  <si>
    <t>ROC Filings</t>
  </si>
  <si>
    <t>180+ days</t>
  </si>
  <si>
    <r>
      <rPr>
        <b/>
        <sz val="12"/>
        <color rgb="FFFFFFFF"/>
        <rFont val="Aptos"/>
        <family val="2"/>
      </rPr>
      <t>Status</t>
    </r>
  </si>
  <si>
    <r>
      <rPr>
        <b/>
        <sz val="12"/>
        <color rgb="FFFFFFFF"/>
        <rFont val="Aptos"/>
        <family val="2"/>
      </rPr>
      <t>Remarks</t>
    </r>
  </si>
  <si>
    <r>
      <rPr>
        <b/>
        <sz val="12"/>
        <color rgb="FFFFFFFF"/>
        <rFont val="Aptos"/>
        <family val="2"/>
      </rPr>
      <t>Amount</t>
    </r>
  </si>
  <si>
    <r>
      <rPr>
        <b/>
        <sz val="12"/>
        <color rgb="FFFFFFFF"/>
        <rFont val="Aptos"/>
        <family val="2"/>
      </rPr>
      <t>Age Bucket</t>
    </r>
  </si>
  <si>
    <r>
      <rPr>
        <b/>
        <sz val="12"/>
        <color rgb="FFFFFFFF"/>
        <rFont val="Aptos"/>
        <family val="2"/>
      </rPr>
      <t>% of Total</t>
    </r>
  </si>
  <si>
    <r>
      <rPr>
        <sz val="12"/>
        <rFont val="Aptos"/>
        <family val="2"/>
      </rPr>
      <t>0–30 days</t>
    </r>
  </si>
  <si>
    <r>
      <rPr>
        <sz val="12"/>
        <rFont val="Aptos"/>
        <family val="2"/>
      </rPr>
      <t>31–60 days</t>
    </r>
  </si>
  <si>
    <r>
      <rPr>
        <sz val="12"/>
        <rFont val="Aptos"/>
        <family val="2"/>
      </rPr>
      <t>61–90 days</t>
    </r>
  </si>
  <si>
    <r>
      <rPr>
        <sz val="12"/>
        <rFont val="Aptos"/>
        <family val="2"/>
      </rPr>
      <t>91–180 days</t>
    </r>
  </si>
  <si>
    <t>SBI</t>
  </si>
  <si>
    <t>Compliance Area</t>
  </si>
  <si>
    <t>Forms</t>
  </si>
  <si>
    <t>GST</t>
  </si>
  <si>
    <t>GSTR1</t>
  </si>
  <si>
    <t>GSTR3b</t>
  </si>
  <si>
    <t>ESIC/PF</t>
  </si>
  <si>
    <t>On time</t>
  </si>
  <si>
    <t>TDS/TCS Returns</t>
  </si>
  <si>
    <t>26Q,24Q,27Q</t>
  </si>
  <si>
    <t>BG</t>
  </si>
  <si>
    <t>LC</t>
  </si>
  <si>
    <t>Ratio</t>
  </si>
  <si>
    <t>FB</t>
  </si>
  <si>
    <t>NFB</t>
  </si>
  <si>
    <t>Sanctioned</t>
  </si>
  <si>
    <t xml:space="preserve">Federal </t>
  </si>
  <si>
    <t xml:space="preserve">Yes </t>
  </si>
  <si>
    <t xml:space="preserve">Axis  </t>
  </si>
  <si>
    <t xml:space="preserve">HDFC  </t>
  </si>
  <si>
    <t xml:space="preserve">ICICI </t>
  </si>
  <si>
    <t>WCDL</t>
  </si>
  <si>
    <t>CC</t>
  </si>
  <si>
    <t>FB Limt disbursed</t>
  </si>
  <si>
    <t>FB utilised</t>
  </si>
  <si>
    <t>NFB utilised</t>
  </si>
  <si>
    <t>NFB Limit disbursed</t>
  </si>
  <si>
    <t>Limit Available</t>
  </si>
  <si>
    <t>3/45 delayed</t>
  </si>
  <si>
    <t>5/48 delayed</t>
  </si>
  <si>
    <t>1/51 delayed</t>
  </si>
  <si>
    <t>1/45 delayed</t>
  </si>
  <si>
    <t>1/48 delayed</t>
  </si>
  <si>
    <t>Delay in collections</t>
  </si>
  <si>
    <t>Total sanctioned</t>
  </si>
  <si>
    <t>Total Disbursed</t>
  </si>
  <si>
    <t>Total limit available</t>
  </si>
  <si>
    <t>Total utilisation</t>
  </si>
  <si>
    <t>Type</t>
  </si>
  <si>
    <t>Statement of Profit and Loss</t>
  </si>
  <si>
    <t>Other Income</t>
  </si>
  <si>
    <t>Expenses</t>
  </si>
  <si>
    <t>Cost of Goods Sold</t>
  </si>
  <si>
    <t>Gross profit</t>
  </si>
  <si>
    <t>GP Margin</t>
  </si>
  <si>
    <t>Operating expense</t>
  </si>
  <si>
    <t>Vehicle Rental Expenses (Site)</t>
  </si>
  <si>
    <t>Site Development for Solar Project</t>
  </si>
  <si>
    <t>Freight Charges</t>
  </si>
  <si>
    <t>Packing Charges</t>
  </si>
  <si>
    <t>Site-Electricity Expenses</t>
  </si>
  <si>
    <t>Rent at Site</t>
  </si>
  <si>
    <t>Admin &amp; Overheads</t>
  </si>
  <si>
    <t>Conveyance Expenses</t>
  </si>
  <si>
    <t>Insurance Expenses</t>
  </si>
  <si>
    <t>Legal &amp; Professional Expense</t>
  </si>
  <si>
    <t>Office Expense</t>
  </si>
  <si>
    <t>Rent &amp; Establishment Expense</t>
  </si>
  <si>
    <t>Tour &amp; Travels</t>
  </si>
  <si>
    <t>Tour &amp; Travelling Expenses</t>
  </si>
  <si>
    <t>Repair &amp; Maintenance</t>
  </si>
  <si>
    <t>AMC Charges Software Exp</t>
  </si>
  <si>
    <t>Sitting Fees</t>
  </si>
  <si>
    <t>Employee Cost</t>
  </si>
  <si>
    <t>Employee Benefits Expense</t>
  </si>
  <si>
    <t>Intern Stipend</t>
  </si>
  <si>
    <t>Commission Charges</t>
  </si>
  <si>
    <t>Demat Charges Other</t>
  </si>
  <si>
    <t>Business Promotions Expenses</t>
  </si>
  <si>
    <t>Business Promotion</t>
  </si>
  <si>
    <t>Liquidated Damage (Exp)</t>
  </si>
  <si>
    <t>Late Fees Under Statutory Dues</t>
  </si>
  <si>
    <t>DONATION</t>
  </si>
  <si>
    <t>Other Expense</t>
  </si>
  <si>
    <t>Total Expense</t>
  </si>
  <si>
    <t>EBITDA Margin</t>
  </si>
  <si>
    <t>Depreciation</t>
  </si>
  <si>
    <t>EBIT</t>
  </si>
  <si>
    <t>Finance Costs</t>
  </si>
  <si>
    <t>Tax Expense</t>
  </si>
  <si>
    <t>Current Tax</t>
  </si>
  <si>
    <t>Deffered tax</t>
  </si>
  <si>
    <t>Total payables</t>
  </si>
  <si>
    <t>Total receivable</t>
  </si>
  <si>
    <t>Rate</t>
  </si>
  <si>
    <t>Component</t>
  </si>
  <si>
    <t>Value</t>
  </si>
  <si>
    <t>EMD Amount</t>
  </si>
  <si>
    <t>Revenue</t>
  </si>
  <si>
    <t>March-25</t>
  </si>
  <si>
    <t>April-25</t>
  </si>
  <si>
    <t>May-25</t>
  </si>
  <si>
    <t>June-25</t>
  </si>
  <si>
    <t>July-25</t>
  </si>
  <si>
    <t>Aug-25</t>
  </si>
  <si>
    <t>Oct-25</t>
  </si>
  <si>
    <t>Nov-25</t>
  </si>
  <si>
    <t>Dec-25</t>
  </si>
  <si>
    <t>March-26</t>
  </si>
  <si>
    <t>Feb-26</t>
  </si>
  <si>
    <t>Jan-26</t>
  </si>
  <si>
    <t>PAT</t>
  </si>
  <si>
    <t>PBT</t>
  </si>
  <si>
    <t>Industry Std.</t>
  </si>
  <si>
    <t>Strong  in collections</t>
  </si>
  <si>
    <t>Sub type</t>
  </si>
  <si>
    <t>Payable Ageing</t>
  </si>
  <si>
    <t>Receivables Ageing</t>
  </si>
  <si>
    <t>Average Inventory</t>
  </si>
  <si>
    <t>Average receivable</t>
  </si>
  <si>
    <t>Average payables</t>
  </si>
  <si>
    <t>COGS</t>
  </si>
  <si>
    <t>Days</t>
  </si>
  <si>
    <t>Net sales</t>
  </si>
  <si>
    <t>Net purchase</t>
  </si>
  <si>
    <t>Sep-25</t>
  </si>
  <si>
    <t>Total Income</t>
  </si>
  <si>
    <t>Np margin</t>
  </si>
  <si>
    <t>Cost to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</si>
</sst>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  <numFmt numFmtId="165" formatCode="[$₹-4009]&quot; &quot;#,##0"/>
    <numFmt numFmtId="166" formatCode="&quot;₹&quot;\ #,##0.00"/>
  </numFmts>
  <fonts count="2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Aptos"/>
      <family val="2"/>
    </font>
    <font>
      <sz val="12"/>
      <name val="Aptos"/>
      <family val="2"/>
    </font>
    <font>
      <b/>
      <sz val="12"/>
      <name val="Aptos"/>
      <family val="2"/>
    </font>
    <font>
      <b/>
      <sz val="12"/>
      <color rgb="FFFFFFFF"/>
      <name val="Aptos"/>
      <family val="2"/>
    </font>
    <font>
      <b/>
      <sz val="12"/>
      <color theme="1"/>
      <name val="Aptos"/>
      <family val="2"/>
    </font>
    <font>
      <sz val="12"/>
      <color theme="1"/>
      <name val="Aptos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sz val="14"/>
      <name val="Arial"/>
      <family val="2"/>
    </font>
    <font>
      <b/>
      <sz val="1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4F80BC"/>
      </patternFill>
    </fill>
    <fill>
      <patternFill patternType="solid">
        <fgColor rgb="FFD0D8E8"/>
      </patternFill>
    </fill>
    <fill>
      <patternFill patternType="solid">
        <fgColor rgb="FFE9EDF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4"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10" fontId="8" fillId="3" borderId="1" xfId="0" applyNumberFormat="1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/>
    </xf>
    <xf numFmtId="0" fontId="9" fillId="0" borderId="0" xfId="0" applyFont="1" applyAlignment="1">
      <alignment vertical="top" wrapText="1"/>
    </xf>
    <xf numFmtId="0" fontId="13" fillId="0" borderId="10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9" fillId="3" borderId="1" xfId="0" applyFont="1" applyFill="1" applyBorder="1" applyAlignment="1">
      <alignment vertical="top"/>
    </xf>
    <xf numFmtId="0" fontId="9" fillId="3" borderId="0" xfId="0" applyFont="1" applyFill="1" applyAlignment="1">
      <alignment vertical="top"/>
    </xf>
    <xf numFmtId="43" fontId="1" fillId="0" borderId="3" xfId="1" applyFont="1" applyFill="1" applyBorder="1" applyAlignment="1">
      <alignment vertical="top"/>
    </xf>
    <xf numFmtId="43" fontId="0" fillId="0" borderId="3" xfId="1" applyFont="1" applyBorder="1" applyAlignment="1"/>
    <xf numFmtId="43" fontId="1" fillId="5" borderId="3" xfId="1" applyFont="1" applyFill="1" applyBorder="1" applyAlignment="1">
      <alignment vertical="top"/>
    </xf>
    <xf numFmtId="2" fontId="0" fillId="0" borderId="0" xfId="0" applyNumberFormat="1" applyAlignment="1">
      <alignment vertical="top"/>
    </xf>
    <xf numFmtId="43" fontId="15" fillId="0" borderId="3" xfId="1" applyFont="1" applyBorder="1" applyAlignment="1"/>
    <xf numFmtId="43" fontId="0" fillId="0" borderId="3" xfId="1" applyFont="1" applyBorder="1"/>
    <xf numFmtId="43" fontId="0" fillId="6" borderId="3" xfId="1" applyFont="1" applyFill="1" applyBorder="1" applyAlignment="1"/>
    <xf numFmtId="43" fontId="3" fillId="0" borderId="3" xfId="1" applyFont="1" applyBorder="1" applyAlignment="1"/>
    <xf numFmtId="0" fontId="8" fillId="3" borderId="1" xfId="0" applyFont="1" applyFill="1" applyBorder="1" applyAlignment="1">
      <alignment vertical="top"/>
    </xf>
    <xf numFmtId="0" fontId="11" fillId="2" borderId="7" xfId="0" applyFont="1" applyFill="1" applyBorder="1" applyAlignment="1">
      <alignment vertical="top"/>
    </xf>
    <xf numFmtId="0" fontId="10" fillId="2" borderId="8" xfId="0" applyFont="1" applyFill="1" applyBorder="1" applyAlignment="1">
      <alignment vertical="top"/>
    </xf>
    <xf numFmtId="0" fontId="12" fillId="0" borderId="8" xfId="0" applyFont="1" applyBorder="1" applyAlignment="1">
      <alignment horizontal="left" vertical="top"/>
    </xf>
    <xf numFmtId="0" fontId="10" fillId="2" borderId="11" xfId="0" applyFont="1" applyFill="1" applyBorder="1" applyAlignment="1">
      <alignment vertical="top"/>
    </xf>
    <xf numFmtId="0" fontId="13" fillId="0" borderId="4" xfId="0" applyFont="1" applyBorder="1" applyAlignment="1">
      <alignment horizontal="left" vertical="top"/>
    </xf>
    <xf numFmtId="165" fontId="8" fillId="0" borderId="3" xfId="0" applyNumberFormat="1" applyFont="1" applyBorder="1" applyAlignment="1">
      <alignment horizontal="left" vertical="top"/>
    </xf>
    <xf numFmtId="14" fontId="13" fillId="0" borderId="3" xfId="0" applyNumberFormat="1" applyFont="1" applyBorder="1" applyAlignment="1">
      <alignment vertical="center"/>
    </xf>
    <xf numFmtId="14" fontId="13" fillId="0" borderId="3" xfId="0" applyNumberFormat="1" applyFont="1" applyBorder="1" applyAlignment="1">
      <alignment horizontal="left" vertical="center"/>
    </xf>
    <xf numFmtId="0" fontId="8" fillId="3" borderId="3" xfId="0" applyFont="1" applyFill="1" applyBorder="1" applyAlignment="1">
      <alignment vertical="top"/>
    </xf>
    <xf numFmtId="0" fontId="13" fillId="0" borderId="5" xfId="0" applyFont="1" applyBorder="1" applyAlignment="1">
      <alignment horizontal="left" vertical="top"/>
    </xf>
    <xf numFmtId="165" fontId="8" fillId="0" borderId="6" xfId="0" applyNumberFormat="1" applyFont="1" applyBorder="1" applyAlignment="1">
      <alignment horizontal="left" vertical="top"/>
    </xf>
    <xf numFmtId="14" fontId="13" fillId="0" borderId="6" xfId="0" applyNumberFormat="1" applyFont="1" applyBorder="1" applyAlignment="1">
      <alignment vertical="center"/>
    </xf>
    <xf numFmtId="14" fontId="13" fillId="0" borderId="6" xfId="0" applyNumberFormat="1" applyFont="1" applyBorder="1" applyAlignment="1">
      <alignment horizontal="left" vertical="center"/>
    </xf>
    <xf numFmtId="0" fontId="8" fillId="3" borderId="6" xfId="0" applyFont="1" applyFill="1" applyBorder="1" applyAlignment="1">
      <alignment vertical="top"/>
    </xf>
    <xf numFmtId="9" fontId="8" fillId="3" borderId="1" xfId="0" applyNumberFormat="1" applyFont="1" applyFill="1" applyBorder="1" applyAlignment="1">
      <alignment vertical="top"/>
    </xf>
    <xf numFmtId="0" fontId="8" fillId="4" borderId="1" xfId="0" applyFont="1" applyFill="1" applyBorder="1" applyAlignment="1">
      <alignment vertical="top"/>
    </xf>
    <xf numFmtId="9" fontId="8" fillId="3" borderId="0" xfId="0" applyNumberFormat="1" applyFont="1" applyFill="1" applyAlignment="1">
      <alignment vertical="top"/>
    </xf>
    <xf numFmtId="0" fontId="10" fillId="0" borderId="0" xfId="0" applyFont="1" applyAlignment="1">
      <alignment vertical="top"/>
    </xf>
    <xf numFmtId="43" fontId="7" fillId="0" borderId="3" xfId="1" applyFont="1" applyBorder="1" applyAlignment="1"/>
    <xf numFmtId="43" fontId="5" fillId="0" borderId="3" xfId="1" applyFont="1" applyBorder="1" applyAlignment="1"/>
    <xf numFmtId="0" fontId="6" fillId="5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Fill="1" applyAlignment="1">
      <alignment vertical="top"/>
    </xf>
    <xf numFmtId="164" fontId="16" fillId="0" borderId="0" xfId="1" applyNumberFormat="1" applyFont="1" applyAlignment="1">
      <alignment horizontal="right" vertical="top"/>
    </xf>
    <xf numFmtId="164" fontId="3" fillId="0" borderId="0" xfId="1" applyNumberFormat="1" applyFont="1" applyAlignment="1">
      <alignment vertical="top"/>
    </xf>
    <xf numFmtId="0" fontId="3" fillId="13" borderId="2" xfId="0" applyFont="1" applyFill="1" applyBorder="1" applyAlignment="1">
      <alignment horizontal="left" vertical="top"/>
    </xf>
    <xf numFmtId="164" fontId="3" fillId="13" borderId="2" xfId="1" applyNumberFormat="1" applyFont="1" applyFill="1" applyBorder="1" applyAlignment="1">
      <alignment vertical="top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horizontal="left" vertical="top"/>
    </xf>
    <xf numFmtId="49" fontId="18" fillId="0" borderId="0" xfId="0" applyNumberFormat="1" applyFont="1" applyAlignment="1">
      <alignment horizontal="left" vertical="top" wrapText="1"/>
    </xf>
    <xf numFmtId="164" fontId="18" fillId="0" borderId="0" xfId="1" applyNumberFormat="1" applyFont="1" applyAlignment="1">
      <alignment horizontal="right" vertical="top" wrapText="1"/>
    </xf>
    <xf numFmtId="164" fontId="0" fillId="0" borderId="0" xfId="1" applyNumberFormat="1" applyFont="1" applyAlignment="1">
      <alignment horizontal="left" vertical="top"/>
    </xf>
    <xf numFmtId="49" fontId="19" fillId="0" borderId="0" xfId="0" applyNumberFormat="1" applyFont="1" applyAlignment="1">
      <alignment horizontal="left" vertical="top" wrapText="1"/>
    </xf>
    <xf numFmtId="49" fontId="18" fillId="0" borderId="0" xfId="0" applyNumberFormat="1" applyFont="1" applyAlignment="1">
      <alignment vertical="top"/>
    </xf>
    <xf numFmtId="49" fontId="18" fillId="0" borderId="0" xfId="0" applyNumberFormat="1" applyFont="1" applyAlignment="1">
      <alignment horizontal="left"/>
    </xf>
    <xf numFmtId="49" fontId="18" fillId="0" borderId="0" xfId="0" applyNumberFormat="1" applyFont="1"/>
    <xf numFmtId="164" fontId="17" fillId="0" borderId="0" xfId="1" applyNumberFormat="1" applyFont="1" applyAlignment="1">
      <alignment horizontal="right" vertical="top" wrapText="1"/>
    </xf>
    <xf numFmtId="49" fontId="19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49" fontId="19" fillId="0" borderId="0" xfId="0" applyNumberFormat="1" applyFont="1"/>
    <xf numFmtId="164" fontId="3" fillId="0" borderId="0" xfId="0" applyNumberFormat="1" applyFont="1" applyAlignment="1">
      <alignment vertical="top"/>
    </xf>
    <xf numFmtId="10" fontId="3" fillId="0" borderId="0" xfId="0" applyNumberFormat="1" applyFont="1" applyAlignment="1">
      <alignment vertical="top"/>
    </xf>
    <xf numFmtId="43" fontId="18" fillId="0" borderId="0" xfId="1" applyFont="1" applyAlignment="1">
      <alignment horizontal="right" vertical="top" wrapText="1"/>
    </xf>
    <xf numFmtId="164" fontId="18" fillId="0" borderId="0" xfId="1" applyNumberFormat="1" applyFont="1" applyAlignment="1">
      <alignment horizontal="right" vertical="top"/>
    </xf>
    <xf numFmtId="0" fontId="6" fillId="0" borderId="3" xfId="0" applyFont="1" applyBorder="1" applyAlignment="1">
      <alignment horizontal="left" vertical="top"/>
    </xf>
    <xf numFmtId="10" fontId="6" fillId="0" borderId="3" xfId="1" applyNumberFormat="1" applyFont="1" applyBorder="1" applyAlignment="1">
      <alignment vertical="top"/>
    </xf>
    <xf numFmtId="0" fontId="6" fillId="12" borderId="3" xfId="0" applyFont="1" applyFill="1" applyBorder="1" applyAlignment="1">
      <alignment horizontal="left" vertical="top"/>
    </xf>
    <xf numFmtId="164" fontId="3" fillId="0" borderId="7" xfId="1" applyNumberFormat="1" applyFont="1" applyBorder="1"/>
    <xf numFmtId="0" fontId="6" fillId="0" borderId="8" xfId="0" applyFont="1" applyBorder="1" applyAlignment="1">
      <alignment horizontal="left" vertical="top"/>
    </xf>
    <xf numFmtId="43" fontId="6" fillId="0" borderId="8" xfId="1" applyFont="1" applyBorder="1" applyAlignment="1">
      <alignment vertical="top"/>
    </xf>
    <xf numFmtId="43" fontId="2" fillId="0" borderId="17" xfId="1" applyFont="1" applyBorder="1" applyAlignment="1">
      <alignment vertical="top"/>
    </xf>
    <xf numFmtId="164" fontId="3" fillId="0" borderId="4" xfId="1" applyNumberFormat="1" applyFont="1" applyBorder="1"/>
    <xf numFmtId="43" fontId="2" fillId="0" borderId="18" xfId="1" applyFont="1" applyBorder="1" applyAlignment="1">
      <alignment vertical="top"/>
    </xf>
    <xf numFmtId="0" fontId="6" fillId="5" borderId="4" xfId="0" applyFont="1" applyFill="1" applyBorder="1" applyAlignment="1">
      <alignment vertical="top"/>
    </xf>
    <xf numFmtId="43" fontId="0" fillId="5" borderId="18" xfId="1" applyFont="1" applyFill="1" applyBorder="1" applyAlignment="1">
      <alignment vertical="top"/>
    </xf>
    <xf numFmtId="0" fontId="6" fillId="0" borderId="4" xfId="0" applyFont="1" applyBorder="1" applyAlignment="1">
      <alignment vertical="top"/>
    </xf>
    <xf numFmtId="43" fontId="0" fillId="0" borderId="18" xfId="1" applyFont="1" applyFill="1" applyBorder="1" applyAlignment="1">
      <alignment vertical="top"/>
    </xf>
    <xf numFmtId="0" fontId="6" fillId="12" borderId="4" xfId="0" applyFont="1" applyFill="1" applyBorder="1" applyAlignment="1">
      <alignment vertical="top"/>
    </xf>
    <xf numFmtId="43" fontId="6" fillId="0" borderId="18" xfId="1" applyFont="1" applyBorder="1" applyAlignment="1"/>
    <xf numFmtId="43" fontId="3" fillId="0" borderId="18" xfId="1" applyFont="1" applyBorder="1" applyAlignment="1"/>
    <xf numFmtId="0" fontId="6" fillId="11" borderId="4" xfId="0" applyFont="1" applyFill="1" applyBorder="1" applyAlignment="1">
      <alignment vertical="top"/>
    </xf>
    <xf numFmtId="43" fontId="14" fillId="0" borderId="18" xfId="1" applyFont="1" applyFill="1" applyBorder="1" applyAlignment="1">
      <alignment vertical="top"/>
    </xf>
    <xf numFmtId="43" fontId="6" fillId="0" borderId="18" xfId="1" applyFont="1" applyFill="1" applyBorder="1" applyAlignment="1">
      <alignment vertical="top"/>
    </xf>
    <xf numFmtId="43" fontId="0" fillId="0" borderId="18" xfId="1" applyFont="1" applyBorder="1"/>
    <xf numFmtId="0" fontId="2" fillId="0" borderId="4" xfId="0" applyFont="1" applyBorder="1"/>
    <xf numFmtId="43" fontId="6" fillId="6" borderId="18" xfId="1" applyFont="1" applyFill="1" applyBorder="1" applyAlignment="1"/>
    <xf numFmtId="0" fontId="2" fillId="0" borderId="5" xfId="0" applyFont="1" applyBorder="1"/>
    <xf numFmtId="0" fontId="2" fillId="0" borderId="6" xfId="0" applyFont="1" applyBorder="1" applyAlignment="1">
      <alignment horizontal="left" vertical="top"/>
    </xf>
    <xf numFmtId="0" fontId="0" fillId="0" borderId="6" xfId="0" applyBorder="1"/>
    <xf numFmtId="43" fontId="0" fillId="0" borderId="6" xfId="1" applyFont="1" applyBorder="1" applyAlignment="1"/>
    <xf numFmtId="43" fontId="6" fillId="6" borderId="19" xfId="1" applyFont="1" applyFill="1" applyBorder="1" applyAlignment="1"/>
    <xf numFmtId="0" fontId="9" fillId="3" borderId="3" xfId="0" applyFont="1" applyFill="1" applyBorder="1" applyAlignment="1">
      <alignment vertical="top"/>
    </xf>
    <xf numFmtId="0" fontId="9" fillId="4" borderId="3" xfId="0" applyFont="1" applyFill="1" applyBorder="1" applyAlignment="1">
      <alignment vertical="top"/>
    </xf>
    <xf numFmtId="0" fontId="8" fillId="4" borderId="3" xfId="0" applyFont="1" applyFill="1" applyBorder="1" applyAlignment="1">
      <alignment vertical="top"/>
    </xf>
    <xf numFmtId="43" fontId="8" fillId="4" borderId="3" xfId="0" applyNumberFormat="1" applyFont="1" applyFill="1" applyBorder="1"/>
    <xf numFmtId="43" fontId="8" fillId="3" borderId="3" xfId="0" applyNumberFormat="1" applyFont="1" applyFill="1" applyBorder="1"/>
    <xf numFmtId="0" fontId="9" fillId="0" borderId="4" xfId="0" applyFont="1" applyBorder="1" applyAlignment="1">
      <alignment vertical="top"/>
    </xf>
    <xf numFmtId="0" fontId="9" fillId="4" borderId="18" xfId="0" applyFont="1" applyFill="1" applyBorder="1" applyAlignment="1">
      <alignment vertical="top"/>
    </xf>
    <xf numFmtId="0" fontId="8" fillId="3" borderId="18" xfId="0" applyFont="1" applyFill="1" applyBorder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3" fillId="7" borderId="0" xfId="0" applyFont="1" applyFill="1" applyAlignment="1">
      <alignment horizontal="left" vertical="top"/>
    </xf>
    <xf numFmtId="49" fontId="17" fillId="7" borderId="0" xfId="0" applyNumberFormat="1" applyFont="1" applyFill="1"/>
    <xf numFmtId="49" fontId="17" fillId="7" borderId="0" xfId="0" applyNumberFormat="1" applyFont="1" applyFill="1" applyAlignment="1">
      <alignment horizontal="left" vertical="top" indent="1"/>
    </xf>
    <xf numFmtId="0" fontId="0" fillId="7" borderId="0" xfId="0" applyFill="1" applyAlignment="1">
      <alignment horizontal="left" vertical="top"/>
    </xf>
    <xf numFmtId="0" fontId="20" fillId="8" borderId="9" xfId="0" applyFont="1" applyFill="1" applyBorder="1" applyAlignment="1">
      <alignment horizontal="left" vertical="center" readingOrder="1"/>
    </xf>
    <xf numFmtId="17" fontId="20" fillId="8" borderId="9" xfId="0" applyNumberFormat="1" applyFont="1" applyFill="1" applyBorder="1" applyAlignment="1">
      <alignment horizontal="left" vertical="center" readingOrder="1"/>
    </xf>
    <xf numFmtId="0" fontId="21" fillId="9" borderId="13" xfId="0" applyFont="1" applyFill="1" applyBorder="1" applyAlignment="1">
      <alignment horizontal="left" vertical="center" readingOrder="1"/>
    </xf>
    <xf numFmtId="43" fontId="21" fillId="9" borderId="13" xfId="1" quotePrefix="1" applyFont="1" applyFill="1" applyBorder="1" applyAlignment="1">
      <alignment horizontal="left" vertical="center" readingOrder="1"/>
    </xf>
    <xf numFmtId="0" fontId="21" fillId="10" borderId="14" xfId="0" applyFont="1" applyFill="1" applyBorder="1" applyAlignment="1">
      <alignment horizontal="left" vertical="center" readingOrder="1"/>
    </xf>
    <xf numFmtId="43" fontId="21" fillId="10" borderId="14" xfId="1" quotePrefix="1" applyFont="1" applyFill="1" applyBorder="1" applyAlignment="1">
      <alignment horizontal="left" vertical="center" readingOrder="1"/>
    </xf>
    <xf numFmtId="0" fontId="21" fillId="9" borderId="14" xfId="0" applyFont="1" applyFill="1" applyBorder="1" applyAlignment="1">
      <alignment horizontal="left" vertical="center" readingOrder="1"/>
    </xf>
    <xf numFmtId="0" fontId="22" fillId="9" borderId="14" xfId="0" applyFont="1" applyFill="1" applyBorder="1" applyAlignment="1">
      <alignment vertical="top"/>
    </xf>
    <xf numFmtId="43" fontId="6" fillId="0" borderId="3" xfId="1" applyFont="1" applyBorder="1" applyAlignment="1">
      <alignment horizontal="left" vertical="top"/>
    </xf>
    <xf numFmtId="0" fontId="11" fillId="2" borderId="8" xfId="0" applyFont="1" applyFill="1" applyBorder="1" applyAlignment="1">
      <alignment vertical="top"/>
    </xf>
    <xf numFmtId="43" fontId="0" fillId="0" borderId="0" xfId="1" applyFont="1" applyAlignment="1">
      <alignment vertical="top"/>
    </xf>
    <xf numFmtId="43" fontId="0" fillId="0" borderId="0" xfId="1" applyFont="1" applyAlignment="1">
      <alignment horizontal="left" vertical="top"/>
    </xf>
    <xf numFmtId="166" fontId="8" fillId="4" borderId="3" xfId="1" applyNumberFormat="1" applyFont="1" applyFill="1" applyBorder="1" applyAlignment="1"/>
    <xf numFmtId="166" fontId="8" fillId="3" borderId="3" xfId="1" applyNumberFormat="1" applyFont="1" applyFill="1" applyBorder="1" applyAlignment="1"/>
    <xf numFmtId="10" fontId="0" fillId="0" borderId="0" xfId="0" applyNumberFormat="1" applyAlignment="1">
      <alignment horizontal="left" vertical="top"/>
    </xf>
    <xf numFmtId="44" fontId="8" fillId="3" borderId="1" xfId="1" applyNumberFormat="1" applyFont="1" applyFill="1" applyBorder="1" applyAlignment="1">
      <alignment vertical="top"/>
    </xf>
    <xf numFmtId="44" fontId="8" fillId="4" borderId="1" xfId="1" applyNumberFormat="1" applyFont="1" applyFill="1" applyBorder="1" applyAlignment="1">
      <alignment vertical="top"/>
    </xf>
    <xf numFmtId="44" fontId="8" fillId="3" borderId="0" xfId="1" applyNumberFormat="1" applyFont="1" applyFill="1" applyAlignment="1">
      <alignment vertical="top"/>
    </xf>
    <xf numFmtId="44" fontId="8" fillId="3" borderId="1" xfId="1" applyNumberFormat="1" applyFont="1" applyFill="1" applyBorder="1" applyAlignment="1">
      <alignment vertical="top" wrapText="1"/>
    </xf>
    <xf numFmtId="44" fontId="8" fillId="4" borderId="1" xfId="1" applyNumberFormat="1" applyFont="1" applyFill="1" applyBorder="1" applyAlignment="1">
      <alignment vertical="top" wrapText="1"/>
    </xf>
    <xf numFmtId="44" fontId="8" fillId="0" borderId="0" xfId="1" applyNumberFormat="1" applyFont="1" applyFill="1" applyBorder="1" applyAlignment="1">
      <alignment vertical="top" wrapText="1"/>
    </xf>
    <xf numFmtId="43" fontId="8" fillId="0" borderId="3" xfId="1" applyFont="1" applyBorder="1" applyAlignment="1"/>
    <xf numFmtId="0" fontId="8" fillId="0" borderId="3" xfId="0" applyFont="1" applyBorder="1" applyAlignment="1">
      <alignment vertical="top"/>
    </xf>
    <xf numFmtId="43" fontId="8" fillId="0" borderId="3" xfId="0" applyNumberFormat="1" applyFont="1" applyBorder="1"/>
    <xf numFmtId="0" fontId="0" fillId="0" borderId="3" xfId="0" applyBorder="1" applyAlignment="1">
      <alignment horizontal="left" vertical="top"/>
    </xf>
    <xf numFmtId="44" fontId="0" fillId="0" borderId="3" xfId="1" applyNumberFormat="1" applyFont="1" applyBorder="1" applyAlignment="1">
      <alignment horizontal="left" vertical="top"/>
    </xf>
    <xf numFmtId="0" fontId="9" fillId="0" borderId="20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22" xfId="0" applyFont="1" applyBorder="1" applyAlignment="1">
      <alignment vertical="top"/>
    </xf>
    <xf numFmtId="0" fontId="9" fillId="3" borderId="8" xfId="0" applyFont="1" applyFill="1" applyBorder="1" applyAlignment="1">
      <alignment vertical="top"/>
    </xf>
    <xf numFmtId="166" fontId="8" fillId="3" borderId="8" xfId="1" applyNumberFormat="1" applyFont="1" applyFill="1" applyBorder="1" applyAlignment="1">
      <alignment vertical="top"/>
    </xf>
    <xf numFmtId="0" fontId="8" fillId="3" borderId="8" xfId="0" applyFont="1" applyFill="1" applyBorder="1" applyAlignment="1">
      <alignment vertical="top"/>
    </xf>
    <xf numFmtId="43" fontId="8" fillId="3" borderId="8" xfId="0" applyNumberFormat="1" applyFont="1" applyFill="1" applyBorder="1" applyAlignment="1">
      <alignment vertical="top"/>
    </xf>
    <xf numFmtId="0" fontId="9" fillId="3" borderId="17" xfId="0" applyFont="1" applyFill="1" applyBorder="1" applyAlignment="1">
      <alignment vertical="top"/>
    </xf>
    <xf numFmtId="0" fontId="8" fillId="0" borderId="18" xfId="0" applyFont="1" applyBorder="1" applyAlignment="1">
      <alignment vertical="top"/>
    </xf>
    <xf numFmtId="0" fontId="0" fillId="0" borderId="18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44" fontId="0" fillId="0" borderId="6" xfId="1" applyNumberFormat="1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43" fontId="0" fillId="0" borderId="0" xfId="0" applyNumberFormat="1" applyAlignment="1">
      <alignment horizontal="left" vertical="top"/>
    </xf>
    <xf numFmtId="164" fontId="2" fillId="0" borderId="0" xfId="0" applyNumberFormat="1" applyFont="1" applyAlignment="1">
      <alignment vertical="top"/>
    </xf>
    <xf numFmtId="164" fontId="2" fillId="0" borderId="0" xfId="1" applyNumberFormat="1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10" fontId="3" fillId="0" borderId="0" xfId="1" applyNumberFormat="1" applyFont="1" applyAlignment="1">
      <alignment vertical="top"/>
    </xf>
    <xf numFmtId="10" fontId="3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left" vertical="top"/>
    </xf>
    <xf numFmtId="10" fontId="23" fillId="0" borderId="0" xfId="0" applyNumberFormat="1" applyFont="1" applyAlignment="1">
      <alignment vertical="top"/>
    </xf>
    <xf numFmtId="164" fontId="16" fillId="0" borderId="0" xfId="1" applyNumberFormat="1" applyFont="1" applyFill="1" applyAlignment="1">
      <alignment horizontal="right" vertical="top"/>
    </xf>
    <xf numFmtId="164" fontId="17" fillId="0" borderId="0" xfId="1" applyNumberFormat="1" applyFont="1" applyBorder="1" applyAlignment="1">
      <alignment horizontal="right" vertical="top"/>
    </xf>
    <xf numFmtId="164" fontId="0" fillId="0" borderId="0" xfId="1" applyNumberFormat="1" applyFont="1" applyBorder="1" applyAlignment="1">
      <alignment vertical="top"/>
    </xf>
    <xf numFmtId="164" fontId="0" fillId="0" borderId="0" xfId="1" applyNumberFormat="1" applyFont="1" applyBorder="1" applyAlignment="1">
      <alignment horizontal="left" vertical="top"/>
    </xf>
    <xf numFmtId="43" fontId="0" fillId="0" borderId="0" xfId="1" applyFont="1" applyBorder="1" applyAlignment="1">
      <alignment horizontal="left" vertical="top"/>
    </xf>
    <xf numFmtId="164" fontId="3" fillId="0" borderId="2" xfId="1" applyNumberFormat="1" applyFont="1" applyFill="1" applyBorder="1" applyAlignment="1">
      <alignment vertical="top"/>
    </xf>
    <xf numFmtId="0" fontId="3" fillId="14" borderId="0" xfId="0" applyFont="1" applyFill="1" applyAlignment="1">
      <alignment horizontal="left" vertical="top"/>
    </xf>
    <xf numFmtId="17" fontId="3" fillId="14" borderId="0" xfId="0" quotePrefix="1" applyNumberFormat="1" applyFont="1" applyFill="1" applyAlignment="1">
      <alignment horizontal="center" vertical="center"/>
    </xf>
    <xf numFmtId="17" fontId="3" fillId="14" borderId="0" xfId="0" quotePrefix="1" applyNumberFormat="1" applyFont="1" applyFill="1" applyAlignment="1">
      <alignment horizontal="left" vertical="top"/>
    </xf>
    <xf numFmtId="164" fontId="3" fillId="14" borderId="0" xfId="0" quotePrefix="1" applyNumberFormat="1" applyFont="1" applyFill="1" applyAlignment="1">
      <alignment horizontal="left" vertical="top"/>
    </xf>
    <xf numFmtId="0" fontId="3" fillId="14" borderId="0" xfId="0" applyFont="1" applyFill="1" applyAlignment="1">
      <alignment vertical="top"/>
    </xf>
    <xf numFmtId="10" fontId="0" fillId="0" borderId="0" xfId="0" applyNumberFormat="1" applyAlignment="1">
      <alignment vertical="top"/>
    </xf>
    <xf numFmtId="164" fontId="2" fillId="0" borderId="0" xfId="1" applyNumberFormat="1" applyFont="1" applyFill="1" applyAlignment="1">
      <alignment vertical="top"/>
    </xf>
    <xf numFmtId="164" fontId="16" fillId="0" borderId="2" xfId="1" applyNumberFormat="1" applyFont="1" applyFill="1" applyBorder="1" applyAlignment="1">
      <alignment horizontal="right" vertical="top"/>
    </xf>
    <xf numFmtId="43" fontId="3" fillId="0" borderId="0" xfId="1" applyFont="1" applyAlignment="1">
      <alignment horizontal="left" vertical="top"/>
    </xf>
    <xf numFmtId="0" fontId="21" fillId="9" borderId="15" xfId="0" applyFont="1" applyFill="1" applyBorder="1" applyAlignment="1">
      <alignment horizontal="left" vertical="center" readingOrder="1"/>
    </xf>
    <xf numFmtId="0" fontId="21" fillId="9" borderId="16" xfId="0" applyFont="1" applyFill="1" applyBorder="1" applyAlignment="1">
      <alignment horizontal="left" vertical="center" readingOrder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0200-4E48-42C1-92C6-72713800A353}">
  <dimension ref="A1:O53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2.75" x14ac:dyDescent="0.2"/>
  <cols>
    <col min="1" max="1" width="33.6640625" bestFit="1" customWidth="1"/>
    <col min="2" max="6" width="16.6640625" bestFit="1" customWidth="1"/>
    <col min="7" max="7" width="18" bestFit="1" customWidth="1"/>
    <col min="8" max="8" width="18" style="152" bestFit="1" customWidth="1"/>
    <col min="9" max="10" width="16.6640625" bestFit="1" customWidth="1"/>
    <col min="11" max="11" width="16" bestFit="1" customWidth="1"/>
    <col min="12" max="12" width="16.6640625" bestFit="1" customWidth="1"/>
    <col min="13" max="14" width="16" bestFit="1" customWidth="1"/>
    <col min="15" max="15" width="17.1640625" bestFit="1" customWidth="1"/>
  </cols>
  <sheetData>
    <row r="1" spans="1:15" x14ac:dyDescent="0.2">
      <c r="A1" s="163" t="s">
        <v>91</v>
      </c>
      <c r="B1" s="164" t="s">
        <v>141</v>
      </c>
      <c r="C1" s="165" t="s">
        <v>142</v>
      </c>
      <c r="D1" s="164" t="s">
        <v>143</v>
      </c>
      <c r="E1" s="165" t="s">
        <v>144</v>
      </c>
      <c r="F1" s="164" t="s">
        <v>145</v>
      </c>
      <c r="G1" s="165" t="s">
        <v>146</v>
      </c>
      <c r="H1" s="166" t="s">
        <v>167</v>
      </c>
      <c r="I1" s="165" t="s">
        <v>147</v>
      </c>
      <c r="J1" s="164" t="s">
        <v>148</v>
      </c>
      <c r="K1" s="165" t="s">
        <v>149</v>
      </c>
      <c r="L1" s="164" t="s">
        <v>152</v>
      </c>
      <c r="M1" s="165" t="s">
        <v>151</v>
      </c>
      <c r="N1" s="164" t="s">
        <v>150</v>
      </c>
      <c r="O1" s="167" t="s">
        <v>6</v>
      </c>
    </row>
    <row r="2" spans="1:15" x14ac:dyDescent="0.2">
      <c r="A2" s="106" t="s">
        <v>140</v>
      </c>
      <c r="B2" s="47">
        <v>2392673377.6500001</v>
      </c>
      <c r="C2" s="48">
        <v>96302519.831200004</v>
      </c>
      <c r="D2" s="48">
        <v>104446100.5028</v>
      </c>
      <c r="E2" s="48">
        <v>122175873.84200001</v>
      </c>
      <c r="F2" s="48">
        <v>168275531.6902</v>
      </c>
      <c r="G2" s="48">
        <v>174881505.03079998</v>
      </c>
      <c r="H2" s="48">
        <v>182118760</v>
      </c>
      <c r="I2" s="48">
        <f>H2*105%</f>
        <v>191224698</v>
      </c>
      <c r="J2" s="48">
        <f t="shared" ref="J2:N2" si="0">I2*105%</f>
        <v>200785932.90000001</v>
      </c>
      <c r="K2" s="48">
        <f t="shared" si="0"/>
        <v>210825229.54500002</v>
      </c>
      <c r="L2" s="48">
        <f t="shared" si="0"/>
        <v>221366491.02225003</v>
      </c>
      <c r="M2" s="48">
        <f t="shared" si="0"/>
        <v>232434815.57336253</v>
      </c>
      <c r="N2" s="48">
        <f t="shared" si="0"/>
        <v>244056556.35203066</v>
      </c>
      <c r="O2" s="47">
        <f>SUM(C2:N2)</f>
        <v>2148894014.2896433</v>
      </c>
    </row>
    <row r="3" spans="1:15" x14ac:dyDescent="0.2">
      <c r="A3" s="46" t="s">
        <v>92</v>
      </c>
      <c r="B3" s="47">
        <v>700000</v>
      </c>
      <c r="C3" s="157">
        <v>73500</v>
      </c>
      <c r="D3" s="157">
        <f t="shared" ref="D3:O18" si="1">C3*105%</f>
        <v>77175</v>
      </c>
      <c r="E3" s="157">
        <f t="shared" si="1"/>
        <v>81033.75</v>
      </c>
      <c r="F3" s="157">
        <f t="shared" si="1"/>
        <v>85085.4375</v>
      </c>
      <c r="G3" s="157">
        <f t="shared" si="1"/>
        <v>89339.709375000006</v>
      </c>
      <c r="H3" s="157">
        <f t="shared" si="1"/>
        <v>93806.69484375001</v>
      </c>
      <c r="I3" s="157">
        <f t="shared" si="1"/>
        <v>98497.029585937518</v>
      </c>
      <c r="J3" s="157">
        <f t="shared" si="1"/>
        <v>103421.8810652344</v>
      </c>
      <c r="K3" s="157">
        <f t="shared" si="1"/>
        <v>108592.97511849612</v>
      </c>
      <c r="L3" s="157">
        <f t="shared" si="1"/>
        <v>114022.62387442093</v>
      </c>
      <c r="M3" s="157">
        <f t="shared" si="1"/>
        <v>119723.75506814198</v>
      </c>
      <c r="N3" s="157">
        <f t="shared" si="1"/>
        <v>125709.94282154909</v>
      </c>
      <c r="O3" s="47">
        <f t="shared" ref="O3:O48" si="2">SUM(C3:N3)</f>
        <v>1169908.7992525299</v>
      </c>
    </row>
    <row r="4" spans="1:15" ht="13.5" thickBot="1" x14ac:dyDescent="0.25">
      <c r="A4" s="46" t="s">
        <v>168</v>
      </c>
      <c r="B4" s="162">
        <f>SUM(B2:B3)</f>
        <v>2393373377.6500001</v>
      </c>
      <c r="C4" s="162">
        <f t="shared" ref="C4:H4" si="3">SUM(C2:C3)</f>
        <v>96376019.831200004</v>
      </c>
      <c r="D4" s="162">
        <f t="shared" si="3"/>
        <v>104523275.5028</v>
      </c>
      <c r="E4" s="162">
        <f t="shared" si="3"/>
        <v>122256907.59200001</v>
      </c>
      <c r="F4" s="162">
        <f t="shared" si="3"/>
        <v>168360617.1277</v>
      </c>
      <c r="G4" s="162">
        <f t="shared" si="3"/>
        <v>174970844.74017498</v>
      </c>
      <c r="H4" s="162">
        <f t="shared" si="3"/>
        <v>182212566.69484374</v>
      </c>
      <c r="I4" s="170">
        <f t="shared" si="1"/>
        <v>191323195.02958593</v>
      </c>
      <c r="J4" s="170">
        <f t="shared" si="1"/>
        <v>200889354.78106523</v>
      </c>
      <c r="K4" s="170">
        <f t="shared" si="1"/>
        <v>210933822.5201185</v>
      </c>
      <c r="L4" s="170">
        <f t="shared" si="1"/>
        <v>221480513.64612445</v>
      </c>
      <c r="M4" s="170">
        <f t="shared" si="1"/>
        <v>232554539.32843068</v>
      </c>
      <c r="N4" s="170">
        <f t="shared" si="1"/>
        <v>244182266.29485223</v>
      </c>
      <c r="O4" s="162">
        <f>SUM(O2:O3)</f>
        <v>2150063923.0888958</v>
      </c>
    </row>
    <row r="5" spans="1:15" ht="13.5" thickTop="1" x14ac:dyDescent="0.2">
      <c r="A5" s="46" t="s">
        <v>93</v>
      </c>
      <c r="B5" s="159">
        <v>0</v>
      </c>
      <c r="C5" s="159">
        <v>0</v>
      </c>
      <c r="D5" s="159">
        <v>0</v>
      </c>
      <c r="E5" s="159">
        <v>0</v>
      </c>
      <c r="F5" s="159">
        <v>0</v>
      </c>
      <c r="G5" s="159">
        <v>0</v>
      </c>
      <c r="H5" s="160">
        <v>0</v>
      </c>
      <c r="I5" s="161">
        <f t="shared" si="1"/>
        <v>0</v>
      </c>
      <c r="J5" s="121">
        <f t="shared" si="1"/>
        <v>0</v>
      </c>
      <c r="K5" s="121">
        <f t="shared" si="1"/>
        <v>0</v>
      </c>
      <c r="L5" s="121">
        <f t="shared" si="1"/>
        <v>0</v>
      </c>
      <c r="M5" s="121">
        <f t="shared" si="1"/>
        <v>0</v>
      </c>
      <c r="N5" s="121">
        <f t="shared" si="1"/>
        <v>0</v>
      </c>
      <c r="O5" s="52">
        <f t="shared" si="2"/>
        <v>0</v>
      </c>
    </row>
    <row r="6" spans="1:15" x14ac:dyDescent="0.2">
      <c r="A6" s="46" t="s">
        <v>94</v>
      </c>
      <c r="B6" s="158">
        <v>1726605418.8800001</v>
      </c>
      <c r="C6" s="158">
        <v>5289226.095800003</v>
      </c>
      <c r="D6" s="158">
        <v>5718298</v>
      </c>
      <c r="E6" s="158">
        <v>6239342</v>
      </c>
      <c r="F6" s="158">
        <v>8664140</v>
      </c>
      <c r="G6" s="158">
        <v>9869163.0830620211</v>
      </c>
      <c r="H6" s="158">
        <v>10837759.466982536</v>
      </c>
      <c r="I6" s="171">
        <f t="shared" si="1"/>
        <v>11379647.440331664</v>
      </c>
      <c r="J6" s="171">
        <f t="shared" si="1"/>
        <v>11948629.812348248</v>
      </c>
      <c r="K6" s="171">
        <f t="shared" si="1"/>
        <v>12546061.302965662</v>
      </c>
      <c r="L6" s="171">
        <f t="shared" si="1"/>
        <v>13173364.368113944</v>
      </c>
      <c r="M6" s="171">
        <f t="shared" si="1"/>
        <v>13832032.586519642</v>
      </c>
      <c r="N6" s="171">
        <f t="shared" si="1"/>
        <v>14523634.215845624</v>
      </c>
      <c r="O6" s="171">
        <f t="shared" si="1"/>
        <v>15249815.926637907</v>
      </c>
    </row>
    <row r="7" spans="1:15" x14ac:dyDescent="0.2">
      <c r="A7" s="53" t="s">
        <v>95</v>
      </c>
      <c r="B7" s="52">
        <f t="shared" ref="B7:H7" si="4">B2-B6</f>
        <v>666067958.76999998</v>
      </c>
      <c r="C7" s="52">
        <f t="shared" si="4"/>
        <v>91013293.735400006</v>
      </c>
      <c r="D7" s="52">
        <f t="shared" si="4"/>
        <v>98727802.502800003</v>
      </c>
      <c r="E7" s="52">
        <f t="shared" si="4"/>
        <v>115936531.84200001</v>
      </c>
      <c r="F7" s="52">
        <f t="shared" si="4"/>
        <v>159611391.6902</v>
      </c>
      <c r="G7" s="52">
        <f t="shared" si="4"/>
        <v>165012341.94773796</v>
      </c>
      <c r="H7" s="52">
        <f t="shared" si="4"/>
        <v>171281000.53301746</v>
      </c>
      <c r="I7" s="121">
        <f t="shared" si="1"/>
        <v>179845050.55966833</v>
      </c>
      <c r="J7" s="121">
        <f t="shared" si="1"/>
        <v>188837303.08765176</v>
      </c>
      <c r="K7" s="121">
        <f t="shared" si="1"/>
        <v>198279168.24203435</v>
      </c>
      <c r="L7" s="121">
        <f t="shared" si="1"/>
        <v>208193126.65413606</v>
      </c>
      <c r="M7" s="121">
        <f t="shared" si="1"/>
        <v>218602782.98684287</v>
      </c>
      <c r="N7" s="121">
        <f t="shared" si="1"/>
        <v>229532922.13618502</v>
      </c>
      <c r="O7" s="169">
        <f t="shared" si="2"/>
        <v>2024872715.9176736</v>
      </c>
    </row>
    <row r="8" spans="1:15" x14ac:dyDescent="0.2">
      <c r="A8" s="154" t="s">
        <v>96</v>
      </c>
      <c r="B8" s="153">
        <f t="shared" ref="B8:O8" si="5">IFERROR(B7/B2,0)</f>
        <v>0.27837813760614022</v>
      </c>
      <c r="C8" s="153">
        <f t="shared" si="5"/>
        <v>0.9450769709341873</v>
      </c>
      <c r="D8" s="153">
        <f t="shared" si="5"/>
        <v>0.94525120638805749</v>
      </c>
      <c r="E8" s="153">
        <f t="shared" si="5"/>
        <v>0.94893147228012609</v>
      </c>
      <c r="F8" s="153">
        <f t="shared" si="5"/>
        <v>0.9485121817000054</v>
      </c>
      <c r="G8" s="153">
        <f t="shared" si="5"/>
        <v>0.94356657051113624</v>
      </c>
      <c r="H8" s="153">
        <f t="shared" si="5"/>
        <v>0.94049070251201716</v>
      </c>
      <c r="I8" s="153">
        <f t="shared" si="5"/>
        <v>0.94049070251201716</v>
      </c>
      <c r="J8" s="153">
        <f t="shared" si="5"/>
        <v>0.94049070251201727</v>
      </c>
      <c r="K8" s="153">
        <f t="shared" si="5"/>
        <v>0.94049070251201716</v>
      </c>
      <c r="L8" s="153">
        <f t="shared" si="5"/>
        <v>0.94049070251201716</v>
      </c>
      <c r="M8" s="153">
        <f t="shared" si="5"/>
        <v>0.94049070251201716</v>
      </c>
      <c r="N8" s="153">
        <f t="shared" si="5"/>
        <v>0.94049070251201716</v>
      </c>
      <c r="O8" s="153">
        <f t="shared" si="5"/>
        <v>0.94228598639706884</v>
      </c>
    </row>
    <row r="9" spans="1:15" x14ac:dyDescent="0.2">
      <c r="A9" s="106" t="s">
        <v>97</v>
      </c>
      <c r="B9" s="49">
        <f>SUM(B10:B15)</f>
        <v>180632775</v>
      </c>
      <c r="C9" s="49">
        <f t="shared" ref="C9:O9" si="6">SUM(C10:C15)</f>
        <v>49403280</v>
      </c>
      <c r="D9" s="49">
        <f t="shared" si="6"/>
        <v>56212387.600000001</v>
      </c>
      <c r="E9" s="49">
        <f t="shared" si="6"/>
        <v>71012387.599999994</v>
      </c>
      <c r="F9" s="49">
        <f t="shared" si="6"/>
        <v>104757566.16000001</v>
      </c>
      <c r="G9" s="49">
        <f t="shared" si="6"/>
        <v>107995444.46800001</v>
      </c>
      <c r="H9" s="49">
        <f t="shared" si="6"/>
        <v>112305217.69140002</v>
      </c>
      <c r="I9" s="49">
        <f t="shared" si="6"/>
        <v>118120477.57597002</v>
      </c>
      <c r="J9" s="49">
        <f t="shared" si="6"/>
        <v>124326500.45476854</v>
      </c>
      <c r="K9" s="49">
        <f t="shared" si="6"/>
        <v>130592825.47750697</v>
      </c>
      <c r="L9" s="49">
        <f t="shared" si="6"/>
        <v>136622466.75138232</v>
      </c>
      <c r="M9" s="49">
        <f t="shared" si="6"/>
        <v>142853590.08895144</v>
      </c>
      <c r="N9" s="49">
        <f t="shared" si="6"/>
        <v>149296269.59339905</v>
      </c>
      <c r="O9" s="49">
        <f t="shared" si="6"/>
        <v>1303498413.4613783</v>
      </c>
    </row>
    <row r="10" spans="1:15" x14ac:dyDescent="0.2">
      <c r="A10" s="54" t="s">
        <v>98</v>
      </c>
      <c r="B10" s="55">
        <v>2872300</v>
      </c>
      <c r="C10" s="56">
        <v>3480590</v>
      </c>
      <c r="D10" s="56">
        <v>4000000</v>
      </c>
      <c r="E10" s="56">
        <v>8000000</v>
      </c>
      <c r="F10" s="56">
        <v>9500000</v>
      </c>
      <c r="G10" s="56">
        <f>F10*105%</f>
        <v>9975000</v>
      </c>
      <c r="H10" s="56">
        <f>G10*105%</f>
        <v>10473750</v>
      </c>
      <c r="I10" s="121">
        <f t="shared" si="1"/>
        <v>10997437.5</v>
      </c>
      <c r="J10" s="121">
        <f t="shared" si="1"/>
        <v>11547309.375</v>
      </c>
      <c r="K10" s="121">
        <f t="shared" si="1"/>
        <v>12124674.84375</v>
      </c>
      <c r="L10" s="121">
        <f t="shared" si="1"/>
        <v>12730908.5859375</v>
      </c>
      <c r="M10" s="121">
        <f t="shared" si="1"/>
        <v>13367454.015234375</v>
      </c>
      <c r="N10" s="121">
        <f t="shared" si="1"/>
        <v>14035826.715996094</v>
      </c>
      <c r="O10" s="169">
        <f t="shared" si="2"/>
        <v>120232951.03591797</v>
      </c>
    </row>
    <row r="11" spans="1:15" x14ac:dyDescent="0.2">
      <c r="A11" s="155" t="s">
        <v>99</v>
      </c>
      <c r="B11" s="68">
        <v>120306830</v>
      </c>
      <c r="C11" s="56">
        <v>35069970</v>
      </c>
      <c r="D11" s="56">
        <v>39089167.600000001</v>
      </c>
      <c r="E11" s="56">
        <f>50089167.6-4000000</f>
        <v>46089167.600000001</v>
      </c>
      <c r="F11" s="151">
        <f>E11*160%+4000000-1531932</f>
        <v>76210736.160000011</v>
      </c>
      <c r="G11" s="56">
        <f>F11*105%</f>
        <v>80021272.96800001</v>
      </c>
      <c r="H11" s="56">
        <f>G11*105%-990000</f>
        <v>83032336.616400018</v>
      </c>
      <c r="I11" s="121">
        <f>H11*105%+199999</f>
        <v>87383952.447220027</v>
      </c>
      <c r="J11" s="121">
        <f>I11*105%+299999</f>
        <v>92053149.069581032</v>
      </c>
      <c r="K11" s="121">
        <f t="shared" si="1"/>
        <v>96655806.523060083</v>
      </c>
      <c r="L11" s="121">
        <f t="shared" si="1"/>
        <v>101488596.84921309</v>
      </c>
      <c r="M11" s="121">
        <f t="shared" si="1"/>
        <v>106563026.69167376</v>
      </c>
      <c r="N11" s="121">
        <f t="shared" si="1"/>
        <v>111891178.02625746</v>
      </c>
      <c r="O11" s="169">
        <f t="shared" si="2"/>
        <v>955548360.55140543</v>
      </c>
    </row>
    <row r="12" spans="1:15" x14ac:dyDescent="0.2">
      <c r="A12" s="54" t="s">
        <v>100</v>
      </c>
      <c r="B12" s="55">
        <f>22069450</f>
        <v>22069450</v>
      </c>
      <c r="C12" s="56">
        <v>6404500</v>
      </c>
      <c r="D12" s="56">
        <v>8000000</v>
      </c>
      <c r="E12" s="56">
        <v>9000000</v>
      </c>
      <c r="F12" s="56">
        <f>E12*120%-2000000</f>
        <v>8800000</v>
      </c>
      <c r="G12" s="56">
        <f>F12*105%-2000000</f>
        <v>7240000</v>
      </c>
      <c r="H12" s="56">
        <f>G12*105%</f>
        <v>7602000</v>
      </c>
      <c r="I12" s="121">
        <f t="shared" si="1"/>
        <v>7982100</v>
      </c>
      <c r="J12" s="121">
        <f t="shared" si="1"/>
        <v>8381205</v>
      </c>
      <c r="K12" s="121">
        <f>J12*105%+100000-50000</f>
        <v>8850265.25</v>
      </c>
      <c r="L12" s="121">
        <f>K12*105%-500000</f>
        <v>8792778.5125000011</v>
      </c>
      <c r="M12" s="121">
        <f>L12*105%-600000</f>
        <v>8632417.4381250013</v>
      </c>
      <c r="N12" s="121">
        <f>M12*105%-700000</f>
        <v>8364038.310031252</v>
      </c>
      <c r="O12" s="169">
        <f t="shared" si="2"/>
        <v>98049304.510656253</v>
      </c>
    </row>
    <row r="13" spans="1:15" x14ac:dyDescent="0.2">
      <c r="A13" s="54" t="s">
        <v>101</v>
      </c>
      <c r="B13" s="55">
        <f>10808450</f>
        <v>10808450</v>
      </c>
      <c r="C13" s="56">
        <v>1665000</v>
      </c>
      <c r="D13" s="56">
        <v>2000000</v>
      </c>
      <c r="E13" s="56">
        <f>D13*160%</f>
        <v>3200000</v>
      </c>
      <c r="F13" s="56">
        <f>E13*105%</f>
        <v>3360000</v>
      </c>
      <c r="G13" s="56">
        <f>F13*105%</f>
        <v>3528000</v>
      </c>
      <c r="H13" s="56">
        <f>G13*105%-99999</f>
        <v>3604401</v>
      </c>
      <c r="I13" s="121">
        <f t="shared" si="1"/>
        <v>3784621.0500000003</v>
      </c>
      <c r="J13" s="121">
        <f t="shared" si="1"/>
        <v>3973852.1025000005</v>
      </c>
      <c r="K13" s="121">
        <f t="shared" si="1"/>
        <v>4172544.7076250007</v>
      </c>
      <c r="L13" s="121">
        <f t="shared" si="1"/>
        <v>4381171.943006251</v>
      </c>
      <c r="M13" s="121">
        <f t="shared" si="1"/>
        <v>4600230.5401565637</v>
      </c>
      <c r="N13" s="121">
        <f t="shared" si="1"/>
        <v>4830242.0671643922</v>
      </c>
      <c r="O13" s="169">
        <f t="shared" si="2"/>
        <v>43100063.410452209</v>
      </c>
    </row>
    <row r="14" spans="1:15" x14ac:dyDescent="0.2">
      <c r="A14" s="54" t="s">
        <v>102</v>
      </c>
      <c r="B14" s="55">
        <f>17554650-9753205</f>
        <v>7801445</v>
      </c>
      <c r="C14" s="56">
        <v>2263220</v>
      </c>
      <c r="D14" s="151">
        <v>2563220</v>
      </c>
      <c r="E14" s="151">
        <v>4063220</v>
      </c>
      <c r="F14" s="56">
        <f>E14*150%</f>
        <v>6094830</v>
      </c>
      <c r="G14" s="151">
        <f>F14*105%</f>
        <v>6399571.5</v>
      </c>
      <c r="H14" s="56">
        <f>G14*105%</f>
        <v>6719550.0750000002</v>
      </c>
      <c r="I14" s="121">
        <f t="shared" si="1"/>
        <v>7055527.5787500003</v>
      </c>
      <c r="J14" s="121">
        <f t="shared" si="1"/>
        <v>7408303.9576875009</v>
      </c>
      <c r="K14" s="121">
        <f t="shared" si="1"/>
        <v>7778719.1555718761</v>
      </c>
      <c r="L14" s="121">
        <f t="shared" si="1"/>
        <v>8167655.1133504706</v>
      </c>
      <c r="M14" s="121">
        <f t="shared" si="1"/>
        <v>8576037.869017994</v>
      </c>
      <c r="N14" s="121">
        <f t="shared" si="1"/>
        <v>9004839.7624688949</v>
      </c>
      <c r="O14" s="169">
        <f t="shared" si="2"/>
        <v>76094695.011846736</v>
      </c>
    </row>
    <row r="15" spans="1:15" x14ac:dyDescent="0.2">
      <c r="A15" s="54" t="s">
        <v>103</v>
      </c>
      <c r="B15" s="55">
        <v>16774300</v>
      </c>
      <c r="C15" s="56">
        <f>520000</f>
        <v>520000</v>
      </c>
      <c r="D15" s="56">
        <v>560000</v>
      </c>
      <c r="E15" s="56">
        <v>660000</v>
      </c>
      <c r="F15" s="56">
        <f>E15*120%</f>
        <v>792000</v>
      </c>
      <c r="G15" s="56">
        <f>F15*105%</f>
        <v>831600</v>
      </c>
      <c r="H15" s="56">
        <f>G15*105%</f>
        <v>873180</v>
      </c>
      <c r="I15" s="121">
        <f t="shared" si="1"/>
        <v>916839</v>
      </c>
      <c r="J15" s="121">
        <f t="shared" si="1"/>
        <v>962680.95000000007</v>
      </c>
      <c r="K15" s="121">
        <f t="shared" si="1"/>
        <v>1010814.9975000002</v>
      </c>
      <c r="L15" s="121">
        <f t="shared" si="1"/>
        <v>1061355.7473750003</v>
      </c>
      <c r="M15" s="121">
        <f t="shared" si="1"/>
        <v>1114423.5347437502</v>
      </c>
      <c r="N15" s="121">
        <f t="shared" si="1"/>
        <v>1170144.7114809379</v>
      </c>
      <c r="O15" s="169">
        <f t="shared" si="2"/>
        <v>10473038.941099688</v>
      </c>
    </row>
    <row r="16" spans="1:15" x14ac:dyDescent="0.2">
      <c r="A16" s="106" t="s">
        <v>104</v>
      </c>
      <c r="B16" s="49">
        <f>SUM(B17:B26)</f>
        <v>38952661.860000007</v>
      </c>
      <c r="C16" s="49">
        <f t="shared" ref="C16:O16" si="7">SUM(C17:C26)</f>
        <v>18758230.210000001</v>
      </c>
      <c r="D16" s="49">
        <f t="shared" si="7"/>
        <v>20086236.830000002</v>
      </c>
      <c r="E16" s="49">
        <f t="shared" si="7"/>
        <v>21597259.894000001</v>
      </c>
      <c r="F16" s="49">
        <f t="shared" si="7"/>
        <v>24577578.8708</v>
      </c>
      <c r="G16" s="49">
        <f t="shared" si="7"/>
        <v>25806457.814339999</v>
      </c>
      <c r="H16" s="49">
        <f t="shared" si="7"/>
        <v>27056780.705057003</v>
      </c>
      <c r="I16" s="49">
        <f t="shared" si="7"/>
        <v>28409619.740309853</v>
      </c>
      <c r="J16" s="49">
        <f t="shared" si="7"/>
        <v>29830100.727325346</v>
      </c>
      <c r="K16" s="49">
        <f t="shared" si="7"/>
        <v>31321605.763691615</v>
      </c>
      <c r="L16" s="49">
        <f t="shared" si="7"/>
        <v>32887686.051876202</v>
      </c>
      <c r="M16" s="49">
        <f t="shared" si="7"/>
        <v>34532070.354470015</v>
      </c>
      <c r="N16" s="49">
        <f t="shared" si="7"/>
        <v>36258673.872193515</v>
      </c>
      <c r="O16" s="49">
        <f t="shared" si="7"/>
        <v>331122300.83406365</v>
      </c>
    </row>
    <row r="17" spans="1:15" x14ac:dyDescent="0.2">
      <c r="A17" s="57" t="s">
        <v>105</v>
      </c>
      <c r="B17" s="55">
        <f>951467</f>
        <v>951467</v>
      </c>
      <c r="C17" s="56">
        <v>735820</v>
      </c>
      <c r="D17" s="56">
        <v>835820</v>
      </c>
      <c r="E17" s="56">
        <v>269460</v>
      </c>
      <c r="F17" s="56">
        <f>E17*150%</f>
        <v>404190</v>
      </c>
      <c r="G17" s="56">
        <f t="shared" ref="G17:H19" si="8">F17*105%</f>
        <v>424399.5</v>
      </c>
      <c r="H17" s="151">
        <f t="shared" si="8"/>
        <v>445619.47500000003</v>
      </c>
      <c r="I17" s="121">
        <f t="shared" si="1"/>
        <v>467900.44875000004</v>
      </c>
      <c r="J17" s="121">
        <f t="shared" si="1"/>
        <v>491295.47118750005</v>
      </c>
      <c r="K17" s="121">
        <f t="shared" si="1"/>
        <v>515860.24474687508</v>
      </c>
      <c r="L17" s="121">
        <f t="shared" si="1"/>
        <v>541653.25698421884</v>
      </c>
      <c r="M17" s="121">
        <f t="shared" si="1"/>
        <v>568735.91983342986</v>
      </c>
      <c r="N17" s="121">
        <f t="shared" si="1"/>
        <v>597172.71582510136</v>
      </c>
      <c r="O17" s="169">
        <f t="shared" si="2"/>
        <v>6297927.0323271258</v>
      </c>
    </row>
    <row r="18" spans="1:15" x14ac:dyDescent="0.2">
      <c r="A18" s="57" t="s">
        <v>106</v>
      </c>
      <c r="B18" s="55">
        <v>6852720</v>
      </c>
      <c r="C18" s="56">
        <v>1808710</v>
      </c>
      <c r="D18" s="56">
        <v>1808710</v>
      </c>
      <c r="E18" s="56">
        <v>1808710</v>
      </c>
      <c r="F18" s="56">
        <f>E18*150%</f>
        <v>2713065</v>
      </c>
      <c r="G18" s="56">
        <f t="shared" si="8"/>
        <v>2848718.25</v>
      </c>
      <c r="H18" s="151">
        <f t="shared" si="8"/>
        <v>2991154.1625000001</v>
      </c>
      <c r="I18" s="121">
        <f t="shared" si="1"/>
        <v>3140711.8706250004</v>
      </c>
      <c r="J18" s="121">
        <f t="shared" si="1"/>
        <v>3297747.4641562505</v>
      </c>
      <c r="K18" s="121">
        <f t="shared" si="1"/>
        <v>3462634.8373640631</v>
      </c>
      <c r="L18" s="121">
        <f t="shared" si="1"/>
        <v>3635766.5792322666</v>
      </c>
      <c r="M18" s="121">
        <f t="shared" si="1"/>
        <v>3817554.9081938802</v>
      </c>
      <c r="N18" s="121">
        <f t="shared" si="1"/>
        <v>4008432.6536035743</v>
      </c>
      <c r="O18" s="169">
        <f t="shared" si="2"/>
        <v>35341915.725675032</v>
      </c>
    </row>
    <row r="19" spans="1:15" x14ac:dyDescent="0.2">
      <c r="A19" s="57" t="s">
        <v>107</v>
      </c>
      <c r="B19" s="55">
        <v>6666896.7699999996</v>
      </c>
      <c r="C19" s="56">
        <v>8576161.0500000007</v>
      </c>
      <c r="D19" s="56">
        <v>9076161.0500000007</v>
      </c>
      <c r="E19" s="56">
        <v>9959624.6400000006</v>
      </c>
      <c r="F19" s="56">
        <f>E19*120%-1900000</f>
        <v>10051549.568</v>
      </c>
      <c r="G19" s="56">
        <f t="shared" si="8"/>
        <v>10554127.046400001</v>
      </c>
      <c r="H19" s="56">
        <f t="shared" si="8"/>
        <v>11081833.398720002</v>
      </c>
      <c r="I19" s="121">
        <f t="shared" ref="I19:N19" si="9">H19*105%</f>
        <v>11635925.068656003</v>
      </c>
      <c r="J19" s="121">
        <f t="shared" si="9"/>
        <v>12217721.322088804</v>
      </c>
      <c r="K19" s="121">
        <f t="shared" si="9"/>
        <v>12828607.388193244</v>
      </c>
      <c r="L19" s="121">
        <f t="shared" si="9"/>
        <v>13470037.757602908</v>
      </c>
      <c r="M19" s="121">
        <f t="shared" si="9"/>
        <v>14143539.645483054</v>
      </c>
      <c r="N19" s="121">
        <f t="shared" si="9"/>
        <v>14850716.627757208</v>
      </c>
      <c r="O19" s="169">
        <f t="shared" si="2"/>
        <v>138446004.56290123</v>
      </c>
    </row>
    <row r="20" spans="1:15" x14ac:dyDescent="0.2">
      <c r="A20" s="57" t="s">
        <v>108</v>
      </c>
      <c r="B20" s="55">
        <v>8497014.4399999995</v>
      </c>
      <c r="C20" s="56">
        <v>1781598.41</v>
      </c>
      <c r="D20" s="56">
        <v>1781598.41</v>
      </c>
      <c r="E20" s="56">
        <v>2141486.69</v>
      </c>
      <c r="F20" s="56">
        <v>2359310</v>
      </c>
      <c r="G20" s="56">
        <f t="shared" ref="G20:H38" si="10">F20*105%</f>
        <v>2477275.5</v>
      </c>
      <c r="H20" s="56">
        <f>G20*105%</f>
        <v>2601139.2749999999</v>
      </c>
      <c r="I20" s="121">
        <f t="shared" ref="I20:N20" si="11">H20*105%</f>
        <v>2731196.23875</v>
      </c>
      <c r="J20" s="121">
        <f t="shared" si="11"/>
        <v>2867756.0506875003</v>
      </c>
      <c r="K20" s="121">
        <f t="shared" si="11"/>
        <v>3011143.8532218756</v>
      </c>
      <c r="L20" s="121">
        <f t="shared" si="11"/>
        <v>3161701.0458829696</v>
      </c>
      <c r="M20" s="121">
        <f t="shared" si="11"/>
        <v>3319786.0981771182</v>
      </c>
      <c r="N20" s="121">
        <f t="shared" si="11"/>
        <v>3485775.4030859745</v>
      </c>
      <c r="O20" s="169">
        <f t="shared" si="2"/>
        <v>31719766.974805433</v>
      </c>
    </row>
    <row r="21" spans="1:15" x14ac:dyDescent="0.2">
      <c r="A21" s="57" t="s">
        <v>109</v>
      </c>
      <c r="B21" s="55">
        <v>1326255</v>
      </c>
      <c r="C21" s="56">
        <v>1166419</v>
      </c>
      <c r="D21" s="56">
        <v>1238714</v>
      </c>
      <c r="E21" s="56">
        <v>1271778</v>
      </c>
      <c r="F21" s="56">
        <v>1579696</v>
      </c>
      <c r="G21" s="56">
        <f>F21*105%</f>
        <v>1658680.8</v>
      </c>
      <c r="H21" s="56">
        <f>G21*105%</f>
        <v>1741614.84</v>
      </c>
      <c r="I21" s="121">
        <f t="shared" ref="I21:N21" si="12">H21*105%</f>
        <v>1828695.5820000002</v>
      </c>
      <c r="J21" s="121">
        <f t="shared" si="12"/>
        <v>1920130.3611000003</v>
      </c>
      <c r="K21" s="121">
        <f t="shared" si="12"/>
        <v>2016136.8791550004</v>
      </c>
      <c r="L21" s="121">
        <f t="shared" si="12"/>
        <v>2116943.7231127503</v>
      </c>
      <c r="M21" s="121">
        <f t="shared" si="12"/>
        <v>2222790.9092683881</v>
      </c>
      <c r="N21" s="121">
        <f t="shared" si="12"/>
        <v>2333930.4547318076</v>
      </c>
      <c r="O21" s="169">
        <f t="shared" si="2"/>
        <v>21095530.549367949</v>
      </c>
    </row>
    <row r="22" spans="1:15" x14ac:dyDescent="0.2">
      <c r="A22" s="58" t="s">
        <v>110</v>
      </c>
      <c r="B22" s="55">
        <f>1393480</f>
        <v>1393480</v>
      </c>
      <c r="C22" s="56">
        <v>0</v>
      </c>
      <c r="D22" s="56">
        <v>0</v>
      </c>
      <c r="E22" s="56">
        <v>0</v>
      </c>
      <c r="F22" s="56">
        <v>0</v>
      </c>
      <c r="G22" s="56">
        <f t="shared" si="10"/>
        <v>0</v>
      </c>
      <c r="H22" s="56">
        <f>G22*110%</f>
        <v>0</v>
      </c>
      <c r="I22" s="121">
        <f t="shared" ref="I22:N22" si="13">H22*105%</f>
        <v>0</v>
      </c>
      <c r="J22" s="121">
        <f t="shared" si="13"/>
        <v>0</v>
      </c>
      <c r="K22" s="121">
        <f t="shared" si="13"/>
        <v>0</v>
      </c>
      <c r="L22" s="121">
        <f t="shared" si="13"/>
        <v>0</v>
      </c>
      <c r="M22" s="121">
        <f t="shared" si="13"/>
        <v>0</v>
      </c>
      <c r="N22" s="121">
        <f t="shared" si="13"/>
        <v>0</v>
      </c>
      <c r="O22" s="55">
        <f t="shared" si="2"/>
        <v>0</v>
      </c>
    </row>
    <row r="23" spans="1:15" x14ac:dyDescent="0.2">
      <c r="A23" s="57" t="s">
        <v>111</v>
      </c>
      <c r="B23" s="55">
        <v>2083778</v>
      </c>
      <c r="C23" s="56">
        <v>3579101</v>
      </c>
      <c r="D23" s="56">
        <v>4234812.62</v>
      </c>
      <c r="E23" s="56">
        <f>D23*120%</f>
        <v>5081775.1440000003</v>
      </c>
      <c r="F23" s="56">
        <f>E23*120%</f>
        <v>6098130.1727999998</v>
      </c>
      <c r="G23" s="56">
        <f t="shared" ref="G23:H26" si="14">F23*105%</f>
        <v>6403036.6814400004</v>
      </c>
      <c r="H23" s="56">
        <f t="shared" si="14"/>
        <v>6723188.5155120008</v>
      </c>
      <c r="I23" s="121">
        <f t="shared" ref="I23:N23" si="15">H23*105%</f>
        <v>7059347.9412876014</v>
      </c>
      <c r="J23" s="121">
        <f t="shared" si="15"/>
        <v>7412315.3383519817</v>
      </c>
      <c r="K23" s="121">
        <f t="shared" si="15"/>
        <v>7782931.1052695811</v>
      </c>
      <c r="L23" s="121">
        <f t="shared" si="15"/>
        <v>8172077.6605330603</v>
      </c>
      <c r="M23" s="121">
        <f t="shared" si="15"/>
        <v>8580681.5435597133</v>
      </c>
      <c r="N23" s="121">
        <f t="shared" si="15"/>
        <v>9009715.6207376998</v>
      </c>
      <c r="O23" s="55">
        <f t="shared" si="2"/>
        <v>80137113.343491644</v>
      </c>
    </row>
    <row r="24" spans="1:15" x14ac:dyDescent="0.2">
      <c r="A24" s="57" t="s">
        <v>112</v>
      </c>
      <c r="B24" s="55">
        <v>9059772.8800000008</v>
      </c>
      <c r="C24" s="56">
        <v>660420.75</v>
      </c>
      <c r="D24" s="56">
        <v>660420.75</v>
      </c>
      <c r="E24" s="56">
        <f>514425.42+100000</f>
        <v>614425.41999999993</v>
      </c>
      <c r="F24" s="56">
        <f>E24*150%</f>
        <v>921638.12999999989</v>
      </c>
      <c r="G24" s="56">
        <f t="shared" si="14"/>
        <v>967720.03649999993</v>
      </c>
      <c r="H24" s="56">
        <f>G24*105%-40000</f>
        <v>976106.03832499997</v>
      </c>
      <c r="I24" s="121">
        <f t="shared" ref="I24:N24" si="16">H24*105%</f>
        <v>1024911.34024125</v>
      </c>
      <c r="J24" s="121">
        <f t="shared" si="16"/>
        <v>1076156.9072533126</v>
      </c>
      <c r="K24" s="121">
        <f t="shared" si="16"/>
        <v>1129964.7526159782</v>
      </c>
      <c r="L24" s="121">
        <f t="shared" si="16"/>
        <v>1186462.9902467772</v>
      </c>
      <c r="M24" s="121">
        <f t="shared" si="16"/>
        <v>1245786.1397591161</v>
      </c>
      <c r="N24" s="121">
        <f t="shared" si="16"/>
        <v>1308075.446747072</v>
      </c>
      <c r="O24" s="55">
        <f t="shared" si="2"/>
        <v>11772088.701688506</v>
      </c>
    </row>
    <row r="25" spans="1:15" x14ac:dyDescent="0.2">
      <c r="A25" s="59" t="s">
        <v>113</v>
      </c>
      <c r="B25" s="55">
        <v>1247250</v>
      </c>
      <c r="C25" s="56">
        <v>50000</v>
      </c>
      <c r="D25" s="56">
        <v>50000</v>
      </c>
      <c r="E25" s="56">
        <v>50000</v>
      </c>
      <c r="F25" s="56">
        <v>50000</v>
      </c>
      <c r="G25" s="56">
        <f t="shared" si="14"/>
        <v>52500</v>
      </c>
      <c r="H25" s="56">
        <f t="shared" si="14"/>
        <v>55125</v>
      </c>
      <c r="I25" s="121">
        <f t="shared" ref="I25:N25" si="17">H25*105%</f>
        <v>57881.25</v>
      </c>
      <c r="J25" s="121">
        <f t="shared" si="17"/>
        <v>60775.3125</v>
      </c>
      <c r="K25" s="121">
        <f t="shared" si="17"/>
        <v>63814.078125</v>
      </c>
      <c r="L25" s="121">
        <f t="shared" si="17"/>
        <v>67004.782031249997</v>
      </c>
      <c r="M25" s="121">
        <f t="shared" si="17"/>
        <v>70355.021132812501</v>
      </c>
      <c r="N25" s="121">
        <f t="shared" si="17"/>
        <v>73872.772189453128</v>
      </c>
      <c r="O25" s="55">
        <f t="shared" si="2"/>
        <v>701328.21597851557</v>
      </c>
    </row>
    <row r="26" spans="1:15" x14ac:dyDescent="0.2">
      <c r="A26" s="60" t="s">
        <v>114</v>
      </c>
      <c r="B26" s="55">
        <v>874027.77</v>
      </c>
      <c r="C26" s="56">
        <v>400000</v>
      </c>
      <c r="D26" s="56">
        <v>400000</v>
      </c>
      <c r="E26" s="56">
        <v>400000</v>
      </c>
      <c r="F26" s="56">
        <v>400000</v>
      </c>
      <c r="G26" s="56">
        <f t="shared" si="14"/>
        <v>420000</v>
      </c>
      <c r="H26" s="56">
        <f t="shared" si="14"/>
        <v>441000</v>
      </c>
      <c r="I26" s="121">
        <f t="shared" ref="I26:N26" si="18">H26*105%</f>
        <v>463050</v>
      </c>
      <c r="J26" s="121">
        <f t="shared" si="18"/>
        <v>486202.5</v>
      </c>
      <c r="K26" s="121">
        <f t="shared" si="18"/>
        <v>510512.625</v>
      </c>
      <c r="L26" s="121">
        <f t="shared" si="18"/>
        <v>536038.25624999998</v>
      </c>
      <c r="M26" s="121">
        <f t="shared" si="18"/>
        <v>562840.1690625</v>
      </c>
      <c r="N26" s="121">
        <f t="shared" si="18"/>
        <v>590982.17751562502</v>
      </c>
      <c r="O26" s="55">
        <f t="shared" si="2"/>
        <v>5610625.7278281245</v>
      </c>
    </row>
    <row r="27" spans="1:15" x14ac:dyDescent="0.2">
      <c r="A27" s="107" t="s">
        <v>115</v>
      </c>
      <c r="B27" s="61">
        <f>SUM(B28:B29)</f>
        <v>214961850</v>
      </c>
      <c r="C27" s="61">
        <f t="shared" ref="C27:N27" si="19">SUM(C28:C29)</f>
        <v>11134803</v>
      </c>
      <c r="D27" s="61">
        <f t="shared" si="19"/>
        <v>10751841</v>
      </c>
      <c r="E27" s="61">
        <f t="shared" si="19"/>
        <v>9697902</v>
      </c>
      <c r="F27" s="61">
        <f t="shared" si="19"/>
        <v>10093064</v>
      </c>
      <c r="G27" s="61">
        <f t="shared" si="19"/>
        <v>10585418.200000001</v>
      </c>
      <c r="H27" s="61">
        <f t="shared" si="19"/>
        <v>11117689.110000001</v>
      </c>
      <c r="I27" s="61">
        <f t="shared" si="19"/>
        <v>11673573.565500002</v>
      </c>
      <c r="J27" s="61">
        <f t="shared" si="19"/>
        <v>12257252.243775003</v>
      </c>
      <c r="K27" s="61">
        <f t="shared" si="19"/>
        <v>12870114.855963754</v>
      </c>
      <c r="L27" s="61">
        <f t="shared" si="19"/>
        <v>13513620.598761942</v>
      </c>
      <c r="M27" s="61">
        <f t="shared" si="19"/>
        <v>14189301.62870004</v>
      </c>
      <c r="N27" s="61">
        <f t="shared" si="19"/>
        <v>14898766.710135045</v>
      </c>
      <c r="O27" s="61">
        <f t="shared" si="2"/>
        <v>142783346.91283578</v>
      </c>
    </row>
    <row r="28" spans="1:15" x14ac:dyDescent="0.2">
      <c r="A28" s="57" t="s">
        <v>116</v>
      </c>
      <c r="B28" s="55">
        <v>214961850</v>
      </c>
      <c r="C28" s="56">
        <f>16855064-5743261</f>
        <v>11111803</v>
      </c>
      <c r="D28" s="56">
        <f>16855064-6138223</f>
        <v>10716841</v>
      </c>
      <c r="E28" s="151">
        <f>16855064-7196691</f>
        <v>9658373</v>
      </c>
      <c r="F28" s="56">
        <f>16855064-6800000</f>
        <v>10055064</v>
      </c>
      <c r="G28" s="56">
        <f>F28*105%-12399</f>
        <v>10545418.200000001</v>
      </c>
      <c r="H28" s="56">
        <f>G28*105%</f>
        <v>11072689.110000001</v>
      </c>
      <c r="I28" s="121">
        <f t="shared" ref="I28:N28" si="20">H28*105%</f>
        <v>11626323.565500002</v>
      </c>
      <c r="J28" s="121">
        <f t="shared" si="20"/>
        <v>12207639.743775003</v>
      </c>
      <c r="K28" s="121">
        <f t="shared" si="20"/>
        <v>12818021.730963754</v>
      </c>
      <c r="L28" s="121">
        <f t="shared" si="20"/>
        <v>13458922.817511942</v>
      </c>
      <c r="M28" s="121">
        <f t="shared" si="20"/>
        <v>14131868.958387541</v>
      </c>
      <c r="N28" s="121">
        <f t="shared" si="20"/>
        <v>14838462.406306919</v>
      </c>
      <c r="O28" s="55">
        <f t="shared" si="2"/>
        <v>142241427.53244516</v>
      </c>
    </row>
    <row r="29" spans="1:15" x14ac:dyDescent="0.2">
      <c r="A29" s="54" t="s">
        <v>117</v>
      </c>
      <c r="B29" s="55">
        <v>0</v>
      </c>
      <c r="C29" s="56">
        <v>23000</v>
      </c>
      <c r="D29" s="56">
        <v>35000</v>
      </c>
      <c r="E29" s="56">
        <v>39529</v>
      </c>
      <c r="F29" s="56">
        <v>38000</v>
      </c>
      <c r="G29" s="56">
        <v>40000</v>
      </c>
      <c r="H29" s="56">
        <v>45000</v>
      </c>
      <c r="I29" s="121">
        <f t="shared" ref="I29:N29" si="21">H29*105%</f>
        <v>47250</v>
      </c>
      <c r="J29" s="121">
        <f t="shared" si="21"/>
        <v>49612.5</v>
      </c>
      <c r="K29" s="121">
        <f t="shared" si="21"/>
        <v>52093.125</v>
      </c>
      <c r="L29" s="121">
        <f t="shared" si="21"/>
        <v>54697.78125</v>
      </c>
      <c r="M29" s="121">
        <f t="shared" si="21"/>
        <v>57432.670312500006</v>
      </c>
      <c r="N29" s="121">
        <f t="shared" si="21"/>
        <v>60304.303828125012</v>
      </c>
      <c r="O29" s="55">
        <f t="shared" si="2"/>
        <v>541919.38039062498</v>
      </c>
    </row>
    <row r="30" spans="1:15" x14ac:dyDescent="0.2">
      <c r="A30" s="108" t="s">
        <v>22</v>
      </c>
      <c r="B30" s="61">
        <f>SUM(B31:B38)</f>
        <v>16090068.01</v>
      </c>
      <c r="C30" s="61">
        <f t="shared" ref="C30:N30" si="22">SUM(C31:C38)</f>
        <v>2587148.7199999997</v>
      </c>
      <c r="D30" s="61">
        <f t="shared" si="22"/>
        <v>2268511.46</v>
      </c>
      <c r="E30" s="61">
        <f t="shared" si="22"/>
        <v>2266625.75</v>
      </c>
      <c r="F30" s="61">
        <f t="shared" si="22"/>
        <v>3523904.84</v>
      </c>
      <c r="G30" s="61">
        <f t="shared" si="22"/>
        <v>3661515.8669999996</v>
      </c>
      <c r="H30" s="61">
        <f t="shared" si="22"/>
        <v>3896417.4537</v>
      </c>
      <c r="I30" s="61">
        <f t="shared" si="22"/>
        <v>3991238.3263849998</v>
      </c>
      <c r="J30" s="61">
        <f t="shared" si="22"/>
        <v>4170800.2427042499</v>
      </c>
      <c r="K30" s="61">
        <f t="shared" si="22"/>
        <v>4349340.2548394622</v>
      </c>
      <c r="L30" s="61">
        <f t="shared" si="22"/>
        <v>4516807.2675814359</v>
      </c>
      <c r="M30" s="61">
        <f t="shared" si="22"/>
        <v>4672647.6309605082</v>
      </c>
      <c r="N30" s="61">
        <f t="shared" si="22"/>
        <v>4816280.0125085339</v>
      </c>
      <c r="O30" s="61">
        <f t="shared" si="2"/>
        <v>44721237.825679183</v>
      </c>
    </row>
    <row r="31" spans="1:15" x14ac:dyDescent="0.2">
      <c r="A31" s="54" t="s">
        <v>118</v>
      </c>
      <c r="B31" s="55">
        <v>1625073.16</v>
      </c>
      <c r="C31" s="56">
        <v>504851</v>
      </c>
      <c r="D31" s="56">
        <v>513593.55</v>
      </c>
      <c r="E31" s="56">
        <v>514456.2</v>
      </c>
      <c r="F31" s="56">
        <f>514456.2*150%</f>
        <v>771684.3</v>
      </c>
      <c r="G31" s="56">
        <f>514456.2*150%</f>
        <v>771684.3</v>
      </c>
      <c r="H31" s="56">
        <f>G31*110%</f>
        <v>848852.7300000001</v>
      </c>
      <c r="I31" s="121">
        <f>H31*105%-100000</f>
        <v>791295.36650000012</v>
      </c>
      <c r="J31" s="121">
        <f>I31*105%-20000</f>
        <v>810860.13482500019</v>
      </c>
      <c r="K31" s="121">
        <f>J31*105%-30000</f>
        <v>821403.14156625024</v>
      </c>
      <c r="L31" s="121">
        <f>K31*105%-50000</f>
        <v>812473.29864456283</v>
      </c>
      <c r="M31" s="121">
        <f>L31*105%-70000</f>
        <v>783096.96357679099</v>
      </c>
      <c r="N31" s="121">
        <f>M31*105%-90000</f>
        <v>732251.81175563054</v>
      </c>
      <c r="O31" s="55">
        <f t="shared" si="2"/>
        <v>8676502.7968682349</v>
      </c>
    </row>
    <row r="32" spans="1:15" x14ac:dyDescent="0.2">
      <c r="A32" s="54" t="s">
        <v>119</v>
      </c>
      <c r="B32" s="55">
        <v>0</v>
      </c>
      <c r="C32" s="56">
        <v>0</v>
      </c>
      <c r="D32" s="56">
        <v>33850</v>
      </c>
      <c r="E32" s="56">
        <v>0</v>
      </c>
      <c r="F32" s="56">
        <v>0</v>
      </c>
      <c r="G32" s="56">
        <f t="shared" si="10"/>
        <v>0</v>
      </c>
      <c r="H32" s="56">
        <f t="shared" ref="H32:H38" si="23">G32*110%</f>
        <v>0</v>
      </c>
      <c r="I32" s="121">
        <f t="shared" ref="I32:N32" si="24">H32*105%</f>
        <v>0</v>
      </c>
      <c r="J32" s="121">
        <f t="shared" si="24"/>
        <v>0</v>
      </c>
      <c r="K32" s="121">
        <f t="shared" si="24"/>
        <v>0</v>
      </c>
      <c r="L32" s="121">
        <f t="shared" si="24"/>
        <v>0</v>
      </c>
      <c r="M32" s="121">
        <f t="shared" si="24"/>
        <v>0</v>
      </c>
      <c r="N32" s="121">
        <f t="shared" si="24"/>
        <v>0</v>
      </c>
      <c r="O32" s="55">
        <f t="shared" si="2"/>
        <v>33850</v>
      </c>
    </row>
    <row r="33" spans="1:15" x14ac:dyDescent="0.2">
      <c r="A33" s="62" t="s">
        <v>120</v>
      </c>
      <c r="B33" s="55">
        <v>0</v>
      </c>
      <c r="C33" s="56">
        <v>237000</v>
      </c>
      <c r="D33" s="56">
        <v>0</v>
      </c>
      <c r="E33" s="56">
        <v>12000</v>
      </c>
      <c r="F33" s="56">
        <f>15000*150%</f>
        <v>22500</v>
      </c>
      <c r="G33" s="56">
        <f t="shared" si="10"/>
        <v>23625</v>
      </c>
      <c r="H33" s="56">
        <f t="shared" si="23"/>
        <v>25987.500000000004</v>
      </c>
      <c r="I33" s="121">
        <f t="shared" ref="I33:N33" si="25">H33*105%</f>
        <v>27286.875000000004</v>
      </c>
      <c r="J33" s="121">
        <f t="shared" si="25"/>
        <v>28651.218750000004</v>
      </c>
      <c r="K33" s="121">
        <f t="shared" si="25"/>
        <v>30083.779687500006</v>
      </c>
      <c r="L33" s="121">
        <f t="shared" si="25"/>
        <v>31587.968671875009</v>
      </c>
      <c r="M33" s="121">
        <f t="shared" si="25"/>
        <v>33167.367105468758</v>
      </c>
      <c r="N33" s="121">
        <f t="shared" si="25"/>
        <v>34825.735460742195</v>
      </c>
      <c r="O33" s="55">
        <f t="shared" si="2"/>
        <v>506715.44467558595</v>
      </c>
    </row>
    <row r="34" spans="1:15" x14ac:dyDescent="0.2">
      <c r="A34" s="63" t="s">
        <v>121</v>
      </c>
      <c r="B34" s="55">
        <v>0</v>
      </c>
      <c r="C34" s="56">
        <v>1500000</v>
      </c>
      <c r="D34" s="56">
        <v>1500000</v>
      </c>
      <c r="E34" s="56">
        <v>1500000</v>
      </c>
      <c r="F34" s="56">
        <v>2500000</v>
      </c>
      <c r="G34" s="56">
        <f t="shared" si="10"/>
        <v>2625000</v>
      </c>
      <c r="H34" s="56">
        <f t="shared" si="10"/>
        <v>2756250</v>
      </c>
      <c r="I34" s="121">
        <f t="shared" ref="I34:N34" si="26">H34*105%</f>
        <v>2894062.5</v>
      </c>
      <c r="J34" s="121">
        <f t="shared" si="26"/>
        <v>3038765.625</v>
      </c>
      <c r="K34" s="121">
        <f t="shared" si="26"/>
        <v>3190703.90625</v>
      </c>
      <c r="L34" s="121">
        <f t="shared" si="26"/>
        <v>3350239.1015625</v>
      </c>
      <c r="M34" s="121">
        <f t="shared" si="26"/>
        <v>3517751.056640625</v>
      </c>
      <c r="N34" s="121">
        <f t="shared" si="26"/>
        <v>3693638.6094726566</v>
      </c>
      <c r="O34" s="55">
        <f t="shared" si="2"/>
        <v>32066410.79892578</v>
      </c>
    </row>
    <row r="35" spans="1:15" x14ac:dyDescent="0.2">
      <c r="A35" s="60" t="s">
        <v>122</v>
      </c>
      <c r="B35" s="55">
        <v>2977632.2</v>
      </c>
      <c r="C35" s="56">
        <v>0</v>
      </c>
      <c r="D35" s="56">
        <v>0</v>
      </c>
      <c r="E35" s="56">
        <v>0</v>
      </c>
      <c r="F35" s="56">
        <v>0</v>
      </c>
      <c r="G35" s="56">
        <f t="shared" si="10"/>
        <v>0</v>
      </c>
      <c r="H35" s="56">
        <f t="shared" si="23"/>
        <v>0</v>
      </c>
      <c r="I35" s="121">
        <f t="shared" ref="I35:N35" si="27">H35*105%</f>
        <v>0</v>
      </c>
      <c r="J35" s="121">
        <f t="shared" si="27"/>
        <v>0</v>
      </c>
      <c r="K35" s="121">
        <f t="shared" si="27"/>
        <v>0</v>
      </c>
      <c r="L35" s="121">
        <f t="shared" si="27"/>
        <v>0</v>
      </c>
      <c r="M35" s="121">
        <f t="shared" si="27"/>
        <v>0</v>
      </c>
      <c r="N35" s="121">
        <f t="shared" si="27"/>
        <v>0</v>
      </c>
      <c r="O35" s="55">
        <f t="shared" si="2"/>
        <v>0</v>
      </c>
    </row>
    <row r="36" spans="1:15" x14ac:dyDescent="0.2">
      <c r="A36" s="64" t="s">
        <v>123</v>
      </c>
      <c r="B36" s="55">
        <v>13800</v>
      </c>
      <c r="C36" s="56">
        <v>0</v>
      </c>
      <c r="D36" s="56">
        <v>0</v>
      </c>
      <c r="E36" s="56">
        <v>0</v>
      </c>
      <c r="F36" s="56">
        <v>0</v>
      </c>
      <c r="G36" s="56">
        <f t="shared" si="10"/>
        <v>0</v>
      </c>
      <c r="H36" s="56">
        <f t="shared" si="23"/>
        <v>0</v>
      </c>
      <c r="I36" s="121">
        <f t="shared" ref="I36:N36" si="28">H36*105%</f>
        <v>0</v>
      </c>
      <c r="J36" s="121">
        <f t="shared" si="28"/>
        <v>0</v>
      </c>
      <c r="K36" s="121">
        <f t="shared" si="28"/>
        <v>0</v>
      </c>
      <c r="L36" s="121">
        <f t="shared" si="28"/>
        <v>0</v>
      </c>
      <c r="M36" s="121">
        <f t="shared" si="28"/>
        <v>0</v>
      </c>
      <c r="N36" s="121">
        <f t="shared" si="28"/>
        <v>0</v>
      </c>
      <c r="O36" s="55">
        <f t="shared" si="2"/>
        <v>0</v>
      </c>
    </row>
    <row r="37" spans="1:15" x14ac:dyDescent="0.2">
      <c r="A37" s="64" t="s">
        <v>124</v>
      </c>
      <c r="B37" s="55">
        <v>6500000</v>
      </c>
      <c r="C37" s="56">
        <v>0</v>
      </c>
      <c r="D37" s="56">
        <v>0</v>
      </c>
      <c r="E37" s="56">
        <v>0</v>
      </c>
      <c r="F37" s="56">
        <v>0</v>
      </c>
      <c r="G37" s="56">
        <f t="shared" si="10"/>
        <v>0</v>
      </c>
      <c r="H37" s="56">
        <f t="shared" si="23"/>
        <v>0</v>
      </c>
      <c r="I37" s="121">
        <f t="shared" ref="I37:N37" si="29">H37*105%</f>
        <v>0</v>
      </c>
      <c r="J37" s="121">
        <f t="shared" si="29"/>
        <v>0</v>
      </c>
      <c r="K37" s="121">
        <f t="shared" si="29"/>
        <v>0</v>
      </c>
      <c r="L37" s="121">
        <f t="shared" si="29"/>
        <v>0</v>
      </c>
      <c r="M37" s="121">
        <f t="shared" si="29"/>
        <v>0</v>
      </c>
      <c r="N37" s="121">
        <f t="shared" si="29"/>
        <v>0</v>
      </c>
      <c r="O37" s="55">
        <f t="shared" si="2"/>
        <v>0</v>
      </c>
    </row>
    <row r="38" spans="1:15" x14ac:dyDescent="0.2">
      <c r="A38" s="62" t="s">
        <v>125</v>
      </c>
      <c r="B38" s="55">
        <v>4973562.6500000004</v>
      </c>
      <c r="C38" s="56">
        <v>345297.72</v>
      </c>
      <c r="D38" s="56">
        <v>221067.91</v>
      </c>
      <c r="E38" s="56">
        <v>240169.55</v>
      </c>
      <c r="F38" s="56">
        <v>229720.54</v>
      </c>
      <c r="G38" s="56">
        <f t="shared" si="10"/>
        <v>241206.56700000001</v>
      </c>
      <c r="H38" s="56">
        <f t="shared" si="23"/>
        <v>265327.22370000003</v>
      </c>
      <c r="I38" s="121">
        <f t="shared" ref="I38:N38" si="30">H38*105%</f>
        <v>278593.58488500002</v>
      </c>
      <c r="J38" s="121">
        <f t="shared" si="30"/>
        <v>292523.26412925002</v>
      </c>
      <c r="K38" s="121">
        <f t="shared" si="30"/>
        <v>307149.42733571253</v>
      </c>
      <c r="L38" s="121">
        <f t="shared" si="30"/>
        <v>322506.89870249818</v>
      </c>
      <c r="M38" s="121">
        <f t="shared" si="30"/>
        <v>338632.24363762309</v>
      </c>
      <c r="N38" s="121">
        <f t="shared" si="30"/>
        <v>355563.85581950424</v>
      </c>
      <c r="O38" s="55">
        <f t="shared" si="2"/>
        <v>3437758.7852095882</v>
      </c>
    </row>
    <row r="39" spans="1:15" ht="13.5" thickBot="1" x14ac:dyDescent="0.25">
      <c r="A39" s="50" t="s">
        <v>126</v>
      </c>
      <c r="B39" s="51">
        <f>B9+B16+B27+B30</f>
        <v>450637354.87</v>
      </c>
      <c r="C39" s="51">
        <f t="shared" ref="C39:N39" si="31">C9+C16+C27+C30</f>
        <v>81883461.930000007</v>
      </c>
      <c r="D39" s="51">
        <f t="shared" si="31"/>
        <v>89318976.890000001</v>
      </c>
      <c r="E39" s="51">
        <f t="shared" si="31"/>
        <v>104574175.24399999</v>
      </c>
      <c r="F39" s="51">
        <f t="shared" si="31"/>
        <v>142952113.87080002</v>
      </c>
      <c r="G39" s="51">
        <f t="shared" si="31"/>
        <v>148048836.34934002</v>
      </c>
      <c r="H39" s="51">
        <f t="shared" si="31"/>
        <v>154376104.96015704</v>
      </c>
      <c r="I39" s="51">
        <f>I9+I16+I27+I30</f>
        <v>162194909.20816487</v>
      </c>
      <c r="J39" s="51">
        <f t="shared" si="31"/>
        <v>170584653.66857314</v>
      </c>
      <c r="K39" s="51">
        <f t="shared" si="31"/>
        <v>179133886.35200179</v>
      </c>
      <c r="L39" s="51">
        <f t="shared" si="31"/>
        <v>187540580.66960192</v>
      </c>
      <c r="M39" s="51">
        <f t="shared" si="31"/>
        <v>196247609.703082</v>
      </c>
      <c r="N39" s="51">
        <f t="shared" si="31"/>
        <v>205269990.18823615</v>
      </c>
      <c r="O39" s="51">
        <f t="shared" si="2"/>
        <v>1822125299.033957</v>
      </c>
    </row>
    <row r="40" spans="1:15" ht="13.5" thickTop="1" x14ac:dyDescent="0.2">
      <c r="A40" s="106" t="s">
        <v>3</v>
      </c>
      <c r="B40" s="65">
        <f>B7-B39</f>
        <v>215430603.89999998</v>
      </c>
      <c r="C40" s="65">
        <f t="shared" ref="C40:O40" si="32">C7-C39</f>
        <v>9129831.805399999</v>
      </c>
      <c r="D40" s="65">
        <f t="shared" si="32"/>
        <v>9408825.6128000021</v>
      </c>
      <c r="E40" s="65">
        <f t="shared" si="32"/>
        <v>11362356.59800002</v>
      </c>
      <c r="F40" s="65">
        <f t="shared" si="32"/>
        <v>16659277.819399983</v>
      </c>
      <c r="G40" s="65">
        <f t="shared" si="32"/>
        <v>16963505.59839794</v>
      </c>
      <c r="H40" s="65">
        <f t="shared" si="32"/>
        <v>16904895.57286042</v>
      </c>
      <c r="I40" s="65">
        <f t="shared" si="32"/>
        <v>17650141.351503462</v>
      </c>
      <c r="J40" s="65">
        <f t="shared" si="32"/>
        <v>18252649.419078618</v>
      </c>
      <c r="K40" s="65">
        <f t="shared" si="32"/>
        <v>19145281.89003256</v>
      </c>
      <c r="L40" s="65">
        <f t="shared" si="32"/>
        <v>20652545.984534144</v>
      </c>
      <c r="M40" s="65">
        <f t="shared" si="32"/>
        <v>22355173.283760875</v>
      </c>
      <c r="N40" s="65">
        <f t="shared" si="32"/>
        <v>24262931.947948873</v>
      </c>
      <c r="O40" s="65">
        <f t="shared" si="32"/>
        <v>202747416.88371658</v>
      </c>
    </row>
    <row r="41" spans="1:15" x14ac:dyDescent="0.2">
      <c r="A41" s="53" t="s">
        <v>127</v>
      </c>
      <c r="B41" s="66">
        <f t="shared" ref="B41:O41" si="33">IFERROR(B40/B2,0)</f>
        <v>9.0037614792031651E-2</v>
      </c>
      <c r="C41" s="66">
        <f t="shared" si="33"/>
        <v>9.4803664757712028E-2</v>
      </c>
      <c r="D41" s="66">
        <f t="shared" si="33"/>
        <v>9.0083072201893932E-2</v>
      </c>
      <c r="E41" s="66">
        <f t="shared" si="33"/>
        <v>9.3000002706704762E-2</v>
      </c>
      <c r="F41" s="156">
        <f t="shared" si="33"/>
        <v>9.9000001081976569E-2</v>
      </c>
      <c r="G41" s="156">
        <f t="shared" si="33"/>
        <v>9.6999997772264951E-2</v>
      </c>
      <c r="H41" s="156">
        <f t="shared" si="33"/>
        <v>9.2823471743715039E-2</v>
      </c>
      <c r="I41" s="156">
        <f t="shared" si="33"/>
        <v>9.2300531971573369E-2</v>
      </c>
      <c r="J41" s="156">
        <f t="shared" si="33"/>
        <v>9.0906016947757087E-2</v>
      </c>
      <c r="K41" s="156">
        <f t="shared" si="33"/>
        <v>9.0811151641345927E-2</v>
      </c>
      <c r="L41" s="156">
        <f t="shared" si="33"/>
        <v>9.3295719190210735E-2</v>
      </c>
      <c r="M41" s="156">
        <f t="shared" si="33"/>
        <v>9.6178247775041234E-2</v>
      </c>
      <c r="N41" s="156">
        <f t="shared" si="33"/>
        <v>9.9415202404772418E-2</v>
      </c>
      <c r="O41" s="156">
        <f t="shared" si="33"/>
        <v>9.4349658724671215E-2</v>
      </c>
    </row>
    <row r="42" spans="1:15" x14ac:dyDescent="0.2">
      <c r="A42" t="s">
        <v>128</v>
      </c>
      <c r="B42" s="52">
        <v>5225538.43</v>
      </c>
      <c r="C42" s="150">
        <v>522553</v>
      </c>
      <c r="D42" s="149">
        <f>C42*110%</f>
        <v>574808.30000000005</v>
      </c>
      <c r="E42" s="149">
        <f t="shared" ref="E42:G42" si="34">D42*110%</f>
        <v>632289.13000000012</v>
      </c>
      <c r="F42" s="149">
        <f t="shared" si="34"/>
        <v>695518.04300000018</v>
      </c>
      <c r="G42" s="149">
        <f t="shared" si="34"/>
        <v>765069.84730000026</v>
      </c>
      <c r="H42" s="149">
        <f t="shared" ref="H42" si="35">G42*110%</f>
        <v>841576.8320300004</v>
      </c>
      <c r="I42" s="149">
        <f t="shared" ref="I42" si="36">H42*110%</f>
        <v>925734.51523300051</v>
      </c>
      <c r="J42" s="149">
        <f t="shared" ref="J42" si="37">I42*110%</f>
        <v>1018307.9667563007</v>
      </c>
      <c r="K42" s="149">
        <f t="shared" ref="K42" si="38">J42*110%</f>
        <v>1120138.7634319309</v>
      </c>
      <c r="L42" s="149">
        <f t="shared" ref="L42" si="39">K42*110%</f>
        <v>1232152.6397751241</v>
      </c>
      <c r="M42" s="149">
        <f t="shared" ref="M42" si="40">L42*110%</f>
        <v>1355367.9037526366</v>
      </c>
      <c r="N42" s="149">
        <f t="shared" ref="N42" si="41">M42*110%</f>
        <v>1490904.6941279005</v>
      </c>
      <c r="O42" s="149">
        <f t="shared" si="2"/>
        <v>11174421.635406895</v>
      </c>
    </row>
    <row r="43" spans="1:15" x14ac:dyDescent="0.2">
      <c r="A43" s="46" t="s">
        <v>129</v>
      </c>
      <c r="B43" s="65">
        <f>B40-B42</f>
        <v>210205065.46999997</v>
      </c>
      <c r="C43" s="65">
        <f t="shared" ref="C43:O43" si="42">C40-C42</f>
        <v>8607278.805399999</v>
      </c>
      <c r="D43" s="65">
        <f t="shared" si="42"/>
        <v>8834017.3128000014</v>
      </c>
      <c r="E43" s="65">
        <f t="shared" si="42"/>
        <v>10730067.468000019</v>
      </c>
      <c r="F43" s="65">
        <f t="shared" si="42"/>
        <v>15963759.776399983</v>
      </c>
      <c r="G43" s="65">
        <f t="shared" si="42"/>
        <v>16198435.75109794</v>
      </c>
      <c r="H43" s="65">
        <f t="shared" si="42"/>
        <v>16063318.74083042</v>
      </c>
      <c r="I43" s="65">
        <f t="shared" si="42"/>
        <v>16724406.836270461</v>
      </c>
      <c r="J43" s="65">
        <f t="shared" si="42"/>
        <v>17234341.452322319</v>
      </c>
      <c r="K43" s="65">
        <f t="shared" si="42"/>
        <v>18025143.126600631</v>
      </c>
      <c r="L43" s="65">
        <f t="shared" si="42"/>
        <v>19420393.344759021</v>
      </c>
      <c r="M43" s="65">
        <f t="shared" si="42"/>
        <v>20999805.380008239</v>
      </c>
      <c r="N43" s="65">
        <f t="shared" si="42"/>
        <v>22772027.253820971</v>
      </c>
      <c r="O43" s="65">
        <f t="shared" si="42"/>
        <v>191572995.2483097</v>
      </c>
    </row>
    <row r="44" spans="1:15" x14ac:dyDescent="0.2">
      <c r="A44" s="109" t="s">
        <v>130</v>
      </c>
      <c r="B44" s="67">
        <v>343641.28</v>
      </c>
      <c r="C44" s="68">
        <v>268858</v>
      </c>
      <c r="D44" s="56">
        <f>C44*105%</f>
        <v>282300.90000000002</v>
      </c>
      <c r="E44" s="56">
        <f t="shared" ref="E44:N44" si="43">D44*105%</f>
        <v>296415.94500000007</v>
      </c>
      <c r="F44" s="56">
        <f t="shared" si="43"/>
        <v>311236.74225000007</v>
      </c>
      <c r="G44" s="56">
        <f t="shared" si="43"/>
        <v>326798.57936250011</v>
      </c>
      <c r="H44" s="56">
        <f t="shared" si="43"/>
        <v>343138.50833062513</v>
      </c>
      <c r="I44" s="56">
        <f t="shared" si="43"/>
        <v>360295.43374715641</v>
      </c>
      <c r="J44" s="56">
        <f t="shared" si="43"/>
        <v>378310.20543451427</v>
      </c>
      <c r="K44" s="56">
        <f t="shared" si="43"/>
        <v>397225.71570623998</v>
      </c>
      <c r="L44" s="56">
        <f t="shared" si="43"/>
        <v>417087.00149155199</v>
      </c>
      <c r="M44" s="56">
        <f t="shared" si="43"/>
        <v>437941.3515661296</v>
      </c>
      <c r="N44" s="56">
        <f t="shared" si="43"/>
        <v>459838.41914443608</v>
      </c>
      <c r="O44" s="56">
        <f t="shared" si="2"/>
        <v>4279446.8020331534</v>
      </c>
    </row>
    <row r="45" spans="1:15" x14ac:dyDescent="0.2">
      <c r="A45" s="46" t="s">
        <v>154</v>
      </c>
      <c r="B45" s="49">
        <f>B43-B44+B3</f>
        <v>210561424.18999997</v>
      </c>
      <c r="C45" s="49">
        <f t="shared" ref="C45:O45" si="44">C43-C44+C3</f>
        <v>8411920.805399999</v>
      </c>
      <c r="D45" s="49">
        <f t="shared" si="44"/>
        <v>8628891.412800001</v>
      </c>
      <c r="E45" s="49">
        <f t="shared" si="44"/>
        <v>10514685.273000019</v>
      </c>
      <c r="F45" s="49">
        <f t="shared" si="44"/>
        <v>15737608.471649984</v>
      </c>
      <c r="G45" s="49">
        <f t="shared" si="44"/>
        <v>15960976.881110439</v>
      </c>
      <c r="H45" s="49">
        <f t="shared" si="44"/>
        <v>15813986.927343545</v>
      </c>
      <c r="I45" s="49">
        <f t="shared" si="44"/>
        <v>16462608.432109242</v>
      </c>
      <c r="J45" s="49">
        <f t="shared" si="44"/>
        <v>16959453.127953038</v>
      </c>
      <c r="K45" s="49">
        <f t="shared" si="44"/>
        <v>17736510.386012886</v>
      </c>
      <c r="L45" s="49">
        <f t="shared" si="44"/>
        <v>19117328.967141893</v>
      </c>
      <c r="M45" s="49">
        <f t="shared" si="44"/>
        <v>20681587.783510253</v>
      </c>
      <c r="N45" s="49">
        <f t="shared" si="44"/>
        <v>22437898.777498081</v>
      </c>
      <c r="O45" s="49">
        <f t="shared" si="44"/>
        <v>188463457.24552909</v>
      </c>
    </row>
    <row r="46" spans="1:15" x14ac:dyDescent="0.2">
      <c r="A46" s="53" t="s">
        <v>131</v>
      </c>
      <c r="B46" s="120">
        <v>0</v>
      </c>
      <c r="C46" s="120">
        <v>0</v>
      </c>
      <c r="D46" s="120">
        <v>0</v>
      </c>
      <c r="E46" s="120">
        <v>0</v>
      </c>
      <c r="F46" s="120">
        <v>0</v>
      </c>
      <c r="G46" s="120">
        <v>0</v>
      </c>
      <c r="H46" s="120">
        <v>0</v>
      </c>
      <c r="I46" s="120">
        <f t="shared" ref="I46:N46" si="45">H46*105%</f>
        <v>0</v>
      </c>
      <c r="J46" s="120">
        <f t="shared" si="45"/>
        <v>0</v>
      </c>
      <c r="K46" s="120">
        <f t="shared" si="45"/>
        <v>0</v>
      </c>
      <c r="L46" s="120">
        <f t="shared" si="45"/>
        <v>0</v>
      </c>
      <c r="M46" s="120">
        <f t="shared" si="45"/>
        <v>0</v>
      </c>
      <c r="N46" s="120">
        <f t="shared" si="45"/>
        <v>0</v>
      </c>
      <c r="O46" s="120">
        <f t="shared" si="2"/>
        <v>0</v>
      </c>
    </row>
    <row r="47" spans="1:15" x14ac:dyDescent="0.2">
      <c r="A47" s="53" t="s">
        <v>132</v>
      </c>
      <c r="B47" s="120">
        <v>0</v>
      </c>
      <c r="C47" s="120">
        <v>0</v>
      </c>
      <c r="D47" s="120">
        <v>0</v>
      </c>
      <c r="E47" s="120">
        <v>0</v>
      </c>
      <c r="F47" s="120">
        <v>0</v>
      </c>
      <c r="G47" s="120">
        <v>0</v>
      </c>
      <c r="H47" s="120">
        <v>0</v>
      </c>
      <c r="I47" s="120">
        <f t="shared" ref="I47:N47" si="46">H47*105%</f>
        <v>0</v>
      </c>
      <c r="J47" s="120">
        <f t="shared" si="46"/>
        <v>0</v>
      </c>
      <c r="K47" s="120">
        <f t="shared" si="46"/>
        <v>0</v>
      </c>
      <c r="L47" s="120">
        <f t="shared" si="46"/>
        <v>0</v>
      </c>
      <c r="M47" s="120">
        <f t="shared" si="46"/>
        <v>0</v>
      </c>
      <c r="N47" s="120">
        <f t="shared" si="46"/>
        <v>0</v>
      </c>
      <c r="O47" s="120">
        <f t="shared" si="2"/>
        <v>0</v>
      </c>
    </row>
    <row r="48" spans="1:15" x14ac:dyDescent="0.2">
      <c r="A48" s="53" t="s">
        <v>133</v>
      </c>
      <c r="B48" s="120">
        <v>0</v>
      </c>
      <c r="C48" s="120">
        <v>0</v>
      </c>
      <c r="D48" s="120">
        <v>0</v>
      </c>
      <c r="E48" s="120">
        <v>0</v>
      </c>
      <c r="F48" s="120">
        <v>0</v>
      </c>
      <c r="G48" s="120">
        <v>0</v>
      </c>
      <c r="H48" s="120">
        <v>0</v>
      </c>
      <c r="I48" s="120">
        <f t="shared" ref="I48:N48" si="47">H48*105%</f>
        <v>0</v>
      </c>
      <c r="J48" s="120">
        <f t="shared" si="47"/>
        <v>0</v>
      </c>
      <c r="K48" s="120">
        <f t="shared" si="47"/>
        <v>0</v>
      </c>
      <c r="L48" s="120">
        <f t="shared" si="47"/>
        <v>0</v>
      </c>
      <c r="M48" s="120">
        <f t="shared" si="47"/>
        <v>0</v>
      </c>
      <c r="N48" s="120">
        <f t="shared" si="47"/>
        <v>0</v>
      </c>
      <c r="O48" s="120">
        <f t="shared" si="2"/>
        <v>0</v>
      </c>
    </row>
    <row r="49" spans="1:15" x14ac:dyDescent="0.2">
      <c r="A49" s="106" t="s">
        <v>153</v>
      </c>
      <c r="B49" s="49">
        <f>B45-SUM(B46:B48)</f>
        <v>210561424.18999997</v>
      </c>
      <c r="C49" s="49">
        <f t="shared" ref="C49:O49" si="48">C45-SUM(C46:C48)</f>
        <v>8411920.805399999</v>
      </c>
      <c r="D49" s="49">
        <f t="shared" si="48"/>
        <v>8628891.412800001</v>
      </c>
      <c r="E49" s="49">
        <f t="shared" si="48"/>
        <v>10514685.273000019</v>
      </c>
      <c r="F49" s="49">
        <f t="shared" si="48"/>
        <v>15737608.471649984</v>
      </c>
      <c r="G49" s="49">
        <f t="shared" si="48"/>
        <v>15960976.881110439</v>
      </c>
      <c r="H49" s="49">
        <f t="shared" si="48"/>
        <v>15813986.927343545</v>
      </c>
      <c r="I49" s="49">
        <f t="shared" si="48"/>
        <v>16462608.432109242</v>
      </c>
      <c r="J49" s="49">
        <f t="shared" si="48"/>
        <v>16959453.127953038</v>
      </c>
      <c r="K49" s="49">
        <f t="shared" si="48"/>
        <v>17736510.386012886</v>
      </c>
      <c r="L49" s="49">
        <f t="shared" si="48"/>
        <v>19117328.967141893</v>
      </c>
      <c r="M49" s="49">
        <f t="shared" si="48"/>
        <v>20681587.783510253</v>
      </c>
      <c r="N49" s="49">
        <f t="shared" si="48"/>
        <v>22437898.777498081</v>
      </c>
      <c r="O49" s="49">
        <f t="shared" si="48"/>
        <v>188463457.24552909</v>
      </c>
    </row>
    <row r="50" spans="1:15" x14ac:dyDescent="0.2">
      <c r="A50" s="53" t="s">
        <v>169</v>
      </c>
      <c r="B50" s="168">
        <f>B49/B2</f>
        <v>8.8002577433617793E-2</v>
      </c>
      <c r="C50" s="168">
        <f t="shared" ref="C50:G50" si="49">C49/C2</f>
        <v>8.7348916935345994E-2</v>
      </c>
      <c r="D50" s="168">
        <f t="shared" si="49"/>
        <v>8.2615735496689768E-2</v>
      </c>
      <c r="E50" s="168">
        <f t="shared" si="49"/>
        <v>8.6061879013837009E-2</v>
      </c>
      <c r="F50" s="168">
        <f t="shared" si="49"/>
        <v>9.3522856909603269E-2</v>
      </c>
      <c r="G50" s="168">
        <f t="shared" si="49"/>
        <v>9.1267380608940921E-2</v>
      </c>
      <c r="H50" s="168">
        <f t="shared" ref="H50" si="50">H49/H2</f>
        <v>8.6833376898368661E-2</v>
      </c>
      <c r="I50" s="168">
        <f t="shared" ref="I50" si="51">I49/I2</f>
        <v>8.6090387927344206E-2</v>
      </c>
      <c r="J50" s="168">
        <f t="shared" ref="J50" si="52">J49/J2</f>
        <v>8.4465345171365031E-2</v>
      </c>
      <c r="K50" s="168">
        <f t="shared" ref="K50" si="53">K49/K2</f>
        <v>8.4128974621735589E-2</v>
      </c>
      <c r="L50" s="168">
        <f t="shared" ref="L50" si="54">L49/L2</f>
        <v>8.636053667770506E-2</v>
      </c>
      <c r="M50" s="168">
        <f t="shared" ref="M50" si="55">M49/M2</f>
        <v>8.8978011889026154E-2</v>
      </c>
      <c r="N50" s="168">
        <f t="shared" ref="N50:O50" si="56">N49/N2</f>
        <v>9.1937291556033168E-2</v>
      </c>
      <c r="O50" s="168">
        <f t="shared" si="56"/>
        <v>8.7702537208578513E-2</v>
      </c>
    </row>
    <row r="51" spans="1:15" x14ac:dyDescent="0.2">
      <c r="A51" s="53" t="s">
        <v>170</v>
      </c>
      <c r="B51" s="168">
        <f>B39/B2</f>
        <v>0.18834052281410854</v>
      </c>
      <c r="C51" s="168">
        <f t="shared" ref="C51:O51" si="57">C39/C2</f>
        <v>0.85027330617647534</v>
      </c>
      <c r="D51" s="168">
        <f t="shared" si="57"/>
        <v>0.85516813418616355</v>
      </c>
      <c r="E51" s="168">
        <f t="shared" si="57"/>
        <v>0.85593146957342126</v>
      </c>
      <c r="F51" s="168">
        <f t="shared" si="57"/>
        <v>0.8495121806180288</v>
      </c>
      <c r="G51" s="168">
        <f t="shared" si="57"/>
        <v>0.84656657273887126</v>
      </c>
      <c r="H51" s="168">
        <f t="shared" si="57"/>
        <v>0.84766723076830219</v>
      </c>
      <c r="I51" s="168">
        <f t="shared" si="57"/>
        <v>0.84819017054044388</v>
      </c>
      <c r="J51" s="168">
        <f t="shared" si="57"/>
        <v>0.84958468556426014</v>
      </c>
      <c r="K51" s="168">
        <f t="shared" si="57"/>
        <v>0.84967955087067126</v>
      </c>
      <c r="L51" s="168">
        <f t="shared" si="57"/>
        <v>0.84719498332180643</v>
      </c>
      <c r="M51" s="168">
        <f t="shared" si="57"/>
        <v>0.84431245473697591</v>
      </c>
      <c r="N51" s="168">
        <f t="shared" si="57"/>
        <v>0.84107550010724474</v>
      </c>
      <c r="O51" s="168">
        <f t="shared" si="57"/>
        <v>0.84793632767239768</v>
      </c>
    </row>
    <row r="53" spans="1:15" x14ac:dyDescent="0.2">
      <c r="B53" s="152"/>
      <c r="C53" s="152"/>
      <c r="D53" s="152"/>
      <c r="E53" s="152"/>
      <c r="F53" s="152"/>
      <c r="G53" s="152"/>
      <c r="O53" s="152"/>
    </row>
  </sheetData>
  <autoFilter ref="A1:O49" xr:uid="{3EDB0200-4E48-42C1-92C6-72713800A35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D130-8796-47DF-BEA3-ABD19C40C57E}">
  <dimension ref="A1:H13"/>
  <sheetViews>
    <sheetView workbookViewId="0">
      <selection activeCell="C5" sqref="C5"/>
    </sheetView>
  </sheetViews>
  <sheetFormatPr defaultRowHeight="12.75" x14ac:dyDescent="0.2"/>
  <cols>
    <col min="1" max="2" width="29.33203125" bestFit="1" customWidth="1"/>
    <col min="3" max="3" width="26.33203125" bestFit="1" customWidth="1"/>
    <col min="4" max="4" width="7" bestFit="1" customWidth="1"/>
    <col min="5" max="5" width="10.83203125" bestFit="1" customWidth="1"/>
    <col min="6" max="6" width="17" bestFit="1" customWidth="1"/>
    <col min="7" max="7" width="28.33203125" bestFit="1" customWidth="1"/>
    <col min="8" max="8" width="32.6640625" bestFit="1" customWidth="1"/>
  </cols>
  <sheetData>
    <row r="1" spans="1:8" ht="16.5" thickBot="1" x14ac:dyDescent="0.25">
      <c r="A1" s="136" t="s">
        <v>90</v>
      </c>
      <c r="B1" s="137" t="s">
        <v>137</v>
      </c>
      <c r="C1" s="137" t="s">
        <v>138</v>
      </c>
      <c r="D1" s="137" t="s">
        <v>7</v>
      </c>
      <c r="E1" s="137" t="s">
        <v>64</v>
      </c>
      <c r="F1" s="137" t="s">
        <v>155</v>
      </c>
      <c r="G1" s="137" t="s">
        <v>10</v>
      </c>
      <c r="H1" s="138" t="s">
        <v>11</v>
      </c>
    </row>
    <row r="2" spans="1:8" ht="15.75" x14ac:dyDescent="0.2">
      <c r="A2" s="105" t="s">
        <v>37</v>
      </c>
      <c r="B2" s="139" t="s">
        <v>38</v>
      </c>
      <c r="C2" s="140">
        <v>1605896238.4499998</v>
      </c>
      <c r="D2" s="141" t="s">
        <v>0</v>
      </c>
      <c r="E2" s="142">
        <v>318.65741770597498</v>
      </c>
      <c r="F2" s="141" t="s">
        <v>17</v>
      </c>
      <c r="G2" s="139" t="s">
        <v>85</v>
      </c>
      <c r="H2" s="143" t="s">
        <v>156</v>
      </c>
    </row>
    <row r="3" spans="1:8" ht="15.75" x14ac:dyDescent="0.25">
      <c r="A3" s="101" t="s">
        <v>37</v>
      </c>
      <c r="B3" s="97" t="s">
        <v>39</v>
      </c>
      <c r="C3" s="122">
        <v>841864406.33000028</v>
      </c>
      <c r="D3" s="98" t="s">
        <v>1</v>
      </c>
      <c r="E3" s="99">
        <v>616.43644301404333</v>
      </c>
      <c r="F3" s="98" t="s">
        <v>18</v>
      </c>
      <c r="G3" s="97" t="s">
        <v>40</v>
      </c>
      <c r="H3" s="102" t="s">
        <v>14</v>
      </c>
    </row>
    <row r="4" spans="1:8" ht="15.75" x14ac:dyDescent="0.25">
      <c r="A4" s="101" t="s">
        <v>37</v>
      </c>
      <c r="B4" s="96" t="s">
        <v>5</v>
      </c>
      <c r="C4" s="123">
        <v>421396640.69</v>
      </c>
      <c r="D4" s="30" t="s">
        <v>2</v>
      </c>
      <c r="E4" s="100">
        <v>414.64864415817595</v>
      </c>
      <c r="F4" s="30" t="s">
        <v>19</v>
      </c>
      <c r="G4" s="30" t="s">
        <v>15</v>
      </c>
      <c r="H4" s="103" t="s">
        <v>16</v>
      </c>
    </row>
    <row r="5" spans="1:8" ht="15.75" x14ac:dyDescent="0.25">
      <c r="A5" s="101" t="s">
        <v>37</v>
      </c>
      <c r="B5" s="96" t="s">
        <v>8</v>
      </c>
      <c r="C5" s="131">
        <v>0</v>
      </c>
      <c r="D5" s="132" t="s">
        <v>9</v>
      </c>
      <c r="E5" s="133">
        <v>116.8696188501076</v>
      </c>
      <c r="F5" s="132" t="s">
        <v>20</v>
      </c>
      <c r="G5" s="132" t="s">
        <v>12</v>
      </c>
      <c r="H5" s="144" t="s">
        <v>13</v>
      </c>
    </row>
    <row r="6" spans="1:8" ht="15.75" x14ac:dyDescent="0.2">
      <c r="A6" s="101" t="s">
        <v>37</v>
      </c>
      <c r="B6" s="134" t="s">
        <v>160</v>
      </c>
      <c r="C6" s="135">
        <v>312970610.92500001</v>
      </c>
      <c r="D6" s="134"/>
      <c r="E6" s="134"/>
      <c r="F6" s="134"/>
      <c r="G6" s="134"/>
      <c r="H6" s="145"/>
    </row>
    <row r="7" spans="1:8" ht="15.75" x14ac:dyDescent="0.2">
      <c r="A7" s="101" t="s">
        <v>37</v>
      </c>
      <c r="B7" s="134" t="s">
        <v>161</v>
      </c>
      <c r="C7" s="135">
        <v>3332656385.0799999</v>
      </c>
      <c r="D7" s="134"/>
      <c r="E7" s="134"/>
      <c r="F7" s="134"/>
      <c r="G7" s="134"/>
      <c r="H7" s="145"/>
    </row>
    <row r="8" spans="1:8" ht="15.75" x14ac:dyDescent="0.2">
      <c r="A8" s="101" t="s">
        <v>37</v>
      </c>
      <c r="B8" s="134" t="s">
        <v>162</v>
      </c>
      <c r="C8" s="135">
        <v>1847434942.1450005</v>
      </c>
      <c r="D8" s="134"/>
      <c r="E8" s="134"/>
      <c r="F8" s="134"/>
      <c r="G8" s="134"/>
      <c r="H8" s="145"/>
    </row>
    <row r="9" spans="1:8" ht="15.75" x14ac:dyDescent="0.2">
      <c r="A9" s="101" t="s">
        <v>37</v>
      </c>
      <c r="B9" s="134" t="s">
        <v>163</v>
      </c>
      <c r="C9" s="135">
        <v>326709498.22999996</v>
      </c>
      <c r="D9" s="134"/>
      <c r="E9" s="134"/>
      <c r="F9" s="134"/>
      <c r="G9" s="134"/>
      <c r="H9" s="145"/>
    </row>
    <row r="10" spans="1:8" ht="15.75" x14ac:dyDescent="0.2">
      <c r="A10" s="101" t="s">
        <v>37</v>
      </c>
      <c r="B10" s="134" t="s">
        <v>140</v>
      </c>
      <c r="C10" s="135">
        <v>659571775.13999999</v>
      </c>
      <c r="D10" s="134"/>
      <c r="E10" s="134"/>
      <c r="F10" s="134"/>
      <c r="G10" s="134"/>
      <c r="H10" s="145"/>
    </row>
    <row r="11" spans="1:8" ht="15.75" x14ac:dyDescent="0.2">
      <c r="A11" s="101" t="s">
        <v>37</v>
      </c>
      <c r="B11" s="134" t="s">
        <v>164</v>
      </c>
      <c r="C11" s="135">
        <v>122</v>
      </c>
      <c r="D11" s="134"/>
      <c r="E11" s="134"/>
      <c r="F11" s="134"/>
      <c r="G11" s="134"/>
      <c r="H11" s="145"/>
    </row>
    <row r="12" spans="1:8" ht="15.75" x14ac:dyDescent="0.2">
      <c r="A12" s="101" t="s">
        <v>37</v>
      </c>
      <c r="B12" s="134" t="s">
        <v>165</v>
      </c>
      <c r="C12" s="135">
        <v>659571775.13999999</v>
      </c>
      <c r="D12" s="134"/>
      <c r="E12" s="134"/>
      <c r="F12" s="134"/>
      <c r="G12" s="134"/>
      <c r="H12" s="145"/>
    </row>
    <row r="13" spans="1:8" ht="16.5" thickBot="1" x14ac:dyDescent="0.25">
      <c r="A13" s="104" t="s">
        <v>37</v>
      </c>
      <c r="B13" s="146" t="s">
        <v>166</v>
      </c>
      <c r="C13" s="147">
        <v>543561557.75999999</v>
      </c>
      <c r="D13" s="146"/>
      <c r="E13" s="146"/>
      <c r="F13" s="146"/>
      <c r="G13" s="146"/>
      <c r="H13" s="1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8C5F-FB01-4722-A878-0E4E11797126}">
  <dimension ref="A1:D13"/>
  <sheetViews>
    <sheetView workbookViewId="0">
      <selection activeCell="B8" sqref="B8"/>
    </sheetView>
  </sheetViews>
  <sheetFormatPr defaultRowHeight="12.75" x14ac:dyDescent="0.2"/>
  <cols>
    <col min="1" max="2" width="22.6640625" bestFit="1" customWidth="1"/>
    <col min="3" max="3" width="27.33203125" bestFit="1" customWidth="1"/>
    <col min="4" max="4" width="25.1640625" bestFit="1" customWidth="1"/>
  </cols>
  <sheetData>
    <row r="1" spans="1:4" ht="15.75" x14ac:dyDescent="0.2">
      <c r="A1" s="39" t="s">
        <v>90</v>
      </c>
      <c r="B1" s="7" t="s">
        <v>46</v>
      </c>
      <c r="C1" s="7" t="s">
        <v>45</v>
      </c>
      <c r="D1" s="7" t="s">
        <v>47</v>
      </c>
    </row>
    <row r="2" spans="1:4" ht="15.75" x14ac:dyDescent="0.2">
      <c r="A2" s="2" t="s">
        <v>158</v>
      </c>
      <c r="B2" s="21" t="s">
        <v>48</v>
      </c>
      <c r="C2" s="125">
        <v>150208753</v>
      </c>
      <c r="D2" s="36">
        <v>1.7318631654604028E-2</v>
      </c>
    </row>
    <row r="3" spans="1:4" ht="15.75" x14ac:dyDescent="0.2">
      <c r="A3" s="2" t="s">
        <v>158</v>
      </c>
      <c r="B3" s="37" t="s">
        <v>49</v>
      </c>
      <c r="C3" s="126">
        <v>906402816.78999996</v>
      </c>
      <c r="D3" s="36">
        <v>0.10450560437500969</v>
      </c>
    </row>
    <row r="4" spans="1:4" ht="15.75" x14ac:dyDescent="0.2">
      <c r="A4" s="2" t="s">
        <v>158</v>
      </c>
      <c r="B4" s="21" t="s">
        <v>50</v>
      </c>
      <c r="C4" s="125">
        <v>230739923.68000001</v>
      </c>
      <c r="D4" s="36">
        <v>2.6603641042312401E-2</v>
      </c>
    </row>
    <row r="5" spans="1:4" ht="15.75" x14ac:dyDescent="0.2">
      <c r="A5" s="2" t="s">
        <v>158</v>
      </c>
      <c r="B5" s="37" t="s">
        <v>51</v>
      </c>
      <c r="C5" s="126">
        <v>2677051346.9499998</v>
      </c>
      <c r="D5" s="36">
        <v>0.30865622190664627</v>
      </c>
    </row>
    <row r="6" spans="1:4" ht="15.75" x14ac:dyDescent="0.2">
      <c r="A6" s="2" t="s">
        <v>158</v>
      </c>
      <c r="B6" s="11" t="s">
        <v>42</v>
      </c>
      <c r="C6" s="125">
        <v>4708843175.5300026</v>
      </c>
      <c r="D6" s="36">
        <v>0.54291590102142762</v>
      </c>
    </row>
    <row r="7" spans="1:4" ht="15.75" x14ac:dyDescent="0.2">
      <c r="A7" s="2" t="s">
        <v>158</v>
      </c>
      <c r="B7" s="12" t="s">
        <v>134</v>
      </c>
      <c r="C7" s="127">
        <v>8673246015.9500027</v>
      </c>
      <c r="D7" s="38">
        <v>1</v>
      </c>
    </row>
    <row r="8" spans="1:4" ht="15.75" x14ac:dyDescent="0.2">
      <c r="A8" s="2" t="s">
        <v>159</v>
      </c>
      <c r="B8" s="4" t="s">
        <v>48</v>
      </c>
      <c r="C8" s="128">
        <v>250208753</v>
      </c>
      <c r="D8" s="3">
        <f>C8/SUM($C$8:$C$13)</f>
        <v>7.4323286860354096E-2</v>
      </c>
    </row>
    <row r="9" spans="1:4" ht="15.75" x14ac:dyDescent="0.2">
      <c r="A9" s="2" t="s">
        <v>159</v>
      </c>
      <c r="B9" s="5" t="s">
        <v>49</v>
      </c>
      <c r="C9" s="129">
        <v>526402816.79000002</v>
      </c>
      <c r="D9" s="3">
        <f t="shared" ref="D9:D13" si="0">C9/SUM($C$8:$C$13)</f>
        <v>0.15636538325412458</v>
      </c>
    </row>
    <row r="10" spans="1:4" ht="15.75" x14ac:dyDescent="0.2">
      <c r="A10" s="2" t="s">
        <v>159</v>
      </c>
      <c r="B10" s="4" t="s">
        <v>50</v>
      </c>
      <c r="C10" s="128">
        <v>530739923.68000001</v>
      </c>
      <c r="D10" s="3">
        <f t="shared" si="0"/>
        <v>0.15765369965259002</v>
      </c>
    </row>
    <row r="11" spans="1:4" ht="15.75" x14ac:dyDescent="0.2">
      <c r="A11" s="2" t="s">
        <v>159</v>
      </c>
      <c r="B11" s="5" t="s">
        <v>51</v>
      </c>
      <c r="C11" s="129">
        <v>677051346.95000005</v>
      </c>
      <c r="D11" s="3">
        <f t="shared" si="0"/>
        <v>0.20111479264897653</v>
      </c>
    </row>
    <row r="12" spans="1:4" ht="15.75" x14ac:dyDescent="0.2">
      <c r="A12" s="2" t="s">
        <v>159</v>
      </c>
      <c r="B12" s="6" t="s">
        <v>42</v>
      </c>
      <c r="C12" s="128">
        <v>708843175.52999997</v>
      </c>
      <c r="D12" s="3">
        <f t="shared" si="0"/>
        <v>0.21055839990506056</v>
      </c>
    </row>
    <row r="13" spans="1:4" ht="15.75" x14ac:dyDescent="0.2">
      <c r="A13" s="2" t="s">
        <v>159</v>
      </c>
      <c r="B13" s="8" t="s">
        <v>135</v>
      </c>
      <c r="C13" s="130">
        <v>673246015.95000005</v>
      </c>
      <c r="D13" s="3">
        <f t="shared" si="0"/>
        <v>0.1999844376788944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5D79-908D-4FC7-972E-962C3D494D4B}">
  <dimension ref="A1:E12"/>
  <sheetViews>
    <sheetView workbookViewId="0">
      <selection activeCell="A12" sqref="A10:A12"/>
    </sheetView>
  </sheetViews>
  <sheetFormatPr defaultRowHeight="12.75" x14ac:dyDescent="0.2"/>
  <cols>
    <col min="1" max="1" width="37.83203125" bestFit="1" customWidth="1"/>
    <col min="2" max="2" width="24" bestFit="1" customWidth="1"/>
    <col min="3" max="5" width="25.1640625" bestFit="1" customWidth="1"/>
  </cols>
  <sheetData>
    <row r="1" spans="1:5" ht="19.5" thickBot="1" x14ac:dyDescent="0.25">
      <c r="A1" s="110" t="s">
        <v>53</v>
      </c>
      <c r="B1" s="110" t="s">
        <v>54</v>
      </c>
      <c r="C1" s="111">
        <v>45748</v>
      </c>
      <c r="D1" s="111">
        <v>45778</v>
      </c>
      <c r="E1" s="111">
        <v>45809</v>
      </c>
    </row>
    <row r="2" spans="1:5" ht="20.25" thickTop="1" thickBot="1" x14ac:dyDescent="0.25">
      <c r="A2" s="172" t="s">
        <v>55</v>
      </c>
      <c r="B2" s="112" t="s">
        <v>56</v>
      </c>
      <c r="C2" s="113" t="s">
        <v>80</v>
      </c>
      <c r="D2" s="113" t="s">
        <v>81</v>
      </c>
      <c r="E2" s="113" t="s">
        <v>82</v>
      </c>
    </row>
    <row r="3" spans="1:5" ht="19.5" thickBot="1" x14ac:dyDescent="0.25">
      <c r="A3" s="173"/>
      <c r="B3" s="114" t="s">
        <v>57</v>
      </c>
      <c r="C3" s="115" t="s">
        <v>83</v>
      </c>
      <c r="D3" s="115" t="s">
        <v>84</v>
      </c>
      <c r="E3" s="115" t="s">
        <v>82</v>
      </c>
    </row>
    <row r="4" spans="1:5" ht="19.5" thickBot="1" x14ac:dyDescent="0.25">
      <c r="A4" s="116" t="s">
        <v>58</v>
      </c>
      <c r="B4" s="116" t="s">
        <v>58</v>
      </c>
      <c r="C4" s="116" t="s">
        <v>59</v>
      </c>
      <c r="D4" s="116" t="s">
        <v>59</v>
      </c>
      <c r="E4" s="116" t="s">
        <v>59</v>
      </c>
    </row>
    <row r="5" spans="1:5" ht="19.5" thickBot="1" x14ac:dyDescent="0.25">
      <c r="A5" s="114" t="s">
        <v>60</v>
      </c>
      <c r="B5" s="114" t="s">
        <v>61</v>
      </c>
      <c r="C5" s="114" t="s">
        <v>59</v>
      </c>
      <c r="D5" s="114" t="s">
        <v>59</v>
      </c>
      <c r="E5" s="114" t="s">
        <v>59</v>
      </c>
    </row>
    <row r="6" spans="1:5" ht="19.5" thickBot="1" x14ac:dyDescent="0.25">
      <c r="A6" s="116" t="s">
        <v>41</v>
      </c>
      <c r="B6" s="117"/>
      <c r="C6" s="117"/>
      <c r="D6" s="117"/>
      <c r="E6" s="117"/>
    </row>
    <row r="10" spans="1:5" x14ac:dyDescent="0.2">
      <c r="A10" s="124"/>
    </row>
    <row r="11" spans="1:5" x14ac:dyDescent="0.2">
      <c r="A11" s="124"/>
    </row>
    <row r="12" spans="1:5" x14ac:dyDescent="0.2">
      <c r="A12" s="124"/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2C59A-57C8-406C-9505-320A25932FD6}">
  <dimension ref="A1:G7"/>
  <sheetViews>
    <sheetView workbookViewId="0">
      <selection activeCell="A2" sqref="A2"/>
    </sheetView>
  </sheetViews>
  <sheetFormatPr defaultRowHeight="12.75" x14ac:dyDescent="0.2"/>
  <cols>
    <col min="2" max="2" width="20" bestFit="1" customWidth="1"/>
    <col min="3" max="3" width="19.83203125" bestFit="1" customWidth="1"/>
    <col min="4" max="4" width="22.1640625" bestFit="1" customWidth="1"/>
    <col min="5" max="5" width="15.33203125" bestFit="1" customWidth="1"/>
    <col min="6" max="6" width="17.5" bestFit="1" customWidth="1"/>
    <col min="7" max="7" width="12.33203125" bestFit="1" customWidth="1"/>
  </cols>
  <sheetData>
    <row r="1" spans="1:7" ht="15.75" x14ac:dyDescent="0.2">
      <c r="A1" s="2" t="s">
        <v>90</v>
      </c>
      <c r="B1" s="22" t="s">
        <v>21</v>
      </c>
      <c r="C1" s="119" t="s">
        <v>139</v>
      </c>
      <c r="D1" s="23" t="s">
        <v>29</v>
      </c>
      <c r="E1" s="24" t="s">
        <v>30</v>
      </c>
      <c r="F1" s="23" t="s">
        <v>43</v>
      </c>
      <c r="G1" s="25" t="s">
        <v>44</v>
      </c>
    </row>
    <row r="2" spans="1:7" ht="15.75" x14ac:dyDescent="0.2">
      <c r="A2" s="2" t="s">
        <v>36</v>
      </c>
      <c r="B2" s="26" t="s">
        <v>23</v>
      </c>
      <c r="C2" s="27">
        <v>21600000</v>
      </c>
      <c r="D2" s="28">
        <v>45726</v>
      </c>
      <c r="E2" s="29">
        <v>46145</v>
      </c>
      <c r="F2" s="30" t="s">
        <v>35</v>
      </c>
      <c r="G2" s="9" t="s">
        <v>31</v>
      </c>
    </row>
    <row r="3" spans="1:7" ht="15.75" x14ac:dyDescent="0.2">
      <c r="A3" s="2" t="s">
        <v>36</v>
      </c>
      <c r="B3" s="26" t="s">
        <v>24</v>
      </c>
      <c r="C3" s="27">
        <v>21000000</v>
      </c>
      <c r="D3" s="28">
        <v>45657</v>
      </c>
      <c r="E3" s="29">
        <v>46084</v>
      </c>
      <c r="F3" s="30" t="s">
        <v>35</v>
      </c>
      <c r="G3" s="9" t="s">
        <v>32</v>
      </c>
    </row>
    <row r="4" spans="1:7" ht="15.75" x14ac:dyDescent="0.2">
      <c r="A4" s="2" t="s">
        <v>36</v>
      </c>
      <c r="B4" s="26" t="s">
        <v>25</v>
      </c>
      <c r="C4" s="27">
        <v>25000000</v>
      </c>
      <c r="D4" s="28">
        <v>45736</v>
      </c>
      <c r="E4" s="29">
        <v>46091</v>
      </c>
      <c r="F4" s="30" t="s">
        <v>35</v>
      </c>
      <c r="G4" s="9" t="s">
        <v>31</v>
      </c>
    </row>
    <row r="5" spans="1:7" ht="15.75" x14ac:dyDescent="0.2">
      <c r="A5" s="2" t="s">
        <v>36</v>
      </c>
      <c r="B5" s="26" t="s">
        <v>26</v>
      </c>
      <c r="C5" s="27">
        <v>10000000</v>
      </c>
      <c r="D5" s="28">
        <v>45755</v>
      </c>
      <c r="E5" s="29">
        <v>46189</v>
      </c>
      <c r="F5" s="30" t="s">
        <v>35</v>
      </c>
      <c r="G5" s="9" t="s">
        <v>33</v>
      </c>
    </row>
    <row r="6" spans="1:7" ht="15.75" x14ac:dyDescent="0.2">
      <c r="A6" s="2" t="s">
        <v>36</v>
      </c>
      <c r="B6" s="26" t="s">
        <v>27</v>
      </c>
      <c r="C6" s="27">
        <v>55875000</v>
      </c>
      <c r="D6" s="28">
        <v>45799</v>
      </c>
      <c r="E6" s="29">
        <v>46224</v>
      </c>
      <c r="F6" s="30" t="s">
        <v>35</v>
      </c>
      <c r="G6" s="9" t="s">
        <v>31</v>
      </c>
    </row>
    <row r="7" spans="1:7" ht="16.5" thickBot="1" x14ac:dyDescent="0.25">
      <c r="A7" s="2" t="s">
        <v>36</v>
      </c>
      <c r="B7" s="31" t="s">
        <v>28</v>
      </c>
      <c r="C7" s="32">
        <v>111875000</v>
      </c>
      <c r="D7" s="33">
        <v>45849</v>
      </c>
      <c r="E7" s="34">
        <v>46276</v>
      </c>
      <c r="F7" s="35" t="s">
        <v>35</v>
      </c>
      <c r="G7" s="10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A071-01EA-419D-8841-35CB622B479C}">
  <dimension ref="A1:K16"/>
  <sheetViews>
    <sheetView workbookViewId="0">
      <selection sqref="A1:I1"/>
    </sheetView>
  </sheetViews>
  <sheetFormatPr defaultRowHeight="12.75" x14ac:dyDescent="0.2"/>
  <cols>
    <col min="1" max="2" width="27.33203125" bestFit="1" customWidth="1"/>
    <col min="3" max="4" width="9.83203125" bestFit="1" customWidth="1"/>
    <col min="5" max="5" width="8.33203125" bestFit="1" customWidth="1"/>
    <col min="6" max="6" width="8" bestFit="1" customWidth="1"/>
    <col min="7" max="7" width="8.33203125" bestFit="1" customWidth="1"/>
    <col min="8" max="8" width="11" bestFit="1" customWidth="1"/>
    <col min="9" max="9" width="9.5" bestFit="1" customWidth="1"/>
    <col min="11" max="11" width="9.33203125" style="1"/>
  </cols>
  <sheetData>
    <row r="1" spans="1:11" ht="15" x14ac:dyDescent="0.2">
      <c r="A1" s="72" t="s">
        <v>90</v>
      </c>
      <c r="B1" s="73" t="s">
        <v>157</v>
      </c>
      <c r="C1" s="74" t="s">
        <v>72</v>
      </c>
      <c r="D1" s="74" t="s">
        <v>71</v>
      </c>
      <c r="E1" s="74" t="s">
        <v>52</v>
      </c>
      <c r="F1" s="74" t="s">
        <v>70</v>
      </c>
      <c r="G1" s="74" t="s">
        <v>69</v>
      </c>
      <c r="H1" s="74" t="s">
        <v>68</v>
      </c>
      <c r="I1" s="75" t="s">
        <v>4</v>
      </c>
    </row>
    <row r="2" spans="1:11" ht="15" x14ac:dyDescent="0.2">
      <c r="A2" s="76" t="s">
        <v>136</v>
      </c>
      <c r="B2" s="118">
        <v>0</v>
      </c>
      <c r="C2" s="70">
        <v>9.2499999999999999E-2</v>
      </c>
      <c r="D2" s="70">
        <v>9.2499999999999999E-2</v>
      </c>
      <c r="E2" s="70">
        <v>0.11600000000000001</v>
      </c>
      <c r="F2" s="70">
        <v>0.09</v>
      </c>
      <c r="G2" s="70">
        <v>9.5000000000000001E-2</v>
      </c>
      <c r="H2" s="70">
        <v>9.7000000000000003E-2</v>
      </c>
      <c r="I2" s="77">
        <v>0</v>
      </c>
    </row>
    <row r="3" spans="1:11" ht="15" x14ac:dyDescent="0.2">
      <c r="A3" s="78" t="s">
        <v>67</v>
      </c>
      <c r="B3" s="42" t="s">
        <v>65</v>
      </c>
      <c r="C3" s="15">
        <v>10</v>
      </c>
      <c r="D3" s="15">
        <v>10</v>
      </c>
      <c r="E3" s="15">
        <v>6.9</v>
      </c>
      <c r="F3" s="15">
        <v>50</v>
      </c>
      <c r="G3" s="15">
        <v>5</v>
      </c>
      <c r="H3" s="15">
        <v>50</v>
      </c>
      <c r="I3" s="79">
        <f>SUM(C3:H3)</f>
        <v>131.9</v>
      </c>
    </row>
    <row r="4" spans="1:11" ht="15" x14ac:dyDescent="0.2">
      <c r="A4" s="78" t="s">
        <v>67</v>
      </c>
      <c r="B4" s="42" t="s">
        <v>66</v>
      </c>
      <c r="C4" s="15">
        <v>50</v>
      </c>
      <c r="D4" s="15">
        <v>70</v>
      </c>
      <c r="E4" s="15">
        <v>0</v>
      </c>
      <c r="F4" s="15">
        <v>0</v>
      </c>
      <c r="G4" s="15">
        <v>10</v>
      </c>
      <c r="H4" s="15">
        <v>0</v>
      </c>
      <c r="I4" s="79">
        <f>SUM(C4:H4)</f>
        <v>130</v>
      </c>
    </row>
    <row r="5" spans="1:11" ht="15" x14ac:dyDescent="0.2">
      <c r="A5" s="80" t="s">
        <v>67</v>
      </c>
      <c r="B5" s="43" t="s">
        <v>86</v>
      </c>
      <c r="C5" s="13">
        <f t="shared" ref="C5:H5" si="0">SUM(C3:C4)</f>
        <v>60</v>
      </c>
      <c r="D5" s="13">
        <f t="shared" si="0"/>
        <v>80</v>
      </c>
      <c r="E5" s="13">
        <f t="shared" si="0"/>
        <v>6.9</v>
      </c>
      <c r="F5" s="13">
        <f t="shared" si="0"/>
        <v>50</v>
      </c>
      <c r="G5" s="13">
        <f t="shared" si="0"/>
        <v>15</v>
      </c>
      <c r="H5" s="13">
        <f t="shared" si="0"/>
        <v>50</v>
      </c>
      <c r="I5" s="81">
        <f>SUM(C5:H5)</f>
        <v>261.89999999999998</v>
      </c>
    </row>
    <row r="6" spans="1:11" ht="15" x14ac:dyDescent="0.25">
      <c r="A6" s="82" t="s">
        <v>75</v>
      </c>
      <c r="B6" s="71" t="s">
        <v>74</v>
      </c>
      <c r="C6" s="14">
        <f>100000000/(10^7)</f>
        <v>10</v>
      </c>
      <c r="D6" s="14">
        <v>4</v>
      </c>
      <c r="E6" s="14">
        <f>69000000/(10^7)</f>
        <v>6.9</v>
      </c>
      <c r="F6" s="14">
        <v>0.5</v>
      </c>
      <c r="G6" s="14">
        <f>50000000/(10^7)</f>
        <v>5</v>
      </c>
      <c r="H6" s="17">
        <v>15</v>
      </c>
      <c r="I6" s="83">
        <f>SUM(C6:H6)</f>
        <v>41.4</v>
      </c>
      <c r="K6" s="16"/>
    </row>
    <row r="7" spans="1:11" ht="15" x14ac:dyDescent="0.25">
      <c r="A7" s="82" t="s">
        <v>75</v>
      </c>
      <c r="B7" s="71" t="s">
        <v>73</v>
      </c>
      <c r="C7" s="14">
        <v>0</v>
      </c>
      <c r="D7" s="14">
        <v>6</v>
      </c>
      <c r="E7" s="14">
        <v>0</v>
      </c>
      <c r="F7" s="14">
        <v>0</v>
      </c>
      <c r="G7" s="14">
        <v>0</v>
      </c>
      <c r="H7" s="40">
        <v>0</v>
      </c>
      <c r="I7" s="83">
        <f>SUM(C7:H7)</f>
        <v>6</v>
      </c>
    </row>
    <row r="8" spans="1:11" ht="15" x14ac:dyDescent="0.2">
      <c r="A8" s="82" t="s">
        <v>75</v>
      </c>
      <c r="B8" s="69" t="s">
        <v>87</v>
      </c>
      <c r="C8" s="20">
        <f>SUM(C6:C7)</f>
        <v>10</v>
      </c>
      <c r="D8" s="20">
        <f t="shared" ref="D8:I8" si="1">SUM(D6:D7)</f>
        <v>10</v>
      </c>
      <c r="E8" s="20">
        <f t="shared" si="1"/>
        <v>6.9</v>
      </c>
      <c r="F8" s="41">
        <f t="shared" si="1"/>
        <v>0.5</v>
      </c>
      <c r="G8" s="20">
        <f t="shared" si="1"/>
        <v>5</v>
      </c>
      <c r="H8" s="41">
        <f t="shared" si="1"/>
        <v>15</v>
      </c>
      <c r="I8" s="84">
        <f t="shared" si="1"/>
        <v>47.4</v>
      </c>
    </row>
    <row r="9" spans="1:11" ht="15" x14ac:dyDescent="0.2">
      <c r="A9" s="82" t="s">
        <v>78</v>
      </c>
      <c r="B9" s="118">
        <v>0</v>
      </c>
      <c r="C9" s="20">
        <f t="shared" ref="C9:H9" si="2">C15-C11-C12</f>
        <v>91.026658374999997</v>
      </c>
      <c r="D9" s="20">
        <f t="shared" si="2"/>
        <v>131.03486739097775</v>
      </c>
      <c r="E9" s="20">
        <f t="shared" si="2"/>
        <v>5.0721221590000001</v>
      </c>
      <c r="F9" s="20">
        <f t="shared" si="2"/>
        <v>39.5012902</v>
      </c>
      <c r="G9" s="20">
        <f t="shared" si="2"/>
        <v>24.139741894999997</v>
      </c>
      <c r="H9" s="20">
        <f t="shared" si="2"/>
        <v>19.501964346999998</v>
      </c>
      <c r="I9" s="84">
        <f>SUM(C9:H9)</f>
        <v>310.27664436697779</v>
      </c>
    </row>
    <row r="10" spans="1:11" ht="15" x14ac:dyDescent="0.2">
      <c r="A10" s="85" t="s">
        <v>76</v>
      </c>
      <c r="B10" s="44" t="s">
        <v>65</v>
      </c>
      <c r="C10" s="18">
        <f>-29441048/(10^7)</f>
        <v>-2.9441047999999999</v>
      </c>
      <c r="D10" s="18">
        <f>16673321.88/(10^7)</f>
        <v>1.667332188</v>
      </c>
      <c r="E10" s="18">
        <f>-59821221.59/(10^7)</f>
        <v>-5.9821221590000002</v>
      </c>
      <c r="F10" s="18">
        <f>-2512902/(10^7)</f>
        <v>-0.25129020000000002</v>
      </c>
      <c r="G10" s="18">
        <f>-45804536.95/(10^7)</f>
        <v>-4.5804536950000001</v>
      </c>
      <c r="H10" s="18">
        <f>2480356.53/10^7</f>
        <v>0.24803565299999997</v>
      </c>
      <c r="I10" s="86">
        <f>SUM(C10:H10)</f>
        <v>-11.842603013</v>
      </c>
      <c r="K10" s="16"/>
    </row>
    <row r="11" spans="1:11" ht="15" x14ac:dyDescent="0.2">
      <c r="A11" s="85" t="s">
        <v>77</v>
      </c>
      <c r="B11" s="44" t="s">
        <v>62</v>
      </c>
      <c r="C11" s="18">
        <v>-40.783323674999998</v>
      </c>
      <c r="D11" s="18">
        <v>-49.091830399999999</v>
      </c>
      <c r="E11" s="18">
        <v>0</v>
      </c>
      <c r="F11" s="18">
        <v>0</v>
      </c>
      <c r="G11" s="18">
        <v>-9.67</v>
      </c>
      <c r="H11" s="18">
        <v>0</v>
      </c>
      <c r="I11" s="87">
        <f>SUM(C11:H11)</f>
        <v>-99.545154074999999</v>
      </c>
    </row>
    <row r="12" spans="1:11" ht="15" x14ac:dyDescent="0.2">
      <c r="A12" s="85" t="s">
        <v>77</v>
      </c>
      <c r="B12" s="44" t="s">
        <v>63</v>
      </c>
      <c r="C12" s="18">
        <v>-6.7892298999999996</v>
      </c>
      <c r="D12" s="18">
        <v>-17.090369178977749</v>
      </c>
      <c r="E12" s="18">
        <v>0</v>
      </c>
      <c r="F12" s="18">
        <v>0</v>
      </c>
      <c r="G12" s="18">
        <v>-0.31928820000000002</v>
      </c>
      <c r="H12" s="18">
        <v>0</v>
      </c>
      <c r="I12" s="87">
        <f>SUM(C12:H12)</f>
        <v>-24.198887278977747</v>
      </c>
    </row>
    <row r="13" spans="1:11" ht="15" x14ac:dyDescent="0.2">
      <c r="A13" s="85" t="s">
        <v>77</v>
      </c>
      <c r="B13" s="45" t="s">
        <v>89</v>
      </c>
      <c r="C13" s="18">
        <f>SUM(C10:C12)</f>
        <v>-50.516658374999999</v>
      </c>
      <c r="D13" s="18">
        <f t="shared" ref="D13:I13" si="3">SUM(D10:D12)</f>
        <v>-64.514867390977741</v>
      </c>
      <c r="E13" s="18">
        <f t="shared" si="3"/>
        <v>-5.9821221590000002</v>
      </c>
      <c r="F13" s="18">
        <f t="shared" si="3"/>
        <v>-0.25129020000000002</v>
      </c>
      <c r="G13" s="18">
        <f t="shared" si="3"/>
        <v>-14.569741895000002</v>
      </c>
      <c r="H13" s="18">
        <f t="shared" si="3"/>
        <v>0.24803565299999997</v>
      </c>
      <c r="I13" s="88">
        <f t="shared" si="3"/>
        <v>-135.58664436697774</v>
      </c>
    </row>
    <row r="14" spans="1:11" ht="15" x14ac:dyDescent="0.25">
      <c r="A14" s="89" t="s">
        <v>79</v>
      </c>
      <c r="B14" s="45" t="s">
        <v>65</v>
      </c>
      <c r="C14" s="19">
        <f t="shared" ref="C14:H14" si="4">C6+C10</f>
        <v>7.0558952000000001</v>
      </c>
      <c r="D14" s="19">
        <f t="shared" si="4"/>
        <v>5.6673321879999996</v>
      </c>
      <c r="E14" s="19">
        <f t="shared" si="4"/>
        <v>0.91787784100000014</v>
      </c>
      <c r="F14" s="19">
        <f t="shared" si="4"/>
        <v>0.24870979999999998</v>
      </c>
      <c r="G14" s="19">
        <f t="shared" si="4"/>
        <v>0.4195463049999999</v>
      </c>
      <c r="H14" s="19">
        <f t="shared" si="4"/>
        <v>15.248035653000001</v>
      </c>
      <c r="I14" s="90">
        <f>SUM(C14:H14)</f>
        <v>29.557396987000004</v>
      </c>
    </row>
    <row r="15" spans="1:11" ht="15" x14ac:dyDescent="0.25">
      <c r="A15" s="89" t="s">
        <v>79</v>
      </c>
      <c r="B15" s="45" t="s">
        <v>66</v>
      </c>
      <c r="C15" s="19">
        <f>C16-C14</f>
        <v>43.454104799999996</v>
      </c>
      <c r="D15" s="19">
        <f t="shared" ref="D15:H15" si="5">D16-D14</f>
        <v>64.852667812000007</v>
      </c>
      <c r="E15" s="19">
        <f t="shared" si="5"/>
        <v>5.0721221590000001</v>
      </c>
      <c r="F15" s="19">
        <f t="shared" si="5"/>
        <v>39.5012902</v>
      </c>
      <c r="G15" s="19">
        <f t="shared" si="5"/>
        <v>14.150453694999999</v>
      </c>
      <c r="H15" s="19">
        <f t="shared" si="5"/>
        <v>19.501964346999998</v>
      </c>
      <c r="I15" s="90">
        <f>SUM(C15:H15)</f>
        <v>186.53260301300003</v>
      </c>
    </row>
    <row r="16" spans="1:11" ht="15.75" thickBot="1" x14ac:dyDescent="0.3">
      <c r="A16" s="91" t="s">
        <v>79</v>
      </c>
      <c r="B16" s="92" t="s">
        <v>88</v>
      </c>
      <c r="C16" s="93">
        <v>50.51</v>
      </c>
      <c r="D16" s="94">
        <v>70.52000000000001</v>
      </c>
      <c r="E16" s="94">
        <v>5.99</v>
      </c>
      <c r="F16" s="94">
        <v>39.75</v>
      </c>
      <c r="G16" s="94">
        <v>14.57</v>
      </c>
      <c r="H16" s="94">
        <v>34.75</v>
      </c>
      <c r="I16" s="95">
        <f>SUM(C16:H16)</f>
        <v>216.08999999999997</v>
      </c>
    </row>
  </sheetData>
  <pageMargins left="0.7" right="0.7" top="0.75" bottom="0.75" header="0.3" footer="0.3"/>
  <pageSetup orientation="portrait" r:id="rId1"/>
  <ignoredErrors>
    <ignoredError sqref="I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P&amp;L</vt:lpstr>
      <vt:lpstr>Working Capital</vt:lpstr>
      <vt:lpstr>Ageing</vt:lpstr>
      <vt:lpstr>Compliance</vt:lpstr>
      <vt:lpstr>EMD</vt:lpstr>
      <vt:lpstr>Funds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Navneet Chaudhary</cp:lastModifiedBy>
  <cp:lastPrinted>2025-08-03T11:32:17Z</cp:lastPrinted>
  <dcterms:created xsi:type="dcterms:W3CDTF">2025-07-24T08:55:35Z</dcterms:created>
  <dcterms:modified xsi:type="dcterms:W3CDTF">2025-10-05T07:03:30Z</dcterms:modified>
</cp:coreProperties>
</file>